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f6d1cb9e80ab0a53/Desktop/Project Noctem/Consumper Staples/Food ^0 Bev/HOTC/"/>
    </mc:Choice>
  </mc:AlternateContent>
  <xr:revisionPtr revIDLastSave="3" documentId="8_{889FF045-87D5-4A3A-BC85-EAE89B39CCF8}" xr6:coauthVersionLast="47" xr6:coauthVersionMax="47" xr10:uidLastSave="{244880CF-3E77-4298-8E03-9E21C7E96076}"/>
  <bookViews>
    <workbookView xWindow="-120" yWindow="-120" windowWidth="29040" windowHeight="15720" activeTab="1" xr2:uid="{9611FA0E-74F8-4BBD-BFCB-C0149B21E3DF}"/>
  </bookViews>
  <sheets>
    <sheet name="Sheet1" sheetId="1" r:id="rId1"/>
    <sheet name="HOTC (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45" i="2" l="1"/>
  <c r="C246" i="2"/>
  <c r="C5" i="2"/>
  <c r="K14" i="2"/>
  <c r="C15" i="2"/>
  <c r="D15" i="2"/>
  <c r="E15" i="2"/>
  <c r="F15" i="2"/>
  <c r="G15" i="2"/>
  <c r="H15" i="2"/>
  <c r="I15" i="2"/>
  <c r="M15" i="2"/>
  <c r="N15" i="2"/>
  <c r="O15" i="2"/>
  <c r="P15" i="2"/>
  <c r="Q15" i="2"/>
  <c r="K16" i="2"/>
  <c r="D17" i="2"/>
  <c r="E17" i="2"/>
  <c r="F17" i="2"/>
  <c r="G17" i="2"/>
  <c r="H17" i="2"/>
  <c r="I17" i="2"/>
  <c r="M17" i="2"/>
  <c r="N17" i="2"/>
  <c r="O17" i="2"/>
  <c r="P17" i="2"/>
  <c r="Q17" i="2"/>
  <c r="D18" i="2"/>
  <c r="D19" i="2" s="1"/>
  <c r="E18" i="2"/>
  <c r="E19" i="2" s="1"/>
  <c r="F18" i="2"/>
  <c r="F24" i="2" s="1"/>
  <c r="G18" i="2"/>
  <c r="H18" i="2"/>
  <c r="I18" i="2"/>
  <c r="I162" i="2" s="1"/>
  <c r="J18" i="2"/>
  <c r="J162" i="2" s="1"/>
  <c r="M18" i="2"/>
  <c r="M24" i="2" s="1"/>
  <c r="N18" i="2"/>
  <c r="N162" i="2" s="1"/>
  <c r="O18" i="2"/>
  <c r="O24" i="2" s="1"/>
  <c r="P18" i="2"/>
  <c r="P19" i="2" s="1"/>
  <c r="Q18" i="2"/>
  <c r="R18" i="2"/>
  <c r="G19" i="2"/>
  <c r="H19" i="2"/>
  <c r="I19" i="2"/>
  <c r="Q19" i="2"/>
  <c r="K21" i="2"/>
  <c r="D22" i="2"/>
  <c r="E22" i="2"/>
  <c r="F22" i="2"/>
  <c r="G22" i="2"/>
  <c r="H22" i="2"/>
  <c r="I22" i="2"/>
  <c r="M22" i="2"/>
  <c r="N22" i="2"/>
  <c r="O22" i="2"/>
  <c r="P22" i="2"/>
  <c r="Q22" i="2"/>
  <c r="G24" i="2"/>
  <c r="G204" i="2" s="1"/>
  <c r="H24" i="2"/>
  <c r="H25" i="2" s="1"/>
  <c r="I24" i="2"/>
  <c r="I205" i="2" s="1"/>
  <c r="J24" i="2"/>
  <c r="J202" i="2" s="1"/>
  <c r="Q24" i="2"/>
  <c r="Q25" i="2" s="1"/>
  <c r="R24" i="2"/>
  <c r="G30" i="2"/>
  <c r="G31" i="2" s="1"/>
  <c r="H30" i="2"/>
  <c r="H31" i="2" s="1"/>
  <c r="I30" i="2"/>
  <c r="I164" i="2" s="1"/>
  <c r="Q30" i="2"/>
  <c r="Q47" i="2" s="1"/>
  <c r="Q48" i="2" s="1"/>
  <c r="R30" i="2"/>
  <c r="R164" i="2" s="1"/>
  <c r="G34" i="2"/>
  <c r="G35" i="2" s="1"/>
  <c r="H34" i="2"/>
  <c r="H42" i="2" s="1"/>
  <c r="Q34" i="2"/>
  <c r="G42" i="2"/>
  <c r="Q42" i="2"/>
  <c r="H44" i="2"/>
  <c r="H47" i="2"/>
  <c r="H48" i="2" s="1"/>
  <c r="I47" i="2"/>
  <c r="I48" i="2" s="1"/>
  <c r="R47" i="2"/>
  <c r="R48" i="2" s="1"/>
  <c r="D65" i="2"/>
  <c r="D200" i="2" s="1"/>
  <c r="E65" i="2"/>
  <c r="E74" i="2" s="1"/>
  <c r="F65" i="2"/>
  <c r="F200" i="2" s="1"/>
  <c r="G65" i="2"/>
  <c r="H65" i="2"/>
  <c r="I65" i="2"/>
  <c r="J65" i="2"/>
  <c r="M65" i="2"/>
  <c r="M200" i="2" s="1"/>
  <c r="N65" i="2"/>
  <c r="N200" i="2" s="1"/>
  <c r="O65" i="2"/>
  <c r="P65" i="2"/>
  <c r="Q65" i="2"/>
  <c r="R65" i="2"/>
  <c r="D72" i="2"/>
  <c r="E72" i="2"/>
  <c r="E199" i="2" s="1"/>
  <c r="F72" i="2"/>
  <c r="F199" i="2" s="1"/>
  <c r="G72" i="2"/>
  <c r="G184" i="2" s="1"/>
  <c r="H72" i="2"/>
  <c r="H199" i="2" s="1"/>
  <c r="I72" i="2"/>
  <c r="I74" i="2" s="1"/>
  <c r="J72" i="2"/>
  <c r="J74" i="2" s="1"/>
  <c r="J95" i="2" s="1"/>
  <c r="J241" i="2" s="1"/>
  <c r="M72" i="2"/>
  <c r="N72" i="2"/>
  <c r="O72" i="2"/>
  <c r="P72" i="2"/>
  <c r="P74" i="2" s="1"/>
  <c r="P95" i="2" s="1"/>
  <c r="P241" i="2" s="1"/>
  <c r="Q72" i="2"/>
  <c r="Q74" i="2" s="1"/>
  <c r="R72" i="2"/>
  <c r="R74" i="2" s="1"/>
  <c r="D74" i="2"/>
  <c r="D176" i="2" s="1"/>
  <c r="M74" i="2"/>
  <c r="M95" i="2" s="1"/>
  <c r="M241" i="2" s="1"/>
  <c r="C241" i="2" s="1"/>
  <c r="C256" i="2" s="1"/>
  <c r="N74" i="2"/>
  <c r="N95" i="2" s="1"/>
  <c r="O74" i="2"/>
  <c r="O95" i="2" s="1"/>
  <c r="O241" i="2" s="1"/>
  <c r="D82" i="2"/>
  <c r="D199" i="2" s="1"/>
  <c r="E82" i="2"/>
  <c r="F82" i="2"/>
  <c r="F181" i="2" s="1"/>
  <c r="G82" i="2"/>
  <c r="H82" i="2"/>
  <c r="H183" i="2" s="1"/>
  <c r="I82" i="2"/>
  <c r="J82" i="2"/>
  <c r="M82" i="2"/>
  <c r="M183" i="2" s="1"/>
  <c r="N82" i="2"/>
  <c r="N199" i="2" s="1"/>
  <c r="O82" i="2"/>
  <c r="P82" i="2"/>
  <c r="Q82" i="2"/>
  <c r="R82" i="2"/>
  <c r="D91" i="2"/>
  <c r="E91" i="2"/>
  <c r="F91" i="2"/>
  <c r="G91" i="2"/>
  <c r="G93" i="2" s="1"/>
  <c r="H91" i="2"/>
  <c r="H93" i="2" s="1"/>
  <c r="I91" i="2"/>
  <c r="I93" i="2" s="1"/>
  <c r="J91" i="2"/>
  <c r="J93" i="2" s="1"/>
  <c r="M91" i="2"/>
  <c r="M93" i="2" s="1"/>
  <c r="N91" i="2"/>
  <c r="O91" i="2"/>
  <c r="P91" i="2"/>
  <c r="Q91" i="2"/>
  <c r="Q93" i="2" s="1"/>
  <c r="R91" i="2"/>
  <c r="R93" i="2" s="1"/>
  <c r="D93" i="2"/>
  <c r="E93" i="2"/>
  <c r="F93" i="2"/>
  <c r="N93" i="2"/>
  <c r="O93" i="2"/>
  <c r="P93" i="2"/>
  <c r="D104" i="2"/>
  <c r="D171" i="2" s="1"/>
  <c r="E104" i="2"/>
  <c r="F104" i="2"/>
  <c r="G104" i="2"/>
  <c r="H104" i="2"/>
  <c r="I104" i="2"/>
  <c r="J104" i="2"/>
  <c r="M104" i="2"/>
  <c r="N104" i="2"/>
  <c r="N171" i="2" s="1"/>
  <c r="O104" i="2"/>
  <c r="P104" i="2"/>
  <c r="Q104" i="2"/>
  <c r="R104" i="2"/>
  <c r="D133" i="2"/>
  <c r="D178" i="2" s="1"/>
  <c r="E133" i="2"/>
  <c r="E178" i="2" s="1"/>
  <c r="F133" i="2"/>
  <c r="F178" i="2" s="1"/>
  <c r="G133" i="2"/>
  <c r="G178" i="2" s="1"/>
  <c r="H133" i="2"/>
  <c r="I133" i="2"/>
  <c r="D141" i="2"/>
  <c r="E141" i="2"/>
  <c r="F141" i="2"/>
  <c r="G141" i="2"/>
  <c r="H141" i="2"/>
  <c r="I141" i="2"/>
  <c r="J141" i="2"/>
  <c r="M141" i="2"/>
  <c r="N141" i="2"/>
  <c r="O141" i="2"/>
  <c r="P141" i="2"/>
  <c r="Q141" i="2"/>
  <c r="R141" i="2"/>
  <c r="D151" i="2"/>
  <c r="D153" i="2" s="1"/>
  <c r="D156" i="2" s="1"/>
  <c r="E151" i="2"/>
  <c r="E153" i="2" s="1"/>
  <c r="E156" i="2" s="1"/>
  <c r="F151" i="2"/>
  <c r="F153" i="2" s="1"/>
  <c r="F156" i="2" s="1"/>
  <c r="G151" i="2"/>
  <c r="H151" i="2"/>
  <c r="I151" i="2"/>
  <c r="J151" i="2"/>
  <c r="M151" i="2"/>
  <c r="N151" i="2"/>
  <c r="O151" i="2"/>
  <c r="P151" i="2"/>
  <c r="Q151" i="2"/>
  <c r="R151" i="2"/>
  <c r="H153" i="2"/>
  <c r="H156" i="2" s="1"/>
  <c r="I153" i="2"/>
  <c r="I156" i="2" s="1"/>
  <c r="D162" i="2"/>
  <c r="E162" i="2"/>
  <c r="F162" i="2"/>
  <c r="G162" i="2"/>
  <c r="H162" i="2"/>
  <c r="O162" i="2"/>
  <c r="P162" i="2"/>
  <c r="Q162" i="2"/>
  <c r="R162" i="2"/>
  <c r="G163" i="2"/>
  <c r="H163" i="2"/>
  <c r="I163" i="2"/>
  <c r="J163" i="2"/>
  <c r="R163" i="2"/>
  <c r="G165" i="2"/>
  <c r="H165" i="2"/>
  <c r="Q165" i="2"/>
  <c r="D168" i="2"/>
  <c r="D170" i="2" s="1"/>
  <c r="E168" i="2"/>
  <c r="F168" i="2"/>
  <c r="G168" i="2"/>
  <c r="H168" i="2"/>
  <c r="H172" i="2" s="1"/>
  <c r="I168" i="2"/>
  <c r="I172" i="2" s="1"/>
  <c r="J168" i="2"/>
  <c r="J170" i="2" s="1"/>
  <c r="M168" i="2"/>
  <c r="M172" i="2" s="1"/>
  <c r="N168" i="2"/>
  <c r="D169" i="2"/>
  <c r="E169" i="2"/>
  <c r="F169" i="2"/>
  <c r="G169" i="2"/>
  <c r="G173" i="2" s="1"/>
  <c r="H169" i="2"/>
  <c r="H173" i="2" s="1"/>
  <c r="I169" i="2"/>
  <c r="I171" i="2" s="1"/>
  <c r="J169" i="2"/>
  <c r="J171" i="2" s="1"/>
  <c r="M169" i="2"/>
  <c r="M171" i="2" s="1"/>
  <c r="N169" i="2"/>
  <c r="E170" i="2"/>
  <c r="F170" i="2"/>
  <c r="G170" i="2"/>
  <c r="H170" i="2"/>
  <c r="I170" i="2"/>
  <c r="E171" i="2"/>
  <c r="F171" i="2"/>
  <c r="G171" i="2"/>
  <c r="H171" i="2"/>
  <c r="D172" i="2"/>
  <c r="E172" i="2"/>
  <c r="F172" i="2"/>
  <c r="G172" i="2"/>
  <c r="N172" i="2"/>
  <c r="D173" i="2"/>
  <c r="E173" i="2"/>
  <c r="F173" i="2"/>
  <c r="M173" i="2"/>
  <c r="N173" i="2"/>
  <c r="D175" i="2"/>
  <c r="N175" i="2"/>
  <c r="M176" i="2"/>
  <c r="N176" i="2"/>
  <c r="G181" i="2"/>
  <c r="H181" i="2"/>
  <c r="I181" i="2"/>
  <c r="N181" i="2"/>
  <c r="D182" i="2"/>
  <c r="E182" i="2"/>
  <c r="F182" i="2"/>
  <c r="G182" i="2"/>
  <c r="H182" i="2"/>
  <c r="M182" i="2"/>
  <c r="N182" i="2"/>
  <c r="D183" i="2"/>
  <c r="E183" i="2"/>
  <c r="F183" i="2"/>
  <c r="G183" i="2"/>
  <c r="I183" i="2"/>
  <c r="J183" i="2"/>
  <c r="N183" i="2"/>
  <c r="D184" i="2"/>
  <c r="E184" i="2"/>
  <c r="F184" i="2"/>
  <c r="M184" i="2"/>
  <c r="N184" i="2"/>
  <c r="D187" i="2"/>
  <c r="E187" i="2"/>
  <c r="E188" i="2" s="1"/>
  <c r="F187" i="2"/>
  <c r="G187" i="2"/>
  <c r="H187" i="2"/>
  <c r="H188" i="2" s="1"/>
  <c r="I187" i="2"/>
  <c r="J187" i="2"/>
  <c r="M187" i="2"/>
  <c r="M188" i="2" s="1"/>
  <c r="N187" i="2"/>
  <c r="N188" i="2" s="1"/>
  <c r="D188" i="2"/>
  <c r="D193" i="2" s="1"/>
  <c r="F188" i="2"/>
  <c r="G188" i="2"/>
  <c r="G194" i="2" s="1"/>
  <c r="I188" i="2"/>
  <c r="I193" i="2" s="1"/>
  <c r="J188" i="2"/>
  <c r="J194" i="2" s="1"/>
  <c r="D189" i="2"/>
  <c r="D190" i="2" s="1"/>
  <c r="E189" i="2"/>
  <c r="F189" i="2"/>
  <c r="F190" i="2" s="1"/>
  <c r="G189" i="2"/>
  <c r="H189" i="2"/>
  <c r="I189" i="2"/>
  <c r="I190" i="2" s="1"/>
  <c r="I194" i="2" s="1"/>
  <c r="J189" i="2"/>
  <c r="J190" i="2" s="1"/>
  <c r="M189" i="2"/>
  <c r="M190" i="2" s="1"/>
  <c r="N189" i="2"/>
  <c r="N190" i="2" s="1"/>
  <c r="E190" i="2"/>
  <c r="G190" i="2"/>
  <c r="H190" i="2"/>
  <c r="D191" i="2"/>
  <c r="D192" i="2" s="1"/>
  <c r="E191" i="2"/>
  <c r="F191" i="2"/>
  <c r="G191" i="2"/>
  <c r="G192" i="2" s="1"/>
  <c r="G193" i="2" s="1"/>
  <c r="H191" i="2"/>
  <c r="H192" i="2" s="1"/>
  <c r="I191" i="2"/>
  <c r="I192" i="2" s="1"/>
  <c r="J191" i="2"/>
  <c r="J192" i="2" s="1"/>
  <c r="M191" i="2"/>
  <c r="N191" i="2"/>
  <c r="E192" i="2"/>
  <c r="F192" i="2"/>
  <c r="M192" i="2"/>
  <c r="N192" i="2"/>
  <c r="D197" i="2"/>
  <c r="D234" i="2" s="1"/>
  <c r="E197" i="2"/>
  <c r="E234" i="2" s="1"/>
  <c r="F197" i="2"/>
  <c r="G197" i="2"/>
  <c r="H197" i="2"/>
  <c r="I197" i="2"/>
  <c r="J197" i="2"/>
  <c r="M197" i="2"/>
  <c r="N197" i="2"/>
  <c r="D198" i="2"/>
  <c r="E198" i="2"/>
  <c r="F198" i="2"/>
  <c r="G198" i="2"/>
  <c r="H198" i="2"/>
  <c r="I198" i="2"/>
  <c r="J198" i="2"/>
  <c r="M198" i="2"/>
  <c r="N198" i="2"/>
  <c r="I199" i="2"/>
  <c r="J199" i="2"/>
  <c r="M199" i="2"/>
  <c r="G200" i="2"/>
  <c r="H200" i="2"/>
  <c r="I200" i="2"/>
  <c r="J200" i="2"/>
  <c r="G201" i="2"/>
  <c r="H201" i="2"/>
  <c r="H208" i="2" s="1"/>
  <c r="I201" i="2"/>
  <c r="G202" i="2"/>
  <c r="H202" i="2"/>
  <c r="H207" i="2" s="1"/>
  <c r="H209" i="2" s="1"/>
  <c r="G203" i="2"/>
  <c r="J205" i="2"/>
  <c r="J206" i="2"/>
  <c r="D215" i="2"/>
  <c r="E215" i="2"/>
  <c r="F215" i="2"/>
  <c r="D216" i="2"/>
  <c r="E216" i="2"/>
  <c r="F216" i="2"/>
  <c r="D221" i="2"/>
  <c r="E221" i="2"/>
  <c r="F221" i="2"/>
  <c r="E226" i="2"/>
  <c r="F226" i="2"/>
  <c r="D227" i="2"/>
  <c r="E227" i="2"/>
  <c r="F227" i="2"/>
  <c r="D236" i="2"/>
  <c r="E236" i="2"/>
  <c r="C240" i="2"/>
  <c r="D242" i="2"/>
  <c r="M242" i="2"/>
  <c r="C242" i="2" s="1"/>
  <c r="C243" i="2" s="1"/>
  <c r="D243" i="2"/>
  <c r="M243" i="2"/>
  <c r="D247" i="2"/>
  <c r="C252" i="2"/>
  <c r="C253" i="2"/>
  <c r="D253" i="2"/>
  <c r="D254" i="2"/>
  <c r="C255" i="2"/>
  <c r="C259" i="2" s="1"/>
  <c r="C260" i="2" s="1"/>
  <c r="E266" i="2"/>
  <c r="F266" i="2"/>
  <c r="D267" i="2"/>
  <c r="E267" i="2"/>
  <c r="E272" i="2" s="1"/>
  <c r="F267" i="2"/>
  <c r="F268" i="2" s="1"/>
  <c r="G267" i="2"/>
  <c r="G268" i="2" s="1"/>
  <c r="E268" i="2"/>
  <c r="E269" i="2" s="1"/>
  <c r="D271" i="2"/>
  <c r="C273" i="2" s="1"/>
  <c r="E271" i="2"/>
  <c r="F271" i="2"/>
  <c r="G271" i="2"/>
  <c r="F273" i="2" s="1"/>
  <c r="C272" i="2"/>
  <c r="D272" i="2"/>
  <c r="E273" i="2"/>
  <c r="D274" i="2"/>
  <c r="E274" i="2"/>
  <c r="F274" i="2"/>
  <c r="G274" i="2"/>
  <c r="C283" i="2"/>
  <c r="D291" i="2"/>
  <c r="E291" i="2"/>
  <c r="D293" i="2"/>
  <c r="E293" i="2"/>
  <c r="C311" i="2"/>
  <c r="C266" i="2" s="1"/>
  <c r="C268" i="2" s="1"/>
  <c r="D311" i="2"/>
  <c r="D266" i="2" s="1"/>
  <c r="E311" i="2"/>
  <c r="F311" i="2"/>
  <c r="G311" i="2"/>
  <c r="G266" i="2" s="1"/>
  <c r="M311" i="2"/>
  <c r="D354" i="2"/>
  <c r="D359" i="2" s="1"/>
  <c r="E354" i="2"/>
  <c r="E359" i="2" s="1"/>
  <c r="F354" i="2"/>
  <c r="F359" i="2" s="1"/>
  <c r="G354" i="2"/>
  <c r="G357" i="2" s="1"/>
  <c r="D358" i="2"/>
  <c r="E358" i="2"/>
  <c r="F358" i="2"/>
  <c r="G358" i="2"/>
  <c r="E360" i="2"/>
  <c r="G360" i="2"/>
  <c r="D372" i="2"/>
  <c r="E372" i="2"/>
  <c r="M372" i="2"/>
  <c r="D373" i="2"/>
  <c r="E373" i="2"/>
  <c r="F373" i="2"/>
  <c r="G373" i="2"/>
  <c r="H373" i="2"/>
  <c r="I373" i="2"/>
  <c r="J373" i="2"/>
  <c r="M373" i="2"/>
  <c r="D380" i="2"/>
  <c r="E380" i="2"/>
  <c r="F380" i="2"/>
  <c r="G380" i="2"/>
  <c r="F395" i="2"/>
  <c r="G395" i="2"/>
  <c r="H395" i="2"/>
  <c r="F416" i="2"/>
  <c r="G416" i="2"/>
  <c r="H416" i="2"/>
  <c r="O416" i="2"/>
  <c r="P416" i="2"/>
  <c r="Q416" i="2"/>
  <c r="D424" i="2"/>
  <c r="E424" i="2"/>
  <c r="F424" i="2"/>
  <c r="G424" i="2"/>
  <c r="H424" i="2"/>
  <c r="M424" i="2"/>
  <c r="N424" i="2"/>
  <c r="O424" i="2"/>
  <c r="P424" i="2"/>
  <c r="Q424" i="2"/>
  <c r="R424" i="2"/>
  <c r="D434" i="2"/>
  <c r="E434" i="2"/>
  <c r="F434" i="2"/>
  <c r="G434" i="2"/>
  <c r="H434" i="2"/>
  <c r="H45" i="2" s="1"/>
  <c r="I434" i="2"/>
  <c r="M434" i="2"/>
  <c r="N434" i="2"/>
  <c r="D441" i="2"/>
  <c r="D448" i="2" s="1"/>
  <c r="E441" i="2"/>
  <c r="E448" i="2" s="1"/>
  <c r="E442" i="2"/>
  <c r="D443" i="2"/>
  <c r="E443" i="2"/>
  <c r="D466" i="2"/>
  <c r="E466" i="2"/>
  <c r="D474" i="2"/>
  <c r="E474" i="2"/>
  <c r="E487" i="2"/>
  <c r="D482" i="2" s="1"/>
  <c r="F487" i="2"/>
  <c r="F495" i="2" s="1"/>
  <c r="G487" i="2"/>
  <c r="G495" i="2" s="1"/>
  <c r="H487" i="2"/>
  <c r="H495" i="2" s="1"/>
  <c r="I487" i="2"/>
  <c r="J487" i="2"/>
  <c r="O487" i="2"/>
  <c r="P487" i="2"/>
  <c r="P495" i="2" s="1"/>
  <c r="Q487" i="2"/>
  <c r="Q495" i="2" s="1"/>
  <c r="R487" i="2"/>
  <c r="R495" i="2" s="1"/>
  <c r="E494" i="2"/>
  <c r="D489" i="2" s="1"/>
  <c r="F494" i="2"/>
  <c r="G494" i="2"/>
  <c r="H494" i="2"/>
  <c r="I494" i="2"/>
  <c r="I495" i="2" s="1"/>
  <c r="J494" i="2"/>
  <c r="J495" i="2" s="1"/>
  <c r="M494" i="2"/>
  <c r="N494" i="2"/>
  <c r="O494" i="2"/>
  <c r="P494" i="2"/>
  <c r="Q494" i="2"/>
  <c r="R494" i="2"/>
  <c r="E495" i="2"/>
  <c r="O495" i="2"/>
  <c r="E504" i="2"/>
  <c r="N499" i="2" s="1"/>
  <c r="N504" i="2" s="1"/>
  <c r="N511" i="2" s="1"/>
  <c r="F504" i="2"/>
  <c r="G504" i="2"/>
  <c r="H504" i="2"/>
  <c r="I504" i="2"/>
  <c r="J504" i="2"/>
  <c r="O504" i="2"/>
  <c r="O511" i="2" s="1"/>
  <c r="P504" i="2"/>
  <c r="Q504" i="2"/>
  <c r="R504" i="2"/>
  <c r="E510" i="2"/>
  <c r="D506" i="2" s="1"/>
  <c r="D510" i="2" s="1"/>
  <c r="F510" i="2"/>
  <c r="F511" i="2" s="1"/>
  <c r="G510" i="2"/>
  <c r="G511" i="2" s="1"/>
  <c r="H510" i="2"/>
  <c r="I510" i="2"/>
  <c r="J510" i="2"/>
  <c r="M510" i="2"/>
  <c r="N510" i="2"/>
  <c r="O510" i="2"/>
  <c r="P510" i="2"/>
  <c r="P511" i="2" s="1"/>
  <c r="Q510" i="2"/>
  <c r="Q511" i="2" s="1"/>
  <c r="R510" i="2"/>
  <c r="H511" i="2"/>
  <c r="I511" i="2"/>
  <c r="J511" i="2"/>
  <c r="R511" i="2"/>
  <c r="D515" i="2"/>
  <c r="D520" i="2" s="1"/>
  <c r="N515" i="2"/>
  <c r="N520" i="2" s="1"/>
  <c r="N529" i="2" s="1"/>
  <c r="E520" i="2"/>
  <c r="F520" i="2"/>
  <c r="G520" i="2"/>
  <c r="G529" i="2" s="1"/>
  <c r="H520" i="2"/>
  <c r="H529" i="2" s="1"/>
  <c r="I520" i="2"/>
  <c r="I529" i="2" s="1"/>
  <c r="J520" i="2"/>
  <c r="J529" i="2" s="1"/>
  <c r="O520" i="2"/>
  <c r="P520" i="2"/>
  <c r="Q520" i="2"/>
  <c r="Q529" i="2" s="1"/>
  <c r="R520" i="2"/>
  <c r="R529" i="2" s="1"/>
  <c r="D522" i="2"/>
  <c r="D528" i="2" s="1"/>
  <c r="M522" i="2" s="1"/>
  <c r="E528" i="2"/>
  <c r="F528" i="2"/>
  <c r="G528" i="2"/>
  <c r="H528" i="2"/>
  <c r="I528" i="2"/>
  <c r="J528" i="2"/>
  <c r="N528" i="2"/>
  <c r="O528" i="2"/>
  <c r="P528" i="2"/>
  <c r="Q528" i="2"/>
  <c r="R528" i="2"/>
  <c r="E529" i="2"/>
  <c r="F529" i="2"/>
  <c r="O529" i="2"/>
  <c r="P529" i="2"/>
  <c r="E538" i="2"/>
  <c r="E547" i="2" s="1"/>
  <c r="F538" i="2"/>
  <c r="F547" i="2" s="1"/>
  <c r="G538" i="2"/>
  <c r="H538" i="2"/>
  <c r="I538" i="2"/>
  <c r="J538" i="2"/>
  <c r="J547" i="2" s="1"/>
  <c r="O538" i="2"/>
  <c r="O547" i="2" s="1"/>
  <c r="P538" i="2"/>
  <c r="P547" i="2" s="1"/>
  <c r="Q538" i="2"/>
  <c r="R538" i="2"/>
  <c r="S538" i="2"/>
  <c r="E546" i="2"/>
  <c r="D540" i="2" s="1"/>
  <c r="D546" i="2" s="1"/>
  <c r="F546" i="2"/>
  <c r="G546" i="2"/>
  <c r="G547" i="2" s="1"/>
  <c r="H546" i="2"/>
  <c r="I546" i="2"/>
  <c r="J546" i="2"/>
  <c r="M546" i="2"/>
  <c r="N546" i="2"/>
  <c r="O546" i="2"/>
  <c r="P546" i="2"/>
  <c r="Q546" i="2"/>
  <c r="Q547" i="2" s="1"/>
  <c r="R546" i="2"/>
  <c r="S546" i="2"/>
  <c r="H547" i="2"/>
  <c r="I547" i="2"/>
  <c r="R547" i="2"/>
  <c r="S547" i="2"/>
  <c r="E556" i="2"/>
  <c r="E225" i="2" s="1"/>
  <c r="G556" i="2"/>
  <c r="G565" i="2" s="1"/>
  <c r="H556" i="2"/>
  <c r="H565" i="2" s="1"/>
  <c r="I556" i="2"/>
  <c r="I565" i="2" s="1"/>
  <c r="J556" i="2"/>
  <c r="O556" i="2"/>
  <c r="E564" i="2"/>
  <c r="D558" i="2" s="1"/>
  <c r="D564" i="2" s="1"/>
  <c r="G564" i="2"/>
  <c r="H564" i="2"/>
  <c r="I564" i="2"/>
  <c r="J564" i="2"/>
  <c r="J565" i="2" s="1"/>
  <c r="M564" i="2"/>
  <c r="N564" i="2"/>
  <c r="O564" i="2"/>
  <c r="E565" i="2"/>
  <c r="O565" i="2"/>
  <c r="E572" i="2"/>
  <c r="F572" i="2"/>
  <c r="D573" i="2"/>
  <c r="E573" i="2"/>
  <c r="E577" i="2" s="1"/>
  <c r="F573" i="2"/>
  <c r="F577" i="2" s="1"/>
  <c r="M573" i="2"/>
  <c r="N573" i="2"/>
  <c r="D574" i="2"/>
  <c r="E574" i="2"/>
  <c r="F574" i="2"/>
  <c r="M574" i="2"/>
  <c r="N574" i="2"/>
  <c r="D575" i="2"/>
  <c r="E575" i="2"/>
  <c r="F575" i="2"/>
  <c r="M575" i="2"/>
  <c r="N575" i="2"/>
  <c r="D576" i="2"/>
  <c r="E576" i="2"/>
  <c r="F576" i="2"/>
  <c r="M576" i="2"/>
  <c r="N576" i="2"/>
  <c r="G577" i="2"/>
  <c r="H577" i="2"/>
  <c r="I577" i="2"/>
  <c r="I586" i="2" s="1"/>
  <c r="J577" i="2"/>
  <c r="O577" i="2"/>
  <c r="P577" i="2"/>
  <c r="Q577" i="2"/>
  <c r="R577" i="2"/>
  <c r="E579" i="2"/>
  <c r="F579" i="2"/>
  <c r="F585" i="2" s="1"/>
  <c r="N579" i="2"/>
  <c r="D580" i="2"/>
  <c r="E580" i="2"/>
  <c r="F580" i="2"/>
  <c r="G580" i="2"/>
  <c r="G585" i="2" s="1"/>
  <c r="G586" i="2" s="1"/>
  <c r="H580" i="2"/>
  <c r="H585" i="2" s="1"/>
  <c r="H586" i="2" s="1"/>
  <c r="I580" i="2"/>
  <c r="I585" i="2" s="1"/>
  <c r="J580" i="2"/>
  <c r="L580" i="2"/>
  <c r="M580" i="2"/>
  <c r="N580" i="2"/>
  <c r="O580" i="2"/>
  <c r="P580" i="2"/>
  <c r="P585" i="2" s="1"/>
  <c r="P586" i="2" s="1"/>
  <c r="Q580" i="2"/>
  <c r="Q585" i="2" s="1"/>
  <c r="R580" i="2"/>
  <c r="R585" i="2" s="1"/>
  <c r="R586" i="2" s="1"/>
  <c r="D581" i="2"/>
  <c r="E581" i="2"/>
  <c r="F581" i="2"/>
  <c r="G581" i="2"/>
  <c r="H581" i="2"/>
  <c r="I581" i="2"/>
  <c r="J581" i="2"/>
  <c r="J585" i="2" s="1"/>
  <c r="L581" i="2"/>
  <c r="M581" i="2"/>
  <c r="N581" i="2"/>
  <c r="O581" i="2"/>
  <c r="P581" i="2"/>
  <c r="Q581" i="2"/>
  <c r="R581" i="2"/>
  <c r="D582" i="2"/>
  <c r="E582" i="2"/>
  <c r="F582" i="2"/>
  <c r="G582" i="2"/>
  <c r="H582" i="2"/>
  <c r="I582" i="2"/>
  <c r="J582" i="2"/>
  <c r="L582" i="2"/>
  <c r="M582" i="2"/>
  <c r="N582" i="2"/>
  <c r="O582" i="2"/>
  <c r="P582" i="2"/>
  <c r="Q582" i="2"/>
  <c r="R582" i="2"/>
  <c r="D583" i="2"/>
  <c r="E583" i="2"/>
  <c r="F583" i="2"/>
  <c r="M583" i="2"/>
  <c r="N583" i="2"/>
  <c r="D584" i="2"/>
  <c r="E584" i="2"/>
  <c r="F584" i="2"/>
  <c r="M584" i="2"/>
  <c r="N584" i="2"/>
  <c r="N585" i="2"/>
  <c r="O585" i="2"/>
  <c r="O586" i="2" s="1"/>
  <c r="Q586" i="2"/>
  <c r="E595" i="2"/>
  <c r="D591" i="2" s="1"/>
  <c r="D595" i="2" s="1"/>
  <c r="F595" i="2"/>
  <c r="F604" i="2" s="1"/>
  <c r="G595" i="2"/>
  <c r="G604" i="2" s="1"/>
  <c r="H595" i="2"/>
  <c r="H604" i="2" s="1"/>
  <c r="I595" i="2"/>
  <c r="I604" i="2" s="1"/>
  <c r="J595" i="2"/>
  <c r="J604" i="2" s="1"/>
  <c r="E602" i="2"/>
  <c r="D598" i="2" s="1"/>
  <c r="D602" i="2" s="1"/>
  <c r="F602" i="2"/>
  <c r="G602" i="2"/>
  <c r="H602" i="2"/>
  <c r="I602" i="2"/>
  <c r="J602" i="2"/>
  <c r="D614" i="2"/>
  <c r="E614" i="2"/>
  <c r="F614" i="2"/>
  <c r="G614" i="2"/>
  <c r="H614" i="2"/>
  <c r="M614" i="2"/>
  <c r="N614" i="2"/>
  <c r="D626" i="2"/>
  <c r="D290" i="2" s="1"/>
  <c r="D292" i="2" s="1"/>
  <c r="D294" i="2" s="1"/>
  <c r="D295" i="2" s="1"/>
  <c r="D296" i="2" s="1"/>
  <c r="E626" i="2"/>
  <c r="E290" i="2" s="1"/>
  <c r="E292" i="2" s="1"/>
  <c r="E294" i="2" s="1"/>
  <c r="E295" i="2" s="1"/>
  <c r="E296" i="2" s="1"/>
  <c r="F626" i="2"/>
  <c r="G626" i="2"/>
  <c r="H626" i="2"/>
  <c r="D634" i="2"/>
  <c r="E634" i="2"/>
  <c r="F634" i="2"/>
  <c r="G634" i="2"/>
  <c r="H634" i="2"/>
  <c r="D643" i="2"/>
  <c r="E643" i="2"/>
  <c r="F643" i="2"/>
  <c r="G643" i="2"/>
  <c r="H643" i="2"/>
  <c r="D653" i="2"/>
  <c r="E653" i="2"/>
  <c r="F653" i="2"/>
  <c r="G653" i="2"/>
  <c r="H653" i="2"/>
  <c r="M653" i="2"/>
  <c r="N653" i="2"/>
  <c r="D665" i="2"/>
  <c r="E665" i="2"/>
  <c r="F665" i="2"/>
  <c r="G665" i="2"/>
  <c r="H665" i="2"/>
  <c r="I665" i="2"/>
  <c r="J665" i="2"/>
  <c r="D676" i="2"/>
  <c r="E676" i="2"/>
  <c r="D684" i="2"/>
  <c r="D688" i="2" s="1"/>
  <c r="F684" i="2"/>
  <c r="F688" i="2" s="1"/>
  <c r="G684" i="2"/>
  <c r="G688" i="2" s="1"/>
  <c r="E688" i="2"/>
  <c r="H688" i="2"/>
  <c r="D709" i="2"/>
  <c r="D719" i="2"/>
  <c r="E719" i="2"/>
  <c r="E725" i="2" s="1"/>
  <c r="D723" i="2"/>
  <c r="E723" i="2"/>
  <c r="D752" i="2"/>
  <c r="E752" i="2"/>
  <c r="F752" i="2"/>
  <c r="G752" i="2"/>
  <c r="G777" i="2" s="1"/>
  <c r="H752" i="2"/>
  <c r="D758" i="2"/>
  <c r="E758" i="2"/>
  <c r="F758" i="2"/>
  <c r="G758" i="2"/>
  <c r="H758" i="2"/>
  <c r="D764" i="2"/>
  <c r="E764" i="2"/>
  <c r="E777" i="2" s="1"/>
  <c r="F764" i="2"/>
  <c r="G764" i="2"/>
  <c r="H764" i="2"/>
  <c r="D770" i="2"/>
  <c r="E770" i="2"/>
  <c r="G770" i="2"/>
  <c r="H770" i="2"/>
  <c r="H777" i="2" s="1"/>
  <c r="D775" i="2"/>
  <c r="D777" i="2" s="1"/>
  <c r="E775" i="2"/>
  <c r="F775" i="2"/>
  <c r="G775" i="2"/>
  <c r="H775" i="2"/>
  <c r="G812" i="2"/>
  <c r="H812" i="2" s="1"/>
  <c r="G813" i="2"/>
  <c r="H813" i="2" s="1"/>
  <c r="G814" i="2"/>
  <c r="H814" i="2"/>
  <c r="G815" i="2"/>
  <c r="H815" i="2" s="1"/>
  <c r="C836" i="2" s="1"/>
  <c r="C851" i="2" s="1"/>
  <c r="G816" i="2"/>
  <c r="H816" i="2" s="1"/>
  <c r="G817" i="2"/>
  <c r="H817" i="2"/>
  <c r="G818" i="2"/>
  <c r="H818" i="2"/>
  <c r="G819" i="2"/>
  <c r="H819" i="2"/>
  <c r="G820" i="2"/>
  <c r="H820" i="2" s="1"/>
  <c r="G821" i="2"/>
  <c r="H821" i="2" s="1"/>
  <c r="G822" i="2"/>
  <c r="H822" i="2"/>
  <c r="G823" i="2"/>
  <c r="H823" i="2"/>
  <c r="G824" i="2"/>
  <c r="H824" i="2"/>
  <c r="G825" i="2"/>
  <c r="H825" i="2"/>
  <c r="G826" i="2"/>
  <c r="H826" i="2"/>
  <c r="G827" i="2"/>
  <c r="H827" i="2"/>
  <c r="G828" i="2"/>
  <c r="H828" i="2"/>
  <c r="G829" i="2"/>
  <c r="H829" i="2" s="1"/>
  <c r="G830" i="2"/>
  <c r="H830" i="2"/>
  <c r="C831" i="2"/>
  <c r="D831" i="2"/>
  <c r="E831" i="2"/>
  <c r="G831" i="2" s="1"/>
  <c r="F831" i="2"/>
  <c r="H833" i="2"/>
  <c r="C837" i="2"/>
  <c r="C840" i="2"/>
  <c r="C846" i="2" s="1"/>
  <c r="C848" i="2" s="1"/>
  <c r="C841" i="2"/>
  <c r="C842" i="2"/>
  <c r="C844" i="2"/>
  <c r="C845" i="2"/>
  <c r="C849" i="2"/>
  <c r="C867" i="2"/>
  <c r="C868" i="2"/>
  <c r="E890" i="2"/>
  <c r="E891" i="2"/>
  <c r="E892" i="2"/>
  <c r="E894" i="2"/>
  <c r="E895" i="2"/>
  <c r="E896" i="2"/>
  <c r="E897" i="2"/>
  <c r="E898" i="2"/>
  <c r="E899" i="2"/>
  <c r="E900" i="2"/>
  <c r="E585" i="2" l="1"/>
  <c r="E586" i="2" s="1"/>
  <c r="F269" i="2"/>
  <c r="F270" i="2"/>
  <c r="M194" i="2"/>
  <c r="M193" i="2"/>
  <c r="H831" i="2"/>
  <c r="M174" i="2"/>
  <c r="M175" i="2"/>
  <c r="I176" i="2"/>
  <c r="I95" i="2"/>
  <c r="I241" i="2" s="1"/>
  <c r="J174" i="2"/>
  <c r="J175" i="2"/>
  <c r="E95" i="2"/>
  <c r="E176" i="2"/>
  <c r="F163" i="2"/>
  <c r="F202" i="2"/>
  <c r="F204" i="2"/>
  <c r="F206" i="2"/>
  <c r="F30" i="2"/>
  <c r="F201" i="2"/>
  <c r="F203" i="2"/>
  <c r="F205" i="2"/>
  <c r="F25" i="2"/>
  <c r="H193" i="2"/>
  <c r="H194" i="2"/>
  <c r="D604" i="2"/>
  <c r="D226" i="2"/>
  <c r="J586" i="2"/>
  <c r="I208" i="2"/>
  <c r="I174" i="2"/>
  <c r="I178" i="2"/>
  <c r="I175" i="2"/>
  <c r="D579" i="2"/>
  <c r="D585" i="2" s="1"/>
  <c r="D494" i="2"/>
  <c r="E194" i="2"/>
  <c r="E193" i="2"/>
  <c r="H178" i="2"/>
  <c r="J177" i="2"/>
  <c r="M515" i="2"/>
  <c r="M520" i="2" s="1"/>
  <c r="M529" i="2" s="1"/>
  <c r="D529" i="2"/>
  <c r="G208" i="2"/>
  <c r="G210" i="2" s="1"/>
  <c r="M203" i="2"/>
  <c r="M205" i="2"/>
  <c r="M163" i="2"/>
  <c r="M204" i="2"/>
  <c r="M202" i="2"/>
  <c r="M206" i="2"/>
  <c r="M201" i="2"/>
  <c r="M30" i="2"/>
  <c r="F193" i="2"/>
  <c r="F194" i="2"/>
  <c r="D487" i="2"/>
  <c r="I210" i="2"/>
  <c r="N174" i="2"/>
  <c r="N241" i="2"/>
  <c r="N194" i="2"/>
  <c r="N193" i="2"/>
  <c r="F586" i="2"/>
  <c r="F224" i="2"/>
  <c r="F228" i="2" s="1"/>
  <c r="E224" i="2"/>
  <c r="M579" i="2"/>
  <c r="M585" i="2" s="1"/>
  <c r="M528" i="2"/>
  <c r="F175" i="2"/>
  <c r="D268" i="2"/>
  <c r="C281" i="2"/>
  <c r="C280" i="2" s="1"/>
  <c r="C285" i="2" s="1"/>
  <c r="E175" i="2"/>
  <c r="R95" i="2"/>
  <c r="R241" i="2" s="1"/>
  <c r="Q35" i="2"/>
  <c r="H210" i="2"/>
  <c r="C287" i="2"/>
  <c r="C269" i="2"/>
  <c r="C247" i="2"/>
  <c r="Q95" i="2"/>
  <c r="Q241" i="2" s="1"/>
  <c r="O30" i="2"/>
  <c r="O25" i="2"/>
  <c r="O163" i="2"/>
  <c r="N551" i="2"/>
  <c r="N556" i="2" s="1"/>
  <c r="N565" i="2" s="1"/>
  <c r="D533" i="2"/>
  <c r="D538" i="2" s="1"/>
  <c r="F357" i="2"/>
  <c r="H205" i="2"/>
  <c r="J203" i="2"/>
  <c r="E200" i="2"/>
  <c r="J172" i="2"/>
  <c r="N170" i="2"/>
  <c r="R111" i="2"/>
  <c r="R133" i="2" s="1"/>
  <c r="R153" i="2" s="1"/>
  <c r="R156" i="2" s="1"/>
  <c r="D95" i="2"/>
  <c r="G25" i="2"/>
  <c r="O19" i="2"/>
  <c r="E361" i="2"/>
  <c r="E357" i="2"/>
  <c r="E362" i="2" s="1"/>
  <c r="G205" i="2"/>
  <c r="I203" i="2"/>
  <c r="M181" i="2"/>
  <c r="M170" i="2"/>
  <c r="G164" i="2"/>
  <c r="Q111" i="2"/>
  <c r="Q133" i="2" s="1"/>
  <c r="Q153" i="2" s="1"/>
  <c r="Q156" i="2" s="1"/>
  <c r="G74" i="2"/>
  <c r="G175" i="2" s="1"/>
  <c r="D24" i="2"/>
  <c r="N19" i="2"/>
  <c r="N482" i="2"/>
  <c r="F361" i="2"/>
  <c r="H164" i="2"/>
  <c r="H74" i="2"/>
  <c r="H175" i="2" s="1"/>
  <c r="Q31" i="2"/>
  <c r="E24" i="2"/>
  <c r="D551" i="2"/>
  <c r="D556" i="2" s="1"/>
  <c r="D361" i="2"/>
  <c r="D357" i="2"/>
  <c r="D362" i="2" s="1"/>
  <c r="E270" i="2"/>
  <c r="D248" i="2"/>
  <c r="H203" i="2"/>
  <c r="J201" i="2"/>
  <c r="J181" i="2"/>
  <c r="F74" i="2"/>
  <c r="R34" i="2"/>
  <c r="J30" i="2"/>
  <c r="M19" i="2"/>
  <c r="F360" i="2"/>
  <c r="G153" i="2"/>
  <c r="G156" i="2" s="1"/>
  <c r="I31" i="2"/>
  <c r="D360" i="2"/>
  <c r="D273" i="2"/>
  <c r="I206" i="2"/>
  <c r="H177" i="2"/>
  <c r="G47" i="2"/>
  <c r="G48" i="2" s="1"/>
  <c r="G207" i="2" s="1"/>
  <c r="G209" i="2" s="1"/>
  <c r="D499" i="2"/>
  <c r="D504" i="2" s="1"/>
  <c r="G359" i="2"/>
  <c r="G362" i="2" s="1"/>
  <c r="H206" i="2"/>
  <c r="J204" i="2"/>
  <c r="G199" i="2"/>
  <c r="J184" i="2"/>
  <c r="E181" i="2"/>
  <c r="G177" i="2"/>
  <c r="J173" i="2"/>
  <c r="M162" i="2"/>
  <c r="Q163" i="2"/>
  <c r="G44" i="2"/>
  <c r="E511" i="2"/>
  <c r="G272" i="2"/>
  <c r="G206" i="2"/>
  <c r="I204" i="2"/>
  <c r="J193" i="2"/>
  <c r="I184" i="2"/>
  <c r="D181" i="2"/>
  <c r="I173" i="2"/>
  <c r="N24" i="2"/>
  <c r="D194" i="2"/>
  <c r="P24" i="2"/>
  <c r="F19" i="2"/>
  <c r="E604" i="2"/>
  <c r="F272" i="2"/>
  <c r="H204" i="2"/>
  <c r="H184" i="2"/>
  <c r="J182" i="2"/>
  <c r="Q164" i="2"/>
  <c r="I202" i="2"/>
  <c r="I182" i="2"/>
  <c r="I34" i="2"/>
  <c r="N533" i="2"/>
  <c r="N538" i="2" s="1"/>
  <c r="N547" i="2" s="1"/>
  <c r="G45" i="2"/>
  <c r="I25" i="2"/>
  <c r="G361" i="2"/>
  <c r="E202" i="2" l="1"/>
  <c r="E204" i="2"/>
  <c r="E206" i="2"/>
  <c r="E203" i="2"/>
  <c r="E30" i="2"/>
  <c r="E201" i="2"/>
  <c r="E205" i="2"/>
  <c r="E25" i="2"/>
  <c r="E163" i="2"/>
  <c r="P30" i="2"/>
  <c r="O31" i="2" s="1"/>
  <c r="P25" i="2"/>
  <c r="P163" i="2"/>
  <c r="D269" i="2"/>
  <c r="D270" i="2"/>
  <c r="N30" i="2"/>
  <c r="N203" i="2"/>
  <c r="N25" i="2"/>
  <c r="N205" i="2"/>
  <c r="N204" i="2"/>
  <c r="N163" i="2"/>
  <c r="N202" i="2"/>
  <c r="N206" i="2"/>
  <c r="N201" i="2"/>
  <c r="J164" i="2"/>
  <c r="J34" i="2"/>
  <c r="J111" i="2"/>
  <c r="J133" i="2" s="1"/>
  <c r="J47" i="2"/>
  <c r="J48" i="2" s="1"/>
  <c r="J207" i="2" s="1"/>
  <c r="J209" i="2" s="1"/>
  <c r="D174" i="2"/>
  <c r="D241" i="2"/>
  <c r="D256" i="2" s="1"/>
  <c r="M164" i="2"/>
  <c r="M111" i="2"/>
  <c r="M133" i="2" s="1"/>
  <c r="M34" i="2"/>
  <c r="M31" i="2"/>
  <c r="M47" i="2"/>
  <c r="M48" i="2" s="1"/>
  <c r="M211" i="2" s="1"/>
  <c r="M212" i="2" s="1"/>
  <c r="D572" i="2"/>
  <c r="D577" i="2" s="1"/>
  <c r="F177" i="2"/>
  <c r="F214" i="2"/>
  <c r="F217" i="2" s="1"/>
  <c r="D225" i="2"/>
  <c r="M551" i="2"/>
  <c r="M556" i="2" s="1"/>
  <c r="M565" i="2" s="1"/>
  <c r="D565" i="2"/>
  <c r="D495" i="2"/>
  <c r="M482" i="2"/>
  <c r="O164" i="2"/>
  <c r="O34" i="2"/>
  <c r="O111" i="2"/>
  <c r="O133" i="2" s="1"/>
  <c r="O153" i="2" s="1"/>
  <c r="O156" i="2" s="1"/>
  <c r="O47" i="2"/>
  <c r="O48" i="2" s="1"/>
  <c r="E241" i="2"/>
  <c r="E174" i="2"/>
  <c r="H176" i="2"/>
  <c r="H95" i="2"/>
  <c r="R165" i="2"/>
  <c r="R42" i="2"/>
  <c r="N572" i="2"/>
  <c r="N577" i="2" s="1"/>
  <c r="N586" i="2" s="1"/>
  <c r="N487" i="2"/>
  <c r="N495" i="2" s="1"/>
  <c r="C270" i="2"/>
  <c r="F95" i="2"/>
  <c r="F176" i="2"/>
  <c r="E228" i="2"/>
  <c r="E235" i="2"/>
  <c r="H35" i="2"/>
  <c r="I35" i="2"/>
  <c r="I45" i="2"/>
  <c r="I44" i="2"/>
  <c r="I165" i="2"/>
  <c r="I42" i="2"/>
  <c r="D202" i="2"/>
  <c r="D204" i="2"/>
  <c r="D206" i="2"/>
  <c r="K24" i="2"/>
  <c r="D203" i="2"/>
  <c r="D30" i="2"/>
  <c r="D201" i="2"/>
  <c r="D205" i="2"/>
  <c r="D25" i="2"/>
  <c r="D163" i="2"/>
  <c r="M177" i="2"/>
  <c r="G176" i="2"/>
  <c r="G95" i="2"/>
  <c r="I207" i="2"/>
  <c r="I209" i="2" s="1"/>
  <c r="I177" i="2"/>
  <c r="D511" i="2"/>
  <c r="M499" i="2"/>
  <c r="M504" i="2" s="1"/>
  <c r="M511" i="2" s="1"/>
  <c r="J208" i="2"/>
  <c r="J210" i="2" s="1"/>
  <c r="F362" i="2"/>
  <c r="M25" i="2"/>
  <c r="F34" i="2"/>
  <c r="F31" i="2"/>
  <c r="F47" i="2"/>
  <c r="F164" i="2"/>
  <c r="M533" i="2"/>
  <c r="M538" i="2" s="1"/>
  <c r="M547" i="2" s="1"/>
  <c r="D547" i="2"/>
  <c r="N208" i="2" l="1"/>
  <c r="N210" i="2" s="1"/>
  <c r="F220" i="2"/>
  <c r="F222" i="2" s="1"/>
  <c r="F230" i="2" s="1"/>
  <c r="D224" i="2"/>
  <c r="D586" i="2"/>
  <c r="G241" i="2"/>
  <c r="G174" i="2"/>
  <c r="E214" i="2"/>
  <c r="E217" i="2" s="1"/>
  <c r="E177" i="2"/>
  <c r="M42" i="2"/>
  <c r="M45" i="2"/>
  <c r="M44" i="2"/>
  <c r="M165" i="2"/>
  <c r="F48" i="2"/>
  <c r="F218" i="2"/>
  <c r="F219" i="2" s="1"/>
  <c r="M207" i="2"/>
  <c r="M178" i="2"/>
  <c r="M153" i="2"/>
  <c r="M156" i="2" s="1"/>
  <c r="N164" i="2"/>
  <c r="N34" i="2"/>
  <c r="M35" i="2" s="1"/>
  <c r="N111" i="2"/>
  <c r="N133" i="2" s="1"/>
  <c r="N31" i="2"/>
  <c r="N47" i="2"/>
  <c r="N48" i="2" s="1"/>
  <c r="N211" i="2" s="1"/>
  <c r="N212" i="2" s="1"/>
  <c r="E34" i="2"/>
  <c r="E31" i="2"/>
  <c r="E47" i="2"/>
  <c r="E164" i="2"/>
  <c r="H241" i="2"/>
  <c r="H174" i="2"/>
  <c r="O165" i="2"/>
  <c r="O42" i="2"/>
  <c r="O35" i="2"/>
  <c r="F241" i="2"/>
  <c r="F174" i="2"/>
  <c r="M487" i="2"/>
  <c r="M495" i="2" s="1"/>
  <c r="M572" i="2"/>
  <c r="M577" i="2" s="1"/>
  <c r="M586" i="2" s="1"/>
  <c r="D246" i="2"/>
  <c r="D177" i="2"/>
  <c r="D214" i="2"/>
  <c r="D217" i="2" s="1"/>
  <c r="D245" i="2"/>
  <c r="N207" i="2"/>
  <c r="N209" i="2" s="1"/>
  <c r="N177" i="2"/>
  <c r="F35" i="2"/>
  <c r="F45" i="2"/>
  <c r="F44" i="2"/>
  <c r="F165" i="2"/>
  <c r="F42" i="2"/>
  <c r="D34" i="2"/>
  <c r="D31" i="2"/>
  <c r="D47" i="2"/>
  <c r="D164" i="2"/>
  <c r="K30" i="2"/>
  <c r="M208" i="2"/>
  <c r="M210" i="2" s="1"/>
  <c r="J178" i="2"/>
  <c r="J153" i="2"/>
  <c r="J156" i="2" s="1"/>
  <c r="P47" i="2"/>
  <c r="P48" i="2" s="1"/>
  <c r="P164" i="2"/>
  <c r="P34" i="2"/>
  <c r="P111" i="2"/>
  <c r="P133" i="2" s="1"/>
  <c r="P153" i="2" s="1"/>
  <c r="P156" i="2" s="1"/>
  <c r="P31" i="2"/>
  <c r="J42" i="2"/>
  <c r="J165" i="2"/>
  <c r="D235" i="2" l="1"/>
  <c r="D228" i="2"/>
  <c r="M209" i="2"/>
  <c r="M244" i="2"/>
  <c r="P165" i="2"/>
  <c r="P42" i="2"/>
  <c r="P35" i="2"/>
  <c r="F208" i="2"/>
  <c r="F210" i="2" s="1"/>
  <c r="F207" i="2"/>
  <c r="F209" i="2" s="1"/>
  <c r="D44" i="2"/>
  <c r="D42" i="2"/>
  <c r="K34" i="2"/>
  <c r="D165" i="2"/>
  <c r="D35" i="2"/>
  <c r="D45" i="2"/>
  <c r="E48" i="2"/>
  <c r="E218" i="2"/>
  <c r="E219" i="2" s="1"/>
  <c r="E220" i="2" s="1"/>
  <c r="E222" i="2" s="1"/>
  <c r="E230" i="2" s="1"/>
  <c r="D220" i="2"/>
  <c r="D222" i="2" s="1"/>
  <c r="D230" i="2" s="1"/>
  <c r="E44" i="2"/>
  <c r="E165" i="2"/>
  <c r="E42" i="2"/>
  <c r="E35" i="2"/>
  <c r="E45" i="2"/>
  <c r="D48" i="2"/>
  <c r="D218" i="2"/>
  <c r="D219" i="2" s="1"/>
  <c r="N165" i="2"/>
  <c r="N42" i="2"/>
  <c r="N35" i="2"/>
  <c r="N45" i="2"/>
  <c r="N44" i="2"/>
  <c r="N178" i="2"/>
  <c r="N153" i="2"/>
  <c r="N156" i="2" s="1"/>
  <c r="E211" i="2" l="1"/>
  <c r="E212" i="2" s="1"/>
  <c r="E208" i="2"/>
  <c r="E210" i="2" s="1"/>
  <c r="E207" i="2"/>
  <c r="D257" i="2"/>
  <c r="D261" i="2"/>
  <c r="D49" i="2"/>
  <c r="D211" i="2"/>
  <c r="D212" i="2" s="1"/>
  <c r="D207" i="2"/>
  <c r="D208" i="2"/>
  <c r="D210" i="2" s="1"/>
  <c r="E233" i="2" l="1"/>
  <c r="E237" i="2" s="1"/>
  <c r="E209" i="2"/>
  <c r="D233" i="2"/>
  <c r="D237" i="2" s="1"/>
  <c r="D209" i="2"/>
  <c r="C244" i="2"/>
  <c r="D244" i="2"/>
  <c r="F770" i="2"/>
  <c r="E458" i="2"/>
  <c r="D45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3" authorId="0" shapeId="0" xr:uid="{89564C07-DAF3-44F3-8C62-2876A1595A1B}">
      <text>
        <r>
          <rPr>
            <b/>
            <sz val="9"/>
            <color indexed="81"/>
            <rFont val="Tahoma"/>
            <family val="2"/>
          </rPr>
          <t>Author:</t>
        </r>
        <r>
          <rPr>
            <sz val="9"/>
            <color indexed="81"/>
            <rFont val="Tahoma"/>
            <family val="2"/>
          </rPr>
          <t xml:space="preserve">
</t>
        </r>
        <r>
          <rPr>
            <b/>
            <u/>
            <sz val="9"/>
            <color indexed="81"/>
            <rFont val="Tahoma"/>
            <family val="2"/>
          </rPr>
          <t>HOTC Pre-lims 2021:</t>
        </r>
        <r>
          <rPr>
            <sz val="9"/>
            <color indexed="81"/>
            <rFont val="Tahoma"/>
            <family val="2"/>
          </rPr>
          <t xml:space="preserve">
Financial Overview:
- Operating expenses increased by 19%, due to deliberate growth investments and temporarily due to the blend of fixed costs for stores that were closed or disrupted for almost six months combined with additional variable costs due to strong digital growth
</t>
        </r>
        <r>
          <rPr>
            <b/>
            <u/>
            <sz val="9"/>
            <color indexed="81"/>
            <rFont val="Tahoma"/>
            <family val="2"/>
          </rPr>
          <t>Sales Review</t>
        </r>
        <r>
          <rPr>
            <sz val="9"/>
            <color indexed="81"/>
            <rFont val="Tahoma"/>
            <family val="2"/>
          </rPr>
          <t xml:space="preserve">
- UK: In FY21, our stores were closed or disrupted for almost six months. Historically stores were the largest channel by sales and profit value. Encouragingly, in the period since retail stores began re-opening on 12 April, we have seen growth accelerate, validating our belief in a multi-channel model as the best route to maximise customer lifetime value and shareholder returns.
- USA: we achieved overall sales growth of 36%1 , despite store sales falling 41%. The fulfilment partnership with The Hut Group means that we have a scaleable growth model that is capex-light with a cost base that is directly variable with sales volume, whilst we retain direct control of the brand, the customer base and the strategy.
- JAPAN: our joint venture partner opened a further 16 stores in FY21 bringing the total to 22. In Japan online sales penetration in general remains lower than the UK and USA, and malls remain vibrant as leisure destinations. The variable rent partnership model between tenant and landlord is a blueprint for other markets. Whilst Japan has not experienced mandatory lockdowns, a rolling programme of regional restrictions is ongoing, resulting in temporarily reduced footfall and sales per store. We remain confident in the longerterm prospects because our latest lifestyle store formats and product range are proving successful in carving out a differentiated brand identity in this huge and competitive market. VIP Me loyalty attachment is already approaching 50% of new store customers in Japan, delivering the benefits of a direct conversation that we have seen work so well in the UK.
</t>
        </r>
        <r>
          <rPr>
            <b/>
            <u/>
            <sz val="9"/>
            <color indexed="81"/>
            <rFont val="Tahoma"/>
            <family val="2"/>
          </rPr>
          <t>Brand Review:</t>
        </r>
        <r>
          <rPr>
            <sz val="9"/>
            <color indexed="81"/>
            <rFont val="Tahoma"/>
            <family val="2"/>
          </rPr>
          <t xml:space="preserve">
- We offer a slick and reliable delivered gift service. In the Period every one of our online metrics improved, from consideration and traffic, to conversion, average order value and frequency. Our store teams can help customers select the perfect gifts to hand over in person, whether for a family event or calendar cultural celebration. 
- In the year we launched much improved ranges for Valentine’s and White Day, the two largest gift events in Japan, which combined are larger gift events than Christmas in the UK. We also further extended our offer for Eid in the UK, thanks to the invaluable input of our team.
- IN-HOME = The success of the Velvetiser is supplemented by our cacao-alcohol range and our new range of coffees, available as whole beans or pods that can be recycled at home with our Podcycler device. This winter we will be launching a range of coffee machines in partnership with Dualit that complement the Velvetiser on the counter-top.
- LEISURE = Whether an impulsive pop-in visit to one of our stores or a planned trip to a café with friends or family, our stores offer something for everyone. Our self-purchase leisure business historically generated approximately half of our revenues. This part of the business was the most affected by the lengthy closure of stores in the UK. Since re-opening in April, performance has been strong.
</t>
        </r>
        <r>
          <rPr>
            <b/>
            <u/>
            <sz val="9"/>
            <color indexed="81"/>
            <rFont val="Tahoma"/>
            <family val="2"/>
          </rPr>
          <t xml:space="preserve"> SIX BUSINESS GROWTH DRIVERS </t>
        </r>
        <r>
          <rPr>
            <sz val="9"/>
            <color indexed="81"/>
            <rFont val="Tahoma"/>
            <family val="2"/>
          </rPr>
          <t xml:space="preserve">
Two years ago we activated additional growth levers to change the shape of the business. These six drivers are on track: 
- VELVETISER = The Velvetiser makes delicious hot chocolate with no fuss and no mess, with a range of 20 recipes, and more coming this autumn. Supported by subscriptions the continuity model results in very engaged customers, with higher frequency and materially higher lifetime value. 
- LOYALTY = Customer connection is a key element of our physical retail model. The VIP Me scheme was invaluable during lockdown and will continue to underpin our brand building. 
- DIGITAL = Our online channel offers the perfect solution for delivered gifts, whether for family celebrations or seasonal cultural events. 
- USA = Digital-led, supported by four stores. The Velvetiser provides the brand introduction with attractive lifetime value, supported by the opportunity to cross-sell the full chocolate seasonal gifting range. 
- GLOBAL WHOLESALE = Working with carefully selected digital partners to extend brand reach and convenience, each partner has a capsule range tailored to the needs of the customer profile. The Velvetiser and cacao-alcohols are key product categories, supported by supply partnerships they provide attractive returns and capex-light growth. 
- JAPAN JV Physical retail predominates in Japan. Due to cultural factors, population density and climate, malls remain vibrant and landlords continue to open new malls. Our lifestyle format is differentiated and proving popular both with customers and landlords.
</t>
        </r>
        <r>
          <rPr>
            <b/>
            <u/>
            <sz val="9"/>
            <color indexed="81"/>
            <rFont val="Tahoma"/>
            <family val="2"/>
          </rPr>
          <t>Operational Overview:</t>
        </r>
        <r>
          <rPr>
            <sz val="9"/>
            <color indexed="81"/>
            <rFont val="Tahoma"/>
            <family val="2"/>
          </rPr>
          <t xml:space="preserve">
- Expanding the distribution centre, from 100,000 to 200,000 sq ft to accommodate increased online despatch capacity ahead of the FY21 peak season.
- Extending the UK factory from 45,000 to 80,000+ sq ft in order to install a fourth truffle-making line, a second Velvetiser refill line which more than triples capacity, and a new bean-to-bar facility for super-premium single origin chocolates and vegan Nutmilk chocolate. All of the new capacity will be commissioned this winter.
July 2021 
- raised a further £40m in equity to fund the next phase of expansion to provide the capacity to support the six fast-growth drivers: extend factory over next 3 years from 80K to 160K. Once installed should support 500m in revenues. 
</t>
        </r>
      </text>
    </comment>
    <comment ref="D55" authorId="0" shapeId="0" xr:uid="{A09F0CB1-E3BF-4309-81D5-D6EADB73F617}">
      <text>
        <r>
          <rPr>
            <b/>
            <sz val="9"/>
            <color indexed="81"/>
            <rFont val="Tahoma"/>
            <family val="2"/>
          </rPr>
          <t>Author:</t>
        </r>
        <r>
          <rPr>
            <sz val="9"/>
            <color indexed="81"/>
            <rFont val="Tahoma"/>
            <family val="2"/>
          </rPr>
          <t xml:space="preserve">
</t>
        </r>
        <r>
          <rPr>
            <b/>
            <u/>
            <sz val="9"/>
            <color indexed="81"/>
            <rFont val="Tahoma"/>
            <family val="2"/>
          </rPr>
          <t>HOTC Pre-lims 2021:</t>
        </r>
        <r>
          <rPr>
            <sz val="9"/>
            <color indexed="81"/>
            <rFont val="Tahoma"/>
            <family val="2"/>
          </rPr>
          <t xml:space="preserve">
Financial Overview:
- Operating expenses increased by 19%, due to deliberate growth investments and temporarily due to the blend of fixed costs for stores that were closed or disrupted for almost six months combined with additional variable costs due to strong digital growth
</t>
        </r>
        <r>
          <rPr>
            <b/>
            <u/>
            <sz val="9"/>
            <color indexed="81"/>
            <rFont val="Tahoma"/>
            <family val="2"/>
          </rPr>
          <t>Sales Review</t>
        </r>
        <r>
          <rPr>
            <sz val="9"/>
            <color indexed="81"/>
            <rFont val="Tahoma"/>
            <family val="2"/>
          </rPr>
          <t xml:space="preserve">
- UK: In FY21, our stores were closed or disrupted for almost six months. Historically stores were the largest channel by sales and profit value. Encouragingly, in the period since retail stores began re-opening on 12 April, we have seen growth accelerate, validating our belief in a multi-channel model as the best route to maximise customer lifetime value and shareholder returns.
- USA: we achieved overall sales growth of 36%1 , despite store sales falling 41%. The fulfilment partnership with The Hut Group means that we have a scaleable growth model that is capex-light with a cost base that is directly variable with sales volume, whilst we retain direct control of the brand, the customer base and the strategy.
- JAPAN: our joint venture partner opened a further 16 stores in FY21 bringing the total to 22. In Japan online sales penetration in general remains lower than the UK and USA, and malls remain vibrant as leisure destinations. The variable rent partnership model between tenant and landlord is a blueprint for other markets. Whilst Japan has not experienced mandatory lockdowns, a rolling programme of regional restrictions is ongoing, resulting in temporarily reduced footfall and sales per store. We remain confident in the longerterm prospects because our latest lifestyle store formats and product range are proving successful in carving out a differentiated brand identity in this huge and competitive market. VIP Me loyalty attachment is already approaching 50% of new store customers in Japan, delivering the benefits of a direct conversation that we have seen work so well in the UK.
</t>
        </r>
        <r>
          <rPr>
            <b/>
            <u/>
            <sz val="9"/>
            <color indexed="81"/>
            <rFont val="Tahoma"/>
            <family val="2"/>
          </rPr>
          <t>Brand Review:</t>
        </r>
        <r>
          <rPr>
            <sz val="9"/>
            <color indexed="81"/>
            <rFont val="Tahoma"/>
            <family val="2"/>
          </rPr>
          <t xml:space="preserve">
- We offer a slick and reliable delivered gift service. In the Period every one of our online metrics improved, from consideration and traffic, to conversion, average order value and frequency. Our store teams can help customers select the perfect gifts to hand over in person, whether for a family event or calendar cultural celebration. 
- In the year we launched much improved ranges for Valentine’s and White Day, the two largest gift events in Japan, which combined are larger gift events than Christmas in the UK. We also further extended our offer for Eid in the UK, thanks to the invaluable input of our team.
- IN-HOME = The success of the Velvetiser is supplemented by our cacao-alcohol range and our new range of coffees, available as whole beans or pods that can be recycled at home with our Podcycler device. This winter we will be launching a range of coffee machines in partnership with Dualit that complement the Velvetiser on the counter-top.
- LEISURE = Whether an impulsive pop-in visit to one of our stores or a planned trip to a café with friends or family, our stores offer something for everyone. Our self-purchase leisure business historically generated approximately half of our revenues. This part of the business was the most affected by the lengthy closure of stores in the UK. Since re-opening in April, performance has been strong.
</t>
        </r>
        <r>
          <rPr>
            <b/>
            <u/>
            <sz val="9"/>
            <color indexed="81"/>
            <rFont val="Tahoma"/>
            <family val="2"/>
          </rPr>
          <t xml:space="preserve"> SIX BUSINESS GROWTH DRIVERS </t>
        </r>
        <r>
          <rPr>
            <sz val="9"/>
            <color indexed="81"/>
            <rFont val="Tahoma"/>
            <family val="2"/>
          </rPr>
          <t xml:space="preserve">
Two years ago we activated additional growth levers to change the shape of the business. These six drivers are on track: 
- VELVETISER = The Velvetiser makes delicious hot chocolate with no fuss and no mess, with a range of 20 recipes, and more coming this autumn. Supported by subscriptions the continuity model results in very engaged customers, with higher frequency and materially higher lifetime value. 
- LOYALTY = Customer connection is a key element of our physical retail model. The VIP Me scheme was invaluable during lockdown and will continue to underpin our brand building. 
- DIGITAL = Our online channel offers the perfect solution for delivered gifts, whether for family celebrations or seasonal cultural events. 
- USA = Digital-led, supported by four stores. The Velvetiser provides the brand introduction with attractive lifetime value, supported by the opportunity to cross-sell the full chocolate seasonal gifting range. 
- GLOBAL WHOLESALE = Working with carefully selected digital partners to extend brand reach and convenience, each partner has a capsule range tailored to the needs of the customer profile. The Velvetiser and cacao-alcohols are key product categories, supported by supply partnerships they provide attractive returns and capex-light growth. 
- JAPAN JV Physical retail predominates in Japan. Due to cultural factors, population density and climate, malls remain vibrant and landlords continue to open new malls. Our lifestyle format is differentiated and proving popular both with customers and landlords.
</t>
        </r>
        <r>
          <rPr>
            <b/>
            <u/>
            <sz val="9"/>
            <color indexed="81"/>
            <rFont val="Tahoma"/>
            <family val="2"/>
          </rPr>
          <t>Operational Overview:</t>
        </r>
        <r>
          <rPr>
            <sz val="9"/>
            <color indexed="81"/>
            <rFont val="Tahoma"/>
            <family val="2"/>
          </rPr>
          <t xml:space="preserve">
- Expanding the distribution centre, from 100,000 to 200,000 sq ft to accommodate increased online despatch capacity ahead of the FY21 peak season.
- Extending the UK factory from 45,000 to 80,000+ sq ft in order to install a fourth truffle-making line, a second Velvetiser refill line which more than triples capacity, and a new bean-to-bar facility for super-premium single origin chocolates and vegan Nutmilk chocolate. All of the new capacity will be commissioned this winter.
July 2021 
- raised a further £40m in equity to fund the next phase of expansion to provide the capacity to support the six fast-growth drivers: extend factory over next 3 years from 80K to 160K. Once installed should support 500m in revenues. 
</t>
        </r>
      </text>
    </comment>
    <comment ref="D110" authorId="0" shapeId="0" xr:uid="{3F04464F-8ECC-4BFB-9E1A-2FA5F9A468C6}">
      <text>
        <r>
          <rPr>
            <b/>
            <sz val="9"/>
            <color indexed="81"/>
            <rFont val="Tahoma"/>
            <family val="2"/>
          </rPr>
          <t>Author:</t>
        </r>
        <r>
          <rPr>
            <sz val="9"/>
            <color indexed="81"/>
            <rFont val="Tahoma"/>
            <family val="2"/>
          </rPr>
          <t xml:space="preserve">
</t>
        </r>
        <r>
          <rPr>
            <b/>
            <u/>
            <sz val="9"/>
            <color indexed="81"/>
            <rFont val="Tahoma"/>
            <family val="2"/>
          </rPr>
          <t>HOTC Pre-lims 2021:</t>
        </r>
        <r>
          <rPr>
            <sz val="9"/>
            <color indexed="81"/>
            <rFont val="Tahoma"/>
            <family val="2"/>
          </rPr>
          <t xml:space="preserve">
Financial Overview:
- Operating expenses increased by 19%, due to deliberate growth investments and temporarily due to the blend of fixed costs for stores that were closed or disrupted for almost six months combined with additional variable costs due to strong digital growth
</t>
        </r>
        <r>
          <rPr>
            <b/>
            <u/>
            <sz val="9"/>
            <color indexed="81"/>
            <rFont val="Tahoma"/>
            <family val="2"/>
          </rPr>
          <t>Sales Review</t>
        </r>
        <r>
          <rPr>
            <sz val="9"/>
            <color indexed="81"/>
            <rFont val="Tahoma"/>
            <family val="2"/>
          </rPr>
          <t xml:space="preserve">
- UK: In FY21, our stores were closed or disrupted for almost six months. Historically stores were the largest channel by sales and profit value. Encouragingly, in the period since retail stores began re-opening on 12 April, we have seen growth accelerate, validating our belief in a multi-channel model as the best route to maximise customer lifetime value and shareholder returns.
- USA: we achieved overall sales growth of 36%1 , despite store sales falling 41%. The fulfilment partnership with The Hut Group means that we have a scaleable growth model that is capex-light with a cost base that is directly variable with sales volume, whilst we retain direct control of the brand, the customer base and the strategy.
- JAPAN: our joint venture partner opened a further 16 stores in FY21 bringing the total to 22. In Japan online sales penetration in general remains lower than the UK and USA, and malls remain vibrant as leisure destinations. The variable rent partnership model between tenant and landlord is a blueprint for other markets. Whilst Japan has not experienced mandatory lockdowns, a rolling programme of regional restrictions is ongoing, resulting in temporarily reduced footfall and sales per store. We remain confident in the longerterm prospects because our latest lifestyle store formats and product range are proving successful in carving out a differentiated brand identity in this huge and competitive market. VIP Me loyalty attachment is already approaching 50% of new store customers in Japan, delivering the benefits of a direct conversation that we have seen work so well in the UK.
</t>
        </r>
        <r>
          <rPr>
            <b/>
            <u/>
            <sz val="9"/>
            <color indexed="81"/>
            <rFont val="Tahoma"/>
            <family val="2"/>
          </rPr>
          <t>Brand Review:</t>
        </r>
        <r>
          <rPr>
            <sz val="9"/>
            <color indexed="81"/>
            <rFont val="Tahoma"/>
            <family val="2"/>
          </rPr>
          <t xml:space="preserve">
- We offer a slick and reliable delivered gift service. In the Period every one of our online metrics improved, from consideration and traffic, to conversion, average order value and frequency. Our store teams can help customers select the perfect gifts to hand over in person, whether for a family event or calendar cultural celebration. 
- In the year we launched much improved ranges for Valentine’s and White Day, the two largest gift events in Japan, which combined are larger gift events than Christmas in the UK. We also further extended our offer for Eid in the UK, thanks to the invaluable input of our team.
- IN-HOME = The success of the Velvetiser is supplemented by our cacao-alcohol range and our new range of coffees, available as whole beans or pods that can be recycled at home with our Podcycler device. This winter we will be launching a range of coffee machines in partnership with Dualit that complement the Velvetiser on the counter-top.
- LEISURE = Whether an impulsive pop-in visit to one of our stores or a planned trip to a café with friends or family, our stores offer something for everyone. Our self-purchase leisure business historically generated approximately half of our revenues. This part of the business was the most affected by the lengthy closure of stores in the UK. Since re-opening in April, performance has been strong.
</t>
        </r>
        <r>
          <rPr>
            <b/>
            <u/>
            <sz val="9"/>
            <color indexed="81"/>
            <rFont val="Tahoma"/>
            <family val="2"/>
          </rPr>
          <t xml:space="preserve"> SIX BUSINESS GROWTH DRIVERS </t>
        </r>
        <r>
          <rPr>
            <sz val="9"/>
            <color indexed="81"/>
            <rFont val="Tahoma"/>
            <family val="2"/>
          </rPr>
          <t xml:space="preserve">
Two years ago we activated additional growth levers to change the shape of the business. These six drivers are on track: 
- VELVETISER = The Velvetiser makes delicious hot chocolate with no fuss and no mess, with a range of 20 recipes, and more coming this autumn. Supported by subscriptions the continuity model results in very engaged customers, with higher frequency and materially higher lifetime value. 
- LOYALTY = Customer connection is a key element of our physical retail model. The VIP Me scheme was invaluable during lockdown and will continue to underpin our brand building. 
- DIGITAL = Our online channel offers the perfect solution for delivered gifts, whether for family celebrations or seasonal cultural events. 
- USA = Digital-led, supported by four stores. The Velvetiser provides the brand introduction with attractive lifetime value, supported by the opportunity to cross-sell the full chocolate seasonal gifting range. 
- GLOBAL WHOLESALE = Working with carefully selected digital partners to extend brand reach and convenience, each partner has a capsule range tailored to the needs of the customer profile. The Velvetiser and cacao-alcohols are key product categories, supported by supply partnerships they provide attractive returns and capex-light growth. 
- JAPAN JV Physical retail predominates in Japan. Due to cultural factors, population density and climate, malls remain vibrant and landlords continue to open new malls. Our lifestyle format is differentiated and proving popular both with customers and landlords.
</t>
        </r>
        <r>
          <rPr>
            <b/>
            <u/>
            <sz val="9"/>
            <color indexed="81"/>
            <rFont val="Tahoma"/>
            <family val="2"/>
          </rPr>
          <t>Operational Overview:</t>
        </r>
        <r>
          <rPr>
            <sz val="9"/>
            <color indexed="81"/>
            <rFont val="Tahoma"/>
            <family val="2"/>
          </rPr>
          <t xml:space="preserve">
- Expanding the distribution centre, from 100,000 to 200,000 sq ft to accommodate increased online despatch capacity ahead of the FY21 peak season.
- Extending the UK factory from 45,000 to 80,000+ sq ft in order to install a fourth truffle-making line, a second Velvetiser refill line which more than triples capacity, and a new bean-to-bar facility for super-premium single origin chocolates and vegan Nutmilk chocolate. All of the new capacity will be commissioned this winter.
July 2021 
- raised a further £40m in equity to fund the next phase of expansion to provide the capacity to support the six fast-growth drivers: extend factory over next 3 years from 80K to 160K. Once installed should support 500m in revenues. 
</t>
        </r>
      </text>
    </comment>
    <comment ref="D161" authorId="0" shapeId="0" xr:uid="{51A1B824-F79E-4C55-9A61-9DF9B8E9C375}">
      <text>
        <r>
          <rPr>
            <b/>
            <sz val="9"/>
            <color indexed="81"/>
            <rFont val="Tahoma"/>
            <family val="2"/>
          </rPr>
          <t>Author:</t>
        </r>
        <r>
          <rPr>
            <sz val="9"/>
            <color indexed="81"/>
            <rFont val="Tahoma"/>
            <family val="2"/>
          </rPr>
          <t xml:space="preserve">
</t>
        </r>
        <r>
          <rPr>
            <b/>
            <u/>
            <sz val="9"/>
            <color indexed="81"/>
            <rFont val="Tahoma"/>
            <family val="2"/>
          </rPr>
          <t>HOTC Pre-lims 2021:</t>
        </r>
        <r>
          <rPr>
            <sz val="9"/>
            <color indexed="81"/>
            <rFont val="Tahoma"/>
            <family val="2"/>
          </rPr>
          <t xml:space="preserve">
Financial Overview:
- Operating expenses increased by 19%, due to deliberate growth investments and temporarily due to the blend of fixed costs for stores that were closed or disrupted for almost six months combined with additional variable costs due to strong digital growth
</t>
        </r>
        <r>
          <rPr>
            <b/>
            <u/>
            <sz val="9"/>
            <color indexed="81"/>
            <rFont val="Tahoma"/>
            <family val="2"/>
          </rPr>
          <t>Sales Review</t>
        </r>
        <r>
          <rPr>
            <sz val="9"/>
            <color indexed="81"/>
            <rFont val="Tahoma"/>
            <family val="2"/>
          </rPr>
          <t xml:space="preserve">
- UK: In FY21, our stores were closed or disrupted for almost six months. Historically stores were the largest channel by sales and profit value. Encouragingly, in the period since retail stores began re-opening on 12 April, we have seen growth accelerate, validating our belief in a multi-channel model as the best route to maximise customer lifetime value and shareholder returns.
- USA: we achieved overall sales growth of 36%1 , despite store sales falling 41%. The fulfilment partnership with The Hut Group means that we have a scaleable growth model that is capex-light with a cost base that is directly variable with sales volume, whilst we retain direct control of the brand, the customer base and the strategy.
- JAPAN: our joint venture partner opened a further 16 stores in FY21 bringing the total to 22. In Japan online sales penetration in general remains lower than the UK and USA, and malls remain vibrant as leisure destinations. The variable rent partnership model between tenant and landlord is a blueprint for other markets. Whilst Japan has not experienced mandatory lockdowns, a rolling programme of regional restrictions is ongoing, resulting in temporarily reduced footfall and sales per store. We remain confident in the longerterm prospects because our latest lifestyle store formats and product range are proving successful in carving out a differentiated brand identity in this huge and competitive market. VIP Me loyalty attachment is already approaching 50% of new store customers in Japan, delivering the benefits of a direct conversation that we have seen work so well in the UK.
</t>
        </r>
        <r>
          <rPr>
            <b/>
            <u/>
            <sz val="9"/>
            <color indexed="81"/>
            <rFont val="Tahoma"/>
            <family val="2"/>
          </rPr>
          <t>Brand Review:</t>
        </r>
        <r>
          <rPr>
            <sz val="9"/>
            <color indexed="81"/>
            <rFont val="Tahoma"/>
            <family val="2"/>
          </rPr>
          <t xml:space="preserve">
- We offer a slick and reliable delivered gift service. In the Period every one of our online metrics improved, from consideration and traffic, to conversion, average order value and frequency. Our store teams can help customers select the perfect gifts to hand over in person, whether for a family event or calendar cultural celebration. 
- In the year we launched much improved ranges for Valentine’s and White Day, the two largest gift events in Japan, which combined are larger gift events than Christmas in the UK. We also further extended our offer for Eid in the UK, thanks to the invaluable input of our team.
- IN-HOME = The success of the Velvetiser is supplemented by our cacao-alcohol range and our new range of coffees, available as whole beans or pods that can be recycled at home with our Podcycler device. This winter we will be launching a range of coffee machines in partnership with Dualit that complement the Velvetiser on the counter-top.
- LEISURE = Whether an impulsive pop-in visit to one of our stores or a planned trip to a café with friends or family, our stores offer something for everyone. Our self-purchase leisure business historically generated approximately half of our revenues. This part of the business was the most affected by the lengthy closure of stores in the UK. Since re-opening in April, performance has been strong.
</t>
        </r>
        <r>
          <rPr>
            <b/>
            <u/>
            <sz val="9"/>
            <color indexed="81"/>
            <rFont val="Tahoma"/>
            <family val="2"/>
          </rPr>
          <t xml:space="preserve"> SIX BUSINESS GROWTH DRIVERS </t>
        </r>
        <r>
          <rPr>
            <sz val="9"/>
            <color indexed="81"/>
            <rFont val="Tahoma"/>
            <family val="2"/>
          </rPr>
          <t xml:space="preserve">
Two years ago we activated additional growth levers to change the shape of the business. These six drivers are on track: 
- VELVETISER = The Velvetiser makes delicious hot chocolate with no fuss and no mess, with a range of 20 recipes, and more coming this autumn. Supported by subscriptions the continuity model results in very engaged customers, with higher frequency and materially higher lifetime value. 
- LOYALTY = Customer connection is a key element of our physical retail model. The VIP Me scheme was invaluable during lockdown and will continue to underpin our brand building. 
- DIGITAL = Our online channel offers the perfect solution for delivered gifts, whether for family celebrations or seasonal cultural events. 
- USA = Digital-led, supported by four stores. The Velvetiser provides the brand introduction with attractive lifetime value, supported by the opportunity to cross-sell the full chocolate seasonal gifting range. 
- GLOBAL WHOLESALE = Working with carefully selected digital partners to extend brand reach and convenience, each partner has a capsule range tailored to the needs of the customer profile. The Velvetiser and cacao-alcohols are key product categories, supported by supply partnerships they provide attractive returns and capex-light growth. 
- JAPAN JV Physical retail predominates in Japan. Due to cultural factors, population density and climate, malls remain vibrant and landlords continue to open new malls. Our lifestyle format is differentiated and proving popular both with customers and landlords.
</t>
        </r>
        <r>
          <rPr>
            <b/>
            <u/>
            <sz val="9"/>
            <color indexed="81"/>
            <rFont val="Tahoma"/>
            <family val="2"/>
          </rPr>
          <t>Operational Overview:</t>
        </r>
        <r>
          <rPr>
            <sz val="9"/>
            <color indexed="81"/>
            <rFont val="Tahoma"/>
            <family val="2"/>
          </rPr>
          <t xml:space="preserve">
- Expanding the distribution centre, from 100,000 to 200,000 sq ft to accommodate increased online despatch capacity ahead of the FY21 peak season.
- Extending the UK factory from 45,000 to 80,000+ sq ft in order to install a fourth truffle-making line, a second Velvetiser refill line which more than triples capacity, and a new bean-to-bar facility for super-premium single origin chocolates and vegan Nutmilk chocolate. All of the new capacity will be commissioned this winter.
July 2021 
- raised a further £40m in equity to fund the next phase of expansion to provide the capacity to support the six fast-growth drivers: extend factory over next 3 years from 80K to 160K. Once installed should support 500m in revenues. 
</t>
        </r>
      </text>
    </comment>
    <comment ref="D196" authorId="0" shapeId="0" xr:uid="{8E76B0A6-0E66-446E-9AE4-D81BBD5F8283}">
      <text>
        <r>
          <rPr>
            <b/>
            <sz val="9"/>
            <color indexed="81"/>
            <rFont val="Tahoma"/>
            <family val="2"/>
          </rPr>
          <t>Author:</t>
        </r>
        <r>
          <rPr>
            <sz val="9"/>
            <color indexed="81"/>
            <rFont val="Tahoma"/>
            <family val="2"/>
          </rPr>
          <t xml:space="preserve">
</t>
        </r>
        <r>
          <rPr>
            <b/>
            <u/>
            <sz val="9"/>
            <color indexed="81"/>
            <rFont val="Tahoma"/>
            <family val="2"/>
          </rPr>
          <t>HOTC Pre-lims 2021:</t>
        </r>
        <r>
          <rPr>
            <sz val="9"/>
            <color indexed="81"/>
            <rFont val="Tahoma"/>
            <family val="2"/>
          </rPr>
          <t xml:space="preserve">
Financial Overview:
- Operating expenses increased by 19%, due to deliberate growth investments and temporarily due to the blend of fixed costs for stores that were closed or disrupted for almost six months combined with additional variable costs due to strong digital growth
</t>
        </r>
        <r>
          <rPr>
            <b/>
            <u/>
            <sz val="9"/>
            <color indexed="81"/>
            <rFont val="Tahoma"/>
            <family val="2"/>
          </rPr>
          <t>Sales Review</t>
        </r>
        <r>
          <rPr>
            <sz val="9"/>
            <color indexed="81"/>
            <rFont val="Tahoma"/>
            <family val="2"/>
          </rPr>
          <t xml:space="preserve">
- UK: In FY21, our stores were closed or disrupted for almost six months. Historically stores were the largest channel by sales and profit value. Encouragingly, in the period since retail stores began re-opening on 12 April, we have seen growth accelerate, validating our belief in a multi-channel model as the best route to maximise customer lifetime value and shareholder returns.
- USA: we achieved overall sales growth of 36%1 , despite store sales falling 41%. The fulfilment partnership with The Hut Group means that we have a scaleable growth model that is capex-light with a cost base that is directly variable with sales volume, whilst we retain direct control of the brand, the customer base and the strategy.
- JAPAN: our joint venture partner opened a further 16 stores in FY21 bringing the total to 22. In Japan online sales penetration in general remains lower than the UK and USA, and malls remain vibrant as leisure destinations. The variable rent partnership model between tenant and landlord is a blueprint for other markets. Whilst Japan has not experienced mandatory lockdowns, a rolling programme of regional restrictions is ongoing, resulting in temporarily reduced footfall and sales per store. We remain confident in the longerterm prospects because our latest lifestyle store formats and product range are proving successful in carving out a differentiated brand identity in this huge and competitive market. VIP Me loyalty attachment is already approaching 50% of new store customers in Japan, delivering the benefits of a direct conversation that we have seen work so well in the UK.
</t>
        </r>
        <r>
          <rPr>
            <b/>
            <u/>
            <sz val="9"/>
            <color indexed="81"/>
            <rFont val="Tahoma"/>
            <family val="2"/>
          </rPr>
          <t>Brand Review:</t>
        </r>
        <r>
          <rPr>
            <sz val="9"/>
            <color indexed="81"/>
            <rFont val="Tahoma"/>
            <family val="2"/>
          </rPr>
          <t xml:space="preserve">
- We offer a slick and reliable delivered gift service. In the Period every one of our online metrics improved, from consideration and traffic, to conversion, average order value and frequency. Our store teams can help customers select the perfect gifts to hand over in person, whether for a family event or calendar cultural celebration. 
- In the year we launched much improved ranges for Valentine’s and White Day, the two largest gift events in Japan, which combined are larger gift events than Christmas in the UK. We also further extended our offer for Eid in the UK, thanks to the invaluable input of our team.
- IN-HOME = The success of the Velvetiser is supplemented by our cacao-alcohol range and our new range of coffees, available as whole beans or pods that can be recycled at home with our Podcycler device. This winter we will be launching a range of coffee machines in partnership with Dualit that complement the Velvetiser on the counter-top.
- LEISURE = Whether an impulsive pop-in visit to one of our stores or a planned trip to a café with friends or family, our stores offer something for everyone. Our self-purchase leisure business historically generated approximately half of our revenues. This part of the business was the most affected by the lengthy closure of stores in the UK. Since re-opening in April, performance has been strong.
</t>
        </r>
        <r>
          <rPr>
            <b/>
            <u/>
            <sz val="9"/>
            <color indexed="81"/>
            <rFont val="Tahoma"/>
            <family val="2"/>
          </rPr>
          <t xml:space="preserve"> SIX BUSINESS GROWTH DRIVERS </t>
        </r>
        <r>
          <rPr>
            <sz val="9"/>
            <color indexed="81"/>
            <rFont val="Tahoma"/>
            <family val="2"/>
          </rPr>
          <t xml:space="preserve">
Two years ago we activated additional growth levers to change the shape of the business. These six drivers are on track: 
- VELVETISER = The Velvetiser makes delicious hot chocolate with no fuss and no mess, with a range of 20 recipes, and more coming this autumn. Supported by subscriptions the continuity model results in very engaged customers, with higher frequency and materially higher lifetime value. 
- LOYALTY = Customer connection is a key element of our physical retail model. The VIP Me scheme was invaluable during lockdown and will continue to underpin our brand building. 
- DIGITAL = Our online channel offers the perfect solution for delivered gifts, whether for family celebrations or seasonal cultural events. 
- USA = Digital-led, supported by four stores. The Velvetiser provides the brand introduction with attractive lifetime value, supported by the opportunity to cross-sell the full chocolate seasonal gifting range. 
- GLOBAL WHOLESALE = Working with carefully selected digital partners to extend brand reach and convenience, each partner has a capsule range tailored to the needs of the customer profile. The Velvetiser and cacao-alcohols are key product categories, supported by supply partnerships they provide attractive returns and capex-light growth. 
- JAPAN JV Physical retail predominates in Japan. Due to cultural factors, population density and climate, malls remain vibrant and landlords continue to open new malls. Our lifestyle format is differentiated and proving popular both with customers and landlords.
</t>
        </r>
        <r>
          <rPr>
            <b/>
            <u/>
            <sz val="9"/>
            <color indexed="81"/>
            <rFont val="Tahoma"/>
            <family val="2"/>
          </rPr>
          <t>Operational Overview:</t>
        </r>
        <r>
          <rPr>
            <sz val="9"/>
            <color indexed="81"/>
            <rFont val="Tahoma"/>
            <family val="2"/>
          </rPr>
          <t xml:space="preserve">
- Expanding the distribution centre, from 100,000 to 200,000 sq ft to accommodate increased online despatch capacity ahead of the FY21 peak season.
- Extending the UK factory from 45,000 to 80,000+ sq ft in order to install a fourth truffle-making line, a second Velvetiser refill line which more than triples capacity, and a new bean-to-bar facility for super-premium single origin chocolates and vegan Nutmilk chocolate. All of the new capacity will be commissioned this winter.
July 2021 
- raised a further £40m in equity to fund the next phase of expansion to provide the capacity to support the six fast-growth drivers: extend factory over next 3 years from 80K to 160K. Once installed should support 500m in revenues. 
</t>
        </r>
      </text>
    </comment>
    <comment ref="F225" authorId="0" shapeId="0" xr:uid="{F1A95FC5-5B12-4B77-B841-E782CE3EE18F}">
      <text>
        <r>
          <rPr>
            <b/>
            <sz val="9"/>
            <color indexed="81"/>
            <rFont val="Tahoma"/>
            <family val="2"/>
          </rPr>
          <t>Author:</t>
        </r>
        <r>
          <rPr>
            <sz val="9"/>
            <color indexed="81"/>
            <rFont val="Tahoma"/>
            <family val="2"/>
          </rPr>
          <t xml:space="preserve">
Est
</t>
        </r>
      </text>
    </comment>
    <comment ref="D239" authorId="0" shapeId="0" xr:uid="{B4101F40-2DCC-42E2-B452-90E8337A4CA7}">
      <text>
        <r>
          <rPr>
            <b/>
            <sz val="9"/>
            <color indexed="81"/>
            <rFont val="Tahoma"/>
            <family val="2"/>
          </rPr>
          <t>Author:</t>
        </r>
        <r>
          <rPr>
            <sz val="9"/>
            <color indexed="81"/>
            <rFont val="Tahoma"/>
            <family val="2"/>
          </rPr>
          <t xml:space="preserve">
</t>
        </r>
        <r>
          <rPr>
            <b/>
            <u/>
            <sz val="9"/>
            <color indexed="81"/>
            <rFont val="Tahoma"/>
            <family val="2"/>
          </rPr>
          <t>HOTC Pre-lims 2021:</t>
        </r>
        <r>
          <rPr>
            <sz val="9"/>
            <color indexed="81"/>
            <rFont val="Tahoma"/>
            <family val="2"/>
          </rPr>
          <t xml:space="preserve">
Financial Overview:
- Operating expenses increased by 19%, due to deliberate growth investments and temporarily due to the blend of fixed costs for stores that were closed or disrupted for almost six months combined with additional variable costs due to strong digital growth
</t>
        </r>
        <r>
          <rPr>
            <b/>
            <u/>
            <sz val="9"/>
            <color indexed="81"/>
            <rFont val="Tahoma"/>
            <family val="2"/>
          </rPr>
          <t>Sales Review</t>
        </r>
        <r>
          <rPr>
            <sz val="9"/>
            <color indexed="81"/>
            <rFont val="Tahoma"/>
            <family val="2"/>
          </rPr>
          <t xml:space="preserve">
- UK: In FY21, our stores were closed or disrupted for almost six months. Historically stores were the largest channel by sales and profit value. Encouragingly, in the period since retail stores began re-opening on 12 April, we have seen growth accelerate, validating our belief in a multi-channel model as the best route to maximise customer lifetime value and shareholder returns.
- USA: we achieved overall sales growth of 36%1 , despite store sales falling 41%. The fulfilment partnership with The Hut Group means that we have a scaleable growth model that is capex-light with a cost base that is directly variable with sales volume, whilst we retain direct control of the brand, the customer base and the strategy.
- JAPAN: our joint venture partner opened a further 16 stores in FY21 bringing the total to 22. In Japan online sales penetration in general remains lower than the UK and USA, and malls remain vibrant as leisure destinations. The variable rent partnership model between tenant and landlord is a blueprint for other markets. Whilst Japan has not experienced mandatory lockdowns, a rolling programme of regional restrictions is ongoing, resulting in temporarily reduced footfall and sales per store. We remain confident in the longerterm prospects because our latest lifestyle store formats and product range are proving successful in carving out a differentiated brand identity in this huge and competitive market. VIP Me loyalty attachment is already approaching 50% of new store customers in Japan, delivering the benefits of a direct conversation that we have seen work so well in the UK.
</t>
        </r>
        <r>
          <rPr>
            <b/>
            <u/>
            <sz val="9"/>
            <color indexed="81"/>
            <rFont val="Tahoma"/>
            <family val="2"/>
          </rPr>
          <t>Brand Review:</t>
        </r>
        <r>
          <rPr>
            <sz val="9"/>
            <color indexed="81"/>
            <rFont val="Tahoma"/>
            <family val="2"/>
          </rPr>
          <t xml:space="preserve">
- We offer a slick and reliable delivered gift service. In the Period every one of our online metrics improved, from consideration and traffic, to conversion, average order value and frequency. Our store teams can help customers select the perfect gifts to hand over in person, whether for a family event or calendar cultural celebration. 
- In the year we launched much improved ranges for Valentine’s and White Day, the two largest gift events in Japan, which combined are larger gift events than Christmas in the UK. We also further extended our offer for Eid in the UK, thanks to the invaluable input of our team.
- IN-HOME = The success of the Velvetiser is supplemented by our cacao-alcohol range and our new range of coffees, available as whole beans or pods that can be recycled at home with our Podcycler device. This winter we will be launching a range of coffee machines in partnership with Dualit that complement the Velvetiser on the counter-top.
- LEISURE = Whether an impulsive pop-in visit to one of our stores or a planned trip to a café with friends or family, our stores offer something for everyone. Our self-purchase leisure business historically generated approximately half of our revenues. This part of the business was the most affected by the lengthy closure of stores in the UK. Since re-opening in April, performance has been strong.
</t>
        </r>
        <r>
          <rPr>
            <b/>
            <u/>
            <sz val="9"/>
            <color indexed="81"/>
            <rFont val="Tahoma"/>
            <family val="2"/>
          </rPr>
          <t xml:space="preserve"> SIX BUSINESS GROWTH DRIVERS </t>
        </r>
        <r>
          <rPr>
            <sz val="9"/>
            <color indexed="81"/>
            <rFont val="Tahoma"/>
            <family val="2"/>
          </rPr>
          <t xml:space="preserve">
Two years ago we activated additional growth levers to change the shape of the business. These six drivers are on track: 
- VELVETISER = The Velvetiser makes delicious hot chocolate with no fuss and no mess, with a range of 20 recipes, and more coming this autumn. Supported by subscriptions the continuity model results in very engaged customers, with higher frequency and materially higher lifetime value. 
- LOYALTY = Customer connection is a key element of our physical retail model. The VIP Me scheme was invaluable during lockdown and will continue to underpin our brand building. 
- DIGITAL = Our online channel offers the perfect solution for delivered gifts, whether for family celebrations or seasonal cultural events. 
- USA = Digital-led, supported by four stores. The Velvetiser provides the brand introduction with attractive lifetime value, supported by the opportunity to cross-sell the full chocolate seasonal gifting range. 
- GLOBAL WHOLESALE = Working with carefully selected digital partners to extend brand reach and convenience, each partner has a capsule range tailored to the needs of the customer profile. The Velvetiser and cacao-alcohols are key product categories, supported by supply partnerships they provide attractive returns and capex-light growth. 
- JAPAN JV Physical retail predominates in Japan. Due to cultural factors, population density and climate, malls remain vibrant and landlords continue to open new malls. Our lifestyle format is differentiated and proving popular both with customers and landlords.
</t>
        </r>
        <r>
          <rPr>
            <b/>
            <u/>
            <sz val="9"/>
            <color indexed="81"/>
            <rFont val="Tahoma"/>
            <family val="2"/>
          </rPr>
          <t>Operational Overview:</t>
        </r>
        <r>
          <rPr>
            <sz val="9"/>
            <color indexed="81"/>
            <rFont val="Tahoma"/>
            <family val="2"/>
          </rPr>
          <t xml:space="preserve">
- Expanding the distribution centre, from 100,000 to 200,000 sq ft to accommodate increased online despatch capacity ahead of the FY21 peak season.
- Extending the UK factory from 45,000 to 80,000+ sq ft in order to install a fourth truffle-making line, a second Velvetiser refill line which more than triples capacity, and a new bean-to-bar facility for super-premium single origin chocolates and vegan Nutmilk chocolate. All of the new capacity will be commissioned this winter.
July 2021 
- raised a further £40m in equity to fund the next phase of expansion to provide the capacity to support the six fast-growth drivers: extend factory over next 3 years from 80K to 160K. Once installed should support 500m in revenues. 
</t>
        </r>
      </text>
    </comment>
    <comment ref="C241" authorId="0" shapeId="0" xr:uid="{66DB849F-1C19-4261-8C13-B507849BEE74}">
      <text>
        <r>
          <rPr>
            <b/>
            <sz val="9"/>
            <color indexed="81"/>
            <rFont val="Tahoma"/>
            <family val="2"/>
          </rPr>
          <t>Author:</t>
        </r>
        <r>
          <rPr>
            <sz val="9"/>
            <color indexed="81"/>
            <rFont val="Tahoma"/>
            <family val="2"/>
          </rPr>
          <t xml:space="preserve">
Using latest figs from interim</t>
        </r>
      </text>
    </comment>
    <comment ref="D251" authorId="0" shapeId="0" xr:uid="{815AE9CC-FEDE-4823-A3A1-FF9CFC0F9182}">
      <text>
        <r>
          <rPr>
            <b/>
            <sz val="9"/>
            <color indexed="81"/>
            <rFont val="Tahoma"/>
            <family val="2"/>
          </rPr>
          <t>Author:</t>
        </r>
        <r>
          <rPr>
            <sz val="9"/>
            <color indexed="81"/>
            <rFont val="Tahoma"/>
            <family val="2"/>
          </rPr>
          <t xml:space="preserve">
</t>
        </r>
        <r>
          <rPr>
            <b/>
            <u/>
            <sz val="9"/>
            <color indexed="81"/>
            <rFont val="Tahoma"/>
            <family val="2"/>
          </rPr>
          <t>HOTC Pre-lims 2021:</t>
        </r>
        <r>
          <rPr>
            <sz val="9"/>
            <color indexed="81"/>
            <rFont val="Tahoma"/>
            <family val="2"/>
          </rPr>
          <t xml:space="preserve">
Financial Overview:
- Operating expenses increased by 19%, due to deliberate growth investments and temporarily due to the blend of fixed costs for stores that were closed or disrupted for almost six months combined with additional variable costs due to strong digital growth
</t>
        </r>
        <r>
          <rPr>
            <b/>
            <u/>
            <sz val="9"/>
            <color indexed="81"/>
            <rFont val="Tahoma"/>
            <family val="2"/>
          </rPr>
          <t>Sales Review</t>
        </r>
        <r>
          <rPr>
            <sz val="9"/>
            <color indexed="81"/>
            <rFont val="Tahoma"/>
            <family val="2"/>
          </rPr>
          <t xml:space="preserve">
- UK: In FY21, our stores were closed or disrupted for almost six months. Historically stores were the largest channel by sales and profit value. Encouragingly, in the period since retail stores began re-opening on 12 April, we have seen growth accelerate, validating our belief in a multi-channel model as the best route to maximise customer lifetime value and shareholder returns.
- USA: we achieved overall sales growth of 36%1 , despite store sales falling 41%. The fulfilment partnership with The Hut Group means that we have a scaleable growth model that is capex-light with a cost base that is directly variable with sales volume, whilst we retain direct control of the brand, the customer base and the strategy.
- JAPAN: our joint venture partner opened a further 16 stores in FY21 bringing the total to 22. In Japan online sales penetration in general remains lower than the UK and USA, and malls remain vibrant as leisure destinations. The variable rent partnership model between tenant and landlord is a blueprint for other markets. Whilst Japan has not experienced mandatory lockdowns, a rolling programme of regional restrictions is ongoing, resulting in temporarily reduced footfall and sales per store. We remain confident in the longerterm prospects because our latest lifestyle store formats and product range are proving successful in carving out a differentiated brand identity in this huge and competitive market. VIP Me loyalty attachment is already approaching 50% of new store customers in Japan, delivering the benefits of a direct conversation that we have seen work so well in the UK.
</t>
        </r>
        <r>
          <rPr>
            <b/>
            <u/>
            <sz val="9"/>
            <color indexed="81"/>
            <rFont val="Tahoma"/>
            <family val="2"/>
          </rPr>
          <t>Brand Review:</t>
        </r>
        <r>
          <rPr>
            <sz val="9"/>
            <color indexed="81"/>
            <rFont val="Tahoma"/>
            <family val="2"/>
          </rPr>
          <t xml:space="preserve">
- We offer a slick and reliable delivered gift service. In the Period every one of our online metrics improved, from consideration and traffic, to conversion, average order value and frequency. Our store teams can help customers select the perfect gifts to hand over in person, whether for a family event or calendar cultural celebration. 
- In the year we launched much improved ranges for Valentine’s and White Day, the two largest gift events in Japan, which combined are larger gift events than Christmas in the UK. We also further extended our offer for Eid in the UK, thanks to the invaluable input of our team.
- IN-HOME = The success of the Velvetiser is supplemented by our cacao-alcohol range and our new range of coffees, available as whole beans or pods that can be recycled at home with our Podcycler device. This winter we will be launching a range of coffee machines in partnership with Dualit that complement the Velvetiser on the counter-top.
- LEISURE = Whether an impulsive pop-in visit to one of our stores or a planned trip to a café with friends or family, our stores offer something for everyone. Our self-purchase leisure business historically generated approximately half of our revenues. This part of the business was the most affected by the lengthy closure of stores in the UK. Since re-opening in April, performance has been strong.
</t>
        </r>
        <r>
          <rPr>
            <b/>
            <u/>
            <sz val="9"/>
            <color indexed="81"/>
            <rFont val="Tahoma"/>
            <family val="2"/>
          </rPr>
          <t xml:space="preserve"> SIX BUSINESS GROWTH DRIVERS </t>
        </r>
        <r>
          <rPr>
            <sz val="9"/>
            <color indexed="81"/>
            <rFont val="Tahoma"/>
            <family val="2"/>
          </rPr>
          <t xml:space="preserve">
Two years ago we activated additional growth levers to change the shape of the business. These six drivers are on track: 
- VELVETISER = The Velvetiser makes delicious hot chocolate with no fuss and no mess, with a range of 20 recipes, and more coming this autumn. Supported by subscriptions the continuity model results in very engaged customers, with higher frequency and materially higher lifetime value. 
- LOYALTY = Customer connection is a key element of our physical retail model. The VIP Me scheme was invaluable during lockdown and will continue to underpin our brand building. 
- DIGITAL = Our online channel offers the perfect solution for delivered gifts, whether for family celebrations or seasonal cultural events. 
- USA = Digital-led, supported by four stores. The Velvetiser provides the brand introduction with attractive lifetime value, supported by the opportunity to cross-sell the full chocolate seasonal gifting range. 
- GLOBAL WHOLESALE = Working with carefully selected digital partners to extend brand reach and convenience, each partner has a capsule range tailored to the needs of the customer profile. The Velvetiser and cacao-alcohols are key product categories, supported by supply partnerships they provide attractive returns and capex-light growth. 
- JAPAN JV Physical retail predominates in Japan. Due to cultural factors, population density and climate, malls remain vibrant and landlords continue to open new malls. Our lifestyle format is differentiated and proving popular both with customers and landlords.
</t>
        </r>
        <r>
          <rPr>
            <b/>
            <u/>
            <sz val="9"/>
            <color indexed="81"/>
            <rFont val="Tahoma"/>
            <family val="2"/>
          </rPr>
          <t>Operational Overview:</t>
        </r>
        <r>
          <rPr>
            <sz val="9"/>
            <color indexed="81"/>
            <rFont val="Tahoma"/>
            <family val="2"/>
          </rPr>
          <t xml:space="preserve">
- Expanding the distribution centre, from 100,000 to 200,000 sq ft to accommodate increased online despatch capacity ahead of the FY21 peak season.
- Extending the UK factory from 45,000 to 80,000+ sq ft in order to install a fourth truffle-making line, a second Velvetiser refill line which more than triples capacity, and a new bean-to-bar facility for super-premium single origin chocolates and vegan Nutmilk chocolate. All of the new capacity will be commissioned this winter.
July 2021 
- raised a further £40m in equity to fund the next phase of expansion to provide the capacity to support the six fast-growth drivers: extend factory over next 3 years from 80K to 160K. Once installed should support 500m in revenues. 
</t>
        </r>
      </text>
    </comment>
    <comment ref="D265" authorId="0" shapeId="0" xr:uid="{8B3278E7-87B0-4B71-88B3-44EA5646BC06}">
      <text>
        <r>
          <rPr>
            <b/>
            <sz val="9"/>
            <color indexed="81"/>
            <rFont val="Tahoma"/>
            <family val="2"/>
          </rPr>
          <t>Author:</t>
        </r>
        <r>
          <rPr>
            <sz val="9"/>
            <color indexed="81"/>
            <rFont val="Tahoma"/>
            <family val="2"/>
          </rPr>
          <t xml:space="preserve">
</t>
        </r>
        <r>
          <rPr>
            <b/>
            <u/>
            <sz val="9"/>
            <color indexed="81"/>
            <rFont val="Tahoma"/>
            <family val="2"/>
          </rPr>
          <t>HOTC Pre-lims 2021:</t>
        </r>
        <r>
          <rPr>
            <sz val="9"/>
            <color indexed="81"/>
            <rFont val="Tahoma"/>
            <family val="2"/>
          </rPr>
          <t xml:space="preserve">
Financial Overview:
- Operating expenses increased by 19%, due to deliberate growth investments and temporarily due to the blend of fixed costs for stores that were closed or disrupted for almost six months combined with additional variable costs due to strong digital growth
</t>
        </r>
        <r>
          <rPr>
            <b/>
            <u/>
            <sz val="9"/>
            <color indexed="81"/>
            <rFont val="Tahoma"/>
            <family val="2"/>
          </rPr>
          <t>Sales Review</t>
        </r>
        <r>
          <rPr>
            <sz val="9"/>
            <color indexed="81"/>
            <rFont val="Tahoma"/>
            <family val="2"/>
          </rPr>
          <t xml:space="preserve">
- UK: In FY21, our stores were closed or disrupted for almost six months. Historically stores were the largest channel by sales and profit value. Encouragingly, in the period since retail stores began re-opening on 12 April, we have seen growth accelerate, validating our belief in a multi-channel model as the best route to maximise customer lifetime value and shareholder returns.
- USA: we achieved overall sales growth of 36%1 , despite store sales falling 41%. The fulfilment partnership with The Hut Group means that we have a scaleable growth model that is capex-light with a cost base that is directly variable with sales volume, whilst we retain direct control of the brand, the customer base and the strategy.
- JAPAN: our joint venture partner opened a further 16 stores in FY21 bringing the total to 22. In Japan online sales penetration in general remains lower than the UK and USA, and malls remain vibrant as leisure destinations. The variable rent partnership model between tenant and landlord is a blueprint for other markets. Whilst Japan has not experienced mandatory lockdowns, a rolling programme of regional restrictions is ongoing, resulting in temporarily reduced footfall and sales per store. We remain confident in the longerterm prospects because our latest lifestyle store formats and product range are proving successful in carving out a differentiated brand identity in this huge and competitive market. VIP Me loyalty attachment is already approaching 50% of new store customers in Japan, delivering the benefits of a direct conversation that we have seen work so well in the UK.
</t>
        </r>
        <r>
          <rPr>
            <b/>
            <u/>
            <sz val="9"/>
            <color indexed="81"/>
            <rFont val="Tahoma"/>
            <family val="2"/>
          </rPr>
          <t>Brand Review:</t>
        </r>
        <r>
          <rPr>
            <sz val="9"/>
            <color indexed="81"/>
            <rFont val="Tahoma"/>
            <family val="2"/>
          </rPr>
          <t xml:space="preserve">
- We offer a slick and reliable delivered gift service. In the Period every one of our online metrics improved, from consideration and traffic, to conversion, average order value and frequency. Our store teams can help customers select the perfect gifts to hand over in person, whether for a family event or calendar cultural celebration. 
- In the year we launched much improved ranges for Valentine’s and White Day, the two largest gift events in Japan, which combined are larger gift events than Christmas in the UK. We also further extended our offer for Eid in the UK, thanks to the invaluable input of our team.
- IN-HOME = The success of the Velvetiser is supplemented by our cacao-alcohol range and our new range of coffees, available as whole beans or pods that can be recycled at home with our Podcycler device. This winter we will be launching a range of coffee machines in partnership with Dualit that complement the Velvetiser on the counter-top.
- LEISURE = Whether an impulsive pop-in visit to one of our stores or a planned trip to a café with friends or family, our stores offer something for everyone. Our self-purchase leisure business historically generated approximately half of our revenues. This part of the business was the most affected by the lengthy closure of stores in the UK. Since re-opening in April, performance has been strong.
</t>
        </r>
        <r>
          <rPr>
            <b/>
            <u/>
            <sz val="9"/>
            <color indexed="81"/>
            <rFont val="Tahoma"/>
            <family val="2"/>
          </rPr>
          <t xml:space="preserve"> SIX BUSINESS GROWTH DRIVERS </t>
        </r>
        <r>
          <rPr>
            <sz val="9"/>
            <color indexed="81"/>
            <rFont val="Tahoma"/>
            <family val="2"/>
          </rPr>
          <t xml:space="preserve">
Two years ago we activated additional growth levers to change the shape of the business. These six drivers are on track: 
- VELVETISER = The Velvetiser makes delicious hot chocolate with no fuss and no mess, with a range of 20 recipes, and more coming this autumn. Supported by subscriptions the continuity model results in very engaged customers, with higher frequency and materially higher lifetime value. 
- LOYALTY = Customer connection is a key element of our physical retail model. The VIP Me scheme was invaluable during lockdown and will continue to underpin our brand building. 
- DIGITAL = Our online channel offers the perfect solution for delivered gifts, whether for family celebrations or seasonal cultural events. 
- USA = Digital-led, supported by four stores. The Velvetiser provides the brand introduction with attractive lifetime value, supported by the opportunity to cross-sell the full chocolate seasonal gifting range. 
- GLOBAL WHOLESALE = Working with carefully selected digital partners to extend brand reach and convenience, each partner has a capsule range tailored to the needs of the customer profile. The Velvetiser and cacao-alcohols are key product categories, supported by supply partnerships they provide attractive returns and capex-light growth. 
- JAPAN JV Physical retail predominates in Japan. Due to cultural factors, population density and climate, malls remain vibrant and landlords continue to open new malls. Our lifestyle format is differentiated and proving popular both with customers and landlords.
</t>
        </r>
        <r>
          <rPr>
            <b/>
            <u/>
            <sz val="9"/>
            <color indexed="81"/>
            <rFont val="Tahoma"/>
            <family val="2"/>
          </rPr>
          <t>Operational Overview:</t>
        </r>
        <r>
          <rPr>
            <sz val="9"/>
            <color indexed="81"/>
            <rFont val="Tahoma"/>
            <family val="2"/>
          </rPr>
          <t xml:space="preserve">
- Expanding the distribution centre, from 100,000 to 200,000 sq ft to accommodate increased online despatch capacity ahead of the FY21 peak season.
- Extending the UK factory from 45,000 to 80,000+ sq ft in order to install a fourth truffle-making line, a second Velvetiser refill line which more than triples capacity, and a new bean-to-bar facility for super-premium single origin chocolates and vegan Nutmilk chocolate. All of the new capacity will be commissioned this winter.
July 2021 
- raised a further £40m in equity to fund the next phase of expansion to provide the capacity to support the six fast-growth drivers: extend factory over next 3 years from 80K to 160K. Once installed should support 500m in revenues. 
</t>
        </r>
      </text>
    </comment>
    <comment ref="C267" authorId="0" shapeId="0" xr:uid="{93A74241-4967-431D-9B47-16D20D7A9FDA}">
      <text>
        <r>
          <rPr>
            <b/>
            <sz val="9"/>
            <color indexed="81"/>
            <rFont val="Tahoma"/>
            <family val="2"/>
          </rPr>
          <t>Author:</t>
        </r>
        <r>
          <rPr>
            <sz val="9"/>
            <color indexed="81"/>
            <rFont val="Tahoma"/>
            <family val="2"/>
          </rPr>
          <t xml:space="preserve">
Est. figure</t>
        </r>
      </text>
    </comment>
    <comment ref="D304" authorId="0" shapeId="0" xr:uid="{AB262B73-E2FF-4524-8768-14F3CDC3533C}">
      <text>
        <r>
          <rPr>
            <b/>
            <sz val="9"/>
            <color indexed="81"/>
            <rFont val="Tahoma"/>
            <family val="2"/>
          </rPr>
          <t>Author:</t>
        </r>
        <r>
          <rPr>
            <sz val="9"/>
            <color indexed="81"/>
            <rFont val="Tahoma"/>
            <family val="2"/>
          </rPr>
          <t xml:space="preserve">
</t>
        </r>
        <r>
          <rPr>
            <b/>
            <u/>
            <sz val="9"/>
            <color indexed="81"/>
            <rFont val="Tahoma"/>
            <family val="2"/>
          </rPr>
          <t>HOTC Pre-lims 2021:</t>
        </r>
        <r>
          <rPr>
            <sz val="9"/>
            <color indexed="81"/>
            <rFont val="Tahoma"/>
            <family val="2"/>
          </rPr>
          <t xml:space="preserve">
Financial Overview:
- Operating expenses increased by 19%, due to deliberate growth investments and temporarily due to the blend of fixed costs for stores that were closed or disrupted for almost six months combined with additional variable costs due to strong digital growth
</t>
        </r>
        <r>
          <rPr>
            <b/>
            <u/>
            <sz val="9"/>
            <color indexed="81"/>
            <rFont val="Tahoma"/>
            <family val="2"/>
          </rPr>
          <t>Sales Review</t>
        </r>
        <r>
          <rPr>
            <sz val="9"/>
            <color indexed="81"/>
            <rFont val="Tahoma"/>
            <family val="2"/>
          </rPr>
          <t xml:space="preserve">
- UK: In FY21, our stores were closed or disrupted for almost six months. Historically stores were the largest channel by sales and profit value. Encouragingly, in the period since retail stores began re-opening on 12 April, we have seen growth accelerate, validating our belief in a multi-channel model as the best route to maximise customer lifetime value and shareholder returns.
- USA: we achieved overall sales growth of 36%1 , despite store sales falling 41%. The fulfilment partnership with The Hut Group means that we have a scaleable growth model that is capex-light with a cost base that is directly variable with sales volume, whilst we retain direct control of the brand, the customer base and the strategy.
- JAPAN: our joint venture partner opened a further 16 stores in FY21 bringing the total to 22. In Japan online sales penetration in general remains lower than the UK and USA, and malls remain vibrant as leisure destinations. The variable rent partnership model between tenant and landlord is a blueprint for other markets. Whilst Japan has not experienced mandatory lockdowns, a rolling programme of regional restrictions is ongoing, resulting in temporarily reduced footfall and sales per store. We remain confident in the longerterm prospects because our latest lifestyle store formats and product range are proving successful in carving out a differentiated brand identity in this huge and competitive market. VIP Me loyalty attachment is already approaching 50% of new store customers in Japan, delivering the benefits of a direct conversation that we have seen work so well in the UK.
</t>
        </r>
        <r>
          <rPr>
            <b/>
            <u/>
            <sz val="9"/>
            <color indexed="81"/>
            <rFont val="Tahoma"/>
            <family val="2"/>
          </rPr>
          <t>Brand Review:</t>
        </r>
        <r>
          <rPr>
            <sz val="9"/>
            <color indexed="81"/>
            <rFont val="Tahoma"/>
            <family val="2"/>
          </rPr>
          <t xml:space="preserve">
- We offer a slick and reliable delivered gift service. In the Period every one of our online metrics improved, from consideration and traffic, to conversion, average order value and frequency. Our store teams can help customers select the perfect gifts to hand over in person, whether for a family event or calendar cultural celebration. 
- In the year we launched much improved ranges for Valentine’s and White Day, the two largest gift events in Japan, which combined are larger gift events than Christmas in the UK. We also further extended our offer for Eid in the UK, thanks to the invaluable input of our team.
- IN-HOME = The success of the Velvetiser is supplemented by our cacao-alcohol range and our new range of coffees, available as whole beans or pods that can be recycled at home with our Podcycler device. This winter we will be launching a range of coffee machines in partnership with Dualit that complement the Velvetiser on the counter-top.
- LEISURE = Whether an impulsive pop-in visit to one of our stores or a planned trip to a café with friends or family, our stores offer something for everyone. Our self-purchase leisure business historically generated approximately half of our revenues. This part of the business was the most affected by the lengthy closure of stores in the UK. Since re-opening in April, performance has been strong.
</t>
        </r>
        <r>
          <rPr>
            <b/>
            <u/>
            <sz val="9"/>
            <color indexed="81"/>
            <rFont val="Tahoma"/>
            <family val="2"/>
          </rPr>
          <t xml:space="preserve"> SIX BUSINESS GROWTH DRIVERS </t>
        </r>
        <r>
          <rPr>
            <sz val="9"/>
            <color indexed="81"/>
            <rFont val="Tahoma"/>
            <family val="2"/>
          </rPr>
          <t xml:space="preserve">
Two years ago we activated additional growth levers to change the shape of the business. These six drivers are on track: 
- VELVETISER = The Velvetiser makes delicious hot chocolate with no fuss and no mess, with a range of 20 recipes, and more coming this autumn. Supported by subscriptions the continuity model results in very engaged customers, with higher frequency and materially higher lifetime value. 
- LOYALTY = Customer connection is a key element of our physical retail model. The VIP Me scheme was invaluable during lockdown and will continue to underpin our brand building. 
- DIGITAL = Our online channel offers the perfect solution for delivered gifts, whether for family celebrations or seasonal cultural events. 
- USA = Digital-led, supported by four stores. The Velvetiser provides the brand introduction with attractive lifetime value, supported by the opportunity to cross-sell the full chocolate seasonal gifting range. 
- GLOBAL WHOLESALE = Working with carefully selected digital partners to extend brand reach and convenience, each partner has a capsule range tailored to the needs of the customer profile. The Velvetiser and cacao-alcohols are key product categories, supported by supply partnerships they provide attractive returns and capex-light growth. 
- JAPAN JV Physical retail predominates in Japan. Due to cultural factors, population density and climate, malls remain vibrant and landlords continue to open new malls. Our lifestyle format is differentiated and proving popular both with customers and landlords.
</t>
        </r>
        <r>
          <rPr>
            <b/>
            <u/>
            <sz val="9"/>
            <color indexed="81"/>
            <rFont val="Tahoma"/>
            <family val="2"/>
          </rPr>
          <t>Operational Overview:</t>
        </r>
        <r>
          <rPr>
            <sz val="9"/>
            <color indexed="81"/>
            <rFont val="Tahoma"/>
            <family val="2"/>
          </rPr>
          <t xml:space="preserve">
- Expanding the distribution centre, from 100,000 to 200,000 sq ft to accommodate increased online despatch capacity ahead of the FY21 peak season.
- Extending the UK factory from 45,000 to 80,000+ sq ft in order to install a fourth truffle-making line, a second Velvetiser refill line which more than triples capacity, and a new bean-to-bar facility for super-premium single origin chocolates and vegan Nutmilk chocolate. All of the new capacity will be commissioned this winter.
July 2021 
- raised a further £40m in equity to fund the next phase of expansion to provide the capacity to support the six fast-growth drivers: extend factory over next 3 years from 80K to 160K. Once installed should support 500m in revenues. 
</t>
        </r>
      </text>
    </comment>
    <comment ref="C306" authorId="0" shapeId="0" xr:uid="{0BA5DA8B-D049-4531-8527-5BFE43E1B261}">
      <text>
        <r>
          <rPr>
            <b/>
            <sz val="9"/>
            <color indexed="81"/>
            <rFont val="Tahoma"/>
            <family val="2"/>
          </rPr>
          <t>Author:</t>
        </r>
        <r>
          <rPr>
            <sz val="9"/>
            <color indexed="81"/>
            <rFont val="Tahoma"/>
            <family val="2"/>
          </rPr>
          <t xml:space="preserve">
124 in UK and 2 in ireland</t>
        </r>
      </text>
    </comment>
    <comment ref="M306" authorId="0" shapeId="0" xr:uid="{486C1052-FE2F-41AE-8126-4D153EFF7248}">
      <text>
        <r>
          <rPr>
            <b/>
            <sz val="9"/>
            <color indexed="81"/>
            <rFont val="Tahoma"/>
            <family val="2"/>
          </rPr>
          <t>Author:</t>
        </r>
        <r>
          <rPr>
            <sz val="9"/>
            <color indexed="81"/>
            <rFont val="Tahoma"/>
            <family val="2"/>
          </rPr>
          <t xml:space="preserve">
124 in UK and 2 in ireland</t>
        </r>
      </text>
    </comment>
    <comment ref="B324" authorId="0" shapeId="0" xr:uid="{2C07CD84-4784-4514-A64A-7B3EED5DD9B5}">
      <text>
        <r>
          <rPr>
            <b/>
            <sz val="9"/>
            <color indexed="81"/>
            <rFont val="Tahoma"/>
            <family val="2"/>
          </rPr>
          <t>Author:</t>
        </r>
        <r>
          <rPr>
            <sz val="9"/>
            <color indexed="81"/>
            <rFont val="Tahoma"/>
            <family val="2"/>
          </rPr>
          <t xml:space="preserve">
DELIVERED AND TAKE HOME GIFTS FROM £5 TO £350</t>
        </r>
      </text>
    </comment>
    <comment ref="B329" authorId="0" shapeId="0" xr:uid="{ABCCC6F8-C467-4F19-8C0F-8D1A474DC812}">
      <text>
        <r>
          <rPr>
            <b/>
            <sz val="9"/>
            <color indexed="81"/>
            <rFont val="Tahoma"/>
            <family val="2"/>
          </rPr>
          <t>Author:</t>
        </r>
        <r>
          <rPr>
            <sz val="9"/>
            <color indexed="81"/>
            <rFont val="Tahoma"/>
            <family val="2"/>
          </rPr>
          <t xml:space="preserve">
PHYSICAL LOCATIONS; IMPULSE PRODUCTS, DRINKS, ICES AND FOOD, PLUS NEW DIGITALLY DELIVERED
EXPERIENCES </t>
        </r>
      </text>
    </comment>
    <comment ref="E330" authorId="0" shapeId="0" xr:uid="{10EECE08-3AE1-47D2-BB4F-764C6C832927}">
      <text>
        <r>
          <rPr>
            <b/>
            <sz val="9"/>
            <color indexed="81"/>
            <rFont val="Tahoma"/>
            <family val="2"/>
          </rPr>
          <t>Author:</t>
        </r>
        <r>
          <rPr>
            <sz val="9"/>
            <color indexed="81"/>
            <rFont val="Tahoma"/>
            <family val="2"/>
          </rPr>
          <t xml:space="preserve">
Source: Candean 2019, Harper Dennis Hobbs, 2019</t>
        </r>
      </text>
    </comment>
    <comment ref="E333" authorId="0" shapeId="0" xr:uid="{BF27EB66-B820-4A57-A73A-7E36F955027F}">
      <text>
        <r>
          <rPr>
            <b/>
            <sz val="9"/>
            <color indexed="81"/>
            <rFont val="Tahoma"/>
            <family val="2"/>
          </rPr>
          <t>Author:</t>
        </r>
        <r>
          <rPr>
            <sz val="9"/>
            <color indexed="81"/>
            <rFont val="Tahoma"/>
            <family val="2"/>
          </rPr>
          <t xml:space="preserve">
Source: Candean 2019, Harper Dennis Hobbs, 2019</t>
        </r>
      </text>
    </comment>
    <comment ref="B336" authorId="0" shapeId="0" xr:uid="{E5A6FFA5-1B6A-4C46-9AD6-AB5FA05B9CF2}">
      <text>
        <r>
          <rPr>
            <b/>
            <sz val="9"/>
            <color indexed="81"/>
            <rFont val="Tahoma"/>
            <family val="2"/>
          </rPr>
          <t>Author:</t>
        </r>
        <r>
          <rPr>
            <sz val="9"/>
            <color indexed="81"/>
            <rFont val="Tahoma"/>
            <family val="2"/>
          </rPr>
          <t xml:space="preserve">
In home &gt; velvetiser system + other subscription/recurring choc deliveries </t>
        </r>
      </text>
    </comment>
    <comment ref="D348" authorId="0" shapeId="0" xr:uid="{16F5FD9A-A58D-4608-97D8-3E8E0281113D}">
      <text>
        <r>
          <rPr>
            <b/>
            <sz val="9"/>
            <color indexed="81"/>
            <rFont val="Tahoma"/>
            <family val="2"/>
          </rPr>
          <t>Author:</t>
        </r>
        <r>
          <rPr>
            <sz val="9"/>
            <color indexed="81"/>
            <rFont val="Tahoma"/>
            <family val="2"/>
          </rPr>
          <t xml:space="preserve">
</t>
        </r>
        <r>
          <rPr>
            <b/>
            <u/>
            <sz val="9"/>
            <color indexed="81"/>
            <rFont val="Tahoma"/>
            <family val="2"/>
          </rPr>
          <t>HOTC Pre-lims 2021:</t>
        </r>
        <r>
          <rPr>
            <sz val="9"/>
            <color indexed="81"/>
            <rFont val="Tahoma"/>
            <family val="2"/>
          </rPr>
          <t xml:space="preserve">
Financial Overview:
- Operating expenses increased by 19%, due to deliberate growth investments and temporarily due to the blend of fixed costs for stores that were closed or disrupted for almost six months combined with additional variable costs due to strong digital growth
</t>
        </r>
        <r>
          <rPr>
            <b/>
            <u/>
            <sz val="9"/>
            <color indexed="81"/>
            <rFont val="Tahoma"/>
            <family val="2"/>
          </rPr>
          <t>Sales Review</t>
        </r>
        <r>
          <rPr>
            <sz val="9"/>
            <color indexed="81"/>
            <rFont val="Tahoma"/>
            <family val="2"/>
          </rPr>
          <t xml:space="preserve">
- UK: In FY21, our stores were closed or disrupted for almost six months. Historically stores were the largest channel by sales and profit value. Encouragingly, in the period since retail stores began re-opening on 12 April, we have seen growth accelerate, validating our belief in a multi-channel model as the best route to maximise customer lifetime value and shareholder returns.
- USA: we achieved overall sales growth of 36%1 , despite store sales falling 41%. The fulfilment partnership with The Hut Group means that we have a scaleable growth model that is capex-light with a cost base that is directly variable with sales volume, whilst we retain direct control of the brand, the customer base and the strategy.
- JAPAN: our joint venture partner opened a further 16 stores in FY21 bringing the total to 22. In Japan online sales penetration in general remains lower than the UK and USA, and malls remain vibrant as leisure destinations. The variable rent partnership model between tenant and landlord is a blueprint for other markets. Whilst Japan has not experienced mandatory lockdowns, a rolling programme of regional restrictions is ongoing, resulting in temporarily reduced footfall and sales per store. We remain confident in the longerterm prospects because our latest lifestyle store formats and product range are proving successful in carving out a differentiated brand identity in this huge and competitive market. VIP Me loyalty attachment is already approaching 50% of new store customers in Japan, delivering the benefits of a direct conversation that we have seen work so well in the UK.
</t>
        </r>
        <r>
          <rPr>
            <b/>
            <u/>
            <sz val="9"/>
            <color indexed="81"/>
            <rFont val="Tahoma"/>
            <family val="2"/>
          </rPr>
          <t>Brand Review:</t>
        </r>
        <r>
          <rPr>
            <sz val="9"/>
            <color indexed="81"/>
            <rFont val="Tahoma"/>
            <family val="2"/>
          </rPr>
          <t xml:space="preserve">
- We offer a slick and reliable delivered gift service. In the Period every one of our online metrics improved, from consideration and traffic, to conversion, average order value and frequency. Our store teams can help customers select the perfect gifts to hand over in person, whether for a family event or calendar cultural celebration. 
- In the year we launched much improved ranges for Valentine’s and White Day, the two largest gift events in Japan, which combined are larger gift events than Christmas in the UK. We also further extended our offer for Eid in the UK, thanks to the invaluable input of our team.
- IN-HOME = The success of the Velvetiser is supplemented by our cacao-alcohol range and our new range of coffees, available as whole beans or pods that can be recycled at home with our Podcycler device. This winter we will be launching a range of coffee machines in partnership with Dualit that complement the Velvetiser on the counter-top.
- LEISURE = Whether an impulsive pop-in visit to one of our stores or a planned trip to a café with friends or family, our stores offer something for everyone. Our self-purchase leisure business historically generated approximately half of our revenues. This part of the business was the most affected by the lengthy closure of stores in the UK. Since re-opening in April, performance has been strong.
</t>
        </r>
        <r>
          <rPr>
            <b/>
            <u/>
            <sz val="9"/>
            <color indexed="81"/>
            <rFont val="Tahoma"/>
            <family val="2"/>
          </rPr>
          <t xml:space="preserve"> SIX BUSINESS GROWTH DRIVERS </t>
        </r>
        <r>
          <rPr>
            <sz val="9"/>
            <color indexed="81"/>
            <rFont val="Tahoma"/>
            <family val="2"/>
          </rPr>
          <t xml:space="preserve">
Two years ago we activated additional growth levers to change the shape of the business. These six drivers are on track: 
- VELVETISER = The Velvetiser makes delicious hot chocolate with no fuss and no mess, with a range of 20 recipes, and more coming this autumn. Supported by subscriptions the continuity model results in very engaged customers, with higher frequency and materially higher lifetime value. 
- LOYALTY = Customer connection is a key element of our physical retail model. The VIP Me scheme was invaluable during lockdown and will continue to underpin our brand building. 
- DIGITAL = Our online channel offers the perfect solution for delivered gifts, whether for family celebrations or seasonal cultural events. 
- USA = Digital-led, supported by four stores. The Velvetiser provides the brand introduction with attractive lifetime value, supported by the opportunity to cross-sell the full chocolate seasonal gifting range. 
- GLOBAL WHOLESALE = Working with carefully selected digital partners to extend brand reach and convenience, each partner has a capsule range tailored to the needs of the customer profile. The Velvetiser and cacao-alcohols are key product categories, supported by supply partnerships they provide attractive returns and capex-light growth. 
- JAPAN JV Physical retail predominates in Japan. Due to cultural factors, population density and climate, malls remain vibrant and landlords continue to open new malls. Our lifestyle format is differentiated and proving popular both with customers and landlords.
</t>
        </r>
        <r>
          <rPr>
            <b/>
            <u/>
            <sz val="9"/>
            <color indexed="81"/>
            <rFont val="Tahoma"/>
            <family val="2"/>
          </rPr>
          <t>Operational Overview:</t>
        </r>
        <r>
          <rPr>
            <sz val="9"/>
            <color indexed="81"/>
            <rFont val="Tahoma"/>
            <family val="2"/>
          </rPr>
          <t xml:space="preserve">
- Expanding the distribution centre, from 100,000 to 200,000 sq ft to accommodate increased online despatch capacity ahead of the FY21 peak season.
- Extending the UK factory from 45,000 to 80,000+ sq ft in order to install a fourth truffle-making line, a second Velvetiser refill line which more than triples capacity, and a new bean-to-bar facility for super-premium single origin chocolates and vegan Nutmilk chocolate. All of the new capacity will be commissioned this winter.
July 2021 
- raised a further £40m in equity to fund the next phase of expansion to provide the capacity to support the six fast-growth drivers: extend factory over next 3 years from 80K to 160K. Once installed should support 500m in revenues. 
</t>
        </r>
      </text>
    </comment>
    <comment ref="D366" authorId="0" shapeId="0" xr:uid="{5B97FEF9-FE78-45BC-BB77-B2FBB0DA7DD7}">
      <text>
        <r>
          <rPr>
            <b/>
            <sz val="9"/>
            <color indexed="81"/>
            <rFont val="Tahoma"/>
            <family val="2"/>
          </rPr>
          <t>Author:</t>
        </r>
        <r>
          <rPr>
            <sz val="9"/>
            <color indexed="81"/>
            <rFont val="Tahoma"/>
            <family val="2"/>
          </rPr>
          <t xml:space="preserve">
</t>
        </r>
        <r>
          <rPr>
            <b/>
            <u/>
            <sz val="9"/>
            <color indexed="81"/>
            <rFont val="Tahoma"/>
            <family val="2"/>
          </rPr>
          <t>HOTC Pre-lims 2021:</t>
        </r>
        <r>
          <rPr>
            <sz val="9"/>
            <color indexed="81"/>
            <rFont val="Tahoma"/>
            <family val="2"/>
          </rPr>
          <t xml:space="preserve">
Financial Overview:
- Operating expenses increased by 19%, due to deliberate growth investments and temporarily due to the blend of fixed costs for stores that were closed or disrupted for almost six months combined with additional variable costs due to strong digital growth
</t>
        </r>
        <r>
          <rPr>
            <b/>
            <u/>
            <sz val="9"/>
            <color indexed="81"/>
            <rFont val="Tahoma"/>
            <family val="2"/>
          </rPr>
          <t>Sales Review</t>
        </r>
        <r>
          <rPr>
            <sz val="9"/>
            <color indexed="81"/>
            <rFont val="Tahoma"/>
            <family val="2"/>
          </rPr>
          <t xml:space="preserve">
- UK: In FY21, our stores were closed or disrupted for almost six months. Historically stores were the largest channel by sales and profit value. Encouragingly, in the period since retail stores began re-opening on 12 April, we have seen growth accelerate, validating our belief in a multi-channel model as the best route to maximise customer lifetime value and shareholder returns.
- USA: we achieved overall sales growth of 36%1 , despite store sales falling 41%. The fulfilment partnership with The Hut Group means that we have a scaleable growth model that is capex-light with a cost base that is directly variable with sales volume, whilst we retain direct control of the brand, the customer base and the strategy.
- JAPAN: our joint venture partner opened a further 16 stores in FY21 bringing the total to 22. In Japan online sales penetration in general remains lower than the UK and USA, and malls remain vibrant as leisure destinations. The variable rent partnership model between tenant and landlord is a blueprint for other markets. Whilst Japan has not experienced mandatory lockdowns, a rolling programme of regional restrictions is ongoing, resulting in temporarily reduced footfall and sales per store. We remain confident in the longerterm prospects because our latest lifestyle store formats and product range are proving successful in carving out a differentiated brand identity in this huge and competitive market. VIP Me loyalty attachment is already approaching 50% of new store customers in Japan, delivering the benefits of a direct conversation that we have seen work so well in the UK.
</t>
        </r>
        <r>
          <rPr>
            <b/>
            <u/>
            <sz val="9"/>
            <color indexed="81"/>
            <rFont val="Tahoma"/>
            <family val="2"/>
          </rPr>
          <t>Brand Review:</t>
        </r>
        <r>
          <rPr>
            <sz val="9"/>
            <color indexed="81"/>
            <rFont val="Tahoma"/>
            <family val="2"/>
          </rPr>
          <t xml:space="preserve">
- We offer a slick and reliable delivered gift service. In the Period every one of our online metrics improved, from consideration and traffic, to conversion, average order value and frequency. Our store teams can help customers select the perfect gifts to hand over in person, whether for a family event or calendar cultural celebration. 
- In the year we launched much improved ranges for Valentine’s and White Day, the two largest gift events in Japan, which combined are larger gift events than Christmas in the UK. We also further extended our offer for Eid in the UK, thanks to the invaluable input of our team.
- IN-HOME = The success of the Velvetiser is supplemented by our cacao-alcohol range and our new range of coffees, available as whole beans or pods that can be recycled at home with our Podcycler device. This winter we will be launching a range of coffee machines in partnership with Dualit that complement the Velvetiser on the counter-top.
- LEISURE = Whether an impulsive pop-in visit to one of our stores or a planned trip to a café with friends or family, our stores offer something for everyone. Our self-purchase leisure business historically generated approximately half of our revenues. This part of the business was the most affected by the lengthy closure of stores in the UK. Since re-opening in April, performance has been strong.
</t>
        </r>
        <r>
          <rPr>
            <b/>
            <u/>
            <sz val="9"/>
            <color indexed="81"/>
            <rFont val="Tahoma"/>
            <family val="2"/>
          </rPr>
          <t xml:space="preserve"> SIX BUSINESS GROWTH DRIVERS </t>
        </r>
        <r>
          <rPr>
            <sz val="9"/>
            <color indexed="81"/>
            <rFont val="Tahoma"/>
            <family val="2"/>
          </rPr>
          <t xml:space="preserve">
Two years ago we activated additional growth levers to change the shape of the business. These six drivers are on track: 
- VELVETISER = The Velvetiser makes delicious hot chocolate with no fuss and no mess, with a range of 20 recipes, and more coming this autumn. Supported by subscriptions the continuity model results in very engaged customers, with higher frequency and materially higher lifetime value. 
- LOYALTY = Customer connection is a key element of our physical retail model. The VIP Me scheme was invaluable during lockdown and will continue to underpin our brand building. 
- DIGITAL = Our online channel offers the perfect solution for delivered gifts, whether for family celebrations or seasonal cultural events. 
- USA = Digital-led, supported by four stores. The Velvetiser provides the brand introduction with attractive lifetime value, supported by the opportunity to cross-sell the full chocolate seasonal gifting range. 
- GLOBAL WHOLESALE = Working with carefully selected digital partners to extend brand reach and convenience, each partner has a capsule range tailored to the needs of the customer profile. The Velvetiser and cacao-alcohols are key product categories, supported by supply partnerships they provide attractive returns and capex-light growth. 
- JAPAN JV Physical retail predominates in Japan. Due to cultural factors, population density and climate, malls remain vibrant and landlords continue to open new malls. Our lifestyle format is differentiated and proving popular both with customers and landlords.
</t>
        </r>
        <r>
          <rPr>
            <b/>
            <u/>
            <sz val="9"/>
            <color indexed="81"/>
            <rFont val="Tahoma"/>
            <family val="2"/>
          </rPr>
          <t>Operational Overview:</t>
        </r>
        <r>
          <rPr>
            <sz val="9"/>
            <color indexed="81"/>
            <rFont val="Tahoma"/>
            <family val="2"/>
          </rPr>
          <t xml:space="preserve">
- Expanding the distribution centre, from 100,000 to 200,000 sq ft to accommodate increased online despatch capacity ahead of the FY21 peak season.
- Extending the UK factory from 45,000 to 80,000+ sq ft in order to install a fourth truffle-making line, a second Velvetiser refill line which more than triples capacity, and a new bean-to-bar facility for super-premium single origin chocolates and vegan Nutmilk chocolate. All of the new capacity will be commissioned this winter.
July 2021 
- raised a further £40m in equity to fund the next phase of expansion to provide the capacity to support the six fast-growth drivers: extend factory over next 3 years from 80K to 160K. Once installed should support 500m in revenues. 
</t>
        </r>
      </text>
    </comment>
    <comment ref="M367" authorId="0" shapeId="0" xr:uid="{D2D61494-BA11-492B-9F25-D325CD810F35}">
      <text>
        <r>
          <rPr>
            <b/>
            <sz val="9"/>
            <color indexed="81"/>
            <rFont val="Tahoma"/>
            <family val="2"/>
          </rPr>
          <t>Author:</t>
        </r>
        <r>
          <rPr>
            <sz val="9"/>
            <color indexed="81"/>
            <rFont val="Tahoma"/>
            <family val="2"/>
          </rPr>
          <t xml:space="preserve">
UK &amp; ROW? </t>
        </r>
      </text>
    </comment>
    <comment ref="D388" authorId="0" shapeId="0" xr:uid="{B96D4289-DD71-4F6C-B8D2-01FCE2919416}">
      <text>
        <r>
          <rPr>
            <b/>
            <sz val="9"/>
            <color indexed="81"/>
            <rFont val="Tahoma"/>
            <family val="2"/>
          </rPr>
          <t>Author:</t>
        </r>
        <r>
          <rPr>
            <sz val="9"/>
            <color indexed="81"/>
            <rFont val="Tahoma"/>
            <family val="2"/>
          </rPr>
          <t xml:space="preserve">
</t>
        </r>
        <r>
          <rPr>
            <b/>
            <u/>
            <sz val="9"/>
            <color indexed="81"/>
            <rFont val="Tahoma"/>
            <family val="2"/>
          </rPr>
          <t>HOTC Pre-lims 2021:</t>
        </r>
        <r>
          <rPr>
            <sz val="9"/>
            <color indexed="81"/>
            <rFont val="Tahoma"/>
            <family val="2"/>
          </rPr>
          <t xml:space="preserve">
Financial Overview:
- Operating expenses increased by 19%, due to deliberate growth investments and temporarily due to the blend of fixed costs for stores that were closed or disrupted for almost six months combined with additional variable costs due to strong digital growth
</t>
        </r>
        <r>
          <rPr>
            <b/>
            <u/>
            <sz val="9"/>
            <color indexed="81"/>
            <rFont val="Tahoma"/>
            <family val="2"/>
          </rPr>
          <t>Sales Review</t>
        </r>
        <r>
          <rPr>
            <sz val="9"/>
            <color indexed="81"/>
            <rFont val="Tahoma"/>
            <family val="2"/>
          </rPr>
          <t xml:space="preserve">
- UK: In FY21, our stores were closed or disrupted for almost six months. Historically stores were the largest channel by sales and profit value. Encouragingly, in the period since retail stores began re-opening on 12 April, we have seen growth accelerate, validating our belief in a multi-channel model as the best route to maximise customer lifetime value and shareholder returns.
- USA: we achieved overall sales growth of 36%1 , despite store sales falling 41%. The fulfilment partnership with The Hut Group means that we have a scaleable growth model that is capex-light with a cost base that is directly variable with sales volume, whilst we retain direct control of the brand, the customer base and the strategy.
- JAPAN: our joint venture partner opened a further 16 stores in FY21 bringing the total to 22. In Japan online sales penetration in general remains lower than the UK and USA, and malls remain vibrant as leisure destinations. The variable rent partnership model between tenant and landlord is a blueprint for other markets. Whilst Japan has not experienced mandatory lockdowns, a rolling programme of regional restrictions is ongoing, resulting in temporarily reduced footfall and sales per store. We remain confident in the longerterm prospects because our latest lifestyle store formats and product range are proving successful in carving out a differentiated brand identity in this huge and competitive market. VIP Me loyalty attachment is already approaching 50% of new store customers in Japan, delivering the benefits of a direct conversation that we have seen work so well in the UK.
</t>
        </r>
        <r>
          <rPr>
            <b/>
            <u/>
            <sz val="9"/>
            <color indexed="81"/>
            <rFont val="Tahoma"/>
            <family val="2"/>
          </rPr>
          <t>Brand Review:</t>
        </r>
        <r>
          <rPr>
            <sz val="9"/>
            <color indexed="81"/>
            <rFont val="Tahoma"/>
            <family val="2"/>
          </rPr>
          <t xml:space="preserve">
- We offer a slick and reliable delivered gift service. In the Period every one of our online metrics improved, from consideration and traffic, to conversion, average order value and frequency. Our store teams can help customers select the perfect gifts to hand over in person, whether for a family event or calendar cultural celebration. 
- In the year we launched much improved ranges for Valentine’s and White Day, the two largest gift events in Japan, which combined are larger gift events than Christmas in the UK. We also further extended our offer for Eid in the UK, thanks to the invaluable input of our team.
- IN-HOME = The success of the Velvetiser is supplemented by our cacao-alcohol range and our new range of coffees, available as whole beans or pods that can be recycled at home with our Podcycler device. This winter we will be launching a range of coffee machines in partnership with Dualit that complement the Velvetiser on the counter-top.
- LEISURE = Whether an impulsive pop-in visit to one of our stores or a planned trip to a café with friends or family, our stores offer something for everyone. Our self-purchase leisure business historically generated approximately half of our revenues. This part of the business was the most affected by the lengthy closure of stores in the UK. Since re-opening in April, performance has been strong.
</t>
        </r>
        <r>
          <rPr>
            <b/>
            <u/>
            <sz val="9"/>
            <color indexed="81"/>
            <rFont val="Tahoma"/>
            <family val="2"/>
          </rPr>
          <t xml:space="preserve"> SIX BUSINESS GROWTH DRIVERS </t>
        </r>
        <r>
          <rPr>
            <sz val="9"/>
            <color indexed="81"/>
            <rFont val="Tahoma"/>
            <family val="2"/>
          </rPr>
          <t xml:space="preserve">
Two years ago we activated additional growth levers to change the shape of the business. These six drivers are on track: 
- VELVETISER = The Velvetiser makes delicious hot chocolate with no fuss and no mess, with a range of 20 recipes, and more coming this autumn. Supported by subscriptions the continuity model results in very engaged customers, with higher frequency and materially higher lifetime value. 
- LOYALTY = Customer connection is a key element of our physical retail model. The VIP Me scheme was invaluable during lockdown and will continue to underpin our brand building. 
- DIGITAL = Our online channel offers the perfect solution for delivered gifts, whether for family celebrations or seasonal cultural events. 
- USA = Digital-led, supported by four stores. The Velvetiser provides the brand introduction with attractive lifetime value, supported by the opportunity to cross-sell the full chocolate seasonal gifting range. 
- GLOBAL WHOLESALE = Working with carefully selected digital partners to extend brand reach and convenience, each partner has a capsule range tailored to the needs of the customer profile. The Velvetiser and cacao-alcohols are key product categories, supported by supply partnerships they provide attractive returns and capex-light growth. 
- JAPAN JV Physical retail predominates in Japan. Due to cultural factors, population density and climate, malls remain vibrant and landlords continue to open new malls. Our lifestyle format is differentiated and proving popular both with customers and landlords.
</t>
        </r>
        <r>
          <rPr>
            <b/>
            <u/>
            <sz val="9"/>
            <color indexed="81"/>
            <rFont val="Tahoma"/>
            <family val="2"/>
          </rPr>
          <t>Operational Overview:</t>
        </r>
        <r>
          <rPr>
            <sz val="9"/>
            <color indexed="81"/>
            <rFont val="Tahoma"/>
            <family val="2"/>
          </rPr>
          <t xml:space="preserve">
- Expanding the distribution centre, from 100,000 to 200,000 sq ft to accommodate increased online despatch capacity ahead of the FY21 peak season.
- Extending the UK factory from 45,000 to 80,000+ sq ft in order to install a fourth truffle-making line, a second Velvetiser refill line which more than triples capacity, and a new bean-to-bar facility for super-premium single origin chocolates and vegan Nutmilk chocolate. All of the new capacity will be commissioned this winter.
July 2021 
- raised a further £40m in equity to fund the next phase of expansion to provide the capacity to support the six fast-growth drivers: extend factory over next 3 years from 80K to 160K. Once installed should support 500m in revenues. 
</t>
        </r>
      </text>
    </comment>
    <comment ref="D412" authorId="0" shapeId="0" xr:uid="{47C3AB3B-5052-466F-B4C5-98BE95CE21DF}">
      <text>
        <r>
          <rPr>
            <b/>
            <sz val="9"/>
            <color indexed="81"/>
            <rFont val="Tahoma"/>
            <family val="2"/>
          </rPr>
          <t>Author:</t>
        </r>
        <r>
          <rPr>
            <sz val="9"/>
            <color indexed="81"/>
            <rFont val="Tahoma"/>
            <family val="2"/>
          </rPr>
          <t xml:space="preserve">
</t>
        </r>
        <r>
          <rPr>
            <b/>
            <u/>
            <sz val="9"/>
            <color indexed="81"/>
            <rFont val="Tahoma"/>
            <family val="2"/>
          </rPr>
          <t>HOTC Pre-lims 2021:</t>
        </r>
        <r>
          <rPr>
            <sz val="9"/>
            <color indexed="81"/>
            <rFont val="Tahoma"/>
            <family val="2"/>
          </rPr>
          <t xml:space="preserve">
Financial Overview:
- Operating expenses increased by 19%, due to deliberate growth investments and temporarily due to the blend of fixed costs for stores that were closed or disrupted for almost six months combined with additional variable costs due to strong digital growth
</t>
        </r>
        <r>
          <rPr>
            <b/>
            <u/>
            <sz val="9"/>
            <color indexed="81"/>
            <rFont val="Tahoma"/>
            <family val="2"/>
          </rPr>
          <t>Sales Review</t>
        </r>
        <r>
          <rPr>
            <sz val="9"/>
            <color indexed="81"/>
            <rFont val="Tahoma"/>
            <family val="2"/>
          </rPr>
          <t xml:space="preserve">
- UK: In FY21, our stores were closed or disrupted for almost six months. Historically stores were the largest channel by sales and profit value. Encouragingly, in the period since retail stores began re-opening on 12 April, we have seen growth accelerate, validating our belief in a multi-channel model as the best route to maximise customer lifetime value and shareholder returns.
- USA: we achieved overall sales growth of 36%1 , despite store sales falling 41%. The fulfilment partnership with The Hut Group means that we have a scaleable growth model that is capex-light with a cost base that is directly variable with sales volume, whilst we retain direct control of the brand, the customer base and the strategy.
- JAPAN: our joint venture partner opened a further 16 stores in FY21 bringing the total to 22. In Japan online sales penetration in general remains lower than the UK and USA, and malls remain vibrant as leisure destinations. The variable rent partnership model between tenant and landlord is a blueprint for other markets. Whilst Japan has not experienced mandatory lockdowns, a rolling programme of regional restrictions is ongoing, resulting in temporarily reduced footfall and sales per store. We remain confident in the longerterm prospects because our latest lifestyle store formats and product range are proving successful in carving out a differentiated brand identity in this huge and competitive market. VIP Me loyalty attachment is already approaching 50% of new store customers in Japan, delivering the benefits of a direct conversation that we have seen work so well in the UK.
</t>
        </r>
        <r>
          <rPr>
            <b/>
            <u/>
            <sz val="9"/>
            <color indexed="81"/>
            <rFont val="Tahoma"/>
            <family val="2"/>
          </rPr>
          <t>Brand Review:</t>
        </r>
        <r>
          <rPr>
            <sz val="9"/>
            <color indexed="81"/>
            <rFont val="Tahoma"/>
            <family val="2"/>
          </rPr>
          <t xml:space="preserve">
- We offer a slick and reliable delivered gift service. In the Period every one of our online metrics improved, from consideration and traffic, to conversion, average order value and frequency. Our store teams can help customers select the perfect gifts to hand over in person, whether for a family event or calendar cultural celebration. 
- In the year we launched much improved ranges for Valentine’s and White Day, the two largest gift events in Japan, which combined are larger gift events than Christmas in the UK. We also further extended our offer for Eid in the UK, thanks to the invaluable input of our team.
- IN-HOME = The success of the Velvetiser is supplemented by our cacao-alcohol range and our new range of coffees, available as whole beans or pods that can be recycled at home with our Podcycler device. This winter we will be launching a range of coffee machines in partnership with Dualit that complement the Velvetiser on the counter-top.
- LEISURE = Whether an impulsive pop-in visit to one of our stores or a planned trip to a café with friends or family, our stores offer something for everyone. Our self-purchase leisure business historically generated approximately half of our revenues. This part of the business was the most affected by the lengthy closure of stores in the UK. Since re-opening in April, performance has been strong.
</t>
        </r>
        <r>
          <rPr>
            <b/>
            <u/>
            <sz val="9"/>
            <color indexed="81"/>
            <rFont val="Tahoma"/>
            <family val="2"/>
          </rPr>
          <t xml:space="preserve"> SIX BUSINESS GROWTH DRIVERS </t>
        </r>
        <r>
          <rPr>
            <sz val="9"/>
            <color indexed="81"/>
            <rFont val="Tahoma"/>
            <family val="2"/>
          </rPr>
          <t xml:space="preserve">
Two years ago we activated additional growth levers to change the shape of the business. These six drivers are on track: 
- VELVETISER = The Velvetiser makes delicious hot chocolate with no fuss and no mess, with a range of 20 recipes, and more coming this autumn. Supported by subscriptions the continuity model results in very engaged customers, with higher frequency and materially higher lifetime value. 
- LOYALTY = Customer connection is a key element of our physical retail model. The VIP Me scheme was invaluable during lockdown and will continue to underpin our brand building. 
- DIGITAL = Our online channel offers the perfect solution for delivered gifts, whether for family celebrations or seasonal cultural events. 
- USA = Digital-led, supported by four stores. The Velvetiser provides the brand introduction with attractive lifetime value, supported by the opportunity to cross-sell the full chocolate seasonal gifting range. 
- GLOBAL WHOLESALE = Working with carefully selected digital partners to extend brand reach and convenience, each partner has a capsule range tailored to the needs of the customer profile. The Velvetiser and cacao-alcohols are key product categories, supported by supply partnerships they provide attractive returns and capex-light growth. 
- JAPAN JV Physical retail predominates in Japan. Due to cultural factors, population density and climate, malls remain vibrant and landlords continue to open new malls. Our lifestyle format is differentiated and proving popular both with customers and landlords.
</t>
        </r>
        <r>
          <rPr>
            <b/>
            <u/>
            <sz val="9"/>
            <color indexed="81"/>
            <rFont val="Tahoma"/>
            <family val="2"/>
          </rPr>
          <t>Operational Overview:</t>
        </r>
        <r>
          <rPr>
            <sz val="9"/>
            <color indexed="81"/>
            <rFont val="Tahoma"/>
            <family val="2"/>
          </rPr>
          <t xml:space="preserve">
- Expanding the distribution centre, from 100,000 to 200,000 sq ft to accommodate increased online despatch capacity ahead of the FY21 peak season.
- Extending the UK factory from 45,000 to 80,000+ sq ft in order to install a fourth truffle-making line, a second Velvetiser refill line which more than triples capacity, and a new bean-to-bar facility for super-premium single origin chocolates and vegan Nutmilk chocolate. All of the new capacity will be commissioned this winter.
July 2021 
- raised a further £40m in equity to fund the next phase of expansion to provide the capacity to support the six fast-growth drivers: extend factory over next 3 years from 80K to 160K. Once installed should support 500m in revenues. 
</t>
        </r>
      </text>
    </comment>
    <comment ref="D429" authorId="0" shapeId="0" xr:uid="{69E7B682-8B7A-4B10-B593-FB224E63DC01}">
      <text>
        <r>
          <rPr>
            <b/>
            <sz val="9"/>
            <color indexed="81"/>
            <rFont val="Tahoma"/>
            <family val="2"/>
          </rPr>
          <t>Author:</t>
        </r>
        <r>
          <rPr>
            <sz val="9"/>
            <color indexed="81"/>
            <rFont val="Tahoma"/>
            <family val="2"/>
          </rPr>
          <t xml:space="preserve">
</t>
        </r>
        <r>
          <rPr>
            <b/>
            <u/>
            <sz val="9"/>
            <color indexed="81"/>
            <rFont val="Tahoma"/>
            <family val="2"/>
          </rPr>
          <t>HOTC Pre-lims 2021:</t>
        </r>
        <r>
          <rPr>
            <sz val="9"/>
            <color indexed="81"/>
            <rFont val="Tahoma"/>
            <family val="2"/>
          </rPr>
          <t xml:space="preserve">
Financial Overview:
- Operating expenses increased by 19%, due to deliberate growth investments and temporarily due to the blend of fixed costs for stores that were closed or disrupted for almost six months combined with additional variable costs due to strong digital growth
</t>
        </r>
        <r>
          <rPr>
            <b/>
            <u/>
            <sz val="9"/>
            <color indexed="81"/>
            <rFont val="Tahoma"/>
            <family val="2"/>
          </rPr>
          <t>Sales Review</t>
        </r>
        <r>
          <rPr>
            <sz val="9"/>
            <color indexed="81"/>
            <rFont val="Tahoma"/>
            <family val="2"/>
          </rPr>
          <t xml:space="preserve">
- UK: In FY21, our stores were closed or disrupted for almost six months. Historically stores were the largest channel by sales and profit value. Encouragingly, in the period since retail stores began re-opening on 12 April, we have seen growth accelerate, validating our belief in a multi-channel model as the best route to maximise customer lifetime value and shareholder returns.
- USA: we achieved overall sales growth of 36%1 , despite store sales falling 41%. The fulfilment partnership with The Hut Group means that we have a scaleable growth model that is capex-light with a cost base that is directly variable with sales volume, whilst we retain direct control of the brand, the customer base and the strategy.
- JAPAN: our joint venture partner opened a further 16 stores in FY21 bringing the total to 22. In Japan online sales penetration in general remains lower than the UK and USA, and malls remain vibrant as leisure destinations. The variable rent partnership model between tenant and landlord is a blueprint for other markets. Whilst Japan has not experienced mandatory lockdowns, a rolling programme of regional restrictions is ongoing, resulting in temporarily reduced footfall and sales per store. We remain confident in the longerterm prospects because our latest lifestyle store formats and product range are proving successful in carving out a differentiated brand identity in this huge and competitive market. VIP Me loyalty attachment is already approaching 50% of new store customers in Japan, delivering the benefits of a direct conversation that we have seen work so well in the UK.
</t>
        </r>
        <r>
          <rPr>
            <b/>
            <u/>
            <sz val="9"/>
            <color indexed="81"/>
            <rFont val="Tahoma"/>
            <family val="2"/>
          </rPr>
          <t>Brand Review:</t>
        </r>
        <r>
          <rPr>
            <sz val="9"/>
            <color indexed="81"/>
            <rFont val="Tahoma"/>
            <family val="2"/>
          </rPr>
          <t xml:space="preserve">
- We offer a slick and reliable delivered gift service. In the Period every one of our online metrics improved, from consideration and traffic, to conversion, average order value and frequency. Our store teams can help customers select the perfect gifts to hand over in person, whether for a family event or calendar cultural celebration. 
- In the year we launched much improved ranges for Valentine’s and White Day, the two largest gift events in Japan, which combined are larger gift events than Christmas in the UK. We also further extended our offer for Eid in the UK, thanks to the invaluable input of our team.
- IN-HOME = The success of the Velvetiser is supplemented by our cacao-alcohol range and our new range of coffees, available as whole beans or pods that can be recycled at home with our Podcycler device. This winter we will be launching a range of coffee machines in partnership with Dualit that complement the Velvetiser on the counter-top.
- LEISURE = Whether an impulsive pop-in visit to one of our stores or a planned trip to a café with friends or family, our stores offer something for everyone. Our self-purchase leisure business historically generated approximately half of our revenues. This part of the business was the most affected by the lengthy closure of stores in the UK. Since re-opening in April, performance has been strong.
</t>
        </r>
        <r>
          <rPr>
            <b/>
            <u/>
            <sz val="9"/>
            <color indexed="81"/>
            <rFont val="Tahoma"/>
            <family val="2"/>
          </rPr>
          <t xml:space="preserve"> SIX BUSINESS GROWTH DRIVERS </t>
        </r>
        <r>
          <rPr>
            <sz val="9"/>
            <color indexed="81"/>
            <rFont val="Tahoma"/>
            <family val="2"/>
          </rPr>
          <t xml:space="preserve">
Two years ago we activated additional growth levers to change the shape of the business. These six drivers are on track: 
- VELVETISER = The Velvetiser makes delicious hot chocolate with no fuss and no mess, with a range of 20 recipes, and more coming this autumn. Supported by subscriptions the continuity model results in very engaged customers, with higher frequency and materially higher lifetime value. 
- LOYALTY = Customer connection is a key element of our physical retail model. The VIP Me scheme was invaluable during lockdown and will continue to underpin our brand building. 
- DIGITAL = Our online channel offers the perfect solution for delivered gifts, whether for family celebrations or seasonal cultural events. 
- USA = Digital-led, supported by four stores. The Velvetiser provides the brand introduction with attractive lifetime value, supported by the opportunity to cross-sell the full chocolate seasonal gifting range. 
- GLOBAL WHOLESALE = Working with carefully selected digital partners to extend brand reach and convenience, each partner has a capsule range tailored to the needs of the customer profile. The Velvetiser and cacao-alcohols are key product categories, supported by supply partnerships they provide attractive returns and capex-light growth. 
- JAPAN JV Physical retail predominates in Japan. Due to cultural factors, population density and climate, malls remain vibrant and landlords continue to open new malls. Our lifestyle format is differentiated and proving popular both with customers and landlords.
</t>
        </r>
        <r>
          <rPr>
            <b/>
            <u/>
            <sz val="9"/>
            <color indexed="81"/>
            <rFont val="Tahoma"/>
            <family val="2"/>
          </rPr>
          <t>Operational Overview:</t>
        </r>
        <r>
          <rPr>
            <sz val="9"/>
            <color indexed="81"/>
            <rFont val="Tahoma"/>
            <family val="2"/>
          </rPr>
          <t xml:space="preserve">
- Expanding the distribution centre, from 100,000 to 200,000 sq ft to accommodate increased online despatch capacity ahead of the FY21 peak season.
- Extending the UK factory from 45,000 to 80,000+ sq ft in order to install a fourth truffle-making line, a second Velvetiser refill line which more than triples capacity, and a new bean-to-bar facility for super-premium single origin chocolates and vegan Nutmilk chocolate. All of the new capacity will be commissioned this winter.
July 2021 
- raised a further £40m in equity to fund the next phase of expansion to provide the capacity to support the six fast-growth drivers: extend factory over next 3 years from 80K to 160K. Once installed should support 500m in revenues. 
</t>
        </r>
      </text>
    </comment>
    <comment ref="D440" authorId="0" shapeId="0" xr:uid="{BF7BFC53-7C7B-42A6-90C5-4D751E3F07A5}">
      <text>
        <r>
          <rPr>
            <b/>
            <sz val="9"/>
            <color indexed="81"/>
            <rFont val="Tahoma"/>
            <family val="2"/>
          </rPr>
          <t>Author:</t>
        </r>
        <r>
          <rPr>
            <sz val="9"/>
            <color indexed="81"/>
            <rFont val="Tahoma"/>
            <family val="2"/>
          </rPr>
          <t xml:space="preserve">
</t>
        </r>
        <r>
          <rPr>
            <b/>
            <u/>
            <sz val="9"/>
            <color indexed="81"/>
            <rFont val="Tahoma"/>
            <family val="2"/>
          </rPr>
          <t>HOTC Pre-lims 2021:</t>
        </r>
        <r>
          <rPr>
            <sz val="9"/>
            <color indexed="81"/>
            <rFont val="Tahoma"/>
            <family val="2"/>
          </rPr>
          <t xml:space="preserve">
Financial Overview:
- Operating expenses increased by 19%, due to deliberate growth investments and temporarily due to the blend of fixed costs for stores that were closed or disrupted for almost six months combined with additional variable costs due to strong digital growth
</t>
        </r>
        <r>
          <rPr>
            <b/>
            <u/>
            <sz val="9"/>
            <color indexed="81"/>
            <rFont val="Tahoma"/>
            <family val="2"/>
          </rPr>
          <t>Sales Review</t>
        </r>
        <r>
          <rPr>
            <sz val="9"/>
            <color indexed="81"/>
            <rFont val="Tahoma"/>
            <family val="2"/>
          </rPr>
          <t xml:space="preserve">
- UK: In FY21, our stores were closed or disrupted for almost six months. Historically stores were the largest channel by sales and profit value. Encouragingly, in the period since retail stores began re-opening on 12 April, we have seen growth accelerate, validating our belief in a multi-channel model as the best route to maximise customer lifetime value and shareholder returns.
- USA: we achieved overall sales growth of 36%1 , despite store sales falling 41%. The fulfilment partnership with The Hut Group means that we have a scaleable growth model that is capex-light with a cost base that is directly variable with sales volume, whilst we retain direct control of the brand, the customer base and the strategy.
- JAPAN: our joint venture partner opened a further 16 stores in FY21 bringing the total to 22. In Japan online sales penetration in general remains lower than the UK and USA, and malls remain vibrant as leisure destinations. The variable rent partnership model between tenant and landlord is a blueprint for other markets. Whilst Japan has not experienced mandatory lockdowns, a rolling programme of regional restrictions is ongoing, resulting in temporarily reduced footfall and sales per store. We remain confident in the longerterm prospects because our latest lifestyle store formats and product range are proving successful in carving out a differentiated brand identity in this huge and competitive market. VIP Me loyalty attachment is already approaching 50% of new store customers in Japan, delivering the benefits of a direct conversation that we have seen work so well in the UK.
</t>
        </r>
        <r>
          <rPr>
            <b/>
            <u/>
            <sz val="9"/>
            <color indexed="81"/>
            <rFont val="Tahoma"/>
            <family val="2"/>
          </rPr>
          <t>Brand Review:</t>
        </r>
        <r>
          <rPr>
            <sz val="9"/>
            <color indexed="81"/>
            <rFont val="Tahoma"/>
            <family val="2"/>
          </rPr>
          <t xml:space="preserve">
- We offer a slick and reliable delivered gift service. In the Period every one of our online metrics improved, from consideration and traffic, to conversion, average order value and frequency. Our store teams can help customers select the perfect gifts to hand over in person, whether for a family event or calendar cultural celebration. 
- In the year we launched much improved ranges for Valentine’s and White Day, the two largest gift events in Japan, which combined are larger gift events than Christmas in the UK. We also further extended our offer for Eid in the UK, thanks to the invaluable input of our team.
- IN-HOME = The success of the Velvetiser is supplemented by our cacao-alcohol range and our new range of coffees, available as whole beans or pods that can be recycled at home with our Podcycler device. This winter we will be launching a range of coffee machines in partnership with Dualit that complement the Velvetiser on the counter-top.
- LEISURE = Whether an impulsive pop-in visit to one of our stores or a planned trip to a café with friends or family, our stores offer something for everyone. Our self-purchase leisure business historically generated approximately half of our revenues. This part of the business was the most affected by the lengthy closure of stores in the UK. Since re-opening in April, performance has been strong.
</t>
        </r>
        <r>
          <rPr>
            <b/>
            <u/>
            <sz val="9"/>
            <color indexed="81"/>
            <rFont val="Tahoma"/>
            <family val="2"/>
          </rPr>
          <t xml:space="preserve"> SIX BUSINESS GROWTH DRIVERS </t>
        </r>
        <r>
          <rPr>
            <sz val="9"/>
            <color indexed="81"/>
            <rFont val="Tahoma"/>
            <family val="2"/>
          </rPr>
          <t xml:space="preserve">
Two years ago we activated additional growth levers to change the shape of the business. These six drivers are on track: 
- VELVETISER = The Velvetiser makes delicious hot chocolate with no fuss and no mess, with a range of 20 recipes, and more coming this autumn. Supported by subscriptions the continuity model results in very engaged customers, with higher frequency and materially higher lifetime value. 
- LOYALTY = Customer connection is a key element of our physical retail model. The VIP Me scheme was invaluable during lockdown and will continue to underpin our brand building. 
- DIGITAL = Our online channel offers the perfect solution for delivered gifts, whether for family celebrations or seasonal cultural events. 
- USA = Digital-led, supported by four stores. The Velvetiser provides the brand introduction with attractive lifetime value, supported by the opportunity to cross-sell the full chocolate seasonal gifting range. 
- GLOBAL WHOLESALE = Working with carefully selected digital partners to extend brand reach and convenience, each partner has a capsule range tailored to the needs of the customer profile. The Velvetiser and cacao-alcohols are key product categories, supported by supply partnerships they provide attractive returns and capex-light growth. 
- JAPAN JV Physical retail predominates in Japan. Due to cultural factors, population density and climate, malls remain vibrant and landlords continue to open new malls. Our lifestyle format is differentiated and proving popular both with customers and landlords.
</t>
        </r>
        <r>
          <rPr>
            <b/>
            <u/>
            <sz val="9"/>
            <color indexed="81"/>
            <rFont val="Tahoma"/>
            <family val="2"/>
          </rPr>
          <t>Operational Overview:</t>
        </r>
        <r>
          <rPr>
            <sz val="9"/>
            <color indexed="81"/>
            <rFont val="Tahoma"/>
            <family val="2"/>
          </rPr>
          <t xml:space="preserve">
- Expanding the distribution centre, from 100,000 to 200,000 sq ft to accommodate increased online despatch capacity ahead of the FY21 peak season.
- Extending the UK factory from 45,000 to 80,000+ sq ft in order to install a fourth truffle-making line, a second Velvetiser refill line which more than triples capacity, and a new bean-to-bar facility for super-premium single origin chocolates and vegan Nutmilk chocolate. All of the new capacity will be commissioned this winter.
July 2021 
- raised a further £40m in equity to fund the next phase of expansion to provide the capacity to support the six fast-growth drivers: extend factory over next 3 years from 80K to 160K. Once installed should support 500m in revenues. 
</t>
        </r>
      </text>
    </comment>
    <comment ref="D481" authorId="0" shapeId="0" xr:uid="{105AF147-5FD9-4B8E-846F-662B0B90DF9E}">
      <text>
        <r>
          <rPr>
            <b/>
            <sz val="9"/>
            <color indexed="81"/>
            <rFont val="Tahoma"/>
            <family val="2"/>
          </rPr>
          <t>Author:</t>
        </r>
        <r>
          <rPr>
            <sz val="9"/>
            <color indexed="81"/>
            <rFont val="Tahoma"/>
            <family val="2"/>
          </rPr>
          <t xml:space="preserve">
</t>
        </r>
        <r>
          <rPr>
            <b/>
            <u/>
            <sz val="9"/>
            <color indexed="81"/>
            <rFont val="Tahoma"/>
            <family val="2"/>
          </rPr>
          <t>HOTC Pre-lims 2021:</t>
        </r>
        <r>
          <rPr>
            <sz val="9"/>
            <color indexed="81"/>
            <rFont val="Tahoma"/>
            <family val="2"/>
          </rPr>
          <t xml:space="preserve">
Financial Overview:
- Operating expenses increased by 19%, due to deliberate growth investments and temporarily due to the blend of fixed costs for stores that were closed or disrupted for almost six months combined with additional variable costs due to strong digital growth
</t>
        </r>
        <r>
          <rPr>
            <b/>
            <u/>
            <sz val="9"/>
            <color indexed="81"/>
            <rFont val="Tahoma"/>
            <family val="2"/>
          </rPr>
          <t>Sales Review</t>
        </r>
        <r>
          <rPr>
            <sz val="9"/>
            <color indexed="81"/>
            <rFont val="Tahoma"/>
            <family val="2"/>
          </rPr>
          <t xml:space="preserve">
- UK: In FY21, our stores were closed or disrupted for almost six months. Historically stores were the largest channel by sales and profit value. Encouragingly, in the period since retail stores began re-opening on 12 April, we have seen growth accelerate, validating our belief in a multi-channel model as the best route to maximise customer lifetime value and shareholder returns.
- USA: we achieved overall sales growth of 36%1 , despite store sales falling 41%. The fulfilment partnership with The Hut Group means that we have a scaleable growth model that is capex-light with a cost base that is directly variable with sales volume, whilst we retain direct control of the brand, the customer base and the strategy.
- JAPAN: our joint venture partner opened a further 16 stores in FY21 bringing the total to 22. In Japan online sales penetration in general remains lower than the UK and USA, and malls remain vibrant as leisure destinations. The variable rent partnership model between tenant and landlord is a blueprint for other markets. Whilst Japan has not experienced mandatory lockdowns, a rolling programme of regional restrictions is ongoing, resulting in temporarily reduced footfall and sales per store. We remain confident in the longerterm prospects because our latest lifestyle store formats and product range are proving successful in carving out a differentiated brand identity in this huge and competitive market. VIP Me loyalty attachment is already approaching 50% of new store customers in Japan, delivering the benefits of a direct conversation that we have seen work so well in the UK.
</t>
        </r>
        <r>
          <rPr>
            <b/>
            <u/>
            <sz val="9"/>
            <color indexed="81"/>
            <rFont val="Tahoma"/>
            <family val="2"/>
          </rPr>
          <t>Brand Review:</t>
        </r>
        <r>
          <rPr>
            <sz val="9"/>
            <color indexed="81"/>
            <rFont val="Tahoma"/>
            <family val="2"/>
          </rPr>
          <t xml:space="preserve">
- We offer a slick and reliable delivered gift service. In the Period every one of our online metrics improved, from consideration and traffic, to conversion, average order value and frequency. Our store teams can help customers select the perfect gifts to hand over in person, whether for a family event or calendar cultural celebration. 
- In the year we launched much improved ranges for Valentine’s and White Day, the two largest gift events in Japan, which combined are larger gift events than Christmas in the UK. We also further extended our offer for Eid in the UK, thanks to the invaluable input of our team.
- IN-HOME = The success of the Velvetiser is supplemented by our cacao-alcohol range and our new range of coffees, available as whole beans or pods that can be recycled at home with our Podcycler device. This winter we will be launching a range of coffee machines in partnership with Dualit that complement the Velvetiser on the counter-top.
- LEISURE = Whether an impulsive pop-in visit to one of our stores or a planned trip to a café with friends or family, our stores offer something for everyone. Our self-purchase leisure business historically generated approximately half of our revenues. This part of the business was the most affected by the lengthy closure of stores in the UK. Since re-opening in April, performance has been strong.
</t>
        </r>
        <r>
          <rPr>
            <b/>
            <u/>
            <sz val="9"/>
            <color indexed="81"/>
            <rFont val="Tahoma"/>
            <family val="2"/>
          </rPr>
          <t xml:space="preserve"> SIX BUSINESS GROWTH DRIVERS </t>
        </r>
        <r>
          <rPr>
            <sz val="9"/>
            <color indexed="81"/>
            <rFont val="Tahoma"/>
            <family val="2"/>
          </rPr>
          <t xml:space="preserve">
Two years ago we activated additional growth levers to change the shape of the business. These six drivers are on track: 
- VELVETISER = The Velvetiser makes delicious hot chocolate with no fuss and no mess, with a range of 20 recipes, and more coming this autumn. Supported by subscriptions the continuity model results in very engaged customers, with higher frequency and materially higher lifetime value. 
- LOYALTY = Customer connection is a key element of our physical retail model. The VIP Me scheme was invaluable during lockdown and will continue to underpin our brand building. 
- DIGITAL = Our online channel offers the perfect solution for delivered gifts, whether for family celebrations or seasonal cultural events. 
- USA = Digital-led, supported by four stores. The Velvetiser provides the brand introduction with attractive lifetime value, supported by the opportunity to cross-sell the full chocolate seasonal gifting range. 
- GLOBAL WHOLESALE = Working with carefully selected digital partners to extend brand reach and convenience, each partner has a capsule range tailored to the needs of the customer profile. The Velvetiser and cacao-alcohols are key product categories, supported by supply partnerships they provide attractive returns and capex-light growth. 
- JAPAN JV Physical retail predominates in Japan. Due to cultural factors, population density and climate, malls remain vibrant and landlords continue to open new malls. Our lifestyle format is differentiated and proving popular both with customers and landlords.
</t>
        </r>
        <r>
          <rPr>
            <b/>
            <u/>
            <sz val="9"/>
            <color indexed="81"/>
            <rFont val="Tahoma"/>
            <family val="2"/>
          </rPr>
          <t>Operational Overview:</t>
        </r>
        <r>
          <rPr>
            <sz val="9"/>
            <color indexed="81"/>
            <rFont val="Tahoma"/>
            <family val="2"/>
          </rPr>
          <t xml:space="preserve">
- Expanding the distribution centre, from 100,000 to 200,000 sq ft to accommodate increased online despatch capacity ahead of the FY21 peak season.
- Extending the UK factory from 45,000 to 80,000+ sq ft in order to install a fourth truffle-making line, a second Velvetiser refill line which more than triples capacity, and a new bean-to-bar facility for super-premium single origin chocolates and vegan Nutmilk chocolate. All of the new capacity will be commissioned this winter.
July 2021 
- raised a further £40m in equity to fund the next phase of expansion to provide the capacity to support the six fast-growth drivers: extend factory over next 3 years from 80K to 160K. Once installed should support 500m in revenues. 
</t>
        </r>
      </text>
    </comment>
    <comment ref="D590" authorId="0" shapeId="0" xr:uid="{312DB720-22BF-4E58-AA7E-8005E229F653}">
      <text>
        <r>
          <rPr>
            <b/>
            <sz val="9"/>
            <color indexed="81"/>
            <rFont val="Tahoma"/>
            <family val="2"/>
          </rPr>
          <t>Author:</t>
        </r>
        <r>
          <rPr>
            <sz val="9"/>
            <color indexed="81"/>
            <rFont val="Tahoma"/>
            <family val="2"/>
          </rPr>
          <t xml:space="preserve">
</t>
        </r>
        <r>
          <rPr>
            <b/>
            <u/>
            <sz val="9"/>
            <color indexed="81"/>
            <rFont val="Tahoma"/>
            <family val="2"/>
          </rPr>
          <t>HOTC Pre-lims 2021:</t>
        </r>
        <r>
          <rPr>
            <sz val="9"/>
            <color indexed="81"/>
            <rFont val="Tahoma"/>
            <family val="2"/>
          </rPr>
          <t xml:space="preserve">
Financial Overview:
- Operating expenses increased by 19%, due to deliberate growth investments and temporarily due to the blend of fixed costs for stores that were closed or disrupted for almost six months combined with additional variable costs due to strong digital growth
</t>
        </r>
        <r>
          <rPr>
            <b/>
            <u/>
            <sz val="9"/>
            <color indexed="81"/>
            <rFont val="Tahoma"/>
            <family val="2"/>
          </rPr>
          <t>Sales Review</t>
        </r>
        <r>
          <rPr>
            <sz val="9"/>
            <color indexed="81"/>
            <rFont val="Tahoma"/>
            <family val="2"/>
          </rPr>
          <t xml:space="preserve">
- UK: In FY21, our stores were closed or disrupted for almost six months. Historically stores were the largest channel by sales and profit value. Encouragingly, in the period since retail stores began re-opening on 12 April, we have seen growth accelerate, validating our belief in a multi-channel model as the best route to maximise customer lifetime value and shareholder returns.
- USA: we achieved overall sales growth of 36%1 , despite store sales falling 41%. The fulfilment partnership with The Hut Group means that we have a scaleable growth model that is capex-light with a cost base that is directly variable with sales volume, whilst we retain direct control of the brand, the customer base and the strategy.
- JAPAN: our joint venture partner opened a further 16 stores in FY21 bringing the total to 22. In Japan online sales penetration in general remains lower than the UK and USA, and malls remain vibrant as leisure destinations. The variable rent partnership model between tenant and landlord is a blueprint for other markets. Whilst Japan has not experienced mandatory lockdowns, a rolling programme of regional restrictions is ongoing, resulting in temporarily reduced footfall and sales per store. We remain confident in the longerterm prospects because our latest lifestyle store formats and product range are proving successful in carving out a differentiated brand identity in this huge and competitive market. VIP Me loyalty attachment is already approaching 50% of new store customers in Japan, delivering the benefits of a direct conversation that we have seen work so well in the UK.
</t>
        </r>
        <r>
          <rPr>
            <b/>
            <u/>
            <sz val="9"/>
            <color indexed="81"/>
            <rFont val="Tahoma"/>
            <family val="2"/>
          </rPr>
          <t>Brand Review:</t>
        </r>
        <r>
          <rPr>
            <sz val="9"/>
            <color indexed="81"/>
            <rFont val="Tahoma"/>
            <family val="2"/>
          </rPr>
          <t xml:space="preserve">
- We offer a slick and reliable delivered gift service. In the Period every one of our online metrics improved, from consideration and traffic, to conversion, average order value and frequency. Our store teams can help customers select the perfect gifts to hand over in person, whether for a family event or calendar cultural celebration. 
- In the year we launched much improved ranges for Valentine’s and White Day, the two largest gift events in Japan, which combined are larger gift events than Christmas in the UK. We also further extended our offer for Eid in the UK, thanks to the invaluable input of our team.
- IN-HOME = The success of the Velvetiser is supplemented by our cacao-alcohol range and our new range of coffees, available as whole beans or pods that can be recycled at home with our Podcycler device. This winter we will be launching a range of coffee machines in partnership with Dualit that complement the Velvetiser on the counter-top.
- LEISURE = Whether an impulsive pop-in visit to one of our stores or a planned trip to a café with friends or family, our stores offer something for everyone. Our self-purchase leisure business historically generated approximately half of our revenues. This part of the business was the most affected by the lengthy closure of stores in the UK. Since re-opening in April, performance has been strong.
</t>
        </r>
        <r>
          <rPr>
            <b/>
            <u/>
            <sz val="9"/>
            <color indexed="81"/>
            <rFont val="Tahoma"/>
            <family val="2"/>
          </rPr>
          <t xml:space="preserve"> SIX BUSINESS GROWTH DRIVERS </t>
        </r>
        <r>
          <rPr>
            <sz val="9"/>
            <color indexed="81"/>
            <rFont val="Tahoma"/>
            <family val="2"/>
          </rPr>
          <t xml:space="preserve">
Two years ago we activated additional growth levers to change the shape of the business. These six drivers are on track: 
- VELVETISER = The Velvetiser makes delicious hot chocolate with no fuss and no mess, with a range of 20 recipes, and more coming this autumn. Supported by subscriptions the continuity model results in very engaged customers, with higher frequency and materially higher lifetime value. 
- LOYALTY = Customer connection is a key element of our physical retail model. The VIP Me scheme was invaluable during lockdown and will continue to underpin our brand building. 
- DIGITAL = Our online channel offers the perfect solution for delivered gifts, whether for family celebrations or seasonal cultural events. 
- USA = Digital-led, supported by four stores. The Velvetiser provides the brand introduction with attractive lifetime value, supported by the opportunity to cross-sell the full chocolate seasonal gifting range. 
- GLOBAL WHOLESALE = Working with carefully selected digital partners to extend brand reach and convenience, each partner has a capsule range tailored to the needs of the customer profile. The Velvetiser and cacao-alcohols are key product categories, supported by supply partnerships they provide attractive returns and capex-light growth. 
- JAPAN JV Physical retail predominates in Japan. Due to cultural factors, population density and climate, malls remain vibrant and landlords continue to open new malls. Our lifestyle format is differentiated and proving popular both with customers and landlords.
</t>
        </r>
        <r>
          <rPr>
            <b/>
            <u/>
            <sz val="9"/>
            <color indexed="81"/>
            <rFont val="Tahoma"/>
            <family val="2"/>
          </rPr>
          <t>Operational Overview:</t>
        </r>
        <r>
          <rPr>
            <sz val="9"/>
            <color indexed="81"/>
            <rFont val="Tahoma"/>
            <family val="2"/>
          </rPr>
          <t xml:space="preserve">
- Expanding the distribution centre, from 100,000 to 200,000 sq ft to accommodate increased online despatch capacity ahead of the FY21 peak season.
- Extending the UK factory from 45,000 to 80,000+ sq ft in order to install a fourth truffle-making line, a second Velvetiser refill line which more than triples capacity, and a new bean-to-bar facility for super-premium single origin chocolates and vegan Nutmilk chocolate. All of the new capacity will be commissioned this winter.
July 2021 
- raised a further £40m in equity to fund the next phase of expansion to provide the capacity to support the six fast-growth drivers: extend factory over next 3 years from 80K to 160K. Once installed should support 500m in revenues. 
</t>
        </r>
      </text>
    </comment>
    <comment ref="D609" authorId="0" shapeId="0" xr:uid="{CFD69B5B-5D9E-4AA9-A429-6AC83BD07B18}">
      <text>
        <r>
          <rPr>
            <b/>
            <sz val="9"/>
            <color indexed="81"/>
            <rFont val="Tahoma"/>
            <family val="2"/>
          </rPr>
          <t>Author:</t>
        </r>
        <r>
          <rPr>
            <sz val="9"/>
            <color indexed="81"/>
            <rFont val="Tahoma"/>
            <family val="2"/>
          </rPr>
          <t xml:space="preserve">
</t>
        </r>
        <r>
          <rPr>
            <b/>
            <u/>
            <sz val="9"/>
            <color indexed="81"/>
            <rFont val="Tahoma"/>
            <family val="2"/>
          </rPr>
          <t>HOTC Pre-lims 2021:</t>
        </r>
        <r>
          <rPr>
            <sz val="9"/>
            <color indexed="81"/>
            <rFont val="Tahoma"/>
            <family val="2"/>
          </rPr>
          <t xml:space="preserve">
Financial Overview:
- Operating expenses increased by 19%, due to deliberate growth investments and temporarily due to the blend of fixed costs for stores that were closed or disrupted for almost six months combined with additional variable costs due to strong digital growth
</t>
        </r>
        <r>
          <rPr>
            <b/>
            <u/>
            <sz val="9"/>
            <color indexed="81"/>
            <rFont val="Tahoma"/>
            <family val="2"/>
          </rPr>
          <t>Sales Review</t>
        </r>
        <r>
          <rPr>
            <sz val="9"/>
            <color indexed="81"/>
            <rFont val="Tahoma"/>
            <family val="2"/>
          </rPr>
          <t xml:space="preserve">
- UK: In FY21, our stores were closed or disrupted for almost six months. Historically stores were the largest channel by sales and profit value. Encouragingly, in the period since retail stores began re-opening on 12 April, we have seen growth accelerate, validating our belief in a multi-channel model as the best route to maximise customer lifetime value and shareholder returns.
- USA: we achieved overall sales growth of 36%1 , despite store sales falling 41%. The fulfilment partnership with The Hut Group means that we have a scaleable growth model that is capex-light with a cost base that is directly variable with sales volume, whilst we retain direct control of the brand, the customer base and the strategy.
- JAPAN: our joint venture partner opened a further 16 stores in FY21 bringing the total to 22. In Japan online sales penetration in general remains lower than the UK and USA, and malls remain vibrant as leisure destinations. The variable rent partnership model between tenant and landlord is a blueprint for other markets. Whilst Japan has not experienced mandatory lockdowns, a rolling programme of regional restrictions is ongoing, resulting in temporarily reduced footfall and sales per store. We remain confident in the longerterm prospects because our latest lifestyle store formats and product range are proving successful in carving out a differentiated brand identity in this huge and competitive market. VIP Me loyalty attachment is already approaching 50% of new store customers in Japan, delivering the benefits of a direct conversation that we have seen work so well in the UK.
</t>
        </r>
        <r>
          <rPr>
            <b/>
            <u/>
            <sz val="9"/>
            <color indexed="81"/>
            <rFont val="Tahoma"/>
            <family val="2"/>
          </rPr>
          <t>Brand Review:</t>
        </r>
        <r>
          <rPr>
            <sz val="9"/>
            <color indexed="81"/>
            <rFont val="Tahoma"/>
            <family val="2"/>
          </rPr>
          <t xml:space="preserve">
- We offer a slick and reliable delivered gift service. In the Period every one of our online metrics improved, from consideration and traffic, to conversion, average order value and frequency. Our store teams can help customers select the perfect gifts to hand over in person, whether for a family event or calendar cultural celebration. 
- In the year we launched much improved ranges for Valentine’s and White Day, the two largest gift events in Japan, which combined are larger gift events than Christmas in the UK. We also further extended our offer for Eid in the UK, thanks to the invaluable input of our team.
- IN-HOME = The success of the Velvetiser is supplemented by our cacao-alcohol range and our new range of coffees, available as whole beans or pods that can be recycled at home with our Podcycler device. This winter we will be launching a range of coffee machines in partnership with Dualit that complement the Velvetiser on the counter-top.
- LEISURE = Whether an impulsive pop-in visit to one of our stores or a planned trip to a café with friends or family, our stores offer something for everyone. Our self-purchase leisure business historically generated approximately half of our revenues. This part of the business was the most affected by the lengthy closure of stores in the UK. Since re-opening in April, performance has been strong.
</t>
        </r>
        <r>
          <rPr>
            <b/>
            <u/>
            <sz val="9"/>
            <color indexed="81"/>
            <rFont val="Tahoma"/>
            <family val="2"/>
          </rPr>
          <t xml:space="preserve"> SIX BUSINESS GROWTH DRIVERS </t>
        </r>
        <r>
          <rPr>
            <sz val="9"/>
            <color indexed="81"/>
            <rFont val="Tahoma"/>
            <family val="2"/>
          </rPr>
          <t xml:space="preserve">
Two years ago we activated additional growth levers to change the shape of the business. These six drivers are on track: 
- VELVETISER = The Velvetiser makes delicious hot chocolate with no fuss and no mess, with a range of 20 recipes, and more coming this autumn. Supported by subscriptions the continuity model results in very engaged customers, with higher frequency and materially higher lifetime value. 
- LOYALTY = Customer connection is a key element of our physical retail model. The VIP Me scheme was invaluable during lockdown and will continue to underpin our brand building. 
- DIGITAL = Our online channel offers the perfect solution for delivered gifts, whether for family celebrations or seasonal cultural events. 
- USA = Digital-led, supported by four stores. The Velvetiser provides the brand introduction with attractive lifetime value, supported by the opportunity to cross-sell the full chocolate seasonal gifting range. 
- GLOBAL WHOLESALE = Working with carefully selected digital partners to extend brand reach and convenience, each partner has a capsule range tailored to the needs of the customer profile. The Velvetiser and cacao-alcohols are key product categories, supported by supply partnerships they provide attractive returns and capex-light growth. 
- JAPAN JV Physical retail predominates in Japan. Due to cultural factors, population density and climate, malls remain vibrant and landlords continue to open new malls. Our lifestyle format is differentiated and proving popular both with customers and landlords.
</t>
        </r>
        <r>
          <rPr>
            <b/>
            <u/>
            <sz val="9"/>
            <color indexed="81"/>
            <rFont val="Tahoma"/>
            <family val="2"/>
          </rPr>
          <t>Operational Overview:</t>
        </r>
        <r>
          <rPr>
            <sz val="9"/>
            <color indexed="81"/>
            <rFont val="Tahoma"/>
            <family val="2"/>
          </rPr>
          <t xml:space="preserve">
- Expanding the distribution centre, from 100,000 to 200,000 sq ft to accommodate increased online despatch capacity ahead of the FY21 peak season.
- Extending the UK factory from 45,000 to 80,000+ sq ft in order to install a fourth truffle-making line, a second Velvetiser refill line which more than triples capacity, and a new bean-to-bar facility for super-premium single origin chocolates and vegan Nutmilk chocolate. All of the new capacity will be commissioned this winter.
July 2021 
- raised a further £40m in equity to fund the next phase of expansion to provide the capacity to support the six fast-growth drivers: extend factory over next 3 years from 80K to 160K. Once installed should support 500m in revenues. 
</t>
        </r>
      </text>
    </comment>
    <comment ref="D622" authorId="0" shapeId="0" xr:uid="{1797DD77-8E6B-4D79-BE87-C8091E52378F}">
      <text>
        <r>
          <rPr>
            <b/>
            <sz val="9"/>
            <color indexed="81"/>
            <rFont val="Tahoma"/>
            <family val="2"/>
          </rPr>
          <t>Author:</t>
        </r>
        <r>
          <rPr>
            <sz val="9"/>
            <color indexed="81"/>
            <rFont val="Tahoma"/>
            <family val="2"/>
          </rPr>
          <t xml:space="preserve">
</t>
        </r>
        <r>
          <rPr>
            <b/>
            <u/>
            <sz val="9"/>
            <color indexed="81"/>
            <rFont val="Tahoma"/>
            <family val="2"/>
          </rPr>
          <t>HOTC Pre-lims 2021:</t>
        </r>
        <r>
          <rPr>
            <sz val="9"/>
            <color indexed="81"/>
            <rFont val="Tahoma"/>
            <family val="2"/>
          </rPr>
          <t xml:space="preserve">
Financial Overview:
- Operating expenses increased by 19%, due to deliberate growth investments and temporarily due to the blend of fixed costs for stores that were closed or disrupted for almost six months combined with additional variable costs due to strong digital growth
</t>
        </r>
        <r>
          <rPr>
            <b/>
            <u/>
            <sz val="9"/>
            <color indexed="81"/>
            <rFont val="Tahoma"/>
            <family val="2"/>
          </rPr>
          <t>Sales Review</t>
        </r>
        <r>
          <rPr>
            <sz val="9"/>
            <color indexed="81"/>
            <rFont val="Tahoma"/>
            <family val="2"/>
          </rPr>
          <t xml:space="preserve">
- UK: In FY21, our stores were closed or disrupted for almost six months. Historically stores were the largest channel by sales and profit value. Encouragingly, in the period since retail stores began re-opening on 12 April, we have seen growth accelerate, validating our belief in a multi-channel model as the best route to maximise customer lifetime value and shareholder returns.
- USA: we achieved overall sales growth of 36%1 , despite store sales falling 41%. The fulfilment partnership with The Hut Group means that we have a scaleable growth model that is capex-light with a cost base that is directly variable with sales volume, whilst we retain direct control of the brand, the customer base and the strategy.
- JAPAN: our joint venture partner opened a further 16 stores in FY21 bringing the total to 22. In Japan online sales penetration in general remains lower than the UK and USA, and malls remain vibrant as leisure destinations. The variable rent partnership model between tenant and landlord is a blueprint for other markets. Whilst Japan has not experienced mandatory lockdowns, a rolling programme of regional restrictions is ongoing, resulting in temporarily reduced footfall and sales per store. We remain confident in the longerterm prospects because our latest lifestyle store formats and product range are proving successful in carving out a differentiated brand identity in this huge and competitive market. VIP Me loyalty attachment is already approaching 50% of new store customers in Japan, delivering the benefits of a direct conversation that we have seen work so well in the UK.
</t>
        </r>
        <r>
          <rPr>
            <b/>
            <u/>
            <sz val="9"/>
            <color indexed="81"/>
            <rFont val="Tahoma"/>
            <family val="2"/>
          </rPr>
          <t>Brand Review:</t>
        </r>
        <r>
          <rPr>
            <sz val="9"/>
            <color indexed="81"/>
            <rFont val="Tahoma"/>
            <family val="2"/>
          </rPr>
          <t xml:space="preserve">
- We offer a slick and reliable delivered gift service. In the Period every one of our online metrics improved, from consideration and traffic, to conversion, average order value and frequency. Our store teams can help customers select the perfect gifts to hand over in person, whether for a family event or calendar cultural celebration. 
- In the year we launched much improved ranges for Valentine’s and White Day, the two largest gift events in Japan, which combined are larger gift events than Christmas in the UK. We also further extended our offer for Eid in the UK, thanks to the invaluable input of our team.
- IN-HOME = The success of the Velvetiser is supplemented by our cacao-alcohol range and our new range of coffees, available as whole beans or pods that can be recycled at home with our Podcycler device. This winter we will be launching a range of coffee machines in partnership with Dualit that complement the Velvetiser on the counter-top.
- LEISURE = Whether an impulsive pop-in visit to one of our stores or a planned trip to a café with friends or family, our stores offer something for everyone. Our self-purchase leisure business historically generated approximately half of our revenues. This part of the business was the most affected by the lengthy closure of stores in the UK. Since re-opening in April, performance has been strong.
</t>
        </r>
        <r>
          <rPr>
            <b/>
            <u/>
            <sz val="9"/>
            <color indexed="81"/>
            <rFont val="Tahoma"/>
            <family val="2"/>
          </rPr>
          <t xml:space="preserve"> SIX BUSINESS GROWTH DRIVERS </t>
        </r>
        <r>
          <rPr>
            <sz val="9"/>
            <color indexed="81"/>
            <rFont val="Tahoma"/>
            <family val="2"/>
          </rPr>
          <t xml:space="preserve">
Two years ago we activated additional growth levers to change the shape of the business. These six drivers are on track: 
- VELVETISER = The Velvetiser makes delicious hot chocolate with no fuss and no mess, with a range of 20 recipes, and more coming this autumn. Supported by subscriptions the continuity model results in very engaged customers, with higher frequency and materially higher lifetime value. 
- LOYALTY = Customer connection is a key element of our physical retail model. The VIP Me scheme was invaluable during lockdown and will continue to underpin our brand building. 
- DIGITAL = Our online channel offers the perfect solution for delivered gifts, whether for family celebrations or seasonal cultural events. 
- USA = Digital-led, supported by four stores. The Velvetiser provides the brand introduction with attractive lifetime value, supported by the opportunity to cross-sell the full chocolate seasonal gifting range. 
- GLOBAL WHOLESALE = Working with carefully selected digital partners to extend brand reach and convenience, each partner has a capsule range tailored to the needs of the customer profile. The Velvetiser and cacao-alcohols are key product categories, supported by supply partnerships they provide attractive returns and capex-light growth. 
- JAPAN JV Physical retail predominates in Japan. Due to cultural factors, population density and climate, malls remain vibrant and landlords continue to open new malls. Our lifestyle format is differentiated and proving popular both with customers and landlords.
</t>
        </r>
        <r>
          <rPr>
            <b/>
            <u/>
            <sz val="9"/>
            <color indexed="81"/>
            <rFont val="Tahoma"/>
            <family val="2"/>
          </rPr>
          <t>Operational Overview:</t>
        </r>
        <r>
          <rPr>
            <sz val="9"/>
            <color indexed="81"/>
            <rFont val="Tahoma"/>
            <family val="2"/>
          </rPr>
          <t xml:space="preserve">
- Expanding the distribution centre, from 100,000 to 200,000 sq ft to accommodate increased online despatch capacity ahead of the FY21 peak season.
- Extending the UK factory from 45,000 to 80,000+ sq ft in order to install a fourth truffle-making line, a second Velvetiser refill line which more than triples capacity, and a new bean-to-bar facility for super-premium single origin chocolates and vegan Nutmilk chocolate. All of the new capacity will be commissioned this winter.
July 2021 
- raised a further £40m in equity to fund the next phase of expansion to provide the capacity to support the six fast-growth drivers: extend factory over next 3 years from 80K to 160K. Once installed should support 500m in revenues. 
</t>
        </r>
      </text>
    </comment>
    <comment ref="D649" authorId="0" shapeId="0" xr:uid="{98BD0885-7D46-4900-9643-060ABC93CBCD}">
      <text>
        <r>
          <rPr>
            <b/>
            <sz val="9"/>
            <color indexed="81"/>
            <rFont val="Tahoma"/>
            <family val="2"/>
          </rPr>
          <t>Author:</t>
        </r>
        <r>
          <rPr>
            <sz val="9"/>
            <color indexed="81"/>
            <rFont val="Tahoma"/>
            <family val="2"/>
          </rPr>
          <t xml:space="preserve">
</t>
        </r>
        <r>
          <rPr>
            <b/>
            <u/>
            <sz val="9"/>
            <color indexed="81"/>
            <rFont val="Tahoma"/>
            <family val="2"/>
          </rPr>
          <t>HOTC Pre-lims 2021:</t>
        </r>
        <r>
          <rPr>
            <sz val="9"/>
            <color indexed="81"/>
            <rFont val="Tahoma"/>
            <family val="2"/>
          </rPr>
          <t xml:space="preserve">
Financial Overview:
- Operating expenses increased by 19%, due to deliberate growth investments and temporarily due to the blend of fixed costs for stores that were closed or disrupted for almost six months combined with additional variable costs due to strong digital growth
</t>
        </r>
        <r>
          <rPr>
            <b/>
            <u/>
            <sz val="9"/>
            <color indexed="81"/>
            <rFont val="Tahoma"/>
            <family val="2"/>
          </rPr>
          <t>Sales Review</t>
        </r>
        <r>
          <rPr>
            <sz val="9"/>
            <color indexed="81"/>
            <rFont val="Tahoma"/>
            <family val="2"/>
          </rPr>
          <t xml:space="preserve">
- UK: In FY21, our stores were closed or disrupted for almost six months. Historically stores were the largest channel by sales and profit value. Encouragingly, in the period since retail stores began re-opening on 12 April, we have seen growth accelerate, validating our belief in a multi-channel model as the best route to maximise customer lifetime value and shareholder returns.
- USA: we achieved overall sales growth of 36%1 , despite store sales falling 41%. The fulfilment partnership with The Hut Group means that we have a scaleable growth model that is capex-light with a cost base that is directly variable with sales volume, whilst we retain direct control of the brand, the customer base and the strategy.
- JAPAN: our joint venture partner opened a further 16 stores in FY21 bringing the total to 22. In Japan online sales penetration in general remains lower than the UK and USA, and malls remain vibrant as leisure destinations. The variable rent partnership model between tenant and landlord is a blueprint for other markets. Whilst Japan has not experienced mandatory lockdowns, a rolling programme of regional restrictions is ongoing, resulting in temporarily reduced footfall and sales per store. We remain confident in the longerterm prospects because our latest lifestyle store formats and product range are proving successful in carving out a differentiated brand identity in this huge and competitive market. VIP Me loyalty attachment is already approaching 50% of new store customers in Japan, delivering the benefits of a direct conversation that we have seen work so well in the UK.
</t>
        </r>
        <r>
          <rPr>
            <b/>
            <u/>
            <sz val="9"/>
            <color indexed="81"/>
            <rFont val="Tahoma"/>
            <family val="2"/>
          </rPr>
          <t>Brand Review:</t>
        </r>
        <r>
          <rPr>
            <sz val="9"/>
            <color indexed="81"/>
            <rFont val="Tahoma"/>
            <family val="2"/>
          </rPr>
          <t xml:space="preserve">
- We offer a slick and reliable delivered gift service. In the Period every one of our online metrics improved, from consideration and traffic, to conversion, average order value and frequency. Our store teams can help customers select the perfect gifts to hand over in person, whether for a family event or calendar cultural celebration. 
- In the year we launched much improved ranges for Valentine’s and White Day, the two largest gift events in Japan, which combined are larger gift events than Christmas in the UK. We also further extended our offer for Eid in the UK, thanks to the invaluable input of our team.
- IN-HOME = The success of the Velvetiser is supplemented by our cacao-alcohol range and our new range of coffees, available as whole beans or pods that can be recycled at home with our Podcycler device. This winter we will be launching a range of coffee machines in partnership with Dualit that complement the Velvetiser on the counter-top.
- LEISURE = Whether an impulsive pop-in visit to one of our stores or a planned trip to a café with friends or family, our stores offer something for everyone. Our self-purchase leisure business historically generated approximately half of our revenues. This part of the business was the most affected by the lengthy closure of stores in the UK. Since re-opening in April, performance has been strong.
</t>
        </r>
        <r>
          <rPr>
            <b/>
            <u/>
            <sz val="9"/>
            <color indexed="81"/>
            <rFont val="Tahoma"/>
            <family val="2"/>
          </rPr>
          <t xml:space="preserve"> SIX BUSINESS GROWTH DRIVERS </t>
        </r>
        <r>
          <rPr>
            <sz val="9"/>
            <color indexed="81"/>
            <rFont val="Tahoma"/>
            <family val="2"/>
          </rPr>
          <t xml:space="preserve">
Two years ago we activated additional growth levers to change the shape of the business. These six drivers are on track: 
- VELVETISER = The Velvetiser makes delicious hot chocolate with no fuss and no mess, with a range of 20 recipes, and more coming this autumn. Supported by subscriptions the continuity model results in very engaged customers, with higher frequency and materially higher lifetime value. 
- LOYALTY = Customer connection is a key element of our physical retail model. The VIP Me scheme was invaluable during lockdown and will continue to underpin our brand building. 
- DIGITAL = Our online channel offers the perfect solution for delivered gifts, whether for family celebrations or seasonal cultural events. 
- USA = Digital-led, supported by four stores. The Velvetiser provides the brand introduction with attractive lifetime value, supported by the opportunity to cross-sell the full chocolate seasonal gifting range. 
- GLOBAL WHOLESALE = Working with carefully selected digital partners to extend brand reach and convenience, each partner has a capsule range tailored to the needs of the customer profile. The Velvetiser and cacao-alcohols are key product categories, supported by supply partnerships they provide attractive returns and capex-light growth. 
- JAPAN JV Physical retail predominates in Japan. Due to cultural factors, population density and climate, malls remain vibrant and landlords continue to open new malls. Our lifestyle format is differentiated and proving popular both with customers and landlords.
</t>
        </r>
        <r>
          <rPr>
            <b/>
            <u/>
            <sz val="9"/>
            <color indexed="81"/>
            <rFont val="Tahoma"/>
            <family val="2"/>
          </rPr>
          <t>Operational Overview:</t>
        </r>
        <r>
          <rPr>
            <sz val="9"/>
            <color indexed="81"/>
            <rFont val="Tahoma"/>
            <family val="2"/>
          </rPr>
          <t xml:space="preserve">
- Expanding the distribution centre, from 100,000 to 200,000 sq ft to accommodate increased online despatch capacity ahead of the FY21 peak season.
- Extending the UK factory from 45,000 to 80,000+ sq ft in order to install a fourth truffle-making line, a second Velvetiser refill line which more than triples capacity, and a new bean-to-bar facility for super-premium single origin chocolates and vegan Nutmilk chocolate. All of the new capacity will be commissioned this winter.
July 2021 
- raised a further £40m in equity to fund the next phase of expansion to provide the capacity to support the six fast-growth drivers: extend factory over next 3 years from 80K to 160K. Once installed should support 500m in revenues. 
</t>
        </r>
      </text>
    </comment>
    <comment ref="D661" authorId="0" shapeId="0" xr:uid="{0F08B004-8D05-482A-9545-33F8624D97B2}">
      <text>
        <r>
          <rPr>
            <b/>
            <sz val="9"/>
            <color indexed="81"/>
            <rFont val="Tahoma"/>
            <family val="2"/>
          </rPr>
          <t>Author:</t>
        </r>
        <r>
          <rPr>
            <sz val="9"/>
            <color indexed="81"/>
            <rFont val="Tahoma"/>
            <family val="2"/>
          </rPr>
          <t xml:space="preserve">
</t>
        </r>
        <r>
          <rPr>
            <b/>
            <u/>
            <sz val="9"/>
            <color indexed="81"/>
            <rFont val="Tahoma"/>
            <family val="2"/>
          </rPr>
          <t>HOTC Pre-lims 2021:</t>
        </r>
        <r>
          <rPr>
            <sz val="9"/>
            <color indexed="81"/>
            <rFont val="Tahoma"/>
            <family val="2"/>
          </rPr>
          <t xml:space="preserve">
Financial Overview:
- Operating expenses increased by 19%, due to deliberate growth investments and temporarily due to the blend of fixed costs for stores that were closed or disrupted for almost six months combined with additional variable costs due to strong digital growth
</t>
        </r>
        <r>
          <rPr>
            <b/>
            <u/>
            <sz val="9"/>
            <color indexed="81"/>
            <rFont val="Tahoma"/>
            <family val="2"/>
          </rPr>
          <t>Sales Review</t>
        </r>
        <r>
          <rPr>
            <sz val="9"/>
            <color indexed="81"/>
            <rFont val="Tahoma"/>
            <family val="2"/>
          </rPr>
          <t xml:space="preserve">
- UK: In FY21, our stores were closed or disrupted for almost six months. Historically stores were the largest channel by sales and profit value. Encouragingly, in the period since retail stores began re-opening on 12 April, we have seen growth accelerate, validating our belief in a multi-channel model as the best route to maximise customer lifetime value and shareholder returns.
- USA: we achieved overall sales growth of 36%1 , despite store sales falling 41%. The fulfilment partnership with The Hut Group means that we have a scaleable growth model that is capex-light with a cost base that is directly variable with sales volume, whilst we retain direct control of the brand, the customer base and the strategy.
- JAPAN: our joint venture partner opened a further 16 stores in FY21 bringing the total to 22. In Japan online sales penetration in general remains lower than the UK and USA, and malls remain vibrant as leisure destinations. The variable rent partnership model between tenant and landlord is a blueprint for other markets. Whilst Japan has not experienced mandatory lockdowns, a rolling programme of regional restrictions is ongoing, resulting in temporarily reduced footfall and sales per store. We remain confident in the longerterm prospects because our latest lifestyle store formats and product range are proving successful in carving out a differentiated brand identity in this huge and competitive market. VIP Me loyalty attachment is already approaching 50% of new store customers in Japan, delivering the benefits of a direct conversation that we have seen work so well in the UK.
</t>
        </r>
        <r>
          <rPr>
            <b/>
            <u/>
            <sz val="9"/>
            <color indexed="81"/>
            <rFont val="Tahoma"/>
            <family val="2"/>
          </rPr>
          <t>Brand Review:</t>
        </r>
        <r>
          <rPr>
            <sz val="9"/>
            <color indexed="81"/>
            <rFont val="Tahoma"/>
            <family val="2"/>
          </rPr>
          <t xml:space="preserve">
- We offer a slick and reliable delivered gift service. In the Period every one of our online metrics improved, from consideration and traffic, to conversion, average order value and frequency. Our store teams can help customers select the perfect gifts to hand over in person, whether for a family event or calendar cultural celebration. 
- In the year we launched much improved ranges for Valentine’s and White Day, the two largest gift events in Japan, which combined are larger gift events than Christmas in the UK. We also further extended our offer for Eid in the UK, thanks to the invaluable input of our team.
- IN-HOME = The success of the Velvetiser is supplemented by our cacao-alcohol range and our new range of coffees, available as whole beans or pods that can be recycled at home with our Podcycler device. This winter we will be launching a range of coffee machines in partnership with Dualit that complement the Velvetiser on the counter-top.
- LEISURE = Whether an impulsive pop-in visit to one of our stores or a planned trip to a café with friends or family, our stores offer something for everyone. Our self-purchase leisure business historically generated approximately half of our revenues. This part of the business was the most affected by the lengthy closure of stores in the UK. Since re-opening in April, performance has been strong.
</t>
        </r>
        <r>
          <rPr>
            <b/>
            <u/>
            <sz val="9"/>
            <color indexed="81"/>
            <rFont val="Tahoma"/>
            <family val="2"/>
          </rPr>
          <t xml:space="preserve"> SIX BUSINESS GROWTH DRIVERS </t>
        </r>
        <r>
          <rPr>
            <sz val="9"/>
            <color indexed="81"/>
            <rFont val="Tahoma"/>
            <family val="2"/>
          </rPr>
          <t xml:space="preserve">
Two years ago we activated additional growth levers to change the shape of the business. These six drivers are on track: 
- VELVETISER = The Velvetiser makes delicious hot chocolate with no fuss and no mess, with a range of 20 recipes, and more coming this autumn. Supported by subscriptions the continuity model results in very engaged customers, with higher frequency and materially higher lifetime value. 
- LOYALTY = Customer connection is a key element of our physical retail model. The VIP Me scheme was invaluable during lockdown and will continue to underpin our brand building. 
- DIGITAL = Our online channel offers the perfect solution for delivered gifts, whether for family celebrations or seasonal cultural events. 
- USA = Digital-led, supported by four stores. The Velvetiser provides the brand introduction with attractive lifetime value, supported by the opportunity to cross-sell the full chocolate seasonal gifting range. 
- GLOBAL WHOLESALE = Working with carefully selected digital partners to extend brand reach and convenience, each partner has a capsule range tailored to the needs of the customer profile. The Velvetiser and cacao-alcohols are key product categories, supported by supply partnerships they provide attractive returns and capex-light growth. 
- JAPAN JV Physical retail predominates in Japan. Due to cultural factors, population density and climate, malls remain vibrant and landlords continue to open new malls. Our lifestyle format is differentiated and proving popular both with customers and landlords.
</t>
        </r>
        <r>
          <rPr>
            <b/>
            <u/>
            <sz val="9"/>
            <color indexed="81"/>
            <rFont val="Tahoma"/>
            <family val="2"/>
          </rPr>
          <t>Operational Overview:</t>
        </r>
        <r>
          <rPr>
            <sz val="9"/>
            <color indexed="81"/>
            <rFont val="Tahoma"/>
            <family val="2"/>
          </rPr>
          <t xml:space="preserve">
- Expanding the distribution centre, from 100,000 to 200,000 sq ft to accommodate increased online despatch capacity ahead of the FY21 peak season.
- Extending the UK factory from 45,000 to 80,000+ sq ft in order to install a fourth truffle-making line, a second Velvetiser refill line which more than triples capacity, and a new bean-to-bar facility for super-premium single origin chocolates and vegan Nutmilk chocolate. All of the new capacity will be commissioned this winter.
July 2021 
- raised a further £40m in equity to fund the next phase of expansion to provide the capacity to support the six fast-growth drivers: extend factory over next 3 years from 80K to 160K. Once installed should support 500m in revenues. 
</t>
        </r>
      </text>
    </comment>
    <comment ref="D672" authorId="0" shapeId="0" xr:uid="{6D0532DE-C6C3-4DA3-94EC-1DC4E003D023}">
      <text>
        <r>
          <rPr>
            <b/>
            <sz val="9"/>
            <color indexed="81"/>
            <rFont val="Tahoma"/>
            <family val="2"/>
          </rPr>
          <t>Author:</t>
        </r>
        <r>
          <rPr>
            <sz val="9"/>
            <color indexed="81"/>
            <rFont val="Tahoma"/>
            <family val="2"/>
          </rPr>
          <t xml:space="preserve">
</t>
        </r>
        <r>
          <rPr>
            <b/>
            <u/>
            <sz val="9"/>
            <color indexed="81"/>
            <rFont val="Tahoma"/>
            <family val="2"/>
          </rPr>
          <t>HOTC Pre-lims 2021:</t>
        </r>
        <r>
          <rPr>
            <sz val="9"/>
            <color indexed="81"/>
            <rFont val="Tahoma"/>
            <family val="2"/>
          </rPr>
          <t xml:space="preserve">
Financial Overview:
- Operating expenses increased by 19%, due to deliberate growth investments and temporarily due to the blend of fixed costs for stores that were closed or disrupted for almost six months combined with additional variable costs due to strong digital growth
</t>
        </r>
        <r>
          <rPr>
            <b/>
            <u/>
            <sz val="9"/>
            <color indexed="81"/>
            <rFont val="Tahoma"/>
            <family val="2"/>
          </rPr>
          <t>Sales Review</t>
        </r>
        <r>
          <rPr>
            <sz val="9"/>
            <color indexed="81"/>
            <rFont val="Tahoma"/>
            <family val="2"/>
          </rPr>
          <t xml:space="preserve">
- UK: In FY21, our stores were closed or disrupted for almost six months. Historically stores were the largest channel by sales and profit value. Encouragingly, in the period since retail stores began re-opening on 12 April, we have seen growth accelerate, validating our belief in a multi-channel model as the best route to maximise customer lifetime value and shareholder returns.
- USA: we achieved overall sales growth of 36%1 , despite store sales falling 41%. The fulfilment partnership with The Hut Group means that we have a scaleable growth model that is capex-light with a cost base that is directly variable with sales volume, whilst we retain direct control of the brand, the customer base and the strategy.
- JAPAN: our joint venture partner opened a further 16 stores in FY21 bringing the total to 22. In Japan online sales penetration in general remains lower than the UK and USA, and malls remain vibrant as leisure destinations. The variable rent partnership model between tenant and landlord is a blueprint for other markets. Whilst Japan has not experienced mandatory lockdowns, a rolling programme of regional restrictions is ongoing, resulting in temporarily reduced footfall and sales per store. We remain confident in the longerterm prospects because our latest lifestyle store formats and product range are proving successful in carving out a differentiated brand identity in this huge and competitive market. VIP Me loyalty attachment is already approaching 50% of new store customers in Japan, delivering the benefits of a direct conversation that we have seen work so well in the UK.
</t>
        </r>
        <r>
          <rPr>
            <b/>
            <u/>
            <sz val="9"/>
            <color indexed="81"/>
            <rFont val="Tahoma"/>
            <family val="2"/>
          </rPr>
          <t>Brand Review:</t>
        </r>
        <r>
          <rPr>
            <sz val="9"/>
            <color indexed="81"/>
            <rFont val="Tahoma"/>
            <family val="2"/>
          </rPr>
          <t xml:space="preserve">
- We offer a slick and reliable delivered gift service. In the Period every one of our online metrics improved, from consideration and traffic, to conversion, average order value and frequency. Our store teams can help customers select the perfect gifts to hand over in person, whether for a family event or calendar cultural celebration. 
- In the year we launched much improved ranges for Valentine’s and White Day, the two largest gift events in Japan, which combined are larger gift events than Christmas in the UK. We also further extended our offer for Eid in the UK, thanks to the invaluable input of our team.
- IN-HOME = The success of the Velvetiser is supplemented by our cacao-alcohol range and our new range of coffees, available as whole beans or pods that can be recycled at home with our Podcycler device. This winter we will be launching a range of coffee machines in partnership with Dualit that complement the Velvetiser on the counter-top.
- LEISURE = Whether an impulsive pop-in visit to one of our stores or a planned trip to a café with friends or family, our stores offer something for everyone. Our self-purchase leisure business historically generated approximately half of our revenues. This part of the business was the most affected by the lengthy closure of stores in the UK. Since re-opening in April, performance has been strong.
</t>
        </r>
        <r>
          <rPr>
            <b/>
            <u/>
            <sz val="9"/>
            <color indexed="81"/>
            <rFont val="Tahoma"/>
            <family val="2"/>
          </rPr>
          <t xml:space="preserve"> SIX BUSINESS GROWTH DRIVERS </t>
        </r>
        <r>
          <rPr>
            <sz val="9"/>
            <color indexed="81"/>
            <rFont val="Tahoma"/>
            <family val="2"/>
          </rPr>
          <t xml:space="preserve">
Two years ago we activated additional growth levers to change the shape of the business. These six drivers are on track: 
- VELVETISER = The Velvetiser makes delicious hot chocolate with no fuss and no mess, with a range of 20 recipes, and more coming this autumn. Supported by subscriptions the continuity model results in very engaged customers, with higher frequency and materially higher lifetime value. 
- LOYALTY = Customer connection is a key element of our physical retail model. The VIP Me scheme was invaluable during lockdown and will continue to underpin our brand building. 
- DIGITAL = Our online channel offers the perfect solution for delivered gifts, whether for family celebrations or seasonal cultural events. 
- USA = Digital-led, supported by four stores. The Velvetiser provides the brand introduction with attractive lifetime value, supported by the opportunity to cross-sell the full chocolate seasonal gifting range. 
- GLOBAL WHOLESALE = Working with carefully selected digital partners to extend brand reach and convenience, each partner has a capsule range tailored to the needs of the customer profile. The Velvetiser and cacao-alcohols are key product categories, supported by supply partnerships they provide attractive returns and capex-light growth. 
- JAPAN JV Physical retail predominates in Japan. Due to cultural factors, population density and climate, malls remain vibrant and landlords continue to open new malls. Our lifestyle format is differentiated and proving popular both with customers and landlords.
</t>
        </r>
        <r>
          <rPr>
            <b/>
            <u/>
            <sz val="9"/>
            <color indexed="81"/>
            <rFont val="Tahoma"/>
            <family val="2"/>
          </rPr>
          <t>Operational Overview:</t>
        </r>
        <r>
          <rPr>
            <sz val="9"/>
            <color indexed="81"/>
            <rFont val="Tahoma"/>
            <family val="2"/>
          </rPr>
          <t xml:space="preserve">
- Expanding the distribution centre, from 100,000 to 200,000 sq ft to accommodate increased online despatch capacity ahead of the FY21 peak season.
- Extending the UK factory from 45,000 to 80,000+ sq ft in order to install a fourth truffle-making line, a second Velvetiser refill line which more than triples capacity, and a new bean-to-bar facility for super-premium single origin chocolates and vegan Nutmilk chocolate. All of the new capacity will be commissioned this winter.
July 2021 
- raised a further £40m in equity to fund the next phase of expansion to provide the capacity to support the six fast-growth drivers: extend factory over next 3 years from 80K to 160K. Once installed should support 500m in revenues. 
</t>
        </r>
      </text>
    </comment>
    <comment ref="D673" authorId="0" shapeId="0" xr:uid="{28562BAC-FADB-47B1-90CE-B6AFA0DD90D0}">
      <text>
        <r>
          <rPr>
            <b/>
            <sz val="9"/>
            <color indexed="81"/>
            <rFont val="Tahoma"/>
            <family val="2"/>
          </rPr>
          <t>Author:</t>
        </r>
        <r>
          <rPr>
            <sz val="9"/>
            <color indexed="81"/>
            <rFont val="Tahoma"/>
            <family val="2"/>
          </rPr>
          <t xml:space="preserve">
There is an impairment charge of £2,095k during the year ended 27 June 2021 (28 June 2020: £6,606k) relating to fixed assets and right of use assets of stores which predominantly relates to the US. Please see Note 17 for the split. The charge is primarily due to the trading conditions during the period as well as management’s assessment of future cash flows over the remaining lease period for each store. The key assumptions used in the future cash flows were sales and EBITDA (based on board approved plans), assumed nil growth rate and a discount rate of 9.335%.</t>
        </r>
      </text>
    </comment>
    <comment ref="D674" authorId="0" shapeId="0" xr:uid="{39C33649-0694-4CB9-B994-E84A42F19FE1}">
      <text>
        <r>
          <rPr>
            <b/>
            <sz val="9"/>
            <color indexed="81"/>
            <rFont val="Tahoma"/>
            <family val="2"/>
          </rPr>
          <t xml:space="preserve">
</t>
        </r>
        <r>
          <rPr>
            <sz val="9"/>
            <color indexed="81"/>
            <rFont val="Tahoma"/>
            <family val="2"/>
          </rPr>
          <t xml:space="preserve">
Saint Lucia impairment There is an impairment charge of £216k during the year ended 27 June 2021 (28 June 2020: £2,678k) relating to the assets of the Saint Lucia business. The charge is due to a decline in the value of the land due to the impact of COVID-19. </t>
        </r>
      </text>
    </comment>
    <comment ref="D675" authorId="0" shapeId="0" xr:uid="{9ADB53DA-D2DB-4160-B506-E2FCAD884473}">
      <text>
        <r>
          <rPr>
            <b/>
            <sz val="9"/>
            <color indexed="81"/>
            <rFont val="Tahoma"/>
            <family val="2"/>
          </rPr>
          <t xml:space="preserve">
</t>
        </r>
        <r>
          <rPr>
            <sz val="9"/>
            <color indexed="81"/>
            <rFont val="Tahoma"/>
            <family val="2"/>
          </rPr>
          <t xml:space="preserve">
Corporate goodwill impairment In the prior year, there was an impairment charge of £684k relating to goodwill which arose from the acquisition of Hotel Chocolat Corporate Limited. There are no goodwill impairments in the 52 weeks ended 27 June 2021.</t>
        </r>
      </text>
    </comment>
    <comment ref="E676" authorId="0" shapeId="0" xr:uid="{6E21E64E-A721-46C2-A88C-4463E690C055}">
      <text>
        <r>
          <rPr>
            <b/>
            <sz val="9"/>
            <color indexed="81"/>
            <rFont val="Tahoma"/>
            <family val="2"/>
          </rPr>
          <t>Author:</t>
        </r>
        <r>
          <rPr>
            <sz val="9"/>
            <color indexed="81"/>
            <rFont val="Tahoma"/>
            <family val="2"/>
          </rPr>
          <t xml:space="preserve">
There is an impairment charge of £6,606k during the year ended 28 June 2020 (30 June 2019: £nil) relating to fixed assets and right ofuse assets of stores. Please see Note 16 for the split. The charge is primarily due to the trading conditions during the period as well asmanagement’s assessment of future cashflows over the remaining lease period for each store. The key assumptions used in the future cashflows were sales and EBITDA (based on board approved plans), assumed nil growth rate and a discount rate of 10%. A reduction in net sales of 11% would result in an increase to the impairment charge of £1,843k and an increase in net sales of 12% would result in a decrease to the impairment charge of £1,451k.</t>
        </r>
      </text>
    </comment>
    <comment ref="D680" authorId="0" shapeId="0" xr:uid="{E93B024F-A4AB-448E-8A4D-FED853DC7507}">
      <text>
        <r>
          <rPr>
            <b/>
            <sz val="9"/>
            <color indexed="81"/>
            <rFont val="Tahoma"/>
            <family val="2"/>
          </rPr>
          <t>Author:</t>
        </r>
        <r>
          <rPr>
            <sz val="9"/>
            <color indexed="81"/>
            <rFont val="Tahoma"/>
            <family val="2"/>
          </rPr>
          <t xml:space="preserve">
</t>
        </r>
        <r>
          <rPr>
            <b/>
            <u/>
            <sz val="9"/>
            <color indexed="81"/>
            <rFont val="Tahoma"/>
            <family val="2"/>
          </rPr>
          <t>HOTC Pre-lims 2021:</t>
        </r>
        <r>
          <rPr>
            <sz val="9"/>
            <color indexed="81"/>
            <rFont val="Tahoma"/>
            <family val="2"/>
          </rPr>
          <t xml:space="preserve">
Financial Overview:
- Operating expenses increased by 19%, due to deliberate growth investments and temporarily due to the blend of fixed costs for stores that were closed or disrupted for almost six months combined with additional variable costs due to strong digital growth
</t>
        </r>
        <r>
          <rPr>
            <b/>
            <u/>
            <sz val="9"/>
            <color indexed="81"/>
            <rFont val="Tahoma"/>
            <family val="2"/>
          </rPr>
          <t>Sales Review</t>
        </r>
        <r>
          <rPr>
            <sz val="9"/>
            <color indexed="81"/>
            <rFont val="Tahoma"/>
            <family val="2"/>
          </rPr>
          <t xml:space="preserve">
- UK: In FY21, our stores were closed or disrupted for almost six months. Historically stores were the largest channel by sales and profit value. Encouragingly, in the period since retail stores began re-opening on 12 April, we have seen growth accelerate, validating our belief in a multi-channel model as the best route to maximise customer lifetime value and shareholder returns.
- USA: we achieved overall sales growth of 36%1 , despite store sales falling 41%. The fulfilment partnership with The Hut Group means that we have a scaleable growth model that is capex-light with a cost base that is directly variable with sales volume, whilst we retain direct control of the brand, the customer base and the strategy.
- JAPAN: our joint venture partner opened a further 16 stores in FY21 bringing the total to 22. In Japan online sales penetration in general remains lower than the UK and USA, and malls remain vibrant as leisure destinations. The variable rent partnership model between tenant and landlord is a blueprint for other markets. Whilst Japan has not experienced mandatory lockdowns, a rolling programme of regional restrictions is ongoing, resulting in temporarily reduced footfall and sales per store. We remain confident in the longerterm prospects because our latest lifestyle store formats and product range are proving successful in carving out a differentiated brand identity in this huge and competitive market. VIP Me loyalty attachment is already approaching 50% of new store customers in Japan, delivering the benefits of a direct conversation that we have seen work so well in the UK.
</t>
        </r>
        <r>
          <rPr>
            <b/>
            <u/>
            <sz val="9"/>
            <color indexed="81"/>
            <rFont val="Tahoma"/>
            <family val="2"/>
          </rPr>
          <t>Brand Review:</t>
        </r>
        <r>
          <rPr>
            <sz val="9"/>
            <color indexed="81"/>
            <rFont val="Tahoma"/>
            <family val="2"/>
          </rPr>
          <t xml:space="preserve">
- We offer a slick and reliable delivered gift service. In the Period every one of our online metrics improved, from consideration and traffic, to conversion, average order value and frequency. Our store teams can help customers select the perfect gifts to hand over in person, whether for a family event or calendar cultural celebration. 
- In the year we launched much improved ranges for Valentine’s and White Day, the two largest gift events in Japan, which combined are larger gift events than Christmas in the UK. We also further extended our offer for Eid in the UK, thanks to the invaluable input of our team.
- IN-HOME = The success of the Velvetiser is supplemented by our cacao-alcohol range and our new range of coffees, available as whole beans or pods that can be recycled at home with our Podcycler device. This winter we will be launching a range of coffee machines in partnership with Dualit that complement the Velvetiser on the counter-top.
- LEISURE = Whether an impulsive pop-in visit to one of our stores or a planned trip to a café with friends or family, our stores offer something for everyone. Our self-purchase leisure business historically generated approximately half of our revenues. This part of the business was the most affected by the lengthy closure of stores in the UK. Since re-opening in April, performance has been strong.
</t>
        </r>
        <r>
          <rPr>
            <b/>
            <u/>
            <sz val="9"/>
            <color indexed="81"/>
            <rFont val="Tahoma"/>
            <family val="2"/>
          </rPr>
          <t xml:space="preserve"> SIX BUSINESS GROWTH DRIVERS </t>
        </r>
        <r>
          <rPr>
            <sz val="9"/>
            <color indexed="81"/>
            <rFont val="Tahoma"/>
            <family val="2"/>
          </rPr>
          <t xml:space="preserve">
Two years ago we activated additional growth levers to change the shape of the business. These six drivers are on track: 
- VELVETISER = The Velvetiser makes delicious hot chocolate with no fuss and no mess, with a range of 20 recipes, and more coming this autumn. Supported by subscriptions the continuity model results in very engaged customers, with higher frequency and materially higher lifetime value. 
- LOYALTY = Customer connection is a key element of our physical retail model. The VIP Me scheme was invaluable during lockdown and will continue to underpin our brand building. 
- DIGITAL = Our online channel offers the perfect solution for delivered gifts, whether for family celebrations or seasonal cultural events. 
- USA = Digital-led, supported by four stores. The Velvetiser provides the brand introduction with attractive lifetime value, supported by the opportunity to cross-sell the full chocolate seasonal gifting range. 
- GLOBAL WHOLESALE = Working with carefully selected digital partners to extend brand reach and convenience, each partner has a capsule range tailored to the needs of the customer profile. The Velvetiser and cacao-alcohols are key product categories, supported by supply partnerships they provide attractive returns and capex-light growth. 
- JAPAN JV Physical retail predominates in Japan. Due to cultural factors, population density and climate, malls remain vibrant and landlords continue to open new malls. Our lifestyle format is differentiated and proving popular both with customers and landlords.
</t>
        </r>
        <r>
          <rPr>
            <b/>
            <u/>
            <sz val="9"/>
            <color indexed="81"/>
            <rFont val="Tahoma"/>
            <family val="2"/>
          </rPr>
          <t>Operational Overview:</t>
        </r>
        <r>
          <rPr>
            <sz val="9"/>
            <color indexed="81"/>
            <rFont val="Tahoma"/>
            <family val="2"/>
          </rPr>
          <t xml:space="preserve">
- Expanding the distribution centre, from 100,000 to 200,000 sq ft to accommodate increased online despatch capacity ahead of the FY21 peak season.
- Extending the UK factory from 45,000 to 80,000+ sq ft in order to install a fourth truffle-making line, a second Velvetiser refill line which more than triples capacity, and a new bean-to-bar facility for super-premium single origin chocolates and vegan Nutmilk chocolate. All of the new capacity will be commissioned this winter.
July 2021 
- raised a further £40m in equity to fund the next phase of expansion to provide the capacity to support the six fast-growth drivers: extend factory over next 3 years from 80K to 160K. Once installed should support 500m in revenues. 
</t>
        </r>
      </text>
    </comment>
    <comment ref="D692" authorId="0" shapeId="0" xr:uid="{3E1E69C1-8CBC-448D-BD95-E8CC99AF9BCE}">
      <text>
        <r>
          <rPr>
            <b/>
            <sz val="9"/>
            <color indexed="81"/>
            <rFont val="Tahoma"/>
            <family val="2"/>
          </rPr>
          <t>Author:</t>
        </r>
        <r>
          <rPr>
            <sz val="9"/>
            <color indexed="81"/>
            <rFont val="Tahoma"/>
            <family val="2"/>
          </rPr>
          <t xml:space="preserve">
</t>
        </r>
        <r>
          <rPr>
            <b/>
            <u/>
            <sz val="9"/>
            <color indexed="81"/>
            <rFont val="Tahoma"/>
            <family val="2"/>
          </rPr>
          <t>HOTC Pre-lims 2021:</t>
        </r>
        <r>
          <rPr>
            <sz val="9"/>
            <color indexed="81"/>
            <rFont val="Tahoma"/>
            <family val="2"/>
          </rPr>
          <t xml:space="preserve">
Financial Overview:
- Operating expenses increased by 19%, due to deliberate growth investments and temporarily due to the blend of fixed costs for stores that were closed or disrupted for almost six months combined with additional variable costs due to strong digital growth
</t>
        </r>
        <r>
          <rPr>
            <b/>
            <u/>
            <sz val="9"/>
            <color indexed="81"/>
            <rFont val="Tahoma"/>
            <family val="2"/>
          </rPr>
          <t>Sales Review</t>
        </r>
        <r>
          <rPr>
            <sz val="9"/>
            <color indexed="81"/>
            <rFont val="Tahoma"/>
            <family val="2"/>
          </rPr>
          <t xml:space="preserve">
- UK: In FY21, our stores were closed or disrupted for almost six months. Historically stores were the largest channel by sales and profit value. Encouragingly, in the period since retail stores began re-opening on 12 April, we have seen growth accelerate, validating our belief in a multi-channel model as the best route to maximise customer lifetime value and shareholder returns.
- USA: we achieved overall sales growth of 36%1 , despite store sales falling 41%. The fulfilment partnership with The Hut Group means that we have a scaleable growth model that is capex-light with a cost base that is directly variable with sales volume, whilst we retain direct control of the brand, the customer base and the strategy.
- JAPAN: our joint venture partner opened a further 16 stores in FY21 bringing the total to 22. In Japan online sales penetration in general remains lower than the UK and USA, and malls remain vibrant as leisure destinations. The variable rent partnership model between tenant and landlord is a blueprint for other markets. Whilst Japan has not experienced mandatory lockdowns, a rolling programme of regional restrictions is ongoing, resulting in temporarily reduced footfall and sales per store. We remain confident in the longerterm prospects because our latest lifestyle store formats and product range are proving successful in carving out a differentiated brand identity in this huge and competitive market. VIP Me loyalty attachment is already approaching 50% of new store customers in Japan, delivering the benefits of a direct conversation that we have seen work so well in the UK.
</t>
        </r>
        <r>
          <rPr>
            <b/>
            <u/>
            <sz val="9"/>
            <color indexed="81"/>
            <rFont val="Tahoma"/>
            <family val="2"/>
          </rPr>
          <t>Brand Review:</t>
        </r>
        <r>
          <rPr>
            <sz val="9"/>
            <color indexed="81"/>
            <rFont val="Tahoma"/>
            <family val="2"/>
          </rPr>
          <t xml:space="preserve">
- We offer a slick and reliable delivered gift service. In the Period every one of our online metrics improved, from consideration and traffic, to conversion, average order value and frequency. Our store teams can help customers select the perfect gifts to hand over in person, whether for a family event or calendar cultural celebration. 
- In the year we launched much improved ranges for Valentine’s and White Day, the two largest gift events in Japan, which combined are larger gift events than Christmas in the UK. We also further extended our offer for Eid in the UK, thanks to the invaluable input of our team.
- IN-HOME = The success of the Velvetiser is supplemented by our cacao-alcohol range and our new range of coffees, available as whole beans or pods that can be recycled at home with our Podcycler device. This winter we will be launching a range of coffee machines in partnership with Dualit that complement the Velvetiser on the counter-top.
- LEISURE = Whether an impulsive pop-in visit to one of our stores or a planned trip to a café with friends or family, our stores offer something for everyone. Our self-purchase leisure business historically generated approximately half of our revenues. This part of the business was the most affected by the lengthy closure of stores in the UK. Since re-opening in April, performance has been strong.
</t>
        </r>
        <r>
          <rPr>
            <b/>
            <u/>
            <sz val="9"/>
            <color indexed="81"/>
            <rFont val="Tahoma"/>
            <family val="2"/>
          </rPr>
          <t xml:space="preserve"> SIX BUSINESS GROWTH DRIVERS </t>
        </r>
        <r>
          <rPr>
            <sz val="9"/>
            <color indexed="81"/>
            <rFont val="Tahoma"/>
            <family val="2"/>
          </rPr>
          <t xml:space="preserve">
Two years ago we activated additional growth levers to change the shape of the business. These six drivers are on track: 
- VELVETISER = The Velvetiser makes delicious hot chocolate with no fuss and no mess, with a range of 20 recipes, and more coming this autumn. Supported by subscriptions the continuity model results in very engaged customers, with higher frequency and materially higher lifetime value. 
- LOYALTY = Customer connection is a key element of our physical retail model. The VIP Me scheme was invaluable during lockdown and will continue to underpin our brand building. 
- DIGITAL = Our online channel offers the perfect solution for delivered gifts, whether for family celebrations or seasonal cultural events. 
- USA = Digital-led, supported by four stores. The Velvetiser provides the brand introduction with attractive lifetime value, supported by the opportunity to cross-sell the full chocolate seasonal gifting range. 
- GLOBAL WHOLESALE = Working with carefully selected digital partners to extend brand reach and convenience, each partner has a capsule range tailored to the needs of the customer profile. The Velvetiser and cacao-alcohols are key product categories, supported by supply partnerships they provide attractive returns and capex-light growth. 
- JAPAN JV Physical retail predominates in Japan. Due to cultural factors, population density and climate, malls remain vibrant and landlords continue to open new malls. Our lifestyle format is differentiated and proving popular both with customers and landlords.
</t>
        </r>
        <r>
          <rPr>
            <b/>
            <u/>
            <sz val="9"/>
            <color indexed="81"/>
            <rFont val="Tahoma"/>
            <family val="2"/>
          </rPr>
          <t>Operational Overview:</t>
        </r>
        <r>
          <rPr>
            <sz val="9"/>
            <color indexed="81"/>
            <rFont val="Tahoma"/>
            <family val="2"/>
          </rPr>
          <t xml:space="preserve">
- Expanding the distribution centre, from 100,000 to 200,000 sq ft to accommodate increased online despatch capacity ahead of the FY21 peak season.
- Extending the UK factory from 45,000 to 80,000+ sq ft in order to install a fourth truffle-making line, a second Velvetiser refill line which more than triples capacity, and a new bean-to-bar facility for super-premium single origin chocolates and vegan Nutmilk chocolate. All of the new capacity will be commissioned this winter.
July 2021 
- raised a further £40m in equity to fund the next phase of expansion to provide the capacity to support the six fast-growth drivers: extend factory over next 3 years from 80K to 160K. Once installed should support 500m in revenues. 
</t>
        </r>
      </text>
    </comment>
    <comment ref="B693" authorId="0" shapeId="0" xr:uid="{D3CB3A7E-007B-4FC8-B6F8-AE3C03599CC7}">
      <text>
        <r>
          <rPr>
            <b/>
            <sz val="9"/>
            <color indexed="81"/>
            <rFont val="Tahoma"/>
            <family val="2"/>
          </rPr>
          <t>Author:</t>
        </r>
        <r>
          <rPr>
            <sz val="9"/>
            <color indexed="81"/>
            <rFont val="Tahoma"/>
            <family val="2"/>
          </rPr>
          <t xml:space="preserve">
The Group rents property in the ordinary course of business from Harwell Management, a company in which Peter Harris and
Angus Thirlwell have a material interest. there is a lease liability of £591k (28 June 2020: £766k).</t>
        </r>
      </text>
    </comment>
    <comment ref="D699" authorId="0" shapeId="0" xr:uid="{8158E018-A1B3-4122-9917-EE1577C5C8CC}">
      <text>
        <r>
          <rPr>
            <b/>
            <sz val="9"/>
            <color indexed="81"/>
            <rFont val="Tahoma"/>
            <family val="2"/>
          </rPr>
          <t>Author:</t>
        </r>
        <r>
          <rPr>
            <sz val="9"/>
            <color indexed="81"/>
            <rFont val="Tahoma"/>
            <family val="2"/>
          </rPr>
          <t xml:space="preserve">
</t>
        </r>
        <r>
          <rPr>
            <b/>
            <u/>
            <sz val="9"/>
            <color indexed="81"/>
            <rFont val="Tahoma"/>
            <family val="2"/>
          </rPr>
          <t>HOTC Pre-lims 2021:</t>
        </r>
        <r>
          <rPr>
            <sz val="9"/>
            <color indexed="81"/>
            <rFont val="Tahoma"/>
            <family val="2"/>
          </rPr>
          <t xml:space="preserve">
Financial Overview:
- Operating expenses increased by 19%, due to deliberate growth investments and temporarily due to the blend of fixed costs for stores that were closed or disrupted for almost six months combined with additional variable costs due to strong digital growth
</t>
        </r>
        <r>
          <rPr>
            <b/>
            <u/>
            <sz val="9"/>
            <color indexed="81"/>
            <rFont val="Tahoma"/>
            <family val="2"/>
          </rPr>
          <t>Sales Review</t>
        </r>
        <r>
          <rPr>
            <sz val="9"/>
            <color indexed="81"/>
            <rFont val="Tahoma"/>
            <family val="2"/>
          </rPr>
          <t xml:space="preserve">
- UK: In FY21, our stores were closed or disrupted for almost six months. Historically stores were the largest channel by sales and profit value. Encouragingly, in the period since retail stores began re-opening on 12 April, we have seen growth accelerate, validating our belief in a multi-channel model as the best route to maximise customer lifetime value and shareholder returns.
- USA: we achieved overall sales growth of 36%1 , despite store sales falling 41%. The fulfilment partnership with The Hut Group means that we have a scaleable growth model that is capex-light with a cost base that is directly variable with sales volume, whilst we retain direct control of the brand, the customer base and the strategy.
- JAPAN: our joint venture partner opened a further 16 stores in FY21 bringing the total to 22. In Japan online sales penetration in general remains lower than the UK and USA, and malls remain vibrant as leisure destinations. The variable rent partnership model between tenant and landlord is a blueprint for other markets. Whilst Japan has not experienced mandatory lockdowns, a rolling programme of regional restrictions is ongoing, resulting in temporarily reduced footfall and sales per store. We remain confident in the longerterm prospects because our latest lifestyle store formats and product range are proving successful in carving out a differentiated brand identity in this huge and competitive market. VIP Me loyalty attachment is already approaching 50% of new store customers in Japan, delivering the benefits of a direct conversation that we have seen work so well in the UK.
</t>
        </r>
        <r>
          <rPr>
            <b/>
            <u/>
            <sz val="9"/>
            <color indexed="81"/>
            <rFont val="Tahoma"/>
            <family val="2"/>
          </rPr>
          <t>Brand Review:</t>
        </r>
        <r>
          <rPr>
            <sz val="9"/>
            <color indexed="81"/>
            <rFont val="Tahoma"/>
            <family val="2"/>
          </rPr>
          <t xml:space="preserve">
- We offer a slick and reliable delivered gift service. In the Period every one of our online metrics improved, from consideration and traffic, to conversion, average order value and frequency. Our store teams can help customers select the perfect gifts to hand over in person, whether for a family event or calendar cultural celebration. 
- In the year we launched much improved ranges for Valentine’s and White Day, the two largest gift events in Japan, which combined are larger gift events than Christmas in the UK. We also further extended our offer for Eid in the UK, thanks to the invaluable input of our team.
- IN-HOME = The success of the Velvetiser is supplemented by our cacao-alcohol range and our new range of coffees, available as whole beans or pods that can be recycled at home with our Podcycler device. This winter we will be launching a range of coffee machines in partnership with Dualit that complement the Velvetiser on the counter-top.
- LEISURE = Whether an impulsive pop-in visit to one of our stores or a planned trip to a café with friends or family, our stores offer something for everyone. Our self-purchase leisure business historically generated approximately half of our revenues. This part of the business was the most affected by the lengthy closure of stores in the UK. Since re-opening in April, performance has been strong.
</t>
        </r>
        <r>
          <rPr>
            <b/>
            <u/>
            <sz val="9"/>
            <color indexed="81"/>
            <rFont val="Tahoma"/>
            <family val="2"/>
          </rPr>
          <t xml:space="preserve"> SIX BUSINESS GROWTH DRIVERS </t>
        </r>
        <r>
          <rPr>
            <sz val="9"/>
            <color indexed="81"/>
            <rFont val="Tahoma"/>
            <family val="2"/>
          </rPr>
          <t xml:space="preserve">
Two years ago we activated additional growth levers to change the shape of the business. These six drivers are on track: 
- VELVETISER = The Velvetiser makes delicious hot chocolate with no fuss and no mess, with a range of 20 recipes, and more coming this autumn. Supported by subscriptions the continuity model results in very engaged customers, with higher frequency and materially higher lifetime value. 
- LOYALTY = Customer connection is a key element of our physical retail model. The VIP Me scheme was invaluable during lockdown and will continue to underpin our brand building. 
- DIGITAL = Our online channel offers the perfect solution for delivered gifts, whether for family celebrations or seasonal cultural events. 
- USA = Digital-led, supported by four stores. The Velvetiser provides the brand introduction with attractive lifetime value, supported by the opportunity to cross-sell the full chocolate seasonal gifting range. 
- GLOBAL WHOLESALE = Working with carefully selected digital partners to extend brand reach and convenience, each partner has a capsule range tailored to the needs of the customer profile. The Velvetiser and cacao-alcohols are key product categories, supported by supply partnerships they provide attractive returns and capex-light growth. 
- JAPAN JV Physical retail predominates in Japan. Due to cultural factors, population density and climate, malls remain vibrant and landlords continue to open new malls. Our lifestyle format is differentiated and proving popular both with customers and landlords.
</t>
        </r>
        <r>
          <rPr>
            <b/>
            <u/>
            <sz val="9"/>
            <color indexed="81"/>
            <rFont val="Tahoma"/>
            <family val="2"/>
          </rPr>
          <t>Operational Overview:</t>
        </r>
        <r>
          <rPr>
            <sz val="9"/>
            <color indexed="81"/>
            <rFont val="Tahoma"/>
            <family val="2"/>
          </rPr>
          <t xml:space="preserve">
- Expanding the distribution centre, from 100,000 to 200,000 sq ft to accommodate increased online despatch capacity ahead of the FY21 peak season.
- Extending the UK factory from 45,000 to 80,000+ sq ft in order to install a fourth truffle-making line, a second Velvetiser refill line which more than triples capacity, and a new bean-to-bar facility for super-premium single origin chocolates and vegan Nutmilk chocolate. All of the new capacity will be commissioned this winter.
July 2021 
- raised a further £40m in equity to fund the next phase of expansion to provide the capacity to support the six fast-growth drivers: extend factory over next 3 years from 80K to 160K. Once installed should support 500m in revenues. 
</t>
        </r>
      </text>
    </comment>
    <comment ref="D704" authorId="0" shapeId="0" xr:uid="{15E5BBA7-2F66-4BAA-945A-4B5FF142EB92}">
      <text>
        <r>
          <rPr>
            <b/>
            <sz val="9"/>
            <color indexed="81"/>
            <rFont val="Tahoma"/>
            <family val="2"/>
          </rPr>
          <t>Author:</t>
        </r>
        <r>
          <rPr>
            <sz val="9"/>
            <color indexed="81"/>
            <rFont val="Tahoma"/>
            <family val="2"/>
          </rPr>
          <t xml:space="preserve">
The Group recognised a loss from its share in this joint venture of £254k up until acquisition on 17 June 2021 (28 June 2020: loss of £9k). The Group recognised a fair value adjustment to the Consolidated Statement of Comprehensive Income of £46k during the period (28 June 2020: £nil). These losses are limited to the value of the investment in Rabot 1745 Limited.</t>
        </r>
      </text>
    </comment>
    <comment ref="D715" authorId="0" shapeId="0" xr:uid="{54A2757E-D7A2-4451-A4C9-901F5352FEBD}">
      <text>
        <r>
          <rPr>
            <b/>
            <sz val="9"/>
            <color indexed="81"/>
            <rFont val="Tahoma"/>
            <family val="2"/>
          </rPr>
          <t>Author:</t>
        </r>
        <r>
          <rPr>
            <sz val="9"/>
            <color indexed="81"/>
            <rFont val="Tahoma"/>
            <family val="2"/>
          </rPr>
          <t xml:space="preserve">
The primary activity of Rabot 1745 Limited is the manufacture and sale of beauty products.
Consideration of £300k cash was transferred in return for 14.99% of Rabot 1745 Limited on 17 September 2020. On 17 June 2021, consideration of £4 cash was transferred in return for the remaining 53.01% of shares in Rabot 1745 Limited. 
The consideration was not contingent. There were no other acquisition costs. Rabot 1745 Limited contributed £2k Revenue and £10k loss to the Group’s profit for the period between the date of acquisition and the Balance Sheet date. </t>
        </r>
      </text>
    </comment>
    <comment ref="D729" authorId="0" shapeId="0" xr:uid="{65FDAE02-C39A-41EA-B4AD-8401AD93D5E1}">
      <text>
        <r>
          <rPr>
            <b/>
            <sz val="9"/>
            <color indexed="81"/>
            <rFont val="Tahoma"/>
            <family val="2"/>
          </rPr>
          <t>Author:</t>
        </r>
        <r>
          <rPr>
            <sz val="9"/>
            <color indexed="81"/>
            <rFont val="Tahoma"/>
            <family val="2"/>
          </rPr>
          <t xml:space="preserve">
Hotel Chocolat has an ongoing loan agreement with Hotel Chocolat KK. The loan is denominated in sterling and interest is payable on a quarterly basis. Hotel Chocolat KK first drew down on the loan in July 2018 and during the period made further drawdowns bringing the total loan balance including interest to £12,153k at 27 June 2021 (28 June 2020: £5,705k). The loan facility has been extended to Hotel Chocolat KK from December 2023 until December 2028. The credit risk of the loan was assessed in line with IFRS 9 and the Directors believe there is no change to the risk of default and the probability of default has been determined as nil. Whilst the date of repayment has been pushed out, the directors do not deem the loan to be impaired and therefore no expected credit loss is recognised. This decision was made using the forecasts for the period of the loan, discounted at an appropriate WACC of 9.335%, and review of current performance against the forecasts and trading information pre-COVID. Interest is charged on a commercial basis at 2% plus base rate, and accrues quarterly. Summarised financial information for Hotel Chocolat KK is set out below:</t>
        </r>
      </text>
    </comment>
    <comment ref="E729" authorId="0" shapeId="0" xr:uid="{23A09B19-0E1D-41C8-B8DD-D046E67DD524}">
      <text>
        <r>
          <rPr>
            <b/>
            <sz val="9"/>
            <color indexed="81"/>
            <rFont val="Tahoma"/>
            <family val="2"/>
          </rPr>
          <t>Author:</t>
        </r>
        <r>
          <rPr>
            <sz val="9"/>
            <color indexed="81"/>
            <rFont val="Tahoma"/>
            <family val="2"/>
          </rPr>
          <t xml:space="preserve">
Hotel Chocolat has an ongoing loan agreement with Hotel Chocolat KK. The loan is denominated in sterling and interest is payable on a quarterly basis. Hotel Chocolat KK first drew down on the loan in July 2018 and during the period made further drawdowns bringing the total loan balance including interest to £12,153k at 27 June 2021 (28 June 2020: £5,705k). The loan facility has been extended to Hotel Chocolat KK from December 2023 until December 2028. The credit risk of the loan was assessed in line with IFRS 9 and the Directors believe there is no change to the risk of default and the probability of default has been determined as nil. Whilst the date of repayment has been pushed out, the directors do not deem the loan to be impaired and therefore no expected credit loss is recognised. This decision was made using the forecasts for the period of the loan, discounted at an appropriate WACC of 9.335%, and review of current performance against the forecasts and trading information pre-COVID. Interest is charged on a commercial basis at 2% plus base rate, and accrues quarterly.</t>
        </r>
      </text>
    </comment>
    <comment ref="B748" authorId="0" shapeId="0" xr:uid="{4F4237E6-0EC4-4F68-9DD8-EABC87731F32}">
      <text>
        <r>
          <rPr>
            <b/>
            <sz val="9"/>
            <color indexed="81"/>
            <rFont val="Tahoma"/>
            <family val="2"/>
          </rPr>
          <t>Author:</t>
        </r>
        <r>
          <rPr>
            <sz val="9"/>
            <color indexed="81"/>
            <rFont val="Tahoma"/>
            <family val="2"/>
          </rPr>
          <t xml:space="preserve">
Angus co-founded Hotel Chocolat with Peter Harris in 1993 and has a particular focus on brand strategy, product and channel models, marketing and creative. Angus attended Cranfield School of Management Business Growth Programme and is a committee member for The Academy of Chocolate.</t>
        </r>
      </text>
    </comment>
    <comment ref="B754" authorId="0" shapeId="0" xr:uid="{7448A888-FDC5-4CCF-BE8A-E6301E0EC746}">
      <text>
        <r>
          <rPr>
            <b/>
            <sz val="9"/>
            <color indexed="81"/>
            <rFont val="Tahoma"/>
            <family val="2"/>
          </rPr>
          <t>Author:</t>
        </r>
        <r>
          <rPr>
            <sz val="9"/>
            <color indexed="81"/>
            <rFont val="Tahoma"/>
            <family val="2"/>
          </rPr>
          <t xml:space="preserve">
Peter Harris co-founded Hotel Chocolat with Angus Thirlwell in 1993 and is responsible for real estate, legal and intellectual property. Peter qualified as a Chartered Accountant in 1979.</t>
        </r>
      </text>
    </comment>
    <comment ref="B760" authorId="0" shapeId="0" xr:uid="{D783B0E8-24BA-400D-8709-3CF4E930518E}">
      <text>
        <r>
          <rPr>
            <b/>
            <sz val="9"/>
            <color indexed="81"/>
            <rFont val="Tahoma"/>
            <family val="2"/>
          </rPr>
          <t>Author:</t>
        </r>
        <r>
          <rPr>
            <sz val="9"/>
            <color indexed="81"/>
            <rFont val="Tahoma"/>
            <family val="2"/>
          </rPr>
          <t xml:space="preserve">
Matt joined Hotel Chocolat as Chief Financial Officer in 2014 and is responsible for the finance function, people and IT. He has over 20 years of experience of finance gained in blue chip retail organisations. Matt qualified as a Certified Accountant in 1998.</t>
        </r>
      </text>
    </comment>
    <comment ref="E762" authorId="0" shapeId="0" xr:uid="{24F64E6D-2A49-4166-B59A-8ADB73D5499F}">
      <text>
        <r>
          <rPr>
            <b/>
            <sz val="9"/>
            <color indexed="81"/>
            <rFont val="Tahoma"/>
            <family val="2"/>
          </rPr>
          <t>Author:</t>
        </r>
        <r>
          <rPr>
            <sz val="9"/>
            <color indexed="81"/>
            <rFont val="Tahoma"/>
            <family val="2"/>
          </rPr>
          <t xml:space="preserve">
Target not met
</t>
        </r>
      </text>
    </comment>
    <comment ref="B766" authorId="0" shapeId="0" xr:uid="{88BCB072-8A12-477F-9D2F-75CD0C9F7B28}">
      <text>
        <r>
          <rPr>
            <b/>
            <sz val="9"/>
            <color indexed="81"/>
            <rFont val="Tahoma"/>
            <family val="2"/>
          </rPr>
          <t>Author:</t>
        </r>
        <r>
          <rPr>
            <sz val="9"/>
            <color indexed="81"/>
            <rFont val="Tahoma"/>
            <family val="2"/>
          </rPr>
          <t xml:space="preserve">
Matt joined Hotel Chocolat in 2006 and is responsible for product development, manufacturing and supply chain. He has over 20 years of experience in operations and supply chain management. Matt completed an MBA in 2013 and is a member of the Chartered Institute of Logistics and Transport. (coo)
Chief Financial Officer in 2014 and is responsible for the finance function, people and IT. </t>
        </r>
      </text>
    </comment>
    <comment ref="E768" authorId="0" shapeId="0" xr:uid="{2DB53706-8D89-465E-8408-BC41C46148E5}">
      <text>
        <r>
          <rPr>
            <b/>
            <sz val="9"/>
            <color indexed="81"/>
            <rFont val="Tahoma"/>
            <family val="2"/>
          </rPr>
          <t>Author:</t>
        </r>
        <r>
          <rPr>
            <sz val="9"/>
            <color indexed="81"/>
            <rFont val="Tahoma"/>
            <family val="2"/>
          </rPr>
          <t xml:space="preserve">
Target not met
</t>
        </r>
      </text>
    </comment>
    <comment ref="B772" authorId="0" shapeId="0" xr:uid="{71652E27-5125-47C9-A1E7-C82EDA33DF5B}">
      <text>
        <r>
          <rPr>
            <b/>
            <sz val="9"/>
            <color indexed="81"/>
            <rFont val="Tahoma"/>
            <family val="2"/>
          </rPr>
          <t>Author:</t>
        </r>
        <r>
          <rPr>
            <sz val="9"/>
            <color indexed="81"/>
            <rFont val="Tahoma"/>
            <family val="2"/>
          </rPr>
          <t xml:space="preserve">
Andrew joined Hotel Chocolat as Nonexecutive Chairman in June 2015 and
has extensive retail experience, having
served as CEO of Lush Cosmetics from
1994 to 2014. During this period Lush
grew to over 900 locations across 49
countries, with sales in excess of £450m.
Andrew holds a B.Com degree from
Auckland University.</t>
        </r>
      </text>
    </comment>
    <comment ref="B773" authorId="0" shapeId="0" xr:uid="{F6395D68-76DB-4A68-8BF0-FDE33BE911CF}">
      <text>
        <r>
          <rPr>
            <b/>
            <sz val="9"/>
            <color indexed="81"/>
            <rFont val="Tahoma"/>
            <family val="2"/>
          </rPr>
          <t>Author:</t>
        </r>
        <r>
          <rPr>
            <sz val="9"/>
            <color indexed="81"/>
            <rFont val="Tahoma"/>
            <family val="2"/>
          </rPr>
          <t xml:space="preserve">
Sophie has considerable public markets
experience gained through a 17-year
career in the City. Sophie is Nonexecutive Director and Chair of the
Audit Committees at CloudCall Group
plc and System1 Group PLC, and senior
Independent Director and chair of
Remuneration committee at Proactis
Holdings PLC.
Sophie qualified as a Chartered
Accountant in 1994 and is a fellow of
the Chartered Institute for Securities
and Investment.</t>
        </r>
      </text>
    </comment>
    <comment ref="B774" authorId="0" shapeId="0" xr:uid="{F01AB95E-A162-495D-BCDF-8B4FBBA9BCC1}">
      <text>
        <r>
          <rPr>
            <b/>
            <sz val="9"/>
            <color indexed="81"/>
            <rFont val="Tahoma"/>
            <family val="2"/>
          </rPr>
          <t>Author:</t>
        </r>
        <r>
          <rPr>
            <sz val="9"/>
            <color indexed="81"/>
            <rFont val="Tahoma"/>
            <family val="2"/>
          </rPr>
          <t xml:space="preserve">
Greg was CEO of Charles Tyrwhitt from 2008 to 2017 and previously CEO
of Direct Wines including Laithwaites and The Sunday Times Wine Club.
Greg has considerable experience of growth through digital and international
retail, including as former Chair of Naked Wines.</t>
        </r>
      </text>
    </comment>
    <comment ref="B783" authorId="0" shapeId="0" xr:uid="{426CD6B5-8A55-4E7D-84C8-682BC2FA8521}">
      <text>
        <r>
          <rPr>
            <b/>
            <sz val="9"/>
            <color indexed="81"/>
            <rFont val="Tahoma"/>
            <family val="2"/>
          </rPr>
          <t>Author:</t>
        </r>
        <r>
          <rPr>
            <sz val="9"/>
            <color indexed="81"/>
            <rFont val="Tahoma"/>
            <family val="2"/>
          </rPr>
          <t xml:space="preserve">
Angus co-founded Hotel Chocolat with Peter Harris in 1993 and has a particular focus on brand strategy, product and channel models, marketing and creative. Angus attended Cranfield School of Management Business Growth Programme and is a committee member for The Academy of Chocolate.</t>
        </r>
      </text>
    </comment>
    <comment ref="B784" authorId="0" shapeId="0" xr:uid="{92726BD7-7D55-45BD-B5A9-0E752B143B6C}">
      <text>
        <r>
          <rPr>
            <b/>
            <sz val="9"/>
            <color indexed="81"/>
            <rFont val="Tahoma"/>
            <family val="2"/>
          </rPr>
          <t>Author:</t>
        </r>
        <r>
          <rPr>
            <sz val="9"/>
            <color indexed="81"/>
            <rFont val="Tahoma"/>
            <family val="2"/>
          </rPr>
          <t xml:space="preserve">
Peter Harris co-founded Hotel Chocolat with Angus Thirlwell in 1993 and is responsible for real estate, legal and intellectual property. Peter qualified as a Chartered Accountant in 1979.</t>
        </r>
      </text>
    </comment>
    <comment ref="E805" authorId="0" shapeId="0" xr:uid="{15EAA0F9-0AA4-44F4-A9B3-C1A4A30596D6}">
      <text>
        <r>
          <rPr>
            <b/>
            <sz val="9"/>
            <color indexed="81"/>
            <rFont val="Tahoma"/>
            <family val="2"/>
          </rPr>
          <t>Author:</t>
        </r>
        <r>
          <rPr>
            <sz val="9"/>
            <color indexed="81"/>
            <rFont val="Tahoma"/>
            <family val="2"/>
          </rPr>
          <t xml:space="preserve">
This is was December 19th 2021</t>
        </r>
      </text>
    </comment>
    <comment ref="C811" authorId="0" shapeId="0" xr:uid="{C8C9C5F5-7B3F-49F3-814C-F6A8E16CD095}">
      <text>
        <r>
          <rPr>
            <b/>
            <sz val="9"/>
            <color indexed="81"/>
            <rFont val="Tahoma"/>
            <family val="2"/>
          </rPr>
          <t xml:space="preserve">
</t>
        </r>
        <r>
          <rPr>
            <sz val="9"/>
            <color indexed="81"/>
            <rFont val="Tahoma"/>
            <family val="2"/>
          </rPr>
          <t xml:space="preserve">
https://www.nrscotland.gov.uk/statistics-and-data/statistics/statistics-by-theme/population/population-estimates/mid-year-population-estimates/population-estimates-time-series-data </t>
        </r>
      </text>
    </comment>
    <comment ref="D811" authorId="0" shapeId="0" xr:uid="{409C23B3-20F4-46BE-A285-4E104916FD30}">
      <text>
        <r>
          <rPr>
            <b/>
            <sz val="9"/>
            <color indexed="81"/>
            <rFont val="Tahoma"/>
            <family val="2"/>
          </rPr>
          <t xml:space="preserve">
</t>
        </r>
        <r>
          <rPr>
            <sz val="9"/>
            <color indexed="81"/>
            <rFont val="Tahoma"/>
            <family val="2"/>
          </rPr>
          <t xml:space="preserve">
https://www.nisra.gov.uk/publications/census-2021-population-and-household-estimates-for-northern-ireland</t>
        </r>
      </text>
    </comment>
    <comment ref="G811" authorId="0" shapeId="0" xr:uid="{6F35030C-724D-45E9-888F-B55E983CF301}">
      <text>
        <r>
          <rPr>
            <sz val="9"/>
            <color indexed="81"/>
            <rFont val="Tahoma"/>
            <family val="2"/>
          </rPr>
          <t xml:space="preserve">
https://www.ons.gov.uk/peoplepopulationandcommunity/populationandmigration/populationestimates/bulletins/populationandhouseholdestimatesenglandandwales/census2021   </t>
        </r>
      </text>
    </comment>
    <comment ref="B835" authorId="0" shapeId="0" xr:uid="{E6A998B8-E9EB-4C95-9F80-7D61D52707BC}">
      <text>
        <r>
          <rPr>
            <b/>
            <sz val="9"/>
            <color indexed="81"/>
            <rFont val="Tahoma"/>
            <family val="2"/>
          </rPr>
          <t xml:space="preserve">
To expand:
</t>
        </r>
        <r>
          <rPr>
            <sz val="9"/>
            <color indexed="81"/>
            <rFont val="Tahoma"/>
            <family val="2"/>
          </rPr>
          <t xml:space="preserve">
I could go way deeper into this. Look at every specific region in the UK, find out what their total incomes, then subtract tax, national insurance, council tax etc. 
What's I have Gross DHI, I can then look at how expensive each region is. 
However, gift percentage is an arbitrary figure. 
Also: could look at it from major event per year and find an estimation (i.e., xmas, easter, fathers/mothers day,  b-days %). But, this would be harder. </t>
        </r>
      </text>
    </comment>
    <comment ref="C852" authorId="0" shapeId="0" xr:uid="{9DAEFF1E-C3F9-4B39-8F72-67668BE3886F}">
      <text>
        <r>
          <rPr>
            <sz val="9"/>
            <color indexed="81"/>
            <rFont val="Tahoma"/>
            <family val="2"/>
          </rPr>
          <t xml:space="preserve">
https://www.gcva.co.uk/downloads/industry-research-2020/OP_GCVA_Industry-Report_2020_Final-Digital-summary-watermark.pdf </t>
        </r>
      </text>
    </comment>
    <comment ref="C854" authorId="0" shapeId="0" xr:uid="{C56862F5-4031-4EFD-8C6F-C6002DAFAF99}">
      <text>
        <r>
          <rPr>
            <sz val="9"/>
            <color indexed="81"/>
            <rFont val="Tahoma"/>
            <family val="2"/>
          </rPr>
          <t xml:space="preserve">
https://thinkplutus.com/mortgages/guides/average-mortgage-payment/#:~:text=The%20average%20UK%20monthly%20mortgage,%C2%A311%2C677%20since%20March%202020. </t>
        </r>
      </text>
    </comment>
    <comment ref="B890" authorId="0" shapeId="0" xr:uid="{1F5B6E6C-4578-48AC-82FC-278D0F56B614}">
      <text>
        <r>
          <rPr>
            <b/>
            <sz val="9"/>
            <color indexed="81"/>
            <rFont val="Tahoma"/>
            <family val="2"/>
          </rPr>
          <t>Author:</t>
        </r>
        <r>
          <rPr>
            <sz val="9"/>
            <color indexed="81"/>
            <rFont val="Tahoma"/>
            <family val="2"/>
          </rPr>
          <t xml:space="preserve">
https://www.hotelchocolat.com/uk/everything-chocolate-selection.html</t>
        </r>
      </text>
    </comment>
    <comment ref="B891" authorId="0" shapeId="0" xr:uid="{427B66DB-C46A-41A9-B548-A580960CF57B}">
      <text>
        <r>
          <rPr>
            <b/>
            <sz val="9"/>
            <color indexed="81"/>
            <rFont val="Tahoma"/>
            <family val="2"/>
          </rPr>
          <t>Author:</t>
        </r>
        <r>
          <rPr>
            <sz val="9"/>
            <color indexed="81"/>
            <rFont val="Tahoma"/>
            <family val="2"/>
          </rPr>
          <t xml:space="preserve">
https://groceries.asda.com/product/chocolates-to-share/cadbury-heroes-chocolate-game-tin/1000157579393</t>
        </r>
      </text>
    </comment>
    <comment ref="B892" authorId="0" shapeId="0" xr:uid="{DFB101BA-67F8-4A4C-9C1D-89DF96FA7A0C}">
      <text>
        <r>
          <rPr>
            <b/>
            <sz val="9"/>
            <color indexed="81"/>
            <rFont val="Tahoma"/>
            <family val="2"/>
          </rPr>
          <t>Author:</t>
        </r>
        <r>
          <rPr>
            <sz val="9"/>
            <color indexed="81"/>
            <rFont val="Tahoma"/>
            <family val="2"/>
          </rPr>
          <t xml:space="preserve">
https://www.tesco.com/groceries/en-GB/products/254897038?selectedUrl=https%3A%2F%2Fdigitalcontent.api.tesco.com%2Fv2%2Fmedia%2Fghs%2Fb6ef4990-3be8-4308-b60b-e7a1b2c0f0a7%2Ffd8b07f7-83e9-4ccc-bf9a-7becfc565d6c_659389981.jpeg%3Fh%3D540%26w%3D540</t>
        </r>
      </text>
    </comment>
    <comment ref="B894" authorId="0" shapeId="0" xr:uid="{5BB77B86-BB02-43B8-8F49-FC62F196F2E1}">
      <text>
        <r>
          <rPr>
            <b/>
            <sz val="9"/>
            <color indexed="81"/>
            <rFont val="Tahoma"/>
            <family val="2"/>
          </rPr>
          <t>Author:</t>
        </r>
        <r>
          <rPr>
            <sz val="9"/>
            <color indexed="81"/>
            <rFont val="Tahoma"/>
            <family val="2"/>
          </rPr>
          <t xml:space="preserve">
https://digitalcontent.api.tesco.com/v2/media/ghs/ff0fff04-f6a2-4279-b4f4-c78d63f9568b/627905c4-5f26-4e8d-9655-d49b394abf58_1584080816.jpeg?h=540&amp;w=540</t>
        </r>
      </text>
    </comment>
    <comment ref="B895" authorId="0" shapeId="0" xr:uid="{456C7349-A43B-4B2D-84ED-8C4F5D5EBC85}">
      <text>
        <r>
          <rPr>
            <b/>
            <sz val="9"/>
            <color indexed="81"/>
            <rFont val="Tahoma"/>
            <family val="2"/>
          </rPr>
          <t>Author:</t>
        </r>
        <r>
          <rPr>
            <sz val="9"/>
            <color indexed="81"/>
            <rFont val="Tahoma"/>
            <family val="2"/>
          </rPr>
          <t xml:space="preserve">
https://www.amazon.co.uk/Godiva-Chocolate-New-Gold-25pcs/dp/B09JHNS336/ref=sr_1_5?keywords=Godiva%2Bchocolate&amp;qid=1659276193&amp;rdc=1&amp;sr=8-5&amp;th=1</t>
        </r>
      </text>
    </comment>
    <comment ref="D895" authorId="0" shapeId="0" xr:uid="{8138BF84-7B20-4762-A18F-FBEDABE34513}">
      <text>
        <r>
          <rPr>
            <b/>
            <sz val="9"/>
            <color indexed="81"/>
            <rFont val="Tahoma"/>
            <family val="2"/>
          </rPr>
          <t>Author:</t>
        </r>
        <r>
          <rPr>
            <sz val="9"/>
            <color indexed="81"/>
            <rFont val="Tahoma"/>
            <family val="2"/>
          </rPr>
          <t xml:space="preserve">
https://www.amazon.co.uk/Godiva-Chocolate-New-Gold-25pcs/dp/B09JHNS336/ref=sr_1_5?keywords=Godiva%2Bchocolate&amp;qid=1659276193&amp;rdc=1&amp;sr=8-5&amp;th=1</t>
        </r>
      </text>
    </comment>
    <comment ref="G895" authorId="0" shapeId="0" xr:uid="{5827490E-9AB3-40FF-9184-9DCEEAF0FBDE}">
      <text>
        <r>
          <rPr>
            <b/>
            <sz val="9"/>
            <color indexed="81"/>
            <rFont val="Tahoma"/>
            <family val="2"/>
          </rPr>
          <t xml:space="preserve">
</t>
        </r>
        <r>
          <rPr>
            <sz val="9"/>
            <color indexed="81"/>
            <rFont val="Tahoma"/>
            <family val="2"/>
          </rPr>
          <t xml:space="preserve">
https://www.giftsforeurope.com/sweden/godiva-new-gold-collection-gold-rigid-box-35-pcs/gift-product-en.htm</t>
        </r>
      </text>
    </comment>
    <comment ref="B896" authorId="0" shapeId="0" xr:uid="{9571EEAF-7113-40F2-8E67-B00F11B2EA46}">
      <text>
        <r>
          <rPr>
            <b/>
            <sz val="9"/>
            <color indexed="81"/>
            <rFont val="Tahoma"/>
            <family val="2"/>
          </rPr>
          <t>Author:</t>
        </r>
        <r>
          <rPr>
            <sz val="9"/>
            <color indexed="81"/>
            <rFont val="Tahoma"/>
            <family val="2"/>
          </rPr>
          <t xml:space="preserve">
https://groceries.asda.com/product/chocolate-tins-tubs/quality-street-chocolate-gift-tin/1000319946869</t>
        </r>
      </text>
    </comment>
    <comment ref="B897" authorId="0" shapeId="0" xr:uid="{67994CAC-1C56-414F-B716-917507D6412F}">
      <text>
        <r>
          <rPr>
            <b/>
            <sz val="9"/>
            <color indexed="81"/>
            <rFont val="Tahoma"/>
            <family val="2"/>
          </rPr>
          <t>Author:</t>
        </r>
        <r>
          <rPr>
            <sz val="9"/>
            <color indexed="81"/>
            <rFont val="Tahoma"/>
            <family val="2"/>
          </rPr>
          <t xml:space="preserve">
https://www.tesco.com/groceries/en-GB/products/270933859</t>
        </r>
      </text>
    </comment>
    <comment ref="B898" authorId="0" shapeId="0" xr:uid="{5EB8BAF0-EA05-474B-A0EF-6B1B3C03520C}">
      <text>
        <r>
          <rPr>
            <b/>
            <sz val="9"/>
            <color indexed="81"/>
            <rFont val="Tahoma"/>
            <family val="2"/>
          </rPr>
          <t>Author:</t>
        </r>
        <r>
          <rPr>
            <sz val="9"/>
            <color indexed="81"/>
            <rFont val="Tahoma"/>
            <family val="2"/>
          </rPr>
          <t xml:space="preserve">
https://digitalcontent.api.tesco.com/v2/media/ghs/72bb466a-7994-4d18-9182-bfee0d4abb4e/5766a1b9-80ba-463e-9045-5716609a00d5_1880788938.jpeg?h=540&amp;w=540</t>
        </r>
      </text>
    </comment>
    <comment ref="B899" authorId="0" shapeId="0" xr:uid="{8D221E1B-D789-41E8-A4BE-AE754731AEEE}">
      <text>
        <r>
          <rPr>
            <b/>
            <sz val="9"/>
            <color indexed="81"/>
            <rFont val="Tahoma"/>
            <family val="2"/>
          </rPr>
          <t>Author:</t>
        </r>
        <r>
          <rPr>
            <sz val="9"/>
            <color indexed="81"/>
            <rFont val="Tahoma"/>
            <family val="2"/>
          </rPr>
          <t xml:space="preserve">
https://www.tesco.com/groceries/en-GB/products/305053948?selectedUrl=https%3A%2F%2Fdigitalcontent.api.tesco.com%2Fv2%2Fmedia%2Fghs%2F25c91263-b24e-4ec1-ad27-df3ab7b864f0%2F40e994ff-44d7-42eb-9901-62996332fd43_1219943742.jpeg%3Fh%3D540%26w%3D540</t>
        </r>
      </text>
    </comment>
    <comment ref="B900" authorId="0" shapeId="0" xr:uid="{BA1E8D29-481B-4A36-9C7A-F05BFAAA6582}">
      <text>
        <r>
          <rPr>
            <b/>
            <sz val="9"/>
            <color indexed="81"/>
            <rFont val="Tahoma"/>
            <family val="2"/>
          </rPr>
          <t>Author:</t>
        </r>
        <r>
          <rPr>
            <sz val="9"/>
            <color indexed="81"/>
            <rFont val="Tahoma"/>
            <family val="2"/>
          </rPr>
          <t xml:space="preserve">
https://www.tesco.com/groceries/en-GB/products/302295999?selectedUrl=https%3A%2F%2Fdigitalcontent.api.tesco.com%2Fv2%2Fmedia%2Fghs%2F89d55d84-ba01-4fb0-8ab4-74e47a3cb697%2F43542f6a-839b-4442-bfc6-f0d3dc701d2d_454416171.jpeg%3Fh%3D540%26w%3D540</t>
        </r>
      </text>
    </comment>
  </commentList>
</comments>
</file>

<file path=xl/sharedStrings.xml><?xml version="1.0" encoding="utf-8"?>
<sst xmlns="http://schemas.openxmlformats.org/spreadsheetml/2006/main" count="1093" uniqueCount="871">
  <si>
    <t>Fermanagh and Omagh</t>
  </si>
  <si>
    <t>Mid and East Antrim</t>
  </si>
  <si>
    <t>Lisburn and Castlereagh</t>
  </si>
  <si>
    <t>Antrim and Newtownabbey</t>
  </si>
  <si>
    <t>Causeway Coast and Glens</t>
  </si>
  <si>
    <t>Mid Ulster</t>
  </si>
  <si>
    <t>Derry City and Strabane</t>
  </si>
  <si>
    <t>Ards and North Down</t>
  </si>
  <si>
    <t>Newry, Mourne and Down</t>
  </si>
  <si>
    <t>Armagh City, Banbridge and Craigavon</t>
  </si>
  <si>
    <t>Belfast</t>
  </si>
  <si>
    <t>Northern Ireland</t>
  </si>
  <si>
    <t>South Lanarkshire</t>
  </si>
  <si>
    <t>South Ayrshire</t>
  </si>
  <si>
    <t>East Ayrshire and North Ayrshire mainland</t>
  </si>
  <si>
    <t>Dumfries and Galloway</t>
  </si>
  <si>
    <t>Scottish Borders</t>
  </si>
  <si>
    <t>Southern Scotland</t>
  </si>
  <si>
    <t>North Lanarkshire</t>
  </si>
  <si>
    <t>Inverclyde, East Renfrewshire and Renfrewshire</t>
  </si>
  <si>
    <t>Glasgow City</t>
  </si>
  <si>
    <t>East Dunbartonshire, West Dunbartonshire and Helensburgh and Lomond</t>
  </si>
  <si>
    <t>West Central Scotland</t>
  </si>
  <si>
    <t>West Lothian</t>
  </si>
  <si>
    <t>Perth and Kinross and Stirling</t>
  </si>
  <si>
    <t>Falkirk</t>
  </si>
  <si>
    <t>City of Edinburgh</t>
  </si>
  <si>
    <t>East Lothian and Midlothian</t>
  </si>
  <si>
    <t>Clackmannanshire and Fife</t>
  </si>
  <si>
    <t>Angus and Dundee City</t>
  </si>
  <si>
    <t>Eastern Scotland</t>
  </si>
  <si>
    <t>Shetland Islands</t>
  </si>
  <si>
    <t>Orkney Islands</t>
  </si>
  <si>
    <t>Na h-Eileanan Siar</t>
  </si>
  <si>
    <t>Lochaber, Skye and Lochalsh, Arran and Cumbrae and Argyll and Bute</t>
  </si>
  <si>
    <t>Inverness and Nairn and Moray, Badenoch and Strathspey</t>
  </si>
  <si>
    <t>Caithness and Sutherland and Ross and Cromarty</t>
  </si>
  <si>
    <t>Highlands and Islands</t>
  </si>
  <si>
    <t>Aberdeen City and Aberdeenshire</t>
  </si>
  <si>
    <t>North Eastern Scotland</t>
  </si>
  <si>
    <t>Scotland</t>
  </si>
  <si>
    <t>Powys</t>
  </si>
  <si>
    <t>Flintshire and Wrexham</t>
  </si>
  <si>
    <t>Cardiff and Vale of Glamorgan</t>
  </si>
  <si>
    <t>Monmouthshire and Newport</t>
  </si>
  <si>
    <t>East Wales</t>
  </si>
  <si>
    <t>Swansea</t>
  </si>
  <si>
    <t>Bridgend and Neath Port Talbot</t>
  </si>
  <si>
    <t>Gwent Valleys</t>
  </si>
  <si>
    <t>Central Valleys</t>
  </si>
  <si>
    <t>South West Wales</t>
  </si>
  <si>
    <t>Conwy and Denbighshire</t>
  </si>
  <si>
    <t>Gwynedd</t>
  </si>
  <si>
    <t>Isle of Anglesey</t>
  </si>
  <si>
    <t>West Wales and The Valleys</t>
  </si>
  <si>
    <t>Wales</t>
  </si>
  <si>
    <t>Devon CC</t>
  </si>
  <si>
    <t>Torbay</t>
  </si>
  <si>
    <t>Plymouth</t>
  </si>
  <si>
    <t>Devon</t>
  </si>
  <si>
    <t>Cornwall and Isles of Scilly</t>
  </si>
  <si>
    <t>Dorset</t>
  </si>
  <si>
    <t>Bournemouth, Christchurch and Poole</t>
  </si>
  <si>
    <t>Somerset</t>
  </si>
  <si>
    <t>Dorset and Somerset</t>
  </si>
  <si>
    <t>Wiltshire</t>
  </si>
  <si>
    <t>Swindon</t>
  </si>
  <si>
    <t>Gloucestershire</t>
  </si>
  <si>
    <t>Bath and North East Somerset, North Somerset and South Gloucestershire</t>
  </si>
  <si>
    <t>Bristol, City of</t>
  </si>
  <si>
    <t>Gloucestershire, Wiltshire and Bath/Bristol area</t>
  </si>
  <si>
    <t>South West</t>
  </si>
  <si>
    <t>West Kent</t>
  </si>
  <si>
    <t>Mid Kent</t>
  </si>
  <si>
    <t>East Kent</t>
  </si>
  <si>
    <t>Kent Thames Gateway</t>
  </si>
  <si>
    <t>Medway</t>
  </si>
  <si>
    <t>Kent</t>
  </si>
  <si>
    <t>North Hampshire</t>
  </si>
  <si>
    <t>Central Hampshire</t>
  </si>
  <si>
    <t>South Hampshire</t>
  </si>
  <si>
    <t>Isle of Wight</t>
  </si>
  <si>
    <t>Southampton</t>
  </si>
  <si>
    <t>Portsmouth</t>
  </si>
  <si>
    <t>Hampshire and Isle of Wight</t>
  </si>
  <si>
    <t>West Sussex (North East)</t>
  </si>
  <si>
    <t>West Sussex (South West)</t>
  </si>
  <si>
    <t>East Surrey</t>
  </si>
  <si>
    <t>West Surrey</t>
  </si>
  <si>
    <t>East Sussex CC</t>
  </si>
  <si>
    <t>Brighton and Hove</t>
  </si>
  <si>
    <t>Surrey, East and West Sussex</t>
  </si>
  <si>
    <t>Oxfordshire</t>
  </si>
  <si>
    <t>Buckinghamshire CC</t>
  </si>
  <si>
    <t>Milton Keynes</t>
  </si>
  <si>
    <t>Berkshire</t>
  </si>
  <si>
    <t>Berkshire, Buckinghamshire and Oxfordshire</t>
  </si>
  <si>
    <t>South East</t>
  </si>
  <si>
    <t>Hounslow and Richmond upon Thames</t>
  </si>
  <si>
    <t>Harrow and Hillingdon</t>
  </si>
  <si>
    <t>Ealing</t>
  </si>
  <si>
    <t>Brent</t>
  </si>
  <si>
    <t>Barnet</t>
  </si>
  <si>
    <t>Outer London - West and North West</t>
  </si>
  <si>
    <t>Merton, Kingston upon Thames and Sutton</t>
  </si>
  <si>
    <t>Croydon</t>
  </si>
  <si>
    <t>Bromley</t>
  </si>
  <si>
    <t>Outer London - South</t>
  </si>
  <si>
    <t>Enfield</t>
  </si>
  <si>
    <t>Redbridge and Waltham Forest</t>
  </si>
  <si>
    <t>Barking &amp; Dagenham and Havering</t>
  </si>
  <si>
    <t>Bexley and Greenwich</t>
  </si>
  <si>
    <t>Outer London - East and North East</t>
  </si>
  <si>
    <t>Lambeth</t>
  </si>
  <si>
    <t>Lewisham and Southwark</t>
  </si>
  <si>
    <t>Haringey and Islington</t>
  </si>
  <si>
    <t>Tower Hamlets</t>
  </si>
  <si>
    <t>Hackney and Newham</t>
  </si>
  <si>
    <t>Inner London - East</t>
  </si>
  <si>
    <t>Wandsworth</t>
  </si>
  <si>
    <t>Kensington &amp; Chelsea and Hammersmith &amp; Fulham</t>
  </si>
  <si>
    <t>Westminster</t>
  </si>
  <si>
    <t>Camden and City of London</t>
  </si>
  <si>
    <t>Inner London - West</t>
  </si>
  <si>
    <t>London</t>
  </si>
  <si>
    <t>Essex Thames Gateway</t>
  </si>
  <si>
    <t>Heart of Essex</t>
  </si>
  <si>
    <t>West Essex</t>
  </si>
  <si>
    <t>Essex Haven Gateway</t>
  </si>
  <si>
    <t>Thurrock</t>
  </si>
  <si>
    <t>Southend-on-Sea</t>
  </si>
  <si>
    <t>Essex</t>
  </si>
  <si>
    <t>Central Bedfordshire</t>
  </si>
  <si>
    <t>Bedford</t>
  </si>
  <si>
    <t>Hertfordshire</t>
  </si>
  <si>
    <t>Luton</t>
  </si>
  <si>
    <t>Bedfordshire and Hertfordshire</t>
  </si>
  <si>
    <t>Breckland and South Norfolk</t>
  </si>
  <si>
    <t>North and West Norfolk</t>
  </si>
  <si>
    <t>Norwich and East Norfolk</t>
  </si>
  <si>
    <t>Suffolk</t>
  </si>
  <si>
    <t>Cambridgeshire CC</t>
  </si>
  <si>
    <t>Peterborough</t>
  </si>
  <si>
    <t>East Anglia</t>
  </si>
  <si>
    <t>East of England</t>
  </si>
  <si>
    <t>Wolverhampton</t>
  </si>
  <si>
    <t>Walsall</t>
  </si>
  <si>
    <t>Sandwell</t>
  </si>
  <si>
    <t>Dudley</t>
  </si>
  <si>
    <t>Coventry</t>
  </si>
  <si>
    <t>Solihull</t>
  </si>
  <si>
    <t>Birmingham</t>
  </si>
  <si>
    <t>West Midlands</t>
  </si>
  <si>
    <t>Staffordshire CC</t>
  </si>
  <si>
    <t>Stoke-on-Trent</t>
  </si>
  <si>
    <t>Shropshire CC</t>
  </si>
  <si>
    <t>Telford and Wrekin</t>
  </si>
  <si>
    <t>Shropshire and Staffordshire</t>
  </si>
  <si>
    <t>Warwickshire</t>
  </si>
  <si>
    <t>Worcestershire</t>
  </si>
  <si>
    <t>Herefordshire, County of</t>
  </si>
  <si>
    <t>Herefordshire, Worcestershire and Warwickshire</t>
  </si>
  <si>
    <t>Lincolnshire</t>
  </si>
  <si>
    <t>North Northamptonshire</t>
  </si>
  <si>
    <t>West Northamptonshire</t>
  </si>
  <si>
    <t>Leicestershire CC and Rutland</t>
  </si>
  <si>
    <t>Leicester</t>
  </si>
  <si>
    <t>Leicestershire, Rutland and Northamptonshire</t>
  </si>
  <si>
    <t>South Nottinghamshire</t>
  </si>
  <si>
    <t>North Nottinghamshire</t>
  </si>
  <si>
    <t>Nottingham</t>
  </si>
  <si>
    <t>South and West Derbyshire</t>
  </si>
  <si>
    <t>East Derbyshire</t>
  </si>
  <si>
    <t>Derby</t>
  </si>
  <si>
    <t>Derbyshire and Nottinghamshire</t>
  </si>
  <si>
    <t>East Midlands</t>
  </si>
  <si>
    <t>Wakefield</t>
  </si>
  <si>
    <t>Calderdale and Kirklees</t>
  </si>
  <si>
    <t>Leeds</t>
  </si>
  <si>
    <t>Bradford</t>
  </si>
  <si>
    <t>West Yorkshire</t>
  </si>
  <si>
    <t>Sheffield</t>
  </si>
  <si>
    <t>Barnsley, Doncaster and Rotherham</t>
  </si>
  <si>
    <t>South Yorkshire</t>
  </si>
  <si>
    <t>North Yorkshire CC</t>
  </si>
  <si>
    <t>York</t>
  </si>
  <si>
    <t>North Yorkshire</t>
  </si>
  <si>
    <t>North and North East Lincolnshire</t>
  </si>
  <si>
    <t>East Riding of Yorkshire</t>
  </si>
  <si>
    <t>Kingston upon Hull, City of</t>
  </si>
  <si>
    <t>East Yorkshire and Northern Lincolnshire</t>
  </si>
  <si>
    <t>Yorkshire and The Humber</t>
  </si>
  <si>
    <t>Wirral</t>
  </si>
  <si>
    <t>Sefton</t>
  </si>
  <si>
    <t>Liverpool</t>
  </si>
  <si>
    <t>East Merseyside</t>
  </si>
  <si>
    <t>Merseyside</t>
  </si>
  <si>
    <t>Cheshire West and Chester</t>
  </si>
  <si>
    <t>Cheshire East</t>
  </si>
  <si>
    <t>Warrington</t>
  </si>
  <si>
    <t>Cheshire</t>
  </si>
  <si>
    <t>Chorley and West Lancashire</t>
  </si>
  <si>
    <t>East Lancashire</t>
  </si>
  <si>
    <t>Mid Lancashire</t>
  </si>
  <si>
    <t>Lancaster and Wyre</t>
  </si>
  <si>
    <t>Blackpool</t>
  </si>
  <si>
    <t>Blackburn with Darwen</t>
  </si>
  <si>
    <t>Lancashire</t>
  </si>
  <si>
    <t>Greater Manchester North East</t>
  </si>
  <si>
    <t>Greater Manchester North West</t>
  </si>
  <si>
    <t>Greater Manchester South East</t>
  </si>
  <si>
    <t>Greater Manchester South West</t>
  </si>
  <si>
    <t>Manchester</t>
  </si>
  <si>
    <t>Greater Manchester</t>
  </si>
  <si>
    <t>East Cumbria</t>
  </si>
  <si>
    <t>West Cumbria</t>
  </si>
  <si>
    <t>Cumbria</t>
  </si>
  <si>
    <t>North West</t>
  </si>
  <si>
    <t>Sunderland</t>
  </si>
  <si>
    <t>Tyneside</t>
  </si>
  <si>
    <t>Northumberland</t>
  </si>
  <si>
    <t>Northumberland and Tyne and Wear</t>
  </si>
  <si>
    <t>Durham CC</t>
  </si>
  <si>
    <t>Darlington</t>
  </si>
  <si>
    <t>South Teesside</t>
  </si>
  <si>
    <t>Hartlepool and Stockton-on-Tees</t>
  </si>
  <si>
    <t>Tees Valley and Durham</t>
  </si>
  <si>
    <t>North East</t>
  </si>
  <si>
    <t>England</t>
  </si>
  <si>
    <t>United Kingdom</t>
  </si>
  <si>
    <t>2019
[note 1]</t>
  </si>
  <si>
    <t>Region name</t>
  </si>
  <si>
    <t>pounds</t>
  </si>
  <si>
    <t xml:space="preserve"> </t>
  </si>
  <si>
    <t>GDHI per head of population at current basic prices</t>
  </si>
  <si>
    <t xml:space="preserve">https://www.hotelchocolat.com/uk/hotel-restaurants.html &gt; Hotel (find out more) </t>
  </si>
  <si>
    <t xml:space="preserve">https://view.belleportwe.com/tours/yo5bb8uZ8 &gt; Hotel Virtual Tour. </t>
  </si>
  <si>
    <t xml:space="preserve">https://www.kakaoplattform.ch/about-cocoa/cocoa-facts-and-figures#:~:text=In%20the%202018%2F2019%20cocoa,by%20Ecuador%20with%20seven%20percent. &gt; World Cacao production </t>
  </si>
  <si>
    <t>https://www.bloomberg.com/news/articles/2022-06-30/uk-real-household-incomes-fall-for-an-unprecedented-4th-quarter &gt; Real incomes (More)</t>
  </si>
  <si>
    <t xml:space="preserve">https://www.ons.gov.uk/economy/grossdomesticproductgdp/timeseries/crxz/ukea &gt; Real incomes </t>
  </si>
  <si>
    <t>https://www.booking.com/hotel/lc/boucan-by-chocolat.en-gb.html?auth_success=1 &gt; Hotel Rabot 1975</t>
  </si>
  <si>
    <t xml:space="preserve">https://www.hotelchocolat.com/uk/engaged-ethics/our-planet.html &gt; ESG initiatives </t>
  </si>
  <si>
    <t>https://www.retailgazette.co.uk/blog/2021/03/thorntons-store-closures-chocolate-online-covid-in-depth-deep-dive/ &gt; Thornton closes stores</t>
  </si>
  <si>
    <t xml:space="preserve">https://find-&amp;-update.company-information.service.gov.uk/company/00174706/filing-history &gt; Thorntons filing history. </t>
  </si>
  <si>
    <t xml:space="preserve">https://www.hl.co.uk/tools/calculators/inflation-calculator &gt; Inflation calculator </t>
  </si>
  <si>
    <t xml:space="preserve">https://www.ons.gov.uk/employment&amp;labourmarket/peopleinwork/employment&amp;employeetypes/articles/ishybridworkingheretostay/2022-05-23 &gt; ONS working from home/Hybrid work. </t>
  </si>
  <si>
    <t>https://www.glassdoor.co.uk/Reviews/Hotel-Chocolat-Reviews-E592555.htm &gt; HOTC Glassdoors review</t>
  </si>
  <si>
    <t xml:space="preserve">https://uk.trustpilot.com/review/hotelchocolat.com &gt; Trust Pilot reviews </t>
  </si>
  <si>
    <t>https://catererlicensee.com/total-uk-coffee-shop-s&amp;wich-&amp;-bakery-market-set-to-exceed-2019-market-value-in-2022/ &gt; Coffee Market Size</t>
  </si>
  <si>
    <t xml:space="preserve">https://play.google.com/store/apps/details?id=com.hotelchocolat.hotelchocolat &gt; Android Store </t>
  </si>
  <si>
    <t xml:space="preserve">https://apps.apple.com/gb/app/hotel-chocolat/id1518955513 &gt; App store </t>
  </si>
  <si>
    <t xml:space="preserve">https://trends.google.com/trends/explore?date=today%205-y&amp;geo=GB&amp;q=hotel%20chocolat &gt; Google Trends </t>
  </si>
  <si>
    <t xml:space="preserve">https://www.similarweb.com/website/hotelchocolat.com/#overview &gt; Web analytics </t>
  </si>
  <si>
    <t xml:space="preserve">https://www.wearel&amp;ed.com/careers/hotelchocolat.php?searchtype=20 </t>
  </si>
  <si>
    <t xml:space="preserve">https://blog.bizvibe.com/blog/food-beverages/top-10-largest-chocolate-companies-world#:~:text=Source%3A%20ICCO-,Mars%20Wrigley%20Confectionery%20(USA),%2C%20of%20course%2C%20Mars%20bars.  &gt; Top 10 largest Choc Firms. </t>
  </si>
  <si>
    <t>https://www.ibisworld.com/united-kingdom/market-size/chocolate-confectionery-production/  &gt; Chocolate Market size:</t>
  </si>
  <si>
    <t>https://www.globaldata.com/store/report/uk-chocolate-market-analysis/#:~:text=Chocolate%20Market%20in%20the%20United%20Kingdom%20registered%20a%20positive%20compound,increase%20of%200.57%25%20over%202019. &gt; Chocolate Market size:</t>
  </si>
  <si>
    <t>https://www.statista.com/statistics/481625/chocolate-&amp;-sugar-confectionary-sales-turnover-united-kingdom-uk/ &gt; Chocolate Market size:</t>
  </si>
  <si>
    <t xml:space="preserve">https://www.divinechocolate.com/divine-world/chocolate-facts-&amp;-figures/ &gt; Chocolate Market size: </t>
  </si>
  <si>
    <t>https://www.gcva.co.uk/downloads/industry-research-2020/OP_GCVA_Industry-Report_2020_Final-Digital-summary-watermark.pdf &gt; Gift Card Market Size (UK)</t>
  </si>
  <si>
    <t xml:space="preserve">https://thinkplutus.com/mortgages/guides/average-mortgage-payment/#:~:text=The%20average%20UK%20monthly%20mortgage,%C2%A311%2C677%20since%20March%202020. &gt; Avg Monthly Mortgage costs </t>
  </si>
  <si>
    <t xml:space="preserve">https://www.ons.gov.uk/peoplepopulation&amp;community/personal&amp;householdfinances/expenditure/bulletins/familyspendingintheuk/april2018tomarch2019 &gt; Household Expenditure Est. (ONS) </t>
  </si>
  <si>
    <t xml:space="preserve">https://www.nrscotl&amp;.gov.uk/statistics-&amp;-data/statistics/statistics-by-theme/households/household-estimates/2021  </t>
  </si>
  <si>
    <t xml:space="preserve">https://www.nisra.gov.uk/system/files/statistics/census-2021-population-&amp;-household-estimates-for-northern-irel&amp;-report-24-may-2022.pdf </t>
  </si>
  <si>
    <t xml:space="preserve">https://www.nrscotl&amp;.gov.uk/files//statistics/household-estimates/2021/house-est-21-report.pdf </t>
  </si>
  <si>
    <t xml:space="preserve">https://www.finder.com/uk/christmas-shopping-statistics </t>
  </si>
  <si>
    <t xml:space="preserve">https://www.independent.co.uk/life-style/adults-average-gift-giving-uk-b1951507.html </t>
  </si>
  <si>
    <t xml:space="preserve">https://www.nisra.gov.uk/publications/census-2021-population-&amp;-household-estimates-for-northern-irel&amp; </t>
  </si>
  <si>
    <t xml:space="preserve">https://www.nrscotl&amp;.gov.uk/statistics-&amp;-data/statistics/statistics-by-theme/population/population-estimates/mid-year-population-estimates/population-estimates-time-series-data </t>
  </si>
  <si>
    <t xml:space="preserve">https://www.ons.gov.uk/peoplepopulation&amp;community/population&amp;migration/populationestimates/bulletins/population&amp;householdestimatesengl&amp;&amp;wales/census2021 </t>
  </si>
  <si>
    <t xml:space="preserve">https://www.hotelchocolat.com/uk/blog/chocolateknowledge/how-can-you-tell-if-chocolate-has-gone-bad.html &gt; When choc has gone bad. </t>
  </si>
  <si>
    <t xml:space="preserve">https://www.hotelchocolat.com/on/dem&amp;ware.static/-/Sites-HotelChocolat-Library/default/dw9c99c951/Hotel_Chocolat_Capital_Markets_Day_WEBIR.pdf </t>
  </si>
  <si>
    <t xml:space="preserve">https://www.youtube.com/watch?v=Jl0IDXkYKbk &gt; best vid to show how choc is made. </t>
  </si>
  <si>
    <t xml:space="preserve">https://www.youtube.com/watch?v=5X7wAKMNBXI &gt; How Ghana grows its Cocoa. </t>
  </si>
  <si>
    <t>https://find-&amp;-update.company-information.service.gov.uk/company/10487072/filing-history &gt; Restaurant C.house</t>
  </si>
  <si>
    <t>https://www.goldmansachs.com/insights/talks-at-gs/angus-thirlwell-f/transcript.pdf &gt; Transcript of above interview )</t>
  </si>
  <si>
    <t>https://www.youtube.com/watch?v=zvSryb7vZ1c &gt; Angus Thirlwell CEO &amp; Co-founder interview (see passion/strategy</t>
  </si>
  <si>
    <t>https://www.ons.gov.uk/economy/regionalaccounts/grossdisposablehouseholdincome/datasets/revisionstrianglesregionalgdhi  &gt; Regional gross disposable household income</t>
  </si>
  <si>
    <t xml:space="preserve">https://assets.publishing.service.gov.uk/government/uploads/system/uploads/attachment_data/file/835115/IoD2019_Statistical_Release.pdf </t>
  </si>
  <si>
    <t xml:space="preserve">https://www.youtube.com/watch?v=VYgwUeehzz8 &gt; Latest HOTC shareholder presentation </t>
  </si>
  <si>
    <t>https://www.hotelchocolat.com/uk/investor-relations-news.html &gt; RNS’s of HOTC</t>
  </si>
  <si>
    <t xml:space="preserve">https://www.hotelchocolat.com/on/dem&amp;ware.static/-/Sites-HotelChocolat-Library/default/dw5fb2c9d6/Launch%20of%20placing%20RNS%20220721.pdf &gt; Placing RNS (40m) </t>
  </si>
  <si>
    <t xml:space="preserve">https://www.hotelchocolat.com/uk/our-cocoa-manifesto.html &gt; HOTC Slogan </t>
  </si>
  <si>
    <t xml:space="preserve">https://www.hotelchocolat.com/on/dem&amp;ware.static/-/Sites-HotelChocolat-Library/default/dwe3329af0/Admission%20Document%20-%205th%20May%202016.pdf &gt; IPO Admission Doc </t>
  </si>
  <si>
    <t xml:space="preserve">https://www.hotelchocolat.com/uk/engaged-ethics/our-people/Our-Story.html &gt; Brief History of HOTC </t>
  </si>
  <si>
    <t xml:space="preserve">Sources: </t>
  </si>
  <si>
    <t>Sources</t>
  </si>
  <si>
    <t xml:space="preserve">Kcal = 523                                              Fat (g) = 31                                                 Of which saturates = 20 Carbohydrates = 55                                 Of which sugars = 20                               Protien = 5.2                                                   Fibre = 7.5   Salt = 0.2                                     </t>
  </si>
  <si>
    <r>
      <t xml:space="preserve">Sugar, Cocoa Mass, Cocoa Butter, Dried Skimmed Milk, Dried Whole Milk, Glucose Syrup, Double Cream (Milk), Palm Oil, Butter (Milk), Anhydrous Milk Fat, Hazelnuts, Coconut Oil, Sweetened Condensed Milk (Whole Milk, Sugar), Humectant (Sorbitol Syrup), Dextrose, Lactose (Milk), Invert Sugar Syrup, Whole Milk, Fat Reduced Cocoa Powder, Emulsifiers (Soya Lecithin, Sunflower Lecithin, E471), Concentrated Orange Juice, Flavourings, Rice Flour, Almonds, Cornflour, Dried Whey (Milk), Orange Juice from Concentrate, Fructose Syrup, Apple Purée from Concentrate, Strawberry Powder, Acid (Citric Acid), Salt, Acidity Regulators (Sodium Hydrogen Carbonate, Potassium Citrates), Sea Salt, Orange Cells, Colour (Beetroot Red), Gelling Agent (Pectin), Dried Egg White, Single Cream (Milk), Vanilla Seeds, Citrus Fibre (Lemon, Lime), Hydrolysed Milk Proteins, Our Chocolate is made with 100% Cocoa Butter, Milk Chocolate contains: Cocoa Solids 30% minimum, </t>
    </r>
    <r>
      <rPr>
        <b/>
        <sz val="9"/>
        <color theme="1"/>
        <rFont val="Calibri"/>
        <family val="2"/>
        <scheme val="minor"/>
      </rPr>
      <t>Milk Solids 20% minimum</t>
    </r>
    <r>
      <rPr>
        <sz val="9"/>
        <color theme="1"/>
        <rFont val="Calibri"/>
        <family val="2"/>
        <scheme val="minor"/>
      </rPr>
      <t>, Dark Chocolate contains: Cocoa Solids 48% minimum</t>
    </r>
  </si>
  <si>
    <t>Thorntons Classic Collection Of Milk, Dark &amp; White Chocolate</t>
  </si>
  <si>
    <t xml:space="preserve">Kcal = 542                                              Fat (g) = 33                                                 Of which saturates = 18 Carbohydrates = 53                                 Of which sugars = 51                               Protien = 6.7                                              Salt = 0.15 </t>
  </si>
  <si>
    <t>Sugar, Cocoa Butter, Cocoa Mass, Whole Milk Powder, Almonds, Hazelnuts, Anhydrous Milk Fat, Coconut Fat, Glucose Syrup, Skimmed Milk Powder, Dextrose, Invert Sugar Syrup, Whole Milk, Wheat Flour, Lactose, Emulsifier (Soya and Sunflower Lecithin), Cream Powder, Glucose-Fructose-Syrup, Lemon Peel, Orange Peel, Flavourings, Alcohol, Humectant (Sorbitol, Invertase), Salt, Orange Juice Concentrate, Natural Orange Flavouring, Oranges, Lemon Juice Concentrate, Caramel Sugar Syurp, Gelling Agent (Pectin), Acidifier (Citric Acid), Barley Malt Extract, Milk Chocolate contains: Cocoa Solids 30% minimum, Milk Solids 18% minimum, Dark Chocolate contains: Cocoa Solids 41% minimum, White Chocolate contains: Cocoa Solids: 20% minimum, Milk Solids: 14% minimum</t>
  </si>
  <si>
    <t xml:space="preserve">Lindt Master Chocolatier Collection </t>
  </si>
  <si>
    <t xml:space="preserve">Kcal = 623                                              Fat (g) = 47                                                 Of which saturates = 34 Carbohydrates = 44                                 Of which sugars = 42                               Protien = 5                                                Salt = 0.17 </t>
  </si>
  <si>
    <t>Sugar, Vegetable Fat (Coconut, Palm Kernel), Cocoa Butter, Cocoa Mass, Whole Milk Powder, Skimmed Milk Powder, Lactose, Anhydrous Milk Fat, Emulsifier (Soya Lecithin), Barley Malt Extract, Flavourings, Milk Chocolate contains - Cocoa Solids: 32% minimum, Milk Solids: 21% minimum</t>
  </si>
  <si>
    <t xml:space="preserve">Lindt Lindor Milk Chocolate Truffles Carton </t>
  </si>
  <si>
    <t xml:space="preserve">Kcal = 567                                              Fat (g) = 39                                                 Of which saturates = 22 Carbohydrates = 41                                 Of which sugars = 36                               Protien = 8.9                                                   Fibre = 6.9                                                 Salt = 0.14 </t>
  </si>
  <si>
    <r>
      <t xml:space="preserve">Cocoa Mass #, Cane Sugar #, Cocoa Butter #, Whole Milk Powder #, Fat-Reduced Cocoa Powder #, Chopped Roasted Hazelnuts #, Chopped Roasted Almonds #, Crystallised Ginger # (Stem Ginger #, Icing Sugar #), Currants #, Glucose Syrup #, Butter #, Emulsifier (Soya Lecithins #), Palm Oil #, Vanilla Extract #, Molasses #, Anglesey Sea Salt, Vanilla Pod #, # = Certified Organic, Organic Chocolate: minimum Cocoa Solids 85 %, Organic Chocolate: minimum Cocoa Solids 70 %, Organic Chocolate: minimum Cocoa Solids 60 %, </t>
    </r>
    <r>
      <rPr>
        <b/>
        <sz val="9"/>
        <color theme="1"/>
        <rFont val="Calibri"/>
        <family val="2"/>
        <scheme val="minor"/>
      </rPr>
      <t>Organic Milk Chocolate: minimum Cocoa Solids 37 %, Minimum Milk Solids 24%, Organic White Chocolate: minimum Cocoa Solids 30%, Minimum Milk Solids 26 %</t>
    </r>
    <r>
      <rPr>
        <sz val="9"/>
        <color theme="1"/>
        <rFont val="Calibri"/>
        <family val="2"/>
        <scheme val="minor"/>
      </rPr>
      <t>, Fairtrade Cocoa, Sugar, Ginger and Molasses may be mixed with non-certified Cocoa, Sugar, Ginger, Vanilla and Molasses on a mass balance basis, total 84 %</t>
    </r>
  </si>
  <si>
    <t xml:space="preserve">Green &amp; Blacks Organic Tasting Collection Boxed Chocolates </t>
  </si>
  <si>
    <t xml:space="preserve">Kcal = 471                                              Fat (g) = 20.7                                                 Of which saturates = 12 Carbohydrates = 67.3                                 Of which sugars = 58                               Protien = 3.3                                                                                                   Salt = 0.22 </t>
  </si>
  <si>
    <t>Hazelnuts, Butter (from Milk), Skimmed Milk Powder, Dried Whole Milk, Butterfat (from Milk), Whey Powder (from Milk), Lactose and Proteins from Whey (from Milk), Sweetened Condensed Skimmed Milk (Skimmed Milk Powder, Sugar), Sugar, Glucose Syrup, Fat-Reduced Cocoa Powder, Salt, Flavourings, Acid (Lactic Acid), Milk Chocolate contains Milk Solids 14% minimum, Milk and Dark Chocolates contain Vegetable Fats in addition to Cocoa Butter, Vegetable Fats (Palm, Shea, Rapeseed, Sunflower, Mango Kernel, Sal, Coconut), Cocoa Mass, Cocoa Butter, Glucose-Fructose Syrup, Coconut, Emulsifier (Lecithins)</t>
  </si>
  <si>
    <t>Quality Street Chocolate Gift Tin</t>
  </si>
  <si>
    <t xml:space="preserve">Kcal = 520                                              Fat (g) = 32                                                 Of which saturates = 19 Carbohydrates = 54                                 Of which sugars = 44                               Protien = 6                                                   Fibre = 3                                                 </t>
  </si>
  <si>
    <t>sugar, cocoa mass, full cream milk powder, cocoa butter, hazelnuts (3%), humectant (E420, E422), vegetable oil (shea nut, palm, palm kernel), cream, glucose syrup, butter oil, invert sugar syrup, sweetened condensed milk, milk, butter, skimmed milk powder, emulsifier (soy lecithin), wheat flour, flavouring, macadamia nuts (0.3%), hydrogenated vegetable oil (palm kernel), cocoa powder, brown sugar, passion fruit juice concentrate, elderberry, cranberry solids, salt, passionfruit fruit solids, milk sugar, milk protein, barley malt extract, natural vanilla, honey, vegetable fat (palm, shea nut). May have an adverse effect on the activity and attention of children.</t>
  </si>
  <si>
    <t>Godiva Chocolate New Gold 25pcs</t>
  </si>
  <si>
    <t xml:space="preserve">Kcal = 554                                              Fat (g) = 36                                                 Of which saturates = 14 Carbohydrates = 48                                 Of which sugars = 47                               Protien = 8.4                                                                                                   Salt = 0.14 </t>
  </si>
  <si>
    <t>Sugar, 23% Hazelnuts, White Chocolate (Sugar, Cocoa Butter, Whole Milk Powder, Skimmed Milk Powder, Emulsifier: Sunflower Lecithin), Chocolate (Sugar, Cocoa Mass, Cocoa Butter, Whole Milk Powder, Emulsifier: Sunflower Lecithin), Whole Milk Powder, Cocoa Butter, Milk Chocolate (Sugar, Whole Milk Powder, Cocoa Butter, Cocoa Mass, Emulsifier: Sunflower Lecithin), Cocoa Mass, Emulsifier: Sunflower Lecithin, Cocoa Solids: Chocolate 48% minimum, Milk Chocolate 31% minimum, White Chocolate 25% minimum, Milk Solids: Milk Chocolate 23% minimum, White Chocolate 29% minimum</t>
  </si>
  <si>
    <t>Guylian Seashells Box</t>
  </si>
  <si>
    <t>Nutrition = Per 100G</t>
  </si>
  <si>
    <t>Ingredients</t>
  </si>
  <si>
    <t>£ per 100G</t>
  </si>
  <si>
    <t>Price</t>
  </si>
  <si>
    <t>Grams</t>
  </si>
  <si>
    <t xml:space="preserve">Chocolate (best sellers) </t>
  </si>
  <si>
    <t xml:space="preserve">Kcal = 603                                              Fat (g) = 42.7                                                 Of which saturates = 14.1 Carbohydrates = 44.4                                 Of which sugars = 39.9                               Protien = 8.2                                                                                                    Salt = 0.153 </t>
  </si>
  <si>
    <r>
      <rPr>
        <b/>
        <sz val="10"/>
        <color theme="1"/>
        <rFont val="Calibri"/>
        <family val="2"/>
        <scheme val="minor"/>
      </rPr>
      <t xml:space="preserve">MILK chocolate 30% </t>
    </r>
    <r>
      <rPr>
        <sz val="10"/>
        <color theme="1"/>
        <rFont val="Calibri"/>
        <family val="2"/>
        <scheme val="minor"/>
      </rPr>
      <t>(sugar, cocoa butter, cocoa mass, skimmed MILK powder, concentrated BUTTER, emulsifier: lecithins (SOYA), vanillin), HAZELNUTS (28.5%), sugar,</t>
    </r>
    <r>
      <rPr>
        <b/>
        <sz val="10"/>
        <color theme="1"/>
        <rFont val="Calibri"/>
        <family val="2"/>
        <scheme val="minor"/>
      </rPr>
      <t xml:space="preserve"> palm oil</t>
    </r>
    <r>
      <rPr>
        <sz val="10"/>
        <color theme="1"/>
        <rFont val="Calibri"/>
        <family val="2"/>
        <scheme val="minor"/>
      </rPr>
      <t>, wheat FLOUR, whey powder (MILK), fat-reduced cocoa, emulsifier: lecithins (SOYA), raising agent (sodium bicarbonate), salt, vanillin. Total cocoa constituents: 26.5%.</t>
    </r>
  </si>
  <si>
    <t>Ferrero Rocher 24 Pieces Boxed Chocolates</t>
  </si>
  <si>
    <t xml:space="preserve">Kcal = 490                                              Fat (g) = 23                                                 Of which saturates = 13 Carbohydrates = 65                                Of which sugars = 57                               Protien = 4.9                                                   Fibre = 1.5                                                 Salt = 0.29 </t>
  </si>
  <si>
    <r>
      <t>Milk, Sugar, Glucose Syrup, Cocoa Butter, Cocoa Mass, Vegetable Fats (Palm, Shea), Whey Powder (from Milk), Glucose-Fructose Syrup, Skimmed Milk Powder, Whole Milk Powder, Rice Flour, Emulsifiers (E442, Soya Lecithins, E471, E476), Whey Permeate Powder (from Milk), Milk Fat, Stabiliser (Sorbitol), Humectant (Glycerol), Flavourings (contains Milk), Invert Sugar Syrup, Salt, Fat-Reduced Cocoa Powder, Molasses, Barley Malt Extract, Dried Egg Whites, Acidity Regulator (Sodium Carbonates), Colours (Carotenes, Paprika Extract, E150d), Milk Chocolate: Milk Solids 20 % minimum, </t>
    </r>
    <r>
      <rPr>
        <b/>
        <sz val="10"/>
        <color theme="1"/>
        <rFont val="Calibri"/>
        <family val="2"/>
        <scheme val="minor"/>
      </rPr>
      <t>Milk Chocolate: Milk Solids 14 % minimum</t>
    </r>
    <r>
      <rPr>
        <sz val="10"/>
        <color theme="1"/>
        <rFont val="Calibri"/>
        <family val="2"/>
        <scheme val="minor"/>
      </rPr>
      <t>, Contains Vegetable Fats in addition to Cocoa Butter</t>
    </r>
  </si>
  <si>
    <t>Cadbury Heroes Chocolate Game Tin</t>
  </si>
  <si>
    <t xml:space="preserve">Kcal = 656                                              Fat (g) = 40.6                                                 Of which saturates = 21.9 Carbohydrates = 40.2                                 Of which sugars = 35.7                               Protien = 4                                                   Fibre = 7.5                                                 Salt = 0.2 </t>
  </si>
  <si>
    <t>cocoa solids (cocoa butter, cocoa mass), sugar, full cream MILK powder, sweetened hazelnut paste (HAZELNUTS, sugar, emulsifier (sunflower lecithin)), HAZELNUT paste, caramel half-salted butter (glucose fructose syrup, sweetened condensed MILK, half salted butter (from MILK), sugar, salt), butter oil (from MILK), stabilisers (sorbitol, glycerol), florentines (ALMOND NUTS, sugar, butter (from MILK), glucose syrup, honey, cream (from MILK), HAZELNUTS), skimmed MILK powder, whipping cream (cream (from MILK), stabiliser (carrageenan)), glucose syrup, roasted HAZELNUTS, pistachio nuts paste (PISTACHIO NUTS, rapeseed oil), vegetable fats (coconut, shea, sunflower), half candied cherries (cherries, liquor, kirsch), amaretto, fruit juice concentrates (carrot, raspberry), walnut paste (WALNUTS, sunflower oil, citrus fibre, emulsifier (SOYA lecithin)), cocoa biscuits (WHEAT flour, cocoa powder, sugar, butter (from MILK), sunflower oil, salt, raising agent (ammonium bicarbonate), flavourings), emulsifiers (SOYA lecithin, sunflower lecithin), shortbread biscuits (WHEAT flour, coconut oil, sugar, cocoa butter, WHEAT starch, raising agents (sodium bicarbonate, ammonium bicarbonate), salt), neutral alcohol, freeze dried strawberry powder, meringue granules (sugar, cocoa butter, WHEAT starch, EGG white), ALMOND NUTS paste, invert sugar syrup, cream (from MILK), dextrose, dried carrot pieces (carrot pieces, sugar), champagne (SULPHITES), cocoa powder, caramelised sugar, lactose (from MILK), yoghurt powder (yoghurt powder (from MILK), sugar, acidity regulators (malic acid, citric acid), flavouring), cereals coated with chocolate (crisped rice (rice flour, sugar, cocoa butter, salt), sugar, cocoa mass, cocoa butter, whole MILK powder, whey powder (from MILK), butter oil (from MILK), vegetable fat (coconut), glazing agent (gum arabic), glucose syrup, modified starch, emulsifier (SOYA lecithin), flavouring, spices), flavourings, natural colours (beetroot, carotene, paprika, annatto), concentrated whey (from MILK), freeze dried strawberry pieces, cinnamon paste (glucose syrup, cinnamon, plain caramel, essential oil (cinnamon)), acidity regulator (citric acid), molasses, ground cinnamon, ground nutmeg, vanilla seeds, MILK protein, concentrate of spirulina. Dark chocolate contains minimum 70% cocoa solids. Milk chocolate contains minimum 40%  cocoa solids, minimum 14% milk solids. White chocolate contains minimum 36% cocoa butter, minimum 27% milk solids. Caramel milk chocolate contains minimum 36% cocoa solids, minimum 26% milk solids. For allergens, including cereals containing gluten. All chocolates in this box may contain tree nuts, peanuts, milk, soya, gluten, wheat, egg, sesame.</t>
  </si>
  <si>
    <t>Hotel Chocolate - Everything H Box</t>
  </si>
  <si>
    <t>Nutrition</t>
  </si>
  <si>
    <t xml:space="preserve">Margot, StudentSka, Orion </t>
  </si>
  <si>
    <t>Orion Corp (South Korea)</t>
  </si>
  <si>
    <t xml:space="preserve">Pocky </t>
  </si>
  <si>
    <t>Ezaki Glico Co Ltd (Japan)</t>
  </si>
  <si>
    <t>Go ahead, BN, Flipz. Godiva Belgium, McVities (digestives, JaffaCakes, Hobnobs)</t>
  </si>
  <si>
    <t>Pladis (UK)</t>
  </si>
  <si>
    <t>Lindt, Ghirardelli, Russell Stover, Whitmans, Carrafel, Hofbauer and Küfferle</t>
  </si>
  <si>
    <t>Lindt &amp; Sprüngli AG (Switzerland)</t>
  </si>
  <si>
    <t xml:space="preserve">Kitkat, Aero, Yorkie, Smarties, MilkyBar, Quality Street, Lion, Munchies, </t>
  </si>
  <si>
    <t>Nestlé SA (Switzerland)</t>
  </si>
  <si>
    <t>KitKat (US Licensee), Reeses, Payday, Hershey, Swizzlers, Brookside</t>
  </si>
  <si>
    <t>Hershey Co (USA)</t>
  </si>
  <si>
    <t>Meiji, Hello Panda, Melty Kiss, Lucky Stick, Chocorooms</t>
  </si>
  <si>
    <t>Meiji Co Ltd (Japan)</t>
  </si>
  <si>
    <t xml:space="preserve">Cadbury (Flake, Roses, Heroes, Crunchy, Twirl Etc) , Mikado, Milka, Oreo, Toblerone, Côte d'Or, Freia </t>
  </si>
  <si>
    <t>Mondelēz International (USA)</t>
  </si>
  <si>
    <t>Ferroro Rocher, Kinder, Nutella, Crunch, Baby Ruth</t>
  </si>
  <si>
    <t>Ferrero Group (Luxembourg / Italy)</t>
  </si>
  <si>
    <t xml:space="preserve">Galaxy, snickers, mars, bounty, M&amp;Ms, Twix, </t>
  </si>
  <si>
    <t>Mars Wrigley Confectionery (USA)</t>
  </si>
  <si>
    <t>Products Include:</t>
  </si>
  <si>
    <t xml:space="preserve">Largest Chocolate Companies </t>
  </si>
  <si>
    <t>Rank</t>
  </si>
  <si>
    <t>Largest Choc Brands</t>
  </si>
  <si>
    <t>Personal Estimation (Including rents + increase in mortgage payments)</t>
  </si>
  <si>
    <t>Average</t>
  </si>
  <si>
    <t>Median</t>
  </si>
  <si>
    <t>North of England</t>
  </si>
  <si>
    <t>Yorkshire and the Humber</t>
  </si>
  <si>
    <t>North West England</t>
  </si>
  <si>
    <t>South West England</t>
  </si>
  <si>
    <t>South East England</t>
  </si>
  <si>
    <t>Greater London</t>
  </si>
  <si>
    <t>Avg Mon. Mortgage 20</t>
  </si>
  <si>
    <t>Region</t>
  </si>
  <si>
    <t>6.9bn</t>
  </si>
  <si>
    <t>UK Gift cards Market Size</t>
  </si>
  <si>
    <t>Total (Avg spend per gift per individual aged 15 - 89 x Population aged 15 - 89)</t>
  </si>
  <si>
    <t>Indiviual Spend per gift (estimate) Population Aged 15 - 89</t>
  </si>
  <si>
    <t>Total (Avg spend on gifts per household  x Total households)</t>
  </si>
  <si>
    <t>Avg spend per gift / Net disposable Income</t>
  </si>
  <si>
    <t>Average Spend per gift (household)</t>
  </si>
  <si>
    <t>Net Disposable Income (household)</t>
  </si>
  <si>
    <t>Other (phone, TV, Internet bills etc) ~100 a month</t>
  </si>
  <si>
    <t>Food = ~70 a week</t>
  </si>
  <si>
    <t>Utility = ~200 a month</t>
  </si>
  <si>
    <t>Transport ~ 85 a week</t>
  </si>
  <si>
    <t>Mortgage or Rent = ~780 a month</t>
  </si>
  <si>
    <t>Average expenditure per household (not including clothing, travelling, or leisure - just essentials)</t>
  </si>
  <si>
    <t>Average Gross Disposable Income Per House Hold (after-tax (incl council tax) &amp; provided by 2021 ONS)</t>
  </si>
  <si>
    <t>Medium Gross Disposable Income Per House Hold (after-tax (incl council tax) &amp; provided by 2021 ONS)</t>
  </si>
  <si>
    <t>Total Households</t>
  </si>
  <si>
    <t>Population Aged 15 - 89</t>
  </si>
  <si>
    <t>UK General (for better representation, you could: look up avg income, expenditure per region instead of whole (sum of parts))</t>
  </si>
  <si>
    <t>Households (2021)</t>
  </si>
  <si>
    <t>All persons</t>
  </si>
  <si>
    <t xml:space="preserve">Aged 90 years and over
</t>
  </si>
  <si>
    <t xml:space="preserve">Aged 85 to 89 years
</t>
  </si>
  <si>
    <t xml:space="preserve">Aged 80 to 84 years
</t>
  </si>
  <si>
    <t xml:space="preserve">Aged 75 to 79 years
</t>
  </si>
  <si>
    <t xml:space="preserve">Aged 70 to 74 years
</t>
  </si>
  <si>
    <t xml:space="preserve">Aged 65 to 69 years
</t>
  </si>
  <si>
    <t xml:space="preserve">Aged 60 to 64 years
</t>
  </si>
  <si>
    <t xml:space="preserve">Aged 55 to 59 years
</t>
  </si>
  <si>
    <t xml:space="preserve">Aged 50 to 54 years
</t>
  </si>
  <si>
    <t xml:space="preserve">Aged 45 to 49 years
</t>
  </si>
  <si>
    <t xml:space="preserve">Aged 40 to 44 years
</t>
  </si>
  <si>
    <t xml:space="preserve">Aged 35 to 39 years
</t>
  </si>
  <si>
    <t xml:space="preserve">Aged 30 to 34 years
</t>
  </si>
  <si>
    <t xml:space="preserve">Aged 25 to 29 years
</t>
  </si>
  <si>
    <t xml:space="preserve">Aged 20 to 24 years
</t>
  </si>
  <si>
    <t xml:space="preserve">Aged 15 to 19 years
</t>
  </si>
  <si>
    <t>Aged 10 to 14 years</t>
  </si>
  <si>
    <t>Aged 5 to 9 years</t>
  </si>
  <si>
    <t xml:space="preserve">Aged 4 years and under
</t>
  </si>
  <si>
    <t>Total UK</t>
  </si>
  <si>
    <t>ENG &amp; Wales</t>
  </si>
  <si>
    <t>ENG</t>
  </si>
  <si>
    <t>2021 Population Consensus (ENG + Wales)</t>
  </si>
  <si>
    <t>ONS</t>
  </si>
  <si>
    <t>249K</t>
  </si>
  <si>
    <t>269k</t>
  </si>
  <si>
    <t>Hotel Chocolat</t>
  </si>
  <si>
    <t>Social Media</t>
  </si>
  <si>
    <t>New debt after lease liabilities</t>
  </si>
  <si>
    <t>Lease liabilities</t>
  </si>
  <si>
    <t>Net cash before lease liabilities</t>
  </si>
  <si>
    <t>Borrowings</t>
  </si>
  <si>
    <t>Net cash per statement of cash flows</t>
  </si>
  <si>
    <t>Cash at bank and in hand</t>
  </si>
  <si>
    <t>Analysis of Net Cash / Net Debt</t>
  </si>
  <si>
    <t>Columbia Threadneedle Investments</t>
  </si>
  <si>
    <t>Kames Capital</t>
  </si>
  <si>
    <t>Capital Group</t>
  </si>
  <si>
    <t>Abderdeen Standard Life</t>
  </si>
  <si>
    <t>Peter Harris (Co founder + Development director)</t>
  </si>
  <si>
    <t>Angus Thirlwell (Co-founder &amp; CEO)</t>
  </si>
  <si>
    <t>Major Shareholders</t>
  </si>
  <si>
    <t>Total</t>
  </si>
  <si>
    <t>Greg Hodder</t>
  </si>
  <si>
    <t>Sophie Tomkins</t>
  </si>
  <si>
    <t>Andrew Gerrie (Chairman)</t>
  </si>
  <si>
    <t>Pension</t>
  </si>
  <si>
    <t>Nil</t>
  </si>
  <si>
    <t>Performance bonus</t>
  </si>
  <si>
    <t>Salary</t>
  </si>
  <si>
    <t>Matt Margereson (COO)</t>
  </si>
  <si>
    <t>Matt Pritchard (CFO)</t>
  </si>
  <si>
    <t>Remuneration</t>
  </si>
  <si>
    <t>Income tax</t>
  </si>
  <si>
    <t>Interest expense</t>
  </si>
  <si>
    <t>Interest income</t>
  </si>
  <si>
    <t>Depreciation and amortisation</t>
  </si>
  <si>
    <t>Total comprehensive loss</t>
  </si>
  <si>
    <t>Revenue</t>
  </si>
  <si>
    <t>Cash and cash equivalents</t>
  </si>
  <si>
    <t>Non-current liabilities</t>
  </si>
  <si>
    <t>Current liabilities</t>
  </si>
  <si>
    <t>Non-current assets</t>
  </si>
  <si>
    <t>Current assets</t>
  </si>
  <si>
    <t>Loan to Hotel Chocolat KK</t>
  </si>
  <si>
    <t>Goodwill</t>
  </si>
  <si>
    <t>Total Liabilities</t>
  </si>
  <si>
    <t>Trade &amp; Other creditors</t>
  </si>
  <si>
    <t>Loans</t>
  </si>
  <si>
    <t>Total Assets</t>
  </si>
  <si>
    <t>Stock</t>
  </si>
  <si>
    <t>Trade and other receivables</t>
  </si>
  <si>
    <t>FV</t>
  </si>
  <si>
    <t>Rabot 1745</t>
  </si>
  <si>
    <t>Acquisition of RABOT 1745</t>
  </si>
  <si>
    <t>Ownership Level Joint Venture</t>
  </si>
  <si>
    <t>Hotel Chocolat KK</t>
  </si>
  <si>
    <t>Losses recognised during period ended 27 June 2021</t>
  </si>
  <si>
    <t>Fair value adjustment</t>
  </si>
  <si>
    <t>£300k investment on 17th September 2020</t>
  </si>
  <si>
    <t>17 September 2020 to 17 June 2021</t>
  </si>
  <si>
    <t>14 February 2019 to 28 June 2020</t>
  </si>
  <si>
    <t>9 August 2017 to 13 February 2019</t>
  </si>
  <si>
    <t>1 July 2017 to 18 August 2017</t>
  </si>
  <si>
    <t>Investment in Join Ventures &amp; Acquisition</t>
  </si>
  <si>
    <t>Family members of the Directors stayed at the Group’s hotel in Saint Lucia</t>
  </si>
  <si>
    <t>Harwell Management</t>
  </si>
  <si>
    <t>Related Party Transactions</t>
  </si>
  <si>
    <t>End</t>
  </si>
  <si>
    <t>Exchange difference</t>
  </si>
  <si>
    <t>Amounts capitalised during the period</t>
  </si>
  <si>
    <t>Released through P&amp;L</t>
  </si>
  <si>
    <t>BGN</t>
  </si>
  <si>
    <t>Movement in dilapidations</t>
  </si>
  <si>
    <t>Lease dilapidations provision</t>
  </si>
  <si>
    <t>Non-current</t>
  </si>
  <si>
    <t>Provisions</t>
  </si>
  <si>
    <t>Corporate goodwill impairment</t>
  </si>
  <si>
    <t>St Lucia impairment</t>
  </si>
  <si>
    <t>Retail impairments</t>
  </si>
  <si>
    <t>Exceptional Items</t>
  </si>
  <si>
    <t>Inventory Cost</t>
  </si>
  <si>
    <t>Finished Goods</t>
  </si>
  <si>
    <t>Work in Progress</t>
  </si>
  <si>
    <t>Raw Materials</t>
  </si>
  <si>
    <t>Inventories</t>
  </si>
  <si>
    <t>Prepayments</t>
  </si>
  <si>
    <t>Other receivables</t>
  </si>
  <si>
    <t>Trade receivables</t>
  </si>
  <si>
    <t>Trade &amp; Receivables</t>
  </si>
  <si>
    <t>Post-employment benefits</t>
  </si>
  <si>
    <t>Social security costs</t>
  </si>
  <si>
    <t>Share-based payments</t>
  </si>
  <si>
    <t>Short-term employee benefits</t>
  </si>
  <si>
    <t>Number of personnel</t>
  </si>
  <si>
    <t xml:space="preserve">Remuneration for Key Management </t>
  </si>
  <si>
    <t>Gov't grants received</t>
  </si>
  <si>
    <t>Pension Costs</t>
  </si>
  <si>
    <t>Social Security costs</t>
  </si>
  <si>
    <t>Share-based Payments</t>
  </si>
  <si>
    <t>Wages + Salaries</t>
  </si>
  <si>
    <t>Staff Costs</t>
  </si>
  <si>
    <t>Admin Staff</t>
  </si>
  <si>
    <t>Retail Staff</t>
  </si>
  <si>
    <t>Production Staff</t>
  </si>
  <si>
    <t>Staff</t>
  </si>
  <si>
    <t>Staff + staff costs</t>
  </si>
  <si>
    <t>Other payables and accruals</t>
  </si>
  <si>
    <t>Accruals</t>
  </si>
  <si>
    <t>Other taxes payable</t>
  </si>
  <si>
    <t>Other payables</t>
  </si>
  <si>
    <t>Trade payables</t>
  </si>
  <si>
    <t>Trade &amp; Payables</t>
  </si>
  <si>
    <t>Net Book Value</t>
  </si>
  <si>
    <t>Disposals</t>
  </si>
  <si>
    <t>Amortisation Charge</t>
  </si>
  <si>
    <t>Amortisation</t>
  </si>
  <si>
    <t>Additions</t>
  </si>
  <si>
    <t>Intangibles</t>
  </si>
  <si>
    <t>Net Book</t>
  </si>
  <si>
    <t xml:space="preserve">End </t>
  </si>
  <si>
    <t>Translation Differences</t>
  </si>
  <si>
    <t>Impairment</t>
  </si>
  <si>
    <t>Current Depreciation</t>
  </si>
  <si>
    <t>IFRS 16 Adjustment</t>
  </si>
  <si>
    <t>Total Depreciation</t>
  </si>
  <si>
    <t>Translation differences</t>
  </si>
  <si>
    <t>IFRS 16 Adjustment / reclassification</t>
  </si>
  <si>
    <t>Disposals &amp; Lease modifications</t>
  </si>
  <si>
    <t>Right of use asset</t>
  </si>
  <si>
    <t>Plant &amp; machinery</t>
  </si>
  <si>
    <t>Furniture &amp; fittings, equipment &amp; hardware</t>
  </si>
  <si>
    <t>Leasehold improvements</t>
  </si>
  <si>
    <t>Freehold Property</t>
  </si>
  <si>
    <t>PP&amp;E</t>
  </si>
  <si>
    <t>Total contractual cash flows</t>
  </si>
  <si>
    <t>After five years</t>
  </si>
  <si>
    <t>Between two and five years</t>
  </si>
  <si>
    <t>Between one and two years</t>
  </si>
  <si>
    <t>Less than one year</t>
  </si>
  <si>
    <t>Maturity Analysis</t>
  </si>
  <si>
    <t>Total contractual cashflows</t>
  </si>
  <si>
    <t>Lease liabilities (Maturity Analysis)</t>
  </si>
  <si>
    <t>Derecognition</t>
  </si>
  <si>
    <t>Foreign exchange</t>
  </si>
  <si>
    <t>Lease payments</t>
  </si>
  <si>
    <t>Effect of modification of lease</t>
  </si>
  <si>
    <t>Additions to lease liabilities</t>
  </si>
  <si>
    <t>-</t>
  </si>
  <si>
    <t>Amortisation &amp; Depreciation</t>
  </si>
  <si>
    <t>Additions to right of use assets</t>
  </si>
  <si>
    <t>Beginning (Land + Equipment)</t>
  </si>
  <si>
    <t>Right of Use Assets</t>
  </si>
  <si>
    <t>Leases</t>
  </si>
  <si>
    <t>Diluted earnings per share (pence)</t>
  </si>
  <si>
    <t>Basic earnings per share (pence)</t>
  </si>
  <si>
    <t>Weighted average number of shares in issue used in the calculation of earnings per share (number) - Diluted</t>
  </si>
  <si>
    <t>Long-term incentive plan</t>
  </si>
  <si>
    <t>Save as You Earn Plan</t>
  </si>
  <si>
    <t>Effect of dilutive potential share:</t>
  </si>
  <si>
    <t>Weighted average number of share in issue for the period - basic</t>
  </si>
  <si>
    <t>EPS</t>
  </si>
  <si>
    <t>Finance expenses</t>
  </si>
  <si>
    <t>IFRS 16 interest charge</t>
  </si>
  <si>
    <t>Finance leases and hire purchase contracts</t>
  </si>
  <si>
    <t>Finance charges on Chocolate bonds</t>
  </si>
  <si>
    <t>Unrealised interest on derivative financial instrument</t>
  </si>
  <si>
    <t>Realised interest on derivative financial liabilities</t>
  </si>
  <si>
    <t>Interest on bank borrowings</t>
  </si>
  <si>
    <t>Finance income</t>
  </si>
  <si>
    <t>Unrealised interest on derivative financial instruments</t>
  </si>
  <si>
    <t>Interest on bank deposits</t>
  </si>
  <si>
    <t>Interest from related party</t>
  </si>
  <si>
    <t>Finance income &amp; Expenses</t>
  </si>
  <si>
    <t>Plant and equipment</t>
  </si>
  <si>
    <t>Property</t>
  </si>
  <si>
    <t>Operating Lease</t>
  </si>
  <si>
    <t>Rent Charges</t>
  </si>
  <si>
    <t>Bad debt (credit)/expense</t>
  </si>
  <si>
    <t>Write off of inventory recognised as an expense</t>
  </si>
  <si>
    <t>Research &amp; expenditure tax credit</t>
  </si>
  <si>
    <t>Loss/(gain) on exchange differences</t>
  </si>
  <si>
    <t>Loss/(gain) upon remeasurement of joint venture fair value</t>
  </si>
  <si>
    <t>Loss/(profit) on disposal of property, plant and equipment and intangible assets</t>
  </si>
  <si>
    <t>Amortisation of intangible assets</t>
  </si>
  <si>
    <t>Operating Lease (Property + Plant &amp; Equipment)</t>
  </si>
  <si>
    <t xml:space="preserve">Depreciation of right of use asset </t>
  </si>
  <si>
    <t xml:space="preserve">Impairment of property, plant and equipment </t>
  </si>
  <si>
    <t>Depreciation of property, plant and equipment</t>
  </si>
  <si>
    <t>Government grants received</t>
  </si>
  <si>
    <t>Staff cost</t>
  </si>
  <si>
    <t>Profit/(loss) from operations is arrived at after charging/(crediting):</t>
  </si>
  <si>
    <t>Profit from operations</t>
  </si>
  <si>
    <t>Saint Lucia</t>
  </si>
  <si>
    <t>United States</t>
  </si>
  <si>
    <t xml:space="preserve">Ireland </t>
  </si>
  <si>
    <t>UK</t>
  </si>
  <si>
    <t xml:space="preserve">Total </t>
  </si>
  <si>
    <t>ROW</t>
  </si>
  <si>
    <t>Japan (JV)</t>
  </si>
  <si>
    <t>Europe</t>
  </si>
  <si>
    <t>Revenue By Destination of sale</t>
  </si>
  <si>
    <t>Cacoa Estate + Hotel</t>
  </si>
  <si>
    <t xml:space="preserve">International </t>
  </si>
  <si>
    <t>Partners + B2B</t>
  </si>
  <si>
    <t>Digital</t>
  </si>
  <si>
    <t>Physical</t>
  </si>
  <si>
    <t>% of sales</t>
  </si>
  <si>
    <t>International</t>
  </si>
  <si>
    <t>Revenue By Channel</t>
  </si>
  <si>
    <t>&lt;1.0%</t>
  </si>
  <si>
    <t>Hotel Chocolat Global Market Share</t>
  </si>
  <si>
    <t>102bn</t>
  </si>
  <si>
    <t>Worldwide</t>
  </si>
  <si>
    <t xml:space="preserve">Market size (Other &gt; premium alchohols + beauty) </t>
  </si>
  <si>
    <t>3bn</t>
  </si>
  <si>
    <t>Market Size (velvetiser system + other subscription/recurring choc deliveries)</t>
  </si>
  <si>
    <t>210bn</t>
  </si>
  <si>
    <t xml:space="preserve">US </t>
  </si>
  <si>
    <t>6bn</t>
  </si>
  <si>
    <t>Chocolate</t>
  </si>
  <si>
    <t>8bn</t>
  </si>
  <si>
    <t xml:space="preserve">Café </t>
  </si>
  <si>
    <t>14bn</t>
  </si>
  <si>
    <t>UK &amp; Ireland</t>
  </si>
  <si>
    <t>Market Size (Leisure)</t>
  </si>
  <si>
    <t>175bn</t>
  </si>
  <si>
    <t>US + Japan</t>
  </si>
  <si>
    <t>20bn</t>
  </si>
  <si>
    <t>Market Size (Gifts)</t>
  </si>
  <si>
    <t>Market Size</t>
  </si>
  <si>
    <t>70K</t>
  </si>
  <si>
    <t>55K</t>
  </si>
  <si>
    <t>Chocolate Tasters Club Members</t>
  </si>
  <si>
    <t>Global Wholesale</t>
  </si>
  <si>
    <t>400+</t>
  </si>
  <si>
    <t>Product SKU</t>
  </si>
  <si>
    <t xml:space="preserve">Subscription Revenue </t>
  </si>
  <si>
    <t>VIP sales of UK D2C</t>
  </si>
  <si>
    <t>2.3m</t>
  </si>
  <si>
    <t>0.4m</t>
  </si>
  <si>
    <t>0.7m</t>
  </si>
  <si>
    <t>0.9m</t>
  </si>
  <si>
    <t>1.3m</t>
  </si>
  <si>
    <t>1.8m</t>
  </si>
  <si>
    <t>Active Members</t>
  </si>
  <si>
    <t>Total Stores (Approx Figures)</t>
  </si>
  <si>
    <t>Japan Joint Venture</t>
  </si>
  <si>
    <t>St Lucia</t>
  </si>
  <si>
    <t xml:space="preserve">Stores </t>
  </si>
  <si>
    <t xml:space="preserve">KPI </t>
  </si>
  <si>
    <t xml:space="preserve">30% trim considering retail staff salaries are lower than the rest (1 way to look at it) </t>
  </si>
  <si>
    <t>Cost per retail staff (very aggressive)</t>
  </si>
  <si>
    <t xml:space="preserve">Retail staff cost </t>
  </si>
  <si>
    <t>Total Staff cost (not incl. SBC)</t>
  </si>
  <si>
    <t>% of retail staff</t>
  </si>
  <si>
    <t>Total staff</t>
  </si>
  <si>
    <t>Profit</t>
  </si>
  <si>
    <t>Total Cost (~240-260k?)</t>
  </si>
  <si>
    <t>Other Costs</t>
  </si>
  <si>
    <t>Employee x 4 (assuming 3-4 people work per store on avg)</t>
  </si>
  <si>
    <t>Employee avg employee salary 17-22k (incl regional managers)</t>
  </si>
  <si>
    <t xml:space="preserve">Rent (rent charges = 10.5-12m a yr) </t>
  </si>
  <si>
    <t>OpEx</t>
  </si>
  <si>
    <t>CapEx (Interior &amp; Exterior)</t>
  </si>
  <si>
    <t>Refurb (20-30k over 5 years)</t>
  </si>
  <si>
    <t>Pre-opening Costs (20-40k)</t>
  </si>
  <si>
    <t>Cost per store (annually) &gt; subjective figures</t>
  </si>
  <si>
    <t>Stock Turn</t>
  </si>
  <si>
    <t>YoY</t>
  </si>
  <si>
    <t>Sales per Employee</t>
  </si>
  <si>
    <t>Retail Employees (2019 &amp; prior = estimates)</t>
  </si>
  <si>
    <t>How many H boxes HOTC would need to sell @ £13.5</t>
  </si>
  <si>
    <t>Revenue per store (Exl. JV)</t>
  </si>
  <si>
    <t>Physical (store) Revenue (note: 55,000 = forecasted amount)</t>
  </si>
  <si>
    <t>Total Stores (includes US)</t>
  </si>
  <si>
    <t>Current / Latest figs</t>
  </si>
  <si>
    <t>Store Economics (Profitability - annually)</t>
  </si>
  <si>
    <t>Earnings Yield (E/P) &gt; inverted P/E</t>
  </si>
  <si>
    <t>Price-to-Earnings (PE Ratio) Fwd</t>
  </si>
  <si>
    <t xml:space="preserve">EPS Est. </t>
  </si>
  <si>
    <t>Consensus Median Price</t>
  </si>
  <si>
    <t>Price-to-Earnings (PE Ratio) Trailing</t>
  </si>
  <si>
    <t>Price-to-Book</t>
  </si>
  <si>
    <t>Earnings (Underlying PBT) Est. 22m x (1 - Effective tax)</t>
  </si>
  <si>
    <t>Price-to-Cash Flow</t>
  </si>
  <si>
    <t>Price-to-Sales</t>
  </si>
  <si>
    <t># of shares</t>
  </si>
  <si>
    <t>Current / Latest figs)</t>
  </si>
  <si>
    <t>EV / CFO</t>
  </si>
  <si>
    <t>EV / Sales</t>
  </si>
  <si>
    <t>EV / EBITDA (Post IFRS &amp; removing Exceptional &amp; not adding back SBC)</t>
  </si>
  <si>
    <t>EV / EBIT</t>
  </si>
  <si>
    <t xml:space="preserve">EV / NOPAT </t>
  </si>
  <si>
    <t>Enterprise Value (EV)</t>
  </si>
  <si>
    <t>Cash - Debt</t>
  </si>
  <si>
    <t>Book Value</t>
  </si>
  <si>
    <t>Market Cap</t>
  </si>
  <si>
    <t>Valuation</t>
  </si>
  <si>
    <t>Free Cash Flow to Firm (EBIT Calc)</t>
  </si>
  <si>
    <t>Depreciation + Amortisation</t>
  </si>
  <si>
    <t>Capex (Change in Gross PPE/intangibles/ROU)</t>
  </si>
  <si>
    <t>Change in Net Working Capital (figures obtained from Cash flow)</t>
  </si>
  <si>
    <t>NOPAT =  (EBIT) * (1-T)</t>
  </si>
  <si>
    <t>FCF Calc</t>
  </si>
  <si>
    <t>CFROIC</t>
  </si>
  <si>
    <t>GCI</t>
  </si>
  <si>
    <t>Net working capital</t>
  </si>
  <si>
    <t>Gross Intangibles</t>
  </si>
  <si>
    <t>Gross right-of-use assets</t>
  </si>
  <si>
    <t>Gross property, plant and equipment</t>
  </si>
  <si>
    <t>Cash Returns</t>
  </si>
  <si>
    <t>Tax charge on above</t>
  </si>
  <si>
    <t>Effective tax rate</t>
  </si>
  <si>
    <t>Share based payment charges</t>
  </si>
  <si>
    <t>Property Rental Costs</t>
  </si>
  <si>
    <t>Underlying operating profit</t>
  </si>
  <si>
    <t>After-tax cost of debt %</t>
  </si>
  <si>
    <t>After-tax cost of debt</t>
  </si>
  <si>
    <t>ROIC (using Net working cap &amp; EBITA (1-T)</t>
  </si>
  <si>
    <t>ROIC (using Net working cap &amp; EBIT (1-T)</t>
  </si>
  <si>
    <t>NOPAT (EBITA - Cash Taxes)</t>
  </si>
  <si>
    <t>NOPAT (EBIT) (1-T)</t>
  </si>
  <si>
    <t>Adjusted EBITDA (adding back SBC - Post IFRS)</t>
  </si>
  <si>
    <t>Adjusted EBITDA (adding back SBC - Pre IFRS)</t>
  </si>
  <si>
    <t>EBITDA (removing exceptional items &amp; Post IFRS)</t>
  </si>
  <si>
    <t>EBITDA (removing exceptional items &amp; Pre IFRS)</t>
  </si>
  <si>
    <t>EBIT (removing exceptional items)</t>
  </si>
  <si>
    <t>EBITA (removing exceptional items)</t>
  </si>
  <si>
    <t>LT Operating Assets (or Fixed Assets)</t>
  </si>
  <si>
    <t>Working Cap  (Current Assets - Current Liabilities)</t>
  </si>
  <si>
    <t>Net Working Capital (Accts receivable + Inventory - payables)</t>
  </si>
  <si>
    <t>Change in Net Working Capital (figures obtained from Cash flow &amp; does not include provisions)</t>
  </si>
  <si>
    <t xml:space="preserve">Return on investment </t>
  </si>
  <si>
    <t>Approx. Conversion Period</t>
  </si>
  <si>
    <t>Cash Conversion Cycle (Net Trade Cycle)</t>
  </si>
  <si>
    <t>Days' In Payables</t>
  </si>
  <si>
    <t>Accounts payable turnover</t>
  </si>
  <si>
    <t>Days' Sales In Inventory</t>
  </si>
  <si>
    <t>Inventory Turnover (Avg Inventories Turnover)</t>
  </si>
  <si>
    <t>Days' In sales Receivables</t>
  </si>
  <si>
    <t>Accounts Receivable Turnover</t>
  </si>
  <si>
    <t xml:space="preserve">Efficiency </t>
  </si>
  <si>
    <t>Quick Ratio (Acid Test) (Defence internal Ratio)</t>
  </si>
  <si>
    <t>Cash to Current Liabilities (Cash Ratio)</t>
  </si>
  <si>
    <t>Cash-to-current assets</t>
  </si>
  <si>
    <t xml:space="preserve">Current Ratio </t>
  </si>
  <si>
    <t xml:space="preserve">Liquid </t>
  </si>
  <si>
    <t>Cash Flow Coverage Ratio</t>
  </si>
  <si>
    <t>Interest Coverage (EBIT / Finance Expense)</t>
  </si>
  <si>
    <t xml:space="preserve">Leverage </t>
  </si>
  <si>
    <t xml:space="preserve">Debt to total Capital </t>
  </si>
  <si>
    <t xml:space="preserve">Total Debt to equity </t>
  </si>
  <si>
    <t>Net Debt/Cash &gt; (Post IFRS)</t>
  </si>
  <si>
    <t>Net Debt/Cash &gt; (Pre IFRS)</t>
  </si>
  <si>
    <t>Net Debt/Equity &gt; (Post IFRS)</t>
  </si>
  <si>
    <t>Net Debt/Equity &gt; (Pre IFRS)</t>
  </si>
  <si>
    <t>Net Debt (if positive = net cash &gt; (Post IFRS)</t>
  </si>
  <si>
    <t>Net Debt (if positive = net cash) &gt; (Pre IFRS)</t>
  </si>
  <si>
    <t xml:space="preserve">Solvency </t>
  </si>
  <si>
    <t>Net Profit Margin</t>
  </si>
  <si>
    <t>PBT Margin</t>
  </si>
  <si>
    <t>Operating Margin</t>
  </si>
  <si>
    <t>Gross Margin</t>
  </si>
  <si>
    <t>Profitability</t>
  </si>
  <si>
    <t>Financials</t>
  </si>
  <si>
    <t>Cash and cash equivalents at end of period</t>
  </si>
  <si>
    <t>Foreign currency movements</t>
  </si>
  <si>
    <t>Cash and cash equivalents at beginning of period</t>
  </si>
  <si>
    <t>Net change in cash and cash equivalents</t>
  </si>
  <si>
    <t>Cash flows (used in)/generated from financing activities</t>
  </si>
  <si>
    <t>Repayment of bank loans</t>
  </si>
  <si>
    <t>Payment of IFRS 16 lease liabilities</t>
  </si>
  <si>
    <t>Capital element of leases</t>
  </si>
  <si>
    <t>Costs associated to issue of ordinary shares</t>
  </si>
  <si>
    <t>Issue of ordinary shares</t>
  </si>
  <si>
    <t>Sale of shares</t>
  </si>
  <si>
    <t>Buy back of Chocolate bonds</t>
  </si>
  <si>
    <t>Dividends paid</t>
  </si>
  <si>
    <t>Cash flows used in investing activities</t>
  </si>
  <si>
    <t>Acquisition of joint venture/Subsidiary</t>
  </si>
  <si>
    <t>Loan to joint venture</t>
  </si>
  <si>
    <t>Purchase of intangible assets</t>
  </si>
  <si>
    <t>Proceeds from disposal of property, plant and equipment</t>
  </si>
  <si>
    <t>Investment in Join venture</t>
  </si>
  <si>
    <t>Purchase of property, plant and equipment</t>
  </si>
  <si>
    <t>Cash flows from operating activities</t>
  </si>
  <si>
    <t>- IFRS 16 lease liabilities</t>
  </si>
  <si>
    <t>- derivative financial liabilities</t>
  </si>
  <si>
    <t>- bank loans and overdraft</t>
  </si>
  <si>
    <t>Interest paid on:</t>
  </si>
  <si>
    <t>Income tax paid</t>
  </si>
  <si>
    <t>Interest received</t>
  </si>
  <si>
    <t>Increase in trade and other payables and provisions</t>
  </si>
  <si>
    <t>Increase in inventories</t>
  </si>
  <si>
    <t>(Increase)/decrease in trade and other receivables</t>
  </si>
  <si>
    <t>Loss on fair value adjustment to joint venture</t>
  </si>
  <si>
    <t>Loss/(profit) on disposal of property, plant and equipment</t>
  </si>
  <si>
    <t>Share of joint venture loss</t>
  </si>
  <si>
    <t>Net interest expense</t>
  </si>
  <si>
    <t>Gain on lease modification</t>
  </si>
  <si>
    <t>Impairment loss</t>
  </si>
  <si>
    <t>Loss of joint ventures</t>
  </si>
  <si>
    <t>Depreciation of right of use asset</t>
  </si>
  <si>
    <t>Adjusted by:</t>
  </si>
  <si>
    <t>Profit/(loss) before tax for the period</t>
  </si>
  <si>
    <t>Cash Flow</t>
  </si>
  <si>
    <t>Total equity attributable to shareholders</t>
  </si>
  <si>
    <t>Other reserves</t>
  </si>
  <si>
    <t>Capital redemption reserve</t>
  </si>
  <si>
    <t>Merger reserve</t>
  </si>
  <si>
    <t>Translation reserve</t>
  </si>
  <si>
    <t>Retained earnings</t>
  </si>
  <si>
    <t>Share premium</t>
  </si>
  <si>
    <t>Share capital</t>
  </si>
  <si>
    <t>Net assets</t>
  </si>
  <si>
    <t>Total liabilities</t>
  </si>
  <si>
    <t>Total Non-current liabilities</t>
  </si>
  <si>
    <t>Derivative financial liabilities</t>
  </si>
  <si>
    <t>Deferred tax liabilities</t>
  </si>
  <si>
    <t>Total Current Liabilities</t>
  </si>
  <si>
    <t>Corporation tax payable</t>
  </si>
  <si>
    <t>Trade and other payables</t>
  </si>
  <si>
    <t>Overdraft</t>
  </si>
  <si>
    <t>Total assets</t>
  </si>
  <si>
    <t>Total Current Assets</t>
  </si>
  <si>
    <t>Corporation tax receivable</t>
  </si>
  <si>
    <t>Derivative financial assets</t>
  </si>
  <si>
    <t>Total Non-current Assets</t>
  </si>
  <si>
    <t>Prepayments/Other</t>
  </si>
  <si>
    <t>Deferred tax asset</t>
  </si>
  <si>
    <t>Investment in joint ventures</t>
  </si>
  <si>
    <t>Property, plant and equipment</t>
  </si>
  <si>
    <t>Intangible assets</t>
  </si>
  <si>
    <t>Balance Sheet</t>
  </si>
  <si>
    <t>Avg 1-Effective Tax</t>
  </si>
  <si>
    <t>1 - Tax</t>
  </si>
  <si>
    <t>Effective Tax</t>
  </si>
  <si>
    <t>7.8p</t>
  </si>
  <si>
    <t>8.9p</t>
  </si>
  <si>
    <t>9.5p</t>
  </si>
  <si>
    <t>11.4p</t>
  </si>
  <si>
    <t>Earnings/(loss) per share - Diluted</t>
  </si>
  <si>
    <t>9.0p</t>
  </si>
  <si>
    <t>9.6p</t>
  </si>
  <si>
    <t>11.5p</t>
  </si>
  <si>
    <t>Earnings/(loss) per share - Basic</t>
  </si>
  <si>
    <t>Total comprehensive income/(loss) for the period</t>
  </si>
  <si>
    <t>Currency translation differences arising from consolidation</t>
  </si>
  <si>
    <t>Currency movement on net investment</t>
  </si>
  <si>
    <t>Deferred tax credit/(charge) on derivative financial instruments</t>
  </si>
  <si>
    <t>Derivative financial instruments</t>
  </si>
  <si>
    <t>Items that may be subsequently reclassified to profit or loss:</t>
  </si>
  <si>
    <t>(Profit/(Loss) for the period</t>
  </si>
  <si>
    <t xml:space="preserve">Tax (expense)/credit </t>
  </si>
  <si>
    <t>Profit/(Loss) before tax</t>
  </si>
  <si>
    <t>Share of joint venture post-tax results (loss)</t>
  </si>
  <si>
    <t>Profit/(loss) from operations</t>
  </si>
  <si>
    <t>Exceptional items</t>
  </si>
  <si>
    <t>Operating expenses</t>
  </si>
  <si>
    <t>Gross profit</t>
  </si>
  <si>
    <t>Cost of sales</t>
  </si>
  <si>
    <t>5 yr CAGR</t>
  </si>
  <si>
    <t>Income Statement</t>
  </si>
  <si>
    <t>Shares Outstanding (basic)  &gt; based on total voting rights released on 1st July 2022</t>
  </si>
  <si>
    <t>HOTC</t>
  </si>
  <si>
    <t>Ticker:</t>
  </si>
  <si>
    <t xml:space="preserve">Market Cap: </t>
  </si>
  <si>
    <t>Share Price</t>
  </si>
  <si>
    <t>Date of Analysis</t>
  </si>
  <si>
    <t>Hotel Chocolat Group Plc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</si>
</sst>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Red]\-&quot;£&quot;#,##0"/>
    <numFmt numFmtId="8" formatCode="&quot;£&quot;#,##0.00;[Red]\-&quot;£&quot;#,##0.00"/>
    <numFmt numFmtId="43" formatCode="_-* #,##0.00_-;\-* #,##0.00_-;_-* &quot;-&quot;??_-;_-@_-"/>
    <numFmt numFmtId="164" formatCode="#\ \ ##0"/>
    <numFmt numFmtId="165" formatCode="#,##0.0"/>
    <numFmt numFmtId="166" formatCode="#,##0.000"/>
    <numFmt numFmtId="167" formatCode="0.000"/>
    <numFmt numFmtId="168" formatCode="#,##0.00000"/>
    <numFmt numFmtId="169" formatCode="0.0"/>
    <numFmt numFmtId="170"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sz val="12"/>
      <name val="Calibri"/>
      <family val="2"/>
      <scheme val="minor"/>
    </font>
    <font>
      <b/>
      <sz val="12"/>
      <name val="Calibri"/>
      <family val="2"/>
      <scheme val="minor"/>
    </font>
    <font>
      <sz val="11"/>
      <name val="Calibri"/>
      <family val="2"/>
      <scheme val="minor"/>
    </font>
    <font>
      <b/>
      <sz val="10"/>
      <name val="Calibri"/>
      <family val="2"/>
      <scheme val="minor"/>
    </font>
    <font>
      <b/>
      <sz val="20"/>
      <name val="Calibri"/>
      <family val="2"/>
      <scheme val="minor"/>
    </font>
    <font>
      <u/>
      <sz val="11"/>
      <color theme="10"/>
      <name val="Calibri"/>
      <family val="2"/>
      <scheme val="minor"/>
    </font>
    <font>
      <sz val="9"/>
      <color theme="1"/>
      <name val="Calibri"/>
      <family val="2"/>
      <scheme val="minor"/>
    </font>
    <font>
      <b/>
      <sz val="11"/>
      <color theme="0"/>
      <name val="Calibri"/>
      <family val="2"/>
    </font>
    <font>
      <sz val="10"/>
      <color theme="1"/>
      <name val="Calibri"/>
      <family val="2"/>
      <scheme val="minor"/>
    </font>
    <font>
      <b/>
      <sz val="9"/>
      <color theme="1"/>
      <name val="Calibri"/>
      <family val="2"/>
      <scheme val="minor"/>
    </font>
    <font>
      <b/>
      <sz val="10"/>
      <color theme="1"/>
      <name val="Calibri"/>
      <family val="2"/>
      <scheme val="minor"/>
    </font>
    <font>
      <sz val="10"/>
      <name val="Arial"/>
      <family val="2"/>
    </font>
    <font>
      <b/>
      <sz val="10"/>
      <name val="Arial"/>
      <family val="2"/>
    </font>
    <font>
      <b/>
      <sz val="11"/>
      <color rgb="FF000000"/>
      <name val="Calibri"/>
      <family val="2"/>
      <scheme val="minor"/>
    </font>
    <font>
      <sz val="11"/>
      <color rgb="FF000000"/>
      <name val="Calibri"/>
      <family val="2"/>
      <scheme val="minor"/>
    </font>
    <font>
      <i/>
      <sz val="11"/>
      <color theme="1"/>
      <name val="Calibri"/>
      <family val="2"/>
      <scheme val="minor"/>
    </font>
    <font>
      <b/>
      <sz val="11"/>
      <color theme="1"/>
      <name val="Calibri"/>
      <family val="2"/>
    </font>
    <font>
      <sz val="11"/>
      <color rgb="FF333333"/>
      <name val="Source Sans Pro"/>
      <family val="2"/>
    </font>
    <font>
      <b/>
      <sz val="9"/>
      <color indexed="81"/>
      <name val="Tahoma"/>
      <family val="2"/>
    </font>
    <font>
      <sz val="9"/>
      <color indexed="81"/>
      <name val="Tahoma"/>
      <family val="2"/>
    </font>
    <font>
      <b/>
      <u/>
      <sz val="9"/>
      <color indexed="81"/>
      <name val="Tahoma"/>
      <family val="2"/>
    </font>
  </fonts>
  <fills count="8">
    <fill>
      <patternFill patternType="none"/>
    </fill>
    <fill>
      <patternFill patternType="gray125"/>
    </fill>
    <fill>
      <patternFill patternType="solid">
        <fgColor theme="4" tint="0.59999389629810485"/>
        <bgColor indexed="65"/>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bgColor indexed="64"/>
      </patternFill>
    </fill>
    <fill>
      <patternFill patternType="solid">
        <fgColor rgb="FF002060"/>
        <bgColor indexed="64"/>
      </patternFill>
    </fill>
  </fills>
  <borders count="3">
    <border>
      <left/>
      <right/>
      <top/>
      <bottom/>
      <diagonal/>
    </border>
    <border>
      <left/>
      <right/>
      <top/>
      <bottom style="medium">
        <color rgb="FF002060"/>
      </bottom>
      <diagonal/>
    </border>
    <border>
      <left/>
      <right/>
      <top/>
      <bottom style="medium">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2" borderId="0" applyNumberFormat="0" applyBorder="0" applyAlignment="0" applyProtection="0"/>
    <xf numFmtId="0" fontId="8" fillId="0" borderId="0" applyNumberFormat="0" applyFill="0" applyBorder="0" applyAlignment="0" applyProtection="0"/>
  </cellStyleXfs>
  <cellXfs count="103">
    <xf numFmtId="0" fontId="0" fillId="0" borderId="0" xfId="0"/>
    <xf numFmtId="3" fontId="3" fillId="0" borderId="0" xfId="0" applyNumberFormat="1" applyFont="1" applyAlignment="1">
      <alignment horizontal="right" vertical="center"/>
    </xf>
    <xf numFmtId="0" fontId="3" fillId="0" borderId="0" xfId="0" applyFont="1" applyAlignment="1">
      <alignment horizontal="left" vertical="center"/>
    </xf>
    <xf numFmtId="3" fontId="3" fillId="3" borderId="0" xfId="0" applyNumberFormat="1" applyFont="1" applyFill="1" applyAlignment="1">
      <alignment horizontal="right" vertical="center"/>
    </xf>
    <xf numFmtId="0" fontId="3" fillId="3" borderId="0" xfId="0" applyFont="1" applyFill="1" applyAlignment="1">
      <alignment horizontal="left" vertical="center"/>
    </xf>
    <xf numFmtId="3" fontId="3" fillId="4" borderId="0" xfId="0" applyNumberFormat="1" applyFont="1" applyFill="1" applyAlignment="1">
      <alignment horizontal="right" vertical="center"/>
    </xf>
    <xf numFmtId="0" fontId="3" fillId="2" borderId="0" xfId="3" applyFont="1" applyAlignment="1">
      <alignment horizontal="left" vertical="center"/>
    </xf>
    <xf numFmtId="3" fontId="3" fillId="2" borderId="0" xfId="3" applyNumberFormat="1" applyFont="1" applyAlignment="1">
      <alignment horizontal="right" vertical="center"/>
    </xf>
    <xf numFmtId="3" fontId="3" fillId="5" borderId="0" xfId="3" applyNumberFormat="1" applyFont="1" applyFill="1" applyAlignment="1">
      <alignment horizontal="right" vertical="center"/>
    </xf>
    <xf numFmtId="0" fontId="3" fillId="5" borderId="0" xfId="3" applyFont="1" applyFill="1" applyAlignment="1">
      <alignment vertical="center"/>
    </xf>
    <xf numFmtId="3" fontId="3" fillId="6" borderId="0" xfId="0" applyNumberFormat="1" applyFont="1" applyFill="1" applyAlignment="1">
      <alignment horizontal="right" vertical="center"/>
    </xf>
    <xf numFmtId="0" fontId="3" fillId="6" borderId="0" xfId="0" applyFont="1" applyFill="1" applyAlignment="1">
      <alignment vertical="center"/>
    </xf>
    <xf numFmtId="49" fontId="4" fillId="0" borderId="0" xfId="0" applyNumberFormat="1" applyFont="1" applyAlignment="1">
      <alignment horizontal="right" vertical="top" wrapText="1"/>
    </xf>
    <xf numFmtId="0" fontId="4" fillId="0" borderId="0" xfId="0" applyFont="1" applyAlignment="1">
      <alignment horizontal="right" vertical="top"/>
    </xf>
    <xf numFmtId="0" fontId="4" fillId="0" borderId="0" xfId="0" quotePrefix="1" applyFont="1" applyAlignment="1">
      <alignment horizontal="right" vertical="top"/>
    </xf>
    <xf numFmtId="0" fontId="4" fillId="0" borderId="0" xfId="0" applyFont="1" applyAlignment="1">
      <alignment horizontal="lef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4" fontId="6" fillId="0" borderId="0" xfId="0" applyNumberFormat="1" applyFont="1" applyAlignment="1">
      <alignment horizontal="left"/>
    </xf>
    <xf numFmtId="0" fontId="7" fillId="0" borderId="0" xfId="0" applyFont="1"/>
    <xf numFmtId="0" fontId="8" fillId="0" borderId="0" xfId="4" applyAlignment="1">
      <alignment vertical="center"/>
    </xf>
    <xf numFmtId="0" fontId="9" fillId="0" borderId="0" xfId="0" applyFont="1" applyAlignment="1">
      <alignment vertical="center"/>
    </xf>
    <xf numFmtId="0" fontId="11" fillId="0" borderId="0" xfId="0" applyFont="1" applyAlignment="1">
      <alignment vertical="top" wrapText="1"/>
    </xf>
    <xf numFmtId="0" fontId="9" fillId="0" borderId="0" xfId="0" applyFont="1" applyAlignment="1">
      <alignment horizontal="left" vertical="top" wrapText="1"/>
    </xf>
    <xf numFmtId="8" fontId="9" fillId="0" borderId="0" xfId="0" applyNumberFormat="1" applyFont="1" applyAlignment="1">
      <alignment horizontal="center" vertical="center"/>
    </xf>
    <xf numFmtId="0" fontId="9" fillId="0" borderId="0" xfId="0" applyFont="1" applyAlignment="1">
      <alignment horizontal="center" vertical="center"/>
    </xf>
    <xf numFmtId="0" fontId="9" fillId="0" borderId="0" xfId="0" applyFont="1" applyAlignment="1">
      <alignment horizontal="left" vertical="center"/>
    </xf>
    <xf numFmtId="0" fontId="9" fillId="0" borderId="0" xfId="0" applyFont="1" applyAlignment="1">
      <alignment vertical="top" wrapText="1"/>
    </xf>
    <xf numFmtId="0" fontId="11" fillId="0" borderId="0" xfId="0" applyFont="1" applyAlignment="1">
      <alignment horizontal="left" vertical="top" wrapText="1"/>
    </xf>
    <xf numFmtId="0" fontId="12" fillId="0" borderId="0" xfId="0" applyFont="1" applyAlignment="1">
      <alignment horizontal="center"/>
    </xf>
    <xf numFmtId="0" fontId="12" fillId="0" borderId="0" xfId="0" applyFont="1" applyAlignment="1">
      <alignment horizontal="right"/>
    </xf>
    <xf numFmtId="0" fontId="12" fillId="0" borderId="0" xfId="0" applyFont="1" applyAlignment="1">
      <alignment horizontal="left"/>
    </xf>
    <xf numFmtId="0" fontId="11" fillId="0" borderId="0" xfId="0" applyFont="1" applyAlignment="1">
      <alignment vertical="center" wrapText="1"/>
    </xf>
    <xf numFmtId="0" fontId="11" fillId="0" borderId="0" xfId="0" applyFont="1" applyAlignment="1">
      <alignment wrapText="1"/>
    </xf>
    <xf numFmtId="0" fontId="9" fillId="0" borderId="0" xfId="0" applyFont="1"/>
    <xf numFmtId="0" fontId="0" fillId="0" borderId="0" xfId="0" applyAlignment="1">
      <alignment horizontal="left"/>
    </xf>
    <xf numFmtId="0" fontId="2" fillId="0" borderId="1" xfId="0" applyFont="1" applyBorder="1" applyAlignment="1">
      <alignment horizontal="center"/>
    </xf>
    <xf numFmtId="0" fontId="2" fillId="0" borderId="1" xfId="0" applyFont="1" applyBorder="1"/>
    <xf numFmtId="0" fontId="2" fillId="0" borderId="0" xfId="0" applyFont="1"/>
    <xf numFmtId="6" fontId="2" fillId="0" borderId="0" xfId="0" applyNumberFormat="1" applyFont="1"/>
    <xf numFmtId="6" fontId="0" fillId="0" borderId="1" xfId="0" applyNumberFormat="1" applyBorder="1"/>
    <xf numFmtId="6" fontId="0" fillId="0" borderId="0" xfId="0" applyNumberFormat="1"/>
    <xf numFmtId="0" fontId="2" fillId="0" borderId="1" xfId="0" applyFont="1" applyBorder="1" applyAlignment="1">
      <alignment horizontal="right"/>
    </xf>
    <xf numFmtId="6" fontId="0" fillId="0" borderId="0" xfId="0" applyNumberFormat="1" applyAlignment="1">
      <alignment horizontal="right"/>
    </xf>
    <xf numFmtId="9" fontId="0" fillId="0" borderId="0" xfId="2" applyFont="1"/>
    <xf numFmtId="3" fontId="0" fillId="0" borderId="0" xfId="0" applyNumberFormat="1"/>
    <xf numFmtId="0" fontId="0" fillId="0" borderId="0" xfId="0" applyAlignment="1">
      <alignment horizontal="left" indent="2"/>
    </xf>
    <xf numFmtId="3" fontId="2" fillId="0" borderId="0" xfId="0" applyNumberFormat="1" applyFont="1"/>
    <xf numFmtId="3" fontId="0" fillId="0" borderId="1" xfId="0" applyNumberFormat="1" applyBorder="1"/>
    <xf numFmtId="3" fontId="14" fillId="0" borderId="1" xfId="0" applyNumberFormat="1" applyFont="1" applyBorder="1" applyAlignment="1">
      <alignment horizontal="right"/>
    </xf>
    <xf numFmtId="3" fontId="14" fillId="0" borderId="0" xfId="0" applyNumberFormat="1" applyFont="1" applyAlignment="1">
      <alignment horizontal="right"/>
    </xf>
    <xf numFmtId="0" fontId="15" fillId="0" borderId="1" xfId="0" applyFont="1" applyBorder="1" applyAlignment="1">
      <alignment horizontal="right"/>
    </xf>
    <xf numFmtId="0" fontId="0" fillId="0" borderId="0" xfId="0" applyAlignment="1">
      <alignment horizontal="right"/>
    </xf>
    <xf numFmtId="10" fontId="0" fillId="0" borderId="0" xfId="0" applyNumberFormat="1"/>
    <xf numFmtId="15" fontId="2" fillId="0" borderId="1" xfId="0" applyNumberFormat="1" applyFont="1" applyBorder="1"/>
    <xf numFmtId="15" fontId="2" fillId="0" borderId="0" xfId="0" applyNumberFormat="1" applyFont="1"/>
    <xf numFmtId="0" fontId="0" fillId="0" borderId="1" xfId="0" applyBorder="1"/>
    <xf numFmtId="3" fontId="0" fillId="0" borderId="2" xfId="0" applyNumberFormat="1" applyBorder="1"/>
    <xf numFmtId="3" fontId="0" fillId="0" borderId="0" xfId="0" applyNumberFormat="1" applyAlignment="1">
      <alignment horizontal="right"/>
    </xf>
    <xf numFmtId="3" fontId="2" fillId="0" borderId="1" xfId="0" applyNumberFormat="1" applyFont="1" applyBorder="1" applyAlignment="1">
      <alignment horizontal="right"/>
    </xf>
    <xf numFmtId="9" fontId="2" fillId="0" borderId="1" xfId="0" applyNumberFormat="1" applyFont="1" applyBorder="1" applyAlignment="1">
      <alignment horizontal="right"/>
    </xf>
    <xf numFmtId="9" fontId="0" fillId="0" borderId="0" xfId="0" applyNumberFormat="1"/>
    <xf numFmtId="15" fontId="0" fillId="0" borderId="0" xfId="0" applyNumberFormat="1" applyAlignment="1">
      <alignment horizontal="left"/>
    </xf>
    <xf numFmtId="165" fontId="0" fillId="0" borderId="0" xfId="0" applyNumberFormat="1"/>
    <xf numFmtId="0" fontId="0" fillId="0" borderId="2" xfId="0" applyBorder="1"/>
    <xf numFmtId="15" fontId="0" fillId="0" borderId="0" xfId="0" applyNumberFormat="1"/>
    <xf numFmtId="0" fontId="10" fillId="7" borderId="0" xfId="0" applyFont="1" applyFill="1" applyAlignment="1">
      <alignment horizontal="center"/>
    </xf>
    <xf numFmtId="0" fontId="2" fillId="0" borderId="2" xfId="0" applyFont="1" applyBorder="1"/>
    <xf numFmtId="0" fontId="0" fillId="0" borderId="0" xfId="0" applyAlignment="1">
      <alignment horizontal="left" indent="1"/>
    </xf>
    <xf numFmtId="3" fontId="2" fillId="0" borderId="0" xfId="0" applyNumberFormat="1" applyFont="1" applyAlignment="1">
      <alignment horizontal="right"/>
    </xf>
    <xf numFmtId="0" fontId="16" fillId="0" borderId="0" xfId="0" applyFont="1" applyAlignment="1">
      <alignment vertical="center"/>
    </xf>
    <xf numFmtId="3" fontId="0" fillId="0" borderId="1" xfId="0" applyNumberFormat="1" applyBorder="1" applyAlignment="1">
      <alignment horizontal="right"/>
    </xf>
    <xf numFmtId="0" fontId="17" fillId="0" borderId="0" xfId="0" applyFont="1" applyAlignment="1">
      <alignment vertical="center"/>
    </xf>
    <xf numFmtId="10" fontId="2" fillId="0" borderId="0" xfId="2" applyNumberFormat="1" applyFont="1"/>
    <xf numFmtId="10" fontId="1" fillId="0" borderId="1" xfId="2" applyNumberFormat="1" applyFont="1" applyBorder="1"/>
    <xf numFmtId="10" fontId="1" fillId="0" borderId="0" xfId="2" applyNumberFormat="1" applyFont="1"/>
    <xf numFmtId="9" fontId="0" fillId="0" borderId="0" xfId="0" applyNumberFormat="1" applyAlignment="1">
      <alignment horizontal="right"/>
    </xf>
    <xf numFmtId="4" fontId="0" fillId="0" borderId="0" xfId="0" applyNumberFormat="1"/>
    <xf numFmtId="10" fontId="18" fillId="0" borderId="0" xfId="2" applyNumberFormat="1" applyFont="1"/>
    <xf numFmtId="0" fontId="18" fillId="0" borderId="0" xfId="0" applyFont="1"/>
    <xf numFmtId="15" fontId="2" fillId="0" borderId="1" xfId="0" applyNumberFormat="1" applyFont="1" applyBorder="1" applyAlignment="1">
      <alignment horizontal="right"/>
    </xf>
    <xf numFmtId="10" fontId="0" fillId="0" borderId="0" xfId="2" applyNumberFormat="1" applyFont="1"/>
    <xf numFmtId="166" fontId="0" fillId="0" borderId="0" xfId="0" applyNumberFormat="1"/>
    <xf numFmtId="167" fontId="0" fillId="0" borderId="0" xfId="0" applyNumberFormat="1"/>
    <xf numFmtId="168" fontId="0" fillId="0" borderId="0" xfId="0" applyNumberFormat="1"/>
    <xf numFmtId="0" fontId="19" fillId="0" borderId="0" xfId="0" applyFont="1"/>
    <xf numFmtId="169" fontId="0" fillId="0" borderId="0" xfId="0" applyNumberFormat="1"/>
    <xf numFmtId="167" fontId="0" fillId="0" borderId="0" xfId="0" applyNumberFormat="1" applyAlignment="1">
      <alignment horizontal="right"/>
    </xf>
    <xf numFmtId="0" fontId="20" fillId="0" borderId="0" xfId="0" applyFont="1"/>
    <xf numFmtId="170" fontId="0" fillId="0" borderId="0" xfId="2" applyNumberFormat="1" applyFont="1"/>
    <xf numFmtId="169" fontId="0" fillId="0" borderId="1" xfId="0" applyNumberFormat="1" applyBorder="1"/>
    <xf numFmtId="43" fontId="2" fillId="0" borderId="0" xfId="1" applyFont="1"/>
    <xf numFmtId="43" fontId="0" fillId="0" borderId="0" xfId="1" applyFont="1"/>
    <xf numFmtId="10" fontId="18" fillId="0" borderId="1" xfId="2" applyNumberFormat="1" applyFont="1" applyBorder="1"/>
    <xf numFmtId="10" fontId="18" fillId="0" borderId="0" xfId="2" applyNumberFormat="1" applyFont="1" applyBorder="1"/>
    <xf numFmtId="0" fontId="2" fillId="0" borderId="0" xfId="0" applyFont="1" applyAlignment="1">
      <alignment horizontal="right"/>
    </xf>
    <xf numFmtId="8" fontId="0" fillId="0" borderId="0" xfId="0" applyNumberFormat="1"/>
    <xf numFmtId="8" fontId="0" fillId="0" borderId="0" xfId="0" applyNumberFormat="1" applyAlignment="1">
      <alignment horizontal="right"/>
    </xf>
    <xf numFmtId="14" fontId="0" fillId="0" borderId="0" xfId="0" applyNumberFormat="1"/>
    <xf numFmtId="0" fontId="2" fillId="3" borderId="0" xfId="0" applyFont="1" applyFill="1" applyAlignment="1">
      <alignment horizontal="left"/>
    </xf>
    <xf numFmtId="0" fontId="10" fillId="7" borderId="0" xfId="0" applyFont="1" applyFill="1" applyAlignment="1">
      <alignment horizontal="center"/>
    </xf>
  </cellXfs>
  <cellStyles count="5">
    <cellStyle name="40% - Accent1" xfId="3" builtinId="31"/>
    <cellStyle name="Comma" xfId="1" builtinId="3"/>
    <cellStyle name="Hyperlink" xfId="4"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www.youtube.com/watch?v=5X7wAKMNBXI" TargetMode="External"/><Relationship Id="rId18" Type="http://schemas.openxmlformats.org/officeDocument/2006/relationships/hyperlink" Target="https://www.nrscotland.gov.uk/statistics-and-data/statistics/statistics-by-theme/population/population-estimates/mid-year-population-estimates/population-estimates-time-series-data" TargetMode="External"/><Relationship Id="rId26" Type="http://schemas.openxmlformats.org/officeDocument/2006/relationships/hyperlink" Target="https://thinkplutus.com/mortgages/guides/average-mortgage-payment/" TargetMode="External"/><Relationship Id="rId39" Type="http://schemas.openxmlformats.org/officeDocument/2006/relationships/hyperlink" Target="https://uk.trustpilot.com/review/hotelchocolat.com" TargetMode="External"/><Relationship Id="rId3" Type="http://schemas.openxmlformats.org/officeDocument/2006/relationships/hyperlink" Target="https://www.hotelchocolat.com/on/demandware.static/-/Sites-HotelChocolat-Library/default/dwe3329af0/Admission%20Document%20-%205th%20May%202016.pdf" TargetMode="External"/><Relationship Id="rId21" Type="http://schemas.openxmlformats.org/officeDocument/2006/relationships/hyperlink" Target="https://www.finder.com/uk/christmas-shopping-statistics" TargetMode="External"/><Relationship Id="rId34" Type="http://schemas.openxmlformats.org/officeDocument/2006/relationships/hyperlink" Target="https://www.similarweb.com/website/hotelchocolat.com/" TargetMode="External"/><Relationship Id="rId42" Type="http://schemas.openxmlformats.org/officeDocument/2006/relationships/hyperlink" Target="https://www.hl.co.uk/tools/calculators/inflation-calculator" TargetMode="External"/><Relationship Id="rId47" Type="http://schemas.openxmlformats.org/officeDocument/2006/relationships/hyperlink" Target="https://www.ons.gov.uk/economy/grossdomesticproductgdp/timeseries/crxz/ukea" TargetMode="External"/><Relationship Id="rId50" Type="http://schemas.openxmlformats.org/officeDocument/2006/relationships/hyperlink" Target="https://view.belleportwe.com/tours/yo5bb8uZ8" TargetMode="External"/><Relationship Id="rId7" Type="http://schemas.openxmlformats.org/officeDocument/2006/relationships/hyperlink" Target="https://www.youtube.com/watch?v=VYgwUeehzz8" TargetMode="External"/><Relationship Id="rId12" Type="http://schemas.openxmlformats.org/officeDocument/2006/relationships/hyperlink" Target="https://find-and-update.company-information.service.gov.uk/company/10487072/filing-history" TargetMode="External"/><Relationship Id="rId17" Type="http://schemas.openxmlformats.org/officeDocument/2006/relationships/hyperlink" Target="https://www.ons.gov.uk/peoplepopulationandcommunity/populationandmigration/populationestimates/bulletins/populationandhouseholdestimatesenglandandwales/census2021" TargetMode="External"/><Relationship Id="rId25" Type="http://schemas.openxmlformats.org/officeDocument/2006/relationships/hyperlink" Target="https://www.ons.gov.uk/peoplepopulationandcommunity/personalandhouseholdfinances/expenditure/bulletins/familyspendingintheuk/april2018tomarch2019" TargetMode="External"/><Relationship Id="rId33" Type="http://schemas.openxmlformats.org/officeDocument/2006/relationships/hyperlink" Target="https://www.wearelanded.com/careers/hotelchocolat.php?searchtype=20" TargetMode="External"/><Relationship Id="rId38" Type="http://schemas.openxmlformats.org/officeDocument/2006/relationships/hyperlink" Target="https://catererlicensee.com/total-uk-coffee-shop-sandwich-and-bakery-market-set-to-exceed-2019-market-value-in-2022/" TargetMode="External"/><Relationship Id="rId46" Type="http://schemas.openxmlformats.org/officeDocument/2006/relationships/hyperlink" Target="https://www.booking.com/hotel/lc/boucan-by-chocolat.en-gb.html?auth_success=1" TargetMode="External"/><Relationship Id="rId2" Type="http://schemas.openxmlformats.org/officeDocument/2006/relationships/hyperlink" Target="https://www.hotelchocolat.com/uk/engaged-ethics/our-people/Our-Story.html" TargetMode="External"/><Relationship Id="rId16" Type="http://schemas.openxmlformats.org/officeDocument/2006/relationships/hyperlink" Target="https://www.hotelchocolat.com/uk/blog/chocolateknowledge/how-can-you-tell-if-chocolate-has-gone-bad.html" TargetMode="External"/><Relationship Id="rId20" Type="http://schemas.openxmlformats.org/officeDocument/2006/relationships/hyperlink" Target="https://www.independent.co.uk/life-style/adults-average-gift-giving-uk-b1951507.html" TargetMode="External"/><Relationship Id="rId29" Type="http://schemas.openxmlformats.org/officeDocument/2006/relationships/hyperlink" Target="https://www.statista.com/statistics/481625/chocolate-and-sugar-confectionary-sales-turnover-united-kingdom-uk/" TargetMode="External"/><Relationship Id="rId41" Type="http://schemas.openxmlformats.org/officeDocument/2006/relationships/hyperlink" Target="https://www.ons.gov.uk/employmentandlabourmarket/peopleinwork/employmentandemployeetypes/articles/ishybridworkingheretostay/2022-05-23" TargetMode="External"/><Relationship Id="rId54" Type="http://schemas.openxmlformats.org/officeDocument/2006/relationships/comments" Target="../comments1.xml"/><Relationship Id="rId1" Type="http://schemas.openxmlformats.org/officeDocument/2006/relationships/hyperlink" Target="mailto:Pets@Home%20FCF%20Calc" TargetMode="External"/><Relationship Id="rId6" Type="http://schemas.openxmlformats.org/officeDocument/2006/relationships/hyperlink" Target="https://www.hotelchocolat.com/uk/investor-relations-news.html" TargetMode="External"/><Relationship Id="rId11" Type="http://schemas.openxmlformats.org/officeDocument/2006/relationships/hyperlink" Target="https://www.goldmansachs.com/insights/talks-at-gs/angus-thirlwell-f/transcript.pdf" TargetMode="External"/><Relationship Id="rId24" Type="http://schemas.openxmlformats.org/officeDocument/2006/relationships/hyperlink" Target="https://www.nrscotland.gov.uk/statistics-and-data/statistics/statistics-by-theme/households/household-estimates/2021" TargetMode="External"/><Relationship Id="rId32" Type="http://schemas.openxmlformats.org/officeDocument/2006/relationships/hyperlink" Target="https://blog.bizvibe.com/blog/food-beverages/top-10-largest-chocolate-companies-world" TargetMode="External"/><Relationship Id="rId37" Type="http://schemas.openxmlformats.org/officeDocument/2006/relationships/hyperlink" Target="https://play.google.com/store/apps/details?id=com.hotelchocolat.hotelchocolat" TargetMode="External"/><Relationship Id="rId40" Type="http://schemas.openxmlformats.org/officeDocument/2006/relationships/hyperlink" Target="https://www.glassdoor.co.uk/Reviews/Hotel-Chocolat-Reviews-E592555.htm" TargetMode="External"/><Relationship Id="rId45" Type="http://schemas.openxmlformats.org/officeDocument/2006/relationships/hyperlink" Target="https://www.hotelchocolat.com/uk/engaged-ethics/our-planet.html" TargetMode="External"/><Relationship Id="rId53" Type="http://schemas.openxmlformats.org/officeDocument/2006/relationships/vmlDrawing" Target="../drawings/vmlDrawing1.vml"/><Relationship Id="rId5" Type="http://schemas.openxmlformats.org/officeDocument/2006/relationships/hyperlink" Target="https://www.hotelchocolat.com/on/demandware.static/-/Sites-HotelChocolat-Library/default/dw5fb2c9d6/Launch%20of%20placing%20RNS%20220721.pdf" TargetMode="External"/><Relationship Id="rId15" Type="http://schemas.openxmlformats.org/officeDocument/2006/relationships/hyperlink" Target="https://www.hotelchocolat.com/on/demandware.static/-/Sites-HotelChocolat-Library/default/dw9c99c951/Hotel_Chocolat_Capital_Markets_Day_WEBIR.pdf" TargetMode="External"/><Relationship Id="rId23" Type="http://schemas.openxmlformats.org/officeDocument/2006/relationships/hyperlink" Target="https://www.nisra.gov.uk/system/files/statistics/census-2021-population-and-household-estimates-for-northern-ireland-report-24-may-2022.pdf" TargetMode="External"/><Relationship Id="rId28" Type="http://schemas.openxmlformats.org/officeDocument/2006/relationships/hyperlink" Target="https://www.divinechocolate.com/divine-world/chocolate-facts-and-figures/" TargetMode="External"/><Relationship Id="rId36" Type="http://schemas.openxmlformats.org/officeDocument/2006/relationships/hyperlink" Target="https://apps.apple.com/gb/app/hotel-chocolat/id1518955513" TargetMode="External"/><Relationship Id="rId49" Type="http://schemas.openxmlformats.org/officeDocument/2006/relationships/hyperlink" Target="https://www.kakaoplattform.ch/about-cocoa/cocoa-facts-and-figures" TargetMode="External"/><Relationship Id="rId10" Type="http://schemas.openxmlformats.org/officeDocument/2006/relationships/hyperlink" Target="https://www.youtube.com/watch?v=zvSryb7vZ1c" TargetMode="External"/><Relationship Id="rId19" Type="http://schemas.openxmlformats.org/officeDocument/2006/relationships/hyperlink" Target="https://www.nisra.gov.uk/publications/census-2021-population-and-household-estimates-for-northern-ireland" TargetMode="External"/><Relationship Id="rId31" Type="http://schemas.openxmlformats.org/officeDocument/2006/relationships/hyperlink" Target="https://www.ibisworld.com/united-kingdom/market-size/chocolate-confectionery-production/" TargetMode="External"/><Relationship Id="rId44" Type="http://schemas.openxmlformats.org/officeDocument/2006/relationships/hyperlink" Target="https://www.retailgazette.co.uk/blog/2021/03/thorntons-store-closures-chocolate-online-covid-in-depth-deep-dive/" TargetMode="External"/><Relationship Id="rId52" Type="http://schemas.openxmlformats.org/officeDocument/2006/relationships/printerSettings" Target="../printerSettings/printerSettings1.bin"/><Relationship Id="rId4" Type="http://schemas.openxmlformats.org/officeDocument/2006/relationships/hyperlink" Target="https://www.hotelchocolat.com/uk/our-cocoa-manifesto.html" TargetMode="External"/><Relationship Id="rId9" Type="http://schemas.openxmlformats.org/officeDocument/2006/relationships/hyperlink" Target="https://www.ons.gov.uk/economy/regionalaccounts/grossdisposablehouseholdincome/datasets/revisionstrianglesregionalgdhi" TargetMode="External"/><Relationship Id="rId14" Type="http://schemas.openxmlformats.org/officeDocument/2006/relationships/hyperlink" Target="https://www.youtube.com/watch?v=Jl0IDXkYKbk" TargetMode="External"/><Relationship Id="rId22" Type="http://schemas.openxmlformats.org/officeDocument/2006/relationships/hyperlink" Target="https://www.nrscotland.gov.uk/files/statistics/household-estimates/2021/house-est-21-report.pdf" TargetMode="External"/><Relationship Id="rId27" Type="http://schemas.openxmlformats.org/officeDocument/2006/relationships/hyperlink" Target="https://www.gcva.co.uk/downloads/industry-research-2020/OP_GCVA_Industry-Report_2020_Final-Digital-summary-watermark.pdf" TargetMode="External"/><Relationship Id="rId30" Type="http://schemas.openxmlformats.org/officeDocument/2006/relationships/hyperlink" Target="https://www.globaldata.com/store/report/uk-chocolate-market-analysis/" TargetMode="External"/><Relationship Id="rId35" Type="http://schemas.openxmlformats.org/officeDocument/2006/relationships/hyperlink" Target="https://trends.google.com/trends/explore?date=today%205-y&amp;geo=GB&amp;q=hotel%20chocolat" TargetMode="External"/><Relationship Id="rId43" Type="http://schemas.openxmlformats.org/officeDocument/2006/relationships/hyperlink" Target="https://find-and-update.company-information.service.gov.uk/company/00174706/filing-history" TargetMode="External"/><Relationship Id="rId48" Type="http://schemas.openxmlformats.org/officeDocument/2006/relationships/hyperlink" Target="https://www.bloomberg.com/news/articles/2022-06-30/uk-real-household-incomes-fall-for-an-unprecedented-4th-quarter" TargetMode="External"/><Relationship Id="rId8" Type="http://schemas.openxmlformats.org/officeDocument/2006/relationships/hyperlink" Target="https://assets.publishing.service.gov.uk/government/uploads/system/uploads/attachment_data/file/835115/IoD2019_Statistical_Release.pdf" TargetMode="External"/><Relationship Id="rId51" Type="http://schemas.openxmlformats.org/officeDocument/2006/relationships/hyperlink" Target="https://www.hotelchocolat.com/uk/hotel-restaurant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4E393-4061-4DD8-85E5-C4A03DC6BB5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68AD2-EE0A-4C35-A488-49AF543F1942}">
  <dimension ref="A1:AC1251"/>
  <sheetViews>
    <sheetView tabSelected="1" topLeftCell="A214" zoomScale="85" zoomScaleNormal="85" workbookViewId="0">
      <selection activeCell="H244" sqref="H244"/>
    </sheetView>
  </sheetViews>
  <sheetFormatPr defaultRowHeight="15" x14ac:dyDescent="0.25"/>
  <cols>
    <col min="2" max="2" width="105.28515625" customWidth="1"/>
    <col min="3" max="3" width="20.140625" customWidth="1"/>
    <col min="4" max="4" width="16.42578125" bestFit="1" customWidth="1"/>
    <col min="5" max="5" width="15" bestFit="1" customWidth="1"/>
    <col min="6" max="6" width="12.5703125" customWidth="1"/>
    <col min="7" max="7" width="14.7109375" customWidth="1"/>
    <col min="8" max="9" width="11.28515625" bestFit="1" customWidth="1"/>
    <col min="10" max="11" width="11.28515625" customWidth="1"/>
    <col min="12" max="13" width="12.42578125" customWidth="1"/>
    <col min="14" max="14" width="11.28515625" bestFit="1" customWidth="1"/>
    <col min="15" max="15" width="11.28515625" customWidth="1"/>
    <col min="16" max="16" width="10.85546875" customWidth="1"/>
    <col min="17" max="17" width="9.7109375" customWidth="1"/>
    <col min="18" max="18" width="12" customWidth="1"/>
    <col min="20" max="20" width="30.7109375" customWidth="1"/>
  </cols>
  <sheetData>
    <row r="1" spans="2:20" x14ac:dyDescent="0.25">
      <c r="B1" s="101" t="s">
        <v>870</v>
      </c>
      <c r="C1" s="101"/>
      <c r="D1" s="101"/>
      <c r="E1" s="101"/>
      <c r="F1" s="101"/>
      <c r="G1" s="101"/>
      <c r="H1" s="101"/>
    </row>
    <row r="3" spans="2:20" x14ac:dyDescent="0.25">
      <c r="B3" t="s">
        <v>869</v>
      </c>
      <c r="C3" s="100">
        <v>44774</v>
      </c>
    </row>
    <row r="4" spans="2:20" x14ac:dyDescent="0.25">
      <c r="B4" t="s">
        <v>868</v>
      </c>
      <c r="C4" s="99">
        <v>1.39</v>
      </c>
    </row>
    <row r="5" spans="2:20" x14ac:dyDescent="0.25">
      <c r="B5" t="s">
        <v>867</v>
      </c>
      <c r="C5" s="99">
        <f>$C$4*C7</f>
        <v>190873429.45999998</v>
      </c>
      <c r="D5" s="99"/>
      <c r="E5" s="99"/>
    </row>
    <row r="6" spans="2:20" x14ac:dyDescent="0.25">
      <c r="B6" t="s">
        <v>866</v>
      </c>
      <c r="C6" s="54" t="s">
        <v>865</v>
      </c>
    </row>
    <row r="7" spans="2:20" x14ac:dyDescent="0.25">
      <c r="B7" t="s">
        <v>864</v>
      </c>
      <c r="C7" s="47">
        <v>137319014</v>
      </c>
      <c r="D7" s="47"/>
      <c r="E7" s="98"/>
    </row>
    <row r="8" spans="2:20" x14ac:dyDescent="0.25">
      <c r="C8" s="60"/>
    </row>
    <row r="10" spans="2:20" x14ac:dyDescent="0.25">
      <c r="B10" s="102" t="s">
        <v>863</v>
      </c>
      <c r="C10" s="102"/>
      <c r="D10" s="102"/>
      <c r="E10" s="102"/>
      <c r="F10" s="102"/>
      <c r="G10" s="102"/>
      <c r="H10" s="102"/>
      <c r="I10" s="102"/>
      <c r="J10" s="102"/>
      <c r="K10" s="102"/>
      <c r="L10" s="102"/>
      <c r="M10" s="102"/>
      <c r="N10" s="102"/>
      <c r="O10" s="102"/>
      <c r="P10" s="102"/>
      <c r="Q10" s="102"/>
      <c r="R10" s="102"/>
    </row>
    <row r="13" spans="2:20" ht="15.75" thickBot="1" x14ac:dyDescent="0.3">
      <c r="C13" s="56">
        <v>44739</v>
      </c>
      <c r="D13" s="56">
        <v>44374</v>
      </c>
      <c r="E13" s="56">
        <v>44010</v>
      </c>
      <c r="F13" s="56">
        <v>43646</v>
      </c>
      <c r="G13" s="56">
        <v>43282</v>
      </c>
      <c r="H13" s="56">
        <v>42918</v>
      </c>
      <c r="I13" s="56">
        <v>42577</v>
      </c>
      <c r="J13" s="56">
        <v>42213</v>
      </c>
      <c r="K13" s="97" t="s">
        <v>862</v>
      </c>
      <c r="L13" s="97"/>
      <c r="M13" s="56">
        <v>44556</v>
      </c>
      <c r="N13" s="56">
        <v>44192</v>
      </c>
      <c r="O13" s="56">
        <v>43828</v>
      </c>
      <c r="P13" s="56">
        <v>43464</v>
      </c>
      <c r="Q13" s="56">
        <v>43100</v>
      </c>
      <c r="R13" s="56">
        <v>42729</v>
      </c>
      <c r="T13" s="94"/>
    </row>
    <row r="14" spans="2:20" x14ac:dyDescent="0.25">
      <c r="B14" t="s">
        <v>438</v>
      </c>
      <c r="C14" s="47">
        <v>226000</v>
      </c>
      <c r="D14" s="47">
        <v>164551</v>
      </c>
      <c r="E14" s="47">
        <v>136290</v>
      </c>
      <c r="F14" s="47">
        <v>132479.54300000001</v>
      </c>
      <c r="G14" s="47">
        <v>116331.56600000001</v>
      </c>
      <c r="H14" s="47">
        <v>105240.13</v>
      </c>
      <c r="I14" s="47">
        <v>91089.823999999993</v>
      </c>
      <c r="J14" s="47">
        <v>81068</v>
      </c>
      <c r="K14" s="91">
        <f>SUM(C14/H14)^(1/5)-1</f>
        <v>0.1651595862780042</v>
      </c>
      <c r="M14" s="47">
        <v>142934</v>
      </c>
      <c r="N14" s="47">
        <v>101896</v>
      </c>
      <c r="O14" s="47">
        <v>91716</v>
      </c>
      <c r="P14" s="47">
        <v>80719</v>
      </c>
      <c r="Q14" s="47">
        <v>71708.557000000001</v>
      </c>
      <c r="R14" s="47">
        <v>62527.737999999998</v>
      </c>
      <c r="T14" s="94"/>
    </row>
    <row r="15" spans="2:20" x14ac:dyDescent="0.25">
      <c r="B15" s="81" t="s">
        <v>669</v>
      </c>
      <c r="C15" s="80">
        <f t="shared" ref="C15:I15" si="0">(C14/D14)-1</f>
        <v>0.37343437596854478</v>
      </c>
      <c r="D15" s="80">
        <f t="shared" si="0"/>
        <v>0.20735930735930741</v>
      </c>
      <c r="E15" s="80">
        <f t="shared" si="0"/>
        <v>2.8762606767144483E-2</v>
      </c>
      <c r="F15" s="80">
        <f t="shared" si="0"/>
        <v>0.13880993401223529</v>
      </c>
      <c r="G15" s="80">
        <f t="shared" si="0"/>
        <v>0.10539169801481618</v>
      </c>
      <c r="H15" s="80">
        <f t="shared" si="0"/>
        <v>0.15534453113006363</v>
      </c>
      <c r="I15" s="80">
        <f t="shared" si="0"/>
        <v>0.12362244042038784</v>
      </c>
      <c r="J15" s="47"/>
      <c r="K15" s="47"/>
      <c r="M15" s="80">
        <f>(M14/N14)-1</f>
        <v>0.40274397424825303</v>
      </c>
      <c r="N15" s="80">
        <f>(N14/O14)-1</f>
        <v>0.11099481006585554</v>
      </c>
      <c r="O15" s="80">
        <f>(O14/P14)-1</f>
        <v>0.13623806043186848</v>
      </c>
      <c r="P15" s="80">
        <f>(P14/Q14)-1</f>
        <v>0.12565366501518072</v>
      </c>
      <c r="Q15" s="80">
        <f>(Q14/R14)-1</f>
        <v>0.14682794058534476</v>
      </c>
      <c r="R15" s="47"/>
      <c r="T15" s="94"/>
    </row>
    <row r="16" spans="2:20" x14ac:dyDescent="0.25">
      <c r="B16" t="s">
        <v>861</v>
      </c>
      <c r="C16" s="47"/>
      <c r="D16" s="47">
        <v>-62877</v>
      </c>
      <c r="E16" s="47">
        <v>-53256</v>
      </c>
      <c r="F16" s="47">
        <v>-45139.983</v>
      </c>
      <c r="G16" s="47">
        <v>-36740.858999999997</v>
      </c>
      <c r="H16" s="47">
        <v>-33757.942999999999</v>
      </c>
      <c r="I16" s="47">
        <v>-30237.008999999998</v>
      </c>
      <c r="J16" s="47">
        <v>-27086.52</v>
      </c>
      <c r="K16" s="91">
        <f>SUM(D16/I16)^(1/5)-1</f>
        <v>0.15768550759043753</v>
      </c>
      <c r="M16" s="47">
        <v>-57399</v>
      </c>
      <c r="N16" s="47">
        <v>-39690</v>
      </c>
      <c r="O16" s="47">
        <v>-32083</v>
      </c>
      <c r="P16" s="47">
        <v>-27622</v>
      </c>
      <c r="Q16" s="47">
        <v>-22601.129000000001</v>
      </c>
      <c r="R16" s="47">
        <v>-19983.96</v>
      </c>
      <c r="T16" s="94"/>
    </row>
    <row r="17" spans="2:20" ht="15.75" thickBot="1" x14ac:dyDescent="0.3">
      <c r="B17" s="81" t="s">
        <v>669</v>
      </c>
      <c r="C17" s="50"/>
      <c r="D17" s="95">
        <f t="shared" ref="D17:I17" si="1">(D16/E16)-1</f>
        <v>0.18065570076611093</v>
      </c>
      <c r="E17" s="95">
        <f t="shared" si="1"/>
        <v>0.17979663395088119</v>
      </c>
      <c r="F17" s="95">
        <f t="shared" si="1"/>
        <v>0.22860445369554383</v>
      </c>
      <c r="G17" s="95">
        <f t="shared" si="1"/>
        <v>8.8361900486649825E-2</v>
      </c>
      <c r="H17" s="95">
        <f t="shared" si="1"/>
        <v>0.1164445200251123</v>
      </c>
      <c r="I17" s="95">
        <f t="shared" si="1"/>
        <v>0.11631206223612334</v>
      </c>
      <c r="J17" s="95"/>
      <c r="K17" s="96"/>
      <c r="M17" s="95">
        <f>(M16/N16)-1</f>
        <v>0.44618291761148909</v>
      </c>
      <c r="N17" s="95">
        <f>(N16/O16)-1</f>
        <v>0.2371037621170089</v>
      </c>
      <c r="O17" s="95">
        <f>(O16/P16)-1</f>
        <v>0.16150170154224885</v>
      </c>
      <c r="P17" s="95">
        <f>(P16/Q16)-1</f>
        <v>0.22215133589122904</v>
      </c>
      <c r="Q17" s="95">
        <f>(Q16/R16)-1</f>
        <v>0.13096348271313607</v>
      </c>
      <c r="R17" s="50"/>
      <c r="T17" s="94"/>
    </row>
    <row r="18" spans="2:20" s="40" customFormat="1" x14ac:dyDescent="0.25">
      <c r="B18" s="40" t="s">
        <v>860</v>
      </c>
      <c r="D18" s="49">
        <f t="shared" ref="D18:J18" si="2">SUM(D16,D14)</f>
        <v>101674</v>
      </c>
      <c r="E18" s="49">
        <f t="shared" si="2"/>
        <v>83034</v>
      </c>
      <c r="F18" s="49">
        <f t="shared" si="2"/>
        <v>87339.56</v>
      </c>
      <c r="G18" s="49">
        <f t="shared" si="2"/>
        <v>79590.707000000009</v>
      </c>
      <c r="H18" s="49">
        <f t="shared" si="2"/>
        <v>71482.187000000005</v>
      </c>
      <c r="I18" s="49">
        <f t="shared" si="2"/>
        <v>60852.814999999995</v>
      </c>
      <c r="J18" s="49">
        <f t="shared" si="2"/>
        <v>53981.479999999996</v>
      </c>
      <c r="K18" s="49"/>
      <c r="L18" s="49"/>
      <c r="M18" s="49">
        <f t="shared" ref="M18:R18" si="3">SUM(M16,M14)</f>
        <v>85535</v>
      </c>
      <c r="N18" s="49">
        <f t="shared" si="3"/>
        <v>62206</v>
      </c>
      <c r="O18" s="49">
        <f t="shared" si="3"/>
        <v>59633</v>
      </c>
      <c r="P18" s="49">
        <f t="shared" si="3"/>
        <v>53097</v>
      </c>
      <c r="Q18" s="49">
        <f t="shared" si="3"/>
        <v>49107.428</v>
      </c>
      <c r="R18" s="49">
        <f t="shared" si="3"/>
        <v>42543.777999999998</v>
      </c>
      <c r="S18" s="49"/>
      <c r="T18" s="93"/>
    </row>
    <row r="19" spans="2:20" s="40" customFormat="1" x14ac:dyDescent="0.25">
      <c r="B19" s="81" t="s">
        <v>669</v>
      </c>
      <c r="D19" s="80">
        <f t="shared" ref="D19:I19" si="4">(D18/E18)-1</f>
        <v>0.22448635498711367</v>
      </c>
      <c r="E19" s="80">
        <f t="shared" si="4"/>
        <v>-4.9296790595235396E-2</v>
      </c>
      <c r="F19" s="80">
        <f t="shared" si="4"/>
        <v>9.735876576646052E-2</v>
      </c>
      <c r="G19" s="80">
        <f t="shared" si="4"/>
        <v>0.11343413429698224</v>
      </c>
      <c r="H19" s="80">
        <f t="shared" si="4"/>
        <v>0.17467346416102547</v>
      </c>
      <c r="I19" s="80">
        <f t="shared" si="4"/>
        <v>0.12729060040591689</v>
      </c>
      <c r="J19" s="49"/>
      <c r="K19" s="49"/>
      <c r="L19" s="49"/>
      <c r="M19" s="80">
        <f>(M18/N18)-1</f>
        <v>0.3750281323345015</v>
      </c>
      <c r="N19" s="80">
        <f>(N18/O18)-1</f>
        <v>4.3147250683346572E-2</v>
      </c>
      <c r="O19" s="80">
        <f>(O18/P18)-1</f>
        <v>0.12309546678720085</v>
      </c>
      <c r="P19" s="80">
        <f>(P18/Q18)-1</f>
        <v>8.1241721720795468E-2</v>
      </c>
      <c r="Q19" s="80">
        <f>(Q18/R18)-1</f>
        <v>0.15427990433759797</v>
      </c>
      <c r="R19" s="49"/>
      <c r="S19" s="49"/>
      <c r="T19" s="93"/>
    </row>
    <row r="21" spans="2:20" x14ac:dyDescent="0.25">
      <c r="B21" t="s">
        <v>859</v>
      </c>
      <c r="D21" s="47">
        <v>-89873</v>
      </c>
      <c r="E21" s="47">
        <v>-79089</v>
      </c>
      <c r="F21" s="47">
        <v>-73028.332999999999</v>
      </c>
      <c r="G21" s="47">
        <v>-66360.796000000002</v>
      </c>
      <c r="H21" s="47">
        <v>-59554.040999999997</v>
      </c>
      <c r="I21" s="47">
        <v>-54486.942999999999</v>
      </c>
      <c r="J21" s="47">
        <v>-50519.091</v>
      </c>
      <c r="K21" s="91">
        <f>SUM(D21/I21)^(1/5)-1</f>
        <v>0.10526739656390638</v>
      </c>
      <c r="M21" s="47">
        <v>-60911</v>
      </c>
      <c r="N21" s="47">
        <v>-45710</v>
      </c>
      <c r="O21" s="47">
        <v>-43797</v>
      </c>
      <c r="P21" s="47">
        <v>-38993</v>
      </c>
      <c r="Q21" s="47">
        <v>-35898.902999999998</v>
      </c>
      <c r="R21" s="47">
        <v>-30881.741999999998</v>
      </c>
    </row>
    <row r="22" spans="2:20" x14ac:dyDescent="0.25">
      <c r="B22" s="81" t="s">
        <v>669</v>
      </c>
      <c r="D22" s="80">
        <f t="shared" ref="D22:I22" si="5">(D21/E21)-1</f>
        <v>0.13635271655982506</v>
      </c>
      <c r="E22" s="80">
        <f t="shared" si="5"/>
        <v>8.2990625022208775E-2</v>
      </c>
      <c r="F22" s="80">
        <f t="shared" si="5"/>
        <v>0.10047403590517501</v>
      </c>
      <c r="G22" s="80">
        <f t="shared" si="5"/>
        <v>0.11429543462886094</v>
      </c>
      <c r="H22" s="80">
        <f t="shared" si="5"/>
        <v>9.2996555156342753E-2</v>
      </c>
      <c r="I22" s="80">
        <f t="shared" si="5"/>
        <v>7.8541634884127243E-2</v>
      </c>
      <c r="J22" s="47"/>
      <c r="K22" s="47"/>
      <c r="M22" s="80">
        <f>(M21/N21)-1</f>
        <v>0.33255305184861084</v>
      </c>
      <c r="N22" s="80">
        <f>(N21/O21)-1</f>
        <v>4.3678790784756893E-2</v>
      </c>
      <c r="O22" s="80">
        <f>(O21/P21)-1</f>
        <v>0.12320160028723115</v>
      </c>
      <c r="P22" s="80">
        <f>(P21/Q21)-1</f>
        <v>8.6189179652648384E-2</v>
      </c>
      <c r="Q22" s="80">
        <f>(Q21/R21)-1</f>
        <v>0.16246366542405544</v>
      </c>
      <c r="R22" s="47"/>
    </row>
    <row r="23" spans="2:20" ht="15.75" thickBot="1" x14ac:dyDescent="0.3">
      <c r="B23" t="s">
        <v>858</v>
      </c>
      <c r="C23" s="50"/>
      <c r="D23" s="50">
        <v>-2311</v>
      </c>
      <c r="E23" s="50">
        <v>-9968</v>
      </c>
      <c r="F23" s="58"/>
      <c r="G23" s="58"/>
      <c r="H23" s="58"/>
      <c r="I23" s="58"/>
      <c r="J23" s="58"/>
      <c r="M23" s="58"/>
      <c r="N23" s="58"/>
      <c r="O23" s="58"/>
      <c r="P23" s="58"/>
      <c r="Q23" s="58"/>
      <c r="R23" s="58"/>
    </row>
    <row r="24" spans="2:20" s="40" customFormat="1" x14ac:dyDescent="0.25">
      <c r="B24" s="40" t="s">
        <v>857</v>
      </c>
      <c r="C24" s="49"/>
      <c r="D24" s="49">
        <f t="shared" ref="D24:J24" si="6">SUM(D23,D21,D18)</f>
        <v>9490</v>
      </c>
      <c r="E24" s="49">
        <f t="shared" si="6"/>
        <v>-6023</v>
      </c>
      <c r="F24" s="49">
        <f t="shared" si="6"/>
        <v>14311.226999999999</v>
      </c>
      <c r="G24" s="49">
        <f t="shared" si="6"/>
        <v>13229.911000000007</v>
      </c>
      <c r="H24" s="49">
        <f t="shared" si="6"/>
        <v>11928.146000000008</v>
      </c>
      <c r="I24" s="49">
        <f t="shared" si="6"/>
        <v>6365.8719999999958</v>
      </c>
      <c r="J24" s="49">
        <f t="shared" si="6"/>
        <v>3462.3889999999956</v>
      </c>
      <c r="K24" s="91">
        <f>SUM(D24/I24)^(1/5)-1</f>
        <v>8.3132686606426365E-2</v>
      </c>
      <c r="M24" s="49">
        <f t="shared" ref="M24:R24" si="7">SUM(M23,M21,M18)</f>
        <v>24624</v>
      </c>
      <c r="N24" s="49">
        <f t="shared" si="7"/>
        <v>16496</v>
      </c>
      <c r="O24" s="49">
        <f t="shared" si="7"/>
        <v>15836</v>
      </c>
      <c r="P24" s="49">
        <f t="shared" si="7"/>
        <v>14104</v>
      </c>
      <c r="Q24" s="49">
        <f t="shared" si="7"/>
        <v>13208.525000000001</v>
      </c>
      <c r="R24" s="49">
        <f t="shared" si="7"/>
        <v>11662.036</v>
      </c>
      <c r="S24"/>
    </row>
    <row r="25" spans="2:20" s="40" customFormat="1" x14ac:dyDescent="0.25">
      <c r="B25" s="81" t="s">
        <v>669</v>
      </c>
      <c r="C25" s="49"/>
      <c r="D25" s="80">
        <f>((D24/E24)-1)*-1</f>
        <v>2.5756267640710608</v>
      </c>
      <c r="E25" s="80">
        <f>(E24/F24)-1</f>
        <v>-1.4208583932041607</v>
      </c>
      <c r="F25" s="80">
        <f>(F24/G24)-1</f>
        <v>8.1732673787449528E-2</v>
      </c>
      <c r="G25" s="80">
        <f>(G24/H24)-1</f>
        <v>0.10913389222432368</v>
      </c>
      <c r="H25" s="80">
        <f>(H24/I24)-1</f>
        <v>0.87376466256312035</v>
      </c>
      <c r="I25" s="80">
        <f>(I24/J24)-1</f>
        <v>0.83857792986287905</v>
      </c>
      <c r="J25" s="49"/>
      <c r="K25" s="49"/>
      <c r="M25" s="80">
        <f>(M24/N24)-1</f>
        <v>0.49272550921435498</v>
      </c>
      <c r="N25" s="80">
        <f>(N24/O24)-1</f>
        <v>4.1677191209901432E-2</v>
      </c>
      <c r="O25" s="80">
        <f>(O24/P24)-1</f>
        <v>0.1228020419739082</v>
      </c>
      <c r="P25" s="80">
        <f>(P24/Q24)-1</f>
        <v>6.7795230731667599E-2</v>
      </c>
      <c r="Q25" s="80">
        <f>(Q24/R24)-1</f>
        <v>0.13260883434076187</v>
      </c>
      <c r="R25" s="49"/>
      <c r="S25"/>
    </row>
    <row r="26" spans="2:20" x14ac:dyDescent="0.25">
      <c r="C26" s="47"/>
      <c r="D26" s="47"/>
      <c r="E26" s="47"/>
    </row>
    <row r="27" spans="2:20" x14ac:dyDescent="0.25">
      <c r="B27" t="s">
        <v>569</v>
      </c>
      <c r="D27">
        <v>238</v>
      </c>
      <c r="E27">
        <v>159</v>
      </c>
      <c r="F27" s="47">
        <v>68.966999999999999</v>
      </c>
      <c r="G27" s="47">
        <v>22.113</v>
      </c>
      <c r="H27" s="47">
        <v>3.23</v>
      </c>
      <c r="I27" s="47">
        <v>172.10599999999999</v>
      </c>
      <c r="J27">
        <v>188.489</v>
      </c>
      <c r="M27">
        <v>205</v>
      </c>
      <c r="N27" s="47">
        <v>79</v>
      </c>
      <c r="O27">
        <v>62</v>
      </c>
      <c r="P27">
        <v>5</v>
      </c>
      <c r="Q27" s="47">
        <v>15.919</v>
      </c>
      <c r="R27" s="47">
        <v>3.0680000000000001</v>
      </c>
    </row>
    <row r="28" spans="2:20" x14ac:dyDescent="0.25">
      <c r="B28" t="s">
        <v>562</v>
      </c>
      <c r="C28" s="47"/>
      <c r="D28" s="47">
        <v>-1650</v>
      </c>
      <c r="E28" s="47">
        <v>-1668</v>
      </c>
      <c r="F28" s="47">
        <v>-294.96600000000001</v>
      </c>
      <c r="G28" s="47">
        <v>-578.76</v>
      </c>
      <c r="H28" s="47">
        <v>-725.86500000000001</v>
      </c>
      <c r="I28" s="47">
        <v>-946.88400000000001</v>
      </c>
      <c r="J28" s="47">
        <v>-719.80799999999999</v>
      </c>
      <c r="K28" s="47"/>
      <c r="M28">
        <v>-774</v>
      </c>
      <c r="N28" s="47">
        <v>-897</v>
      </c>
      <c r="O28">
        <v>-905</v>
      </c>
      <c r="P28">
        <v>-179</v>
      </c>
      <c r="Q28" s="47">
        <v>-296.02800000000002</v>
      </c>
      <c r="R28" s="47">
        <v>-445.87099999999998</v>
      </c>
    </row>
    <row r="29" spans="2:20" ht="15.75" thickBot="1" x14ac:dyDescent="0.3">
      <c r="B29" t="s">
        <v>856</v>
      </c>
      <c r="C29" s="58"/>
      <c r="D29" s="58">
        <v>-254</v>
      </c>
      <c r="E29" s="58">
        <v>-9</v>
      </c>
      <c r="F29" s="92">
        <v>-33.969000000000001</v>
      </c>
      <c r="G29" s="92">
        <v>35.500999999999998</v>
      </c>
      <c r="H29" s="58"/>
      <c r="I29" s="58"/>
      <c r="J29" s="58"/>
      <c r="M29" s="58"/>
      <c r="N29" s="58">
        <v>-219</v>
      </c>
      <c r="O29" s="58">
        <v>-9</v>
      </c>
      <c r="P29" s="58">
        <v>-84</v>
      </c>
      <c r="Q29" s="58">
        <v>7.3319999999999999</v>
      </c>
      <c r="R29" s="58" t="s">
        <v>548</v>
      </c>
    </row>
    <row r="30" spans="2:20" s="40" customFormat="1" x14ac:dyDescent="0.25">
      <c r="B30" s="40" t="s">
        <v>855</v>
      </c>
      <c r="C30" s="49"/>
      <c r="D30" s="49">
        <f t="shared" ref="D30:J30" si="8">SUM(D27,D28,D29,D24)</f>
        <v>7824</v>
      </c>
      <c r="E30" s="49">
        <f t="shared" si="8"/>
        <v>-7541</v>
      </c>
      <c r="F30" s="49">
        <f t="shared" si="8"/>
        <v>14051.258999999998</v>
      </c>
      <c r="G30" s="49">
        <f t="shared" si="8"/>
        <v>12708.765000000007</v>
      </c>
      <c r="H30" s="49">
        <f t="shared" si="8"/>
        <v>11205.511000000008</v>
      </c>
      <c r="I30" s="49">
        <f t="shared" si="8"/>
        <v>5591.0939999999955</v>
      </c>
      <c r="J30" s="49">
        <f t="shared" si="8"/>
        <v>2931.0699999999956</v>
      </c>
      <c r="K30" s="91">
        <f>SUM(D30/I30)^(1/5)-1</f>
        <v>6.9513841642626417E-2</v>
      </c>
      <c r="M30" s="49">
        <f t="shared" ref="M30:R30" si="9">SUM(M27,M28,M29,M24)</f>
        <v>24055</v>
      </c>
      <c r="N30" s="49">
        <f t="shared" si="9"/>
        <v>15459</v>
      </c>
      <c r="O30" s="49">
        <f t="shared" si="9"/>
        <v>14984</v>
      </c>
      <c r="P30" s="49">
        <f t="shared" si="9"/>
        <v>13846</v>
      </c>
      <c r="Q30" s="49">
        <f t="shared" si="9"/>
        <v>12935.748000000001</v>
      </c>
      <c r="R30" s="49">
        <f t="shared" si="9"/>
        <v>11219.233</v>
      </c>
    </row>
    <row r="31" spans="2:20" s="40" customFormat="1" x14ac:dyDescent="0.25">
      <c r="C31" s="49"/>
      <c r="D31" s="80">
        <f>((D30/E30)-1)*-1</f>
        <v>2.0375281792865669</v>
      </c>
      <c r="E31" s="80">
        <f>(E30/F30)-1</f>
        <v>-1.536677887725221</v>
      </c>
      <c r="F31" s="80">
        <f>(F30/G30)-1</f>
        <v>0.10563528399494282</v>
      </c>
      <c r="G31" s="80">
        <f>(G30/H30)-1</f>
        <v>0.13415309663254082</v>
      </c>
      <c r="H31" s="80">
        <f>(H30/I30)-1</f>
        <v>1.0041714555326768</v>
      </c>
      <c r="I31" s="80">
        <f>(I30/J30)-1</f>
        <v>0.90752660291293075</v>
      </c>
      <c r="J31" s="49"/>
      <c r="K31" s="49"/>
      <c r="M31" s="80">
        <f>(M30/N30)-1</f>
        <v>0.55605149104081764</v>
      </c>
      <c r="N31" s="80">
        <f>(N30/O30)-1</f>
        <v>3.1700480512546703E-2</v>
      </c>
      <c r="O31" s="80">
        <f>(O30/P30)-1</f>
        <v>8.2189802108912247E-2</v>
      </c>
      <c r="P31" s="80">
        <f>(P30/Q30)-1</f>
        <v>7.0367171654859062E-2</v>
      </c>
      <c r="Q31" s="80">
        <f>(Q30/R30)-1</f>
        <v>0.15299753557128204</v>
      </c>
      <c r="R31" s="49"/>
    </row>
    <row r="33" spans="2:19" ht="15.75" thickBot="1" x14ac:dyDescent="0.3">
      <c r="B33" t="s">
        <v>854</v>
      </c>
      <c r="C33" s="50"/>
      <c r="D33" s="50">
        <v>-2139</v>
      </c>
      <c r="E33" s="50">
        <v>84</v>
      </c>
      <c r="F33" s="50">
        <v>-3122.4859999999999</v>
      </c>
      <c r="G33" s="50">
        <v>-2729.123</v>
      </c>
      <c r="H33" s="50">
        <v>-2441.3620000000001</v>
      </c>
      <c r="I33" s="50">
        <v>-1507.29</v>
      </c>
      <c r="J33" s="50">
        <v>-884.20899999999995</v>
      </c>
      <c r="K33" s="47"/>
      <c r="M33" s="50">
        <v>-4784</v>
      </c>
      <c r="N33" s="50">
        <v>-3321</v>
      </c>
      <c r="O33" s="50">
        <v>-1908</v>
      </c>
      <c r="P33" s="50">
        <v>-3045</v>
      </c>
      <c r="Q33" s="50">
        <v>-2820.7910000000002</v>
      </c>
      <c r="R33" s="50">
        <v>-2421.8609999999999</v>
      </c>
    </row>
    <row r="34" spans="2:19" s="40" customFormat="1" x14ac:dyDescent="0.25">
      <c r="B34" s="40" t="s">
        <v>853</v>
      </c>
      <c r="C34" s="49"/>
      <c r="D34" s="49">
        <f t="shared" ref="D34:J34" si="10">SUM(D33,D30)</f>
        <v>5685</v>
      </c>
      <c r="E34" s="49">
        <f t="shared" si="10"/>
        <v>-7457</v>
      </c>
      <c r="F34" s="49">
        <f t="shared" si="10"/>
        <v>10928.772999999997</v>
      </c>
      <c r="G34" s="49">
        <f t="shared" si="10"/>
        <v>9979.6420000000071</v>
      </c>
      <c r="H34" s="49">
        <f t="shared" si="10"/>
        <v>8764.1490000000085</v>
      </c>
      <c r="I34" s="49">
        <f t="shared" si="10"/>
        <v>4083.8039999999955</v>
      </c>
      <c r="J34" s="49">
        <f t="shared" si="10"/>
        <v>2046.8609999999958</v>
      </c>
      <c r="K34" s="91">
        <f>SUM(D34/I34)^(1/5)-1</f>
        <v>6.839812152964786E-2</v>
      </c>
      <c r="M34" s="49">
        <f t="shared" ref="M34:R34" si="11">SUM(M33,M30)</f>
        <v>19271</v>
      </c>
      <c r="N34" s="49">
        <f t="shared" si="11"/>
        <v>12138</v>
      </c>
      <c r="O34" s="49">
        <f t="shared" si="11"/>
        <v>13076</v>
      </c>
      <c r="P34" s="49">
        <f t="shared" si="11"/>
        <v>10801</v>
      </c>
      <c r="Q34" s="49">
        <f t="shared" si="11"/>
        <v>10114.957000000002</v>
      </c>
      <c r="R34" s="49">
        <f t="shared" si="11"/>
        <v>8797.3719999999994</v>
      </c>
      <c r="S34" s="49"/>
    </row>
    <row r="35" spans="2:19" s="40" customFormat="1" x14ac:dyDescent="0.25">
      <c r="C35" s="49"/>
      <c r="D35" s="80">
        <f>((D34/E34)-1)*-1</f>
        <v>1.7623709266461043</v>
      </c>
      <c r="E35" s="80">
        <f>(E34/F34)-1</f>
        <v>-1.6823272841333607</v>
      </c>
      <c r="F35" s="80">
        <f>(F34/G34)-1</f>
        <v>9.5106718257026657E-2</v>
      </c>
      <c r="G35" s="80">
        <f>(G34/H34)-1</f>
        <v>0.13868922128092498</v>
      </c>
      <c r="H35" s="80">
        <f>(H34/I34)-1</f>
        <v>1.1460748361086912</v>
      </c>
      <c r="I35" s="80">
        <f>(I34/J34)-1</f>
        <v>0.99515453174397472</v>
      </c>
      <c r="J35" s="49"/>
      <c r="K35" s="49"/>
      <c r="M35" s="80">
        <f>(M34/N34)-1</f>
        <v>0.5876585928489042</v>
      </c>
      <c r="N35" s="80">
        <f>(N34/O34)-1</f>
        <v>-7.173447537473232E-2</v>
      </c>
      <c r="O35" s="80">
        <f>(O34/P34)-1</f>
        <v>0.21062864549578753</v>
      </c>
      <c r="P35" s="80">
        <f>(P34/Q34)-1</f>
        <v>6.7824608646383622E-2</v>
      </c>
      <c r="Q35" s="80">
        <f>(Q34/R34)-1</f>
        <v>0.14977029503810946</v>
      </c>
      <c r="R35" s="49"/>
      <c r="S35" s="49"/>
    </row>
    <row r="37" spans="2:19" x14ac:dyDescent="0.25">
      <c r="B37" t="s">
        <v>852</v>
      </c>
    </row>
    <row r="38" spans="2:19" x14ac:dyDescent="0.25">
      <c r="B38" t="s">
        <v>851</v>
      </c>
      <c r="C38" s="47"/>
      <c r="D38" s="47">
        <v>-1897</v>
      </c>
      <c r="E38" s="47">
        <v>1276</v>
      </c>
      <c r="F38" s="47">
        <v>71.930999999999997</v>
      </c>
      <c r="G38" s="47">
        <v>-106.001</v>
      </c>
      <c r="H38" s="47">
        <v>-316.65800000000002</v>
      </c>
      <c r="I38" s="47">
        <v>581.95899999999995</v>
      </c>
      <c r="J38" s="47"/>
      <c r="K38" s="47"/>
      <c r="M38">
        <v>583</v>
      </c>
      <c r="N38" s="47">
        <v>-1054</v>
      </c>
      <c r="O38">
        <v>-518</v>
      </c>
      <c r="P38">
        <v>282</v>
      </c>
      <c r="Q38" s="47">
        <v>-121.114</v>
      </c>
      <c r="R38" s="47">
        <v>-198.30199999999999</v>
      </c>
    </row>
    <row r="39" spans="2:19" x14ac:dyDescent="0.25">
      <c r="B39" t="s">
        <v>850</v>
      </c>
      <c r="D39">
        <v>308</v>
      </c>
      <c r="E39">
        <v>-221</v>
      </c>
      <c r="F39" s="47">
        <v>16.667000000000002</v>
      </c>
      <c r="G39" s="47">
        <v>20.561</v>
      </c>
      <c r="H39" s="47">
        <v>64.039000000000001</v>
      </c>
      <c r="I39" s="47">
        <v>-114.446</v>
      </c>
      <c r="J39" s="47"/>
      <c r="K39" s="47"/>
      <c r="M39">
        <v>-93</v>
      </c>
      <c r="N39" s="47">
        <v>175</v>
      </c>
      <c r="O39">
        <v>42</v>
      </c>
      <c r="P39">
        <v>-26</v>
      </c>
      <c r="Q39" s="47">
        <v>11.505000000000001</v>
      </c>
      <c r="R39" s="47">
        <v>113.97499999999999</v>
      </c>
    </row>
    <row r="40" spans="2:19" x14ac:dyDescent="0.25">
      <c r="B40" s="90" t="s">
        <v>849</v>
      </c>
      <c r="F40" s="47"/>
      <c r="G40" s="47"/>
      <c r="H40" s="47"/>
      <c r="I40" s="47"/>
      <c r="J40" s="47"/>
      <c r="K40" s="47"/>
      <c r="M40">
        <v>428</v>
      </c>
      <c r="N40" s="47">
        <v>-572</v>
      </c>
      <c r="Q40" s="47"/>
      <c r="R40" s="47"/>
    </row>
    <row r="41" spans="2:19" ht="15.75" thickBot="1" x14ac:dyDescent="0.3">
      <c r="B41" t="s">
        <v>848</v>
      </c>
      <c r="C41" s="50"/>
      <c r="D41" s="50">
        <v>-825</v>
      </c>
      <c r="E41" s="50">
        <v>326</v>
      </c>
      <c r="F41" s="50">
        <v>372.79500000000002</v>
      </c>
      <c r="G41" s="50">
        <v>-168.661</v>
      </c>
      <c r="H41" s="50">
        <v>696.09500000000003</v>
      </c>
      <c r="I41" s="50">
        <v>896.053</v>
      </c>
      <c r="J41" s="50">
        <v>-380.03899999999999</v>
      </c>
      <c r="K41" s="47"/>
      <c r="M41" s="50">
        <v>107</v>
      </c>
      <c r="N41" s="50">
        <v>-736</v>
      </c>
      <c r="O41" s="50">
        <v>-227</v>
      </c>
      <c r="P41" s="50">
        <v>384</v>
      </c>
      <c r="Q41" s="50">
        <v>-361.82900000000001</v>
      </c>
      <c r="R41" s="50">
        <v>780.99300000000005</v>
      </c>
    </row>
    <row r="42" spans="2:19" s="40" customFormat="1" x14ac:dyDescent="0.25">
      <c r="B42" s="40" t="s">
        <v>847</v>
      </c>
      <c r="C42" s="49"/>
      <c r="D42" s="49">
        <f t="shared" ref="D42:J42" si="12">SUM(D41,D39,D40,D38,D34)</f>
        <v>3271</v>
      </c>
      <c r="E42" s="49">
        <f t="shared" si="12"/>
        <v>-6076</v>
      </c>
      <c r="F42" s="49">
        <f t="shared" si="12"/>
        <v>11390.165999999997</v>
      </c>
      <c r="G42" s="49">
        <f t="shared" si="12"/>
        <v>9725.5410000000065</v>
      </c>
      <c r="H42" s="49">
        <f t="shared" si="12"/>
        <v>9207.6250000000091</v>
      </c>
      <c r="I42" s="49">
        <f t="shared" si="12"/>
        <v>5447.3699999999953</v>
      </c>
      <c r="J42" s="49">
        <f t="shared" si="12"/>
        <v>1666.8219999999958</v>
      </c>
      <c r="K42" s="49"/>
      <c r="M42" s="49">
        <f t="shared" ref="M42:R42" si="13">SUM(M41,M39,M40,M38,M34)</f>
        <v>20296</v>
      </c>
      <c r="N42" s="49">
        <f t="shared" si="13"/>
        <v>9951</v>
      </c>
      <c r="O42" s="49">
        <f t="shared" si="13"/>
        <v>12373</v>
      </c>
      <c r="P42" s="49">
        <f t="shared" si="13"/>
        <v>11441</v>
      </c>
      <c r="Q42" s="49">
        <f t="shared" si="13"/>
        <v>9643.5190000000021</v>
      </c>
      <c r="R42" s="49">
        <f t="shared" si="13"/>
        <v>9494.0379999999986</v>
      </c>
    </row>
    <row r="44" spans="2:19" x14ac:dyDescent="0.25">
      <c r="B44" t="s">
        <v>846</v>
      </c>
      <c r="D44" s="89">
        <f>SUM(D$34*1000)/(D430)</f>
        <v>4.5272246385692001E-2</v>
      </c>
      <c r="E44" s="89">
        <f>SUM(E34*1000)/(E430)</f>
        <v>-6.3459876912007496E-2</v>
      </c>
      <c r="F44" s="89">
        <f>SUM(F34*1000)/(F430)</f>
        <v>9.685349351267071E-2</v>
      </c>
      <c r="G44" s="89">
        <f>SUM(G34*1000)/(G430)</f>
        <v>8.8442343998326581E-2</v>
      </c>
      <c r="H44" s="89">
        <f>SUM(H34*1000)/(H430)</f>
        <v>7.7670309286704889E-2</v>
      </c>
      <c r="I44" s="89">
        <f>SUM(I34*1000)/(I430)</f>
        <v>3.9490768976520096E-2</v>
      </c>
      <c r="J44" s="89"/>
      <c r="K44" s="89"/>
      <c r="M44" s="89">
        <f>SUM(M34*1000)/(M430)</f>
        <v>0.14240303702501131</v>
      </c>
      <c r="N44" s="89">
        <f>SUM(N34*1000)/(N430)</f>
        <v>9.6710041202477254E-2</v>
      </c>
      <c r="O44" s="54" t="s">
        <v>845</v>
      </c>
      <c r="P44" s="54" t="s">
        <v>844</v>
      </c>
      <c r="Q44" s="54" t="s">
        <v>843</v>
      </c>
      <c r="R44" s="54" t="s">
        <v>838</v>
      </c>
    </row>
    <row r="45" spans="2:19" x14ac:dyDescent="0.25">
      <c r="B45" t="s">
        <v>842</v>
      </c>
      <c r="D45" s="89">
        <f t="shared" ref="D45:I45" si="14">SUM(D$34*1000)/(D434)</f>
        <v>4.5200479152111839E-2</v>
      </c>
      <c r="E45" s="89">
        <f t="shared" si="14"/>
        <v>-6.330235920685616E-2</v>
      </c>
      <c r="F45" s="89">
        <f t="shared" si="14"/>
        <v>9.525926315773782E-2</v>
      </c>
      <c r="G45" s="89">
        <f t="shared" si="14"/>
        <v>8.8250739071184317E-2</v>
      </c>
      <c r="H45" s="89">
        <f t="shared" si="14"/>
        <v>7.7570500309272233E-2</v>
      </c>
      <c r="I45" s="89">
        <f t="shared" si="14"/>
        <v>3.9490768976520096E-2</v>
      </c>
      <c r="J45" s="54"/>
      <c r="K45" s="54"/>
      <c r="M45" s="89">
        <f>SUM(M$34*1000)/(M434)</f>
        <v>0.14189372300781353</v>
      </c>
      <c r="N45" s="89">
        <f>SUM(N$34*1000)/(N434)</f>
        <v>9.6487867843004657E-2</v>
      </c>
      <c r="O45" s="54" t="s">
        <v>841</v>
      </c>
      <c r="P45" s="54" t="s">
        <v>840</v>
      </c>
      <c r="Q45" s="54" t="s">
        <v>839</v>
      </c>
      <c r="R45" s="54" t="s">
        <v>838</v>
      </c>
    </row>
    <row r="46" spans="2:19" x14ac:dyDescent="0.25">
      <c r="D46" s="54"/>
      <c r="E46" s="54"/>
      <c r="F46" s="54"/>
      <c r="G46" s="54"/>
      <c r="H46" s="54"/>
      <c r="I46" s="54"/>
      <c r="J46" s="54"/>
      <c r="K46" s="54"/>
      <c r="M46" s="54"/>
      <c r="N46" s="54"/>
      <c r="O46" s="54"/>
      <c r="P46" s="54"/>
      <c r="Q46" s="54"/>
      <c r="R46" s="54"/>
    </row>
    <row r="47" spans="2:19" x14ac:dyDescent="0.25">
      <c r="B47" t="s">
        <v>837</v>
      </c>
      <c r="D47" s="89">
        <f t="shared" ref="D47:J47" si="15">SUM(D33/D30)*-1</f>
        <v>0.27338957055214724</v>
      </c>
      <c r="E47" s="89">
        <f t="shared" si="15"/>
        <v>1.1139106219334305E-2</v>
      </c>
      <c r="F47" s="89">
        <f t="shared" si="15"/>
        <v>0.22222108353422282</v>
      </c>
      <c r="G47" s="89">
        <f t="shared" si="15"/>
        <v>0.21474336806133393</v>
      </c>
      <c r="H47" s="89">
        <f t="shared" si="15"/>
        <v>0.21787154552791019</v>
      </c>
      <c r="I47" s="89">
        <f t="shared" si="15"/>
        <v>0.26958766924684169</v>
      </c>
      <c r="J47" s="89">
        <f t="shared" si="15"/>
        <v>0.30166765038023702</v>
      </c>
      <c r="K47" s="89"/>
      <c r="L47" s="85"/>
      <c r="M47" s="89">
        <f t="shared" ref="M47:R47" si="16">SUM(M33/M30)*-1</f>
        <v>0.19887757223030555</v>
      </c>
      <c r="N47" s="89">
        <f t="shared" si="16"/>
        <v>0.21482631476809624</v>
      </c>
      <c r="O47" s="89">
        <f t="shared" si="16"/>
        <v>0.12733582487987186</v>
      </c>
      <c r="P47" s="89">
        <f t="shared" si="16"/>
        <v>0.21991911021233571</v>
      </c>
      <c r="Q47" s="89">
        <f t="shared" si="16"/>
        <v>0.21806168456590216</v>
      </c>
      <c r="R47" s="89">
        <f t="shared" si="16"/>
        <v>0.2158668957138157</v>
      </c>
    </row>
    <row r="48" spans="2:19" x14ac:dyDescent="0.25">
      <c r="B48" t="s">
        <v>836</v>
      </c>
      <c r="D48" s="85">
        <f t="shared" ref="D48:J48" si="17">SUM(1-D47)</f>
        <v>0.72661042944785281</v>
      </c>
      <c r="E48" s="85">
        <f t="shared" si="17"/>
        <v>0.98886089378066566</v>
      </c>
      <c r="F48" s="85">
        <f t="shared" si="17"/>
        <v>0.77777891646577713</v>
      </c>
      <c r="G48" s="85">
        <f t="shared" si="17"/>
        <v>0.78525663193866602</v>
      </c>
      <c r="H48" s="85">
        <f t="shared" si="17"/>
        <v>0.78212845447208978</v>
      </c>
      <c r="I48" s="85">
        <f t="shared" si="17"/>
        <v>0.73041233075315826</v>
      </c>
      <c r="J48" s="85">
        <f t="shared" si="17"/>
        <v>0.69833234961976298</v>
      </c>
      <c r="K48" s="85"/>
      <c r="M48" s="85">
        <f t="shared" ref="M48:R48" si="18">SUM(1-M47)</f>
        <v>0.80112242776969445</v>
      </c>
      <c r="N48" s="85">
        <f t="shared" si="18"/>
        <v>0.78517368523190378</v>
      </c>
      <c r="O48" s="85">
        <f t="shared" si="18"/>
        <v>0.87266417512012817</v>
      </c>
      <c r="P48" s="85">
        <f t="shared" si="18"/>
        <v>0.78008088978766432</v>
      </c>
      <c r="Q48" s="85">
        <f t="shared" si="18"/>
        <v>0.78193831543409786</v>
      </c>
      <c r="R48" s="85">
        <f t="shared" si="18"/>
        <v>0.78413310428618432</v>
      </c>
    </row>
    <row r="49" spans="2:24" x14ac:dyDescent="0.25">
      <c r="B49" t="s">
        <v>835</v>
      </c>
      <c r="D49" s="85">
        <f>AVERAGE(D48,F48:J48)</f>
        <v>0.75008651878288457</v>
      </c>
    </row>
    <row r="53" spans="2:24" x14ac:dyDescent="0.25">
      <c r="B53" s="102" t="s">
        <v>834</v>
      </c>
      <c r="C53" s="102"/>
      <c r="D53" s="102"/>
      <c r="E53" s="102"/>
      <c r="F53" s="102"/>
      <c r="G53" s="102"/>
      <c r="H53" s="102"/>
      <c r="I53" s="102"/>
      <c r="J53" s="102"/>
      <c r="K53" s="102"/>
      <c r="L53" s="102"/>
      <c r="M53" s="102"/>
      <c r="N53" s="102"/>
      <c r="O53" s="102"/>
      <c r="P53" s="102"/>
      <c r="Q53" s="102"/>
      <c r="R53" s="102"/>
    </row>
    <row r="55" spans="2:24" ht="15.75" thickBot="1" x14ac:dyDescent="0.3">
      <c r="C55" s="56">
        <v>44739</v>
      </c>
      <c r="D55" s="56">
        <v>44374</v>
      </c>
      <c r="E55" s="56">
        <v>44010</v>
      </c>
      <c r="F55" s="56">
        <v>43646</v>
      </c>
      <c r="G55" s="56">
        <v>43282</v>
      </c>
      <c r="H55" s="56">
        <v>42918</v>
      </c>
      <c r="I55" s="56">
        <v>42577</v>
      </c>
      <c r="J55" s="56">
        <v>42213</v>
      </c>
      <c r="K55" s="57"/>
      <c r="M55" s="56">
        <v>44556</v>
      </c>
      <c r="N55" s="56">
        <v>44192</v>
      </c>
      <c r="O55" s="56">
        <v>43828</v>
      </c>
      <c r="P55" s="56">
        <v>43464</v>
      </c>
      <c r="Q55" s="56">
        <v>43100</v>
      </c>
      <c r="R55" s="56">
        <v>42729</v>
      </c>
    </row>
    <row r="56" spans="2:24" x14ac:dyDescent="0.25">
      <c r="B56" t="s">
        <v>833</v>
      </c>
      <c r="D56" s="47">
        <v>3976</v>
      </c>
      <c r="E56" s="47">
        <v>2897</v>
      </c>
      <c r="F56" s="47">
        <v>2911.5859999999998</v>
      </c>
      <c r="G56" s="47">
        <v>2788.152</v>
      </c>
      <c r="H56" s="47">
        <v>2338.0410000000002</v>
      </c>
      <c r="I56" s="47">
        <v>1856.8</v>
      </c>
      <c r="J56" s="47">
        <v>1553.433</v>
      </c>
      <c r="K56" s="47"/>
      <c r="M56" s="47">
        <v>5161</v>
      </c>
      <c r="N56" s="47">
        <v>3192</v>
      </c>
      <c r="O56" s="47">
        <v>3244</v>
      </c>
      <c r="P56" s="47">
        <v>2729</v>
      </c>
      <c r="Q56" s="47">
        <v>2547.9580000000001</v>
      </c>
      <c r="R56" s="47">
        <v>2144.098</v>
      </c>
    </row>
    <row r="57" spans="2:24" x14ac:dyDescent="0.25">
      <c r="B57" t="s">
        <v>832</v>
      </c>
      <c r="D57" s="47">
        <v>53496</v>
      </c>
      <c r="E57" s="47">
        <v>41868</v>
      </c>
      <c r="F57" s="47">
        <v>40115.095000000001</v>
      </c>
      <c r="G57" s="47">
        <v>36408.775000000001</v>
      </c>
      <c r="H57" s="47">
        <v>31397.581999999999</v>
      </c>
      <c r="I57" s="47">
        <v>26111.111000000001</v>
      </c>
      <c r="J57" s="47">
        <v>12294.263999999999</v>
      </c>
      <c r="K57" s="47"/>
      <c r="M57" s="47">
        <v>65005</v>
      </c>
      <c r="N57" s="47">
        <v>44159</v>
      </c>
      <c r="O57" s="47">
        <v>45009</v>
      </c>
      <c r="P57" s="47">
        <v>39082</v>
      </c>
      <c r="Q57" s="47">
        <v>34677.618999999999</v>
      </c>
      <c r="R57" s="47">
        <v>29194.639999999999</v>
      </c>
    </row>
    <row r="58" spans="2:24" x14ac:dyDescent="0.25">
      <c r="B58" t="s">
        <v>529</v>
      </c>
      <c r="D58" s="47">
        <v>30357</v>
      </c>
      <c r="E58" s="47">
        <v>39848</v>
      </c>
      <c r="F58" s="47">
        <v>622.649</v>
      </c>
      <c r="G58" s="47">
        <v>623.96100000000001</v>
      </c>
      <c r="M58" s="47">
        <v>27565</v>
      </c>
      <c r="N58" s="47">
        <v>37896</v>
      </c>
      <c r="O58" s="47">
        <v>50728</v>
      </c>
      <c r="P58" s="40"/>
      <c r="Q58" s="47">
        <v>7.3319999999999999</v>
      </c>
      <c r="R58" s="47"/>
      <c r="T58" s="40"/>
    </row>
    <row r="59" spans="2:24" x14ac:dyDescent="0.25">
      <c r="B59" t="s">
        <v>831</v>
      </c>
      <c r="D59" s="47"/>
      <c r="E59" s="47"/>
      <c r="F59" s="47"/>
      <c r="G59" s="47"/>
      <c r="N59" s="47">
        <v>81</v>
      </c>
      <c r="O59" s="47"/>
      <c r="P59">
        <v>32</v>
      </c>
      <c r="T59" s="40"/>
    </row>
    <row r="60" spans="2:24" x14ac:dyDescent="0.25">
      <c r="B60" t="s">
        <v>781</v>
      </c>
      <c r="D60" s="47"/>
      <c r="E60" s="47"/>
      <c r="F60" s="47"/>
      <c r="G60" s="47"/>
      <c r="M60" s="47">
        <v>19482</v>
      </c>
      <c r="N60" s="47">
        <v>9678</v>
      </c>
      <c r="O60" s="47">
        <v>3970</v>
      </c>
      <c r="P60">
        <v>706</v>
      </c>
      <c r="T60" s="40"/>
    </row>
    <row r="61" spans="2:24" x14ac:dyDescent="0.25">
      <c r="B61" t="s">
        <v>830</v>
      </c>
      <c r="D61">
        <v>479</v>
      </c>
      <c r="E61">
        <v>597</v>
      </c>
      <c r="H61" s="47">
        <v>213.81899999999999</v>
      </c>
      <c r="N61" s="47">
        <v>916</v>
      </c>
      <c r="O61" s="47">
        <v>278</v>
      </c>
      <c r="P61">
        <v>319</v>
      </c>
      <c r="Q61" s="47">
        <v>381.82499999999999</v>
      </c>
      <c r="U61" s="47"/>
      <c r="V61" s="47"/>
      <c r="W61" s="47"/>
      <c r="X61" s="47"/>
    </row>
    <row r="62" spans="2:24" x14ac:dyDescent="0.25">
      <c r="B62" t="s">
        <v>829</v>
      </c>
      <c r="F62" s="47">
        <v>18</v>
      </c>
      <c r="G62" s="47">
        <v>1.643</v>
      </c>
      <c r="H62" s="47">
        <v>7.25</v>
      </c>
      <c r="I62" s="47">
        <v>7.4610000000000003</v>
      </c>
      <c r="J62" s="47"/>
      <c r="K62" s="47"/>
      <c r="P62">
        <v>9</v>
      </c>
      <c r="Q62" s="47">
        <v>17.850999999999999</v>
      </c>
      <c r="U62" s="47"/>
      <c r="V62" s="47"/>
      <c r="W62" s="47"/>
      <c r="X62" s="47"/>
    </row>
    <row r="63" spans="2:24" x14ac:dyDescent="0.25">
      <c r="B63" t="s">
        <v>827</v>
      </c>
      <c r="D63" t="s">
        <v>548</v>
      </c>
      <c r="E63">
        <v>92</v>
      </c>
      <c r="F63" s="47" t="s">
        <v>548</v>
      </c>
      <c r="G63" s="47">
        <v>68.721000000000004</v>
      </c>
      <c r="H63" s="47" t="s">
        <v>548</v>
      </c>
      <c r="I63" s="47">
        <v>85.075000000000003</v>
      </c>
      <c r="J63" s="47">
        <v>215.99299999999999</v>
      </c>
      <c r="K63" s="47"/>
      <c r="N63" s="47">
        <v>10</v>
      </c>
      <c r="O63" s="47">
        <v>12</v>
      </c>
      <c r="P63">
        <v>109</v>
      </c>
      <c r="Q63" s="47">
        <v>8.5640000000000001</v>
      </c>
      <c r="R63" s="47">
        <v>9.3460000000000001</v>
      </c>
      <c r="U63" s="47"/>
      <c r="V63" s="47"/>
      <c r="W63" s="47"/>
      <c r="X63" s="47"/>
    </row>
    <row r="64" spans="2:24" ht="15.75" thickBot="1" x14ac:dyDescent="0.3">
      <c r="B64" t="s">
        <v>444</v>
      </c>
      <c r="C64" s="50">
        <v>23000</v>
      </c>
      <c r="D64" s="50">
        <v>12153</v>
      </c>
      <c r="E64" s="50">
        <v>5705</v>
      </c>
      <c r="F64" s="50">
        <v>2488.0410000000002</v>
      </c>
      <c r="G64" s="50" t="s">
        <v>548</v>
      </c>
      <c r="H64" s="50"/>
      <c r="I64" s="50"/>
      <c r="J64" s="50"/>
      <c r="K64" s="47"/>
      <c r="M64" s="50"/>
      <c r="N64" s="50"/>
      <c r="O64" s="50"/>
      <c r="P64" s="50"/>
      <c r="Q64" s="50"/>
      <c r="R64" s="50"/>
      <c r="U64" s="47"/>
      <c r="V64" s="47"/>
      <c r="W64" s="47"/>
      <c r="X64" s="47"/>
    </row>
    <row r="65" spans="2:24" s="40" customFormat="1" x14ac:dyDescent="0.25">
      <c r="B65" s="40" t="s">
        <v>828</v>
      </c>
      <c r="D65" s="49">
        <f t="shared" ref="D65:J65" si="19">SUM(D56:D64)</f>
        <v>100461</v>
      </c>
      <c r="E65" s="49">
        <f t="shared" si="19"/>
        <v>91007</v>
      </c>
      <c r="F65" s="49">
        <f t="shared" si="19"/>
        <v>46155.370999999999</v>
      </c>
      <c r="G65" s="49">
        <f t="shared" si="19"/>
        <v>39891.252</v>
      </c>
      <c r="H65" s="49">
        <f t="shared" si="19"/>
        <v>33956.692000000003</v>
      </c>
      <c r="I65" s="49">
        <f t="shared" si="19"/>
        <v>28060.447</v>
      </c>
      <c r="J65" s="49">
        <f t="shared" si="19"/>
        <v>14063.69</v>
      </c>
      <c r="K65" s="49"/>
      <c r="L65" s="49"/>
      <c r="M65" s="49">
        <f t="shared" ref="M65:R65" si="20">SUM(M56:M64)</f>
        <v>117213</v>
      </c>
      <c r="N65" s="49">
        <f t="shared" si="20"/>
        <v>95932</v>
      </c>
      <c r="O65" s="49">
        <f t="shared" si="20"/>
        <v>103241</v>
      </c>
      <c r="P65" s="49">
        <f t="shared" si="20"/>
        <v>42986</v>
      </c>
      <c r="Q65" s="49">
        <f t="shared" si="20"/>
        <v>37641.148999999998</v>
      </c>
      <c r="R65" s="49">
        <f t="shared" si="20"/>
        <v>31348.083999999999</v>
      </c>
      <c r="T65"/>
      <c r="U65" s="47"/>
      <c r="V65" s="47"/>
      <c r="W65" s="47"/>
      <c r="X65" s="47"/>
    </row>
    <row r="66" spans="2:24" x14ac:dyDescent="0.25">
      <c r="D66" s="47"/>
      <c r="E66" s="47"/>
      <c r="U66" s="47"/>
      <c r="V66" s="47"/>
      <c r="W66" s="47"/>
      <c r="X66" s="47"/>
    </row>
    <row r="67" spans="2:24" x14ac:dyDescent="0.25">
      <c r="B67" t="s">
        <v>827</v>
      </c>
      <c r="E67" s="47">
        <v>1100</v>
      </c>
      <c r="F67" s="47">
        <v>81.299000000000007</v>
      </c>
      <c r="G67" s="47">
        <v>14.925000000000001</v>
      </c>
      <c r="H67" s="47">
        <v>306.52600000000001</v>
      </c>
      <c r="I67" s="47">
        <v>439.23899999999998</v>
      </c>
      <c r="J67" s="47"/>
      <c r="K67" s="47"/>
      <c r="N67" s="47">
        <v>402</v>
      </c>
      <c r="O67" s="47" t="s">
        <v>548</v>
      </c>
      <c r="P67">
        <v>206</v>
      </c>
      <c r="Q67" s="47">
        <v>73.724000000000004</v>
      </c>
      <c r="R67" s="47">
        <v>523.38499999999999</v>
      </c>
      <c r="U67" s="47"/>
      <c r="V67" s="47"/>
      <c r="W67" s="47"/>
      <c r="X67" s="47"/>
    </row>
    <row r="68" spans="2:24" x14ac:dyDescent="0.25">
      <c r="B68" t="s">
        <v>485</v>
      </c>
      <c r="D68" s="47">
        <v>32038</v>
      </c>
      <c r="E68" s="47">
        <v>13916</v>
      </c>
      <c r="F68" s="47">
        <v>12810.049000000001</v>
      </c>
      <c r="G68" s="47">
        <v>12555.517</v>
      </c>
      <c r="H68" s="47">
        <v>9878.1219999999994</v>
      </c>
      <c r="I68" s="47">
        <v>6604.1040000000003</v>
      </c>
      <c r="J68" s="47">
        <v>4493.8410000000003</v>
      </c>
      <c r="K68" s="47"/>
      <c r="M68" s="47">
        <v>41637</v>
      </c>
      <c r="N68" s="47">
        <v>15544</v>
      </c>
      <c r="O68" s="47">
        <v>16222</v>
      </c>
      <c r="P68" s="47">
        <v>9436</v>
      </c>
      <c r="Q68" s="47">
        <v>9034.33</v>
      </c>
      <c r="R68" s="47">
        <v>7569.0919999999996</v>
      </c>
      <c r="U68" s="47"/>
      <c r="V68" s="47"/>
      <c r="W68" s="47"/>
      <c r="X68" s="47"/>
    </row>
    <row r="69" spans="2:24" x14ac:dyDescent="0.25">
      <c r="B69" t="s">
        <v>451</v>
      </c>
      <c r="D69" s="47">
        <v>12421</v>
      </c>
      <c r="E69" s="47">
        <v>7942</v>
      </c>
      <c r="F69" s="47">
        <v>9359.7659999999996</v>
      </c>
      <c r="G69" s="47">
        <v>7486.8940000000002</v>
      </c>
      <c r="H69" s="47">
        <v>6020.9539999999997</v>
      </c>
      <c r="I69" s="47">
        <v>5534.835</v>
      </c>
      <c r="J69" s="47">
        <v>13672.466</v>
      </c>
      <c r="K69" s="47"/>
      <c r="M69" s="47">
        <v>25628</v>
      </c>
      <c r="N69" s="47">
        <v>17680</v>
      </c>
      <c r="O69" s="47">
        <v>10230</v>
      </c>
      <c r="P69" s="49">
        <v>9549</v>
      </c>
      <c r="Q69" s="47">
        <v>6494.7049999999999</v>
      </c>
      <c r="R69" s="47">
        <v>6194.4390000000003</v>
      </c>
      <c r="T69" s="40"/>
      <c r="U69" s="47"/>
      <c r="V69" s="47"/>
      <c r="W69" s="47"/>
      <c r="X69" s="47"/>
    </row>
    <row r="70" spans="2:24" x14ac:dyDescent="0.25">
      <c r="B70" t="s">
        <v>826</v>
      </c>
      <c r="D70" s="47">
        <v>1049</v>
      </c>
      <c r="E70" s="47">
        <v>1520</v>
      </c>
      <c r="J70" s="47">
        <v>166.79</v>
      </c>
      <c r="K70" s="47"/>
      <c r="U70" s="47"/>
      <c r="V70" s="47"/>
      <c r="W70" s="47"/>
      <c r="X70" s="47"/>
    </row>
    <row r="71" spans="2:24" ht="15.75" thickBot="1" x14ac:dyDescent="0.3">
      <c r="B71" t="s">
        <v>439</v>
      </c>
      <c r="C71" s="50"/>
      <c r="D71" s="50">
        <v>10046</v>
      </c>
      <c r="E71" s="50">
        <v>27503</v>
      </c>
      <c r="F71" s="50">
        <v>5778.2049999999999</v>
      </c>
      <c r="G71" s="50">
        <v>235.93600000000001</v>
      </c>
      <c r="H71" s="50">
        <v>8470.1779999999999</v>
      </c>
      <c r="I71" s="50">
        <v>6475.4459999999999</v>
      </c>
      <c r="J71" s="50">
        <v>4939.924</v>
      </c>
      <c r="K71" s="47"/>
      <c r="M71" s="50">
        <v>53788</v>
      </c>
      <c r="N71" s="50">
        <v>47629</v>
      </c>
      <c r="O71" s="50">
        <v>24299</v>
      </c>
      <c r="P71" s="50">
        <v>21879</v>
      </c>
      <c r="Q71" s="50">
        <v>24994.989000000001</v>
      </c>
      <c r="R71" s="50">
        <v>23522.55</v>
      </c>
      <c r="U71" s="47"/>
      <c r="V71" s="47"/>
      <c r="W71" s="47"/>
      <c r="X71" s="47"/>
    </row>
    <row r="72" spans="2:24" x14ac:dyDescent="0.25">
      <c r="B72" s="40" t="s">
        <v>825</v>
      </c>
      <c r="C72" s="40"/>
      <c r="D72" s="49">
        <f t="shared" ref="D72:J72" si="21">SUM(D67:D71)</f>
        <v>55554</v>
      </c>
      <c r="E72" s="49">
        <f t="shared" si="21"/>
        <v>51981</v>
      </c>
      <c r="F72" s="49">
        <f t="shared" si="21"/>
        <v>28029.319000000003</v>
      </c>
      <c r="G72" s="49">
        <f t="shared" si="21"/>
        <v>20293.272000000001</v>
      </c>
      <c r="H72" s="49">
        <f t="shared" si="21"/>
        <v>24675.78</v>
      </c>
      <c r="I72" s="49">
        <f t="shared" si="21"/>
        <v>19053.624</v>
      </c>
      <c r="J72" s="49">
        <f t="shared" si="21"/>
        <v>23273.021000000001</v>
      </c>
      <c r="K72" s="49"/>
      <c r="L72" s="49"/>
      <c r="M72" s="49">
        <f t="shared" ref="M72:R72" si="22">SUM(M67:M71)</f>
        <v>121053</v>
      </c>
      <c r="N72" s="49">
        <f t="shared" si="22"/>
        <v>81255</v>
      </c>
      <c r="O72" s="49">
        <f t="shared" si="22"/>
        <v>50751</v>
      </c>
      <c r="P72" s="49">
        <f t="shared" si="22"/>
        <v>41070</v>
      </c>
      <c r="Q72" s="49">
        <f t="shared" si="22"/>
        <v>40597.748</v>
      </c>
      <c r="R72" s="49">
        <f t="shared" si="22"/>
        <v>37809.466</v>
      </c>
      <c r="U72" s="47"/>
      <c r="V72" s="47"/>
      <c r="W72" s="47"/>
      <c r="X72" s="47"/>
    </row>
    <row r="73" spans="2:24" ht="15.75" thickBot="1" x14ac:dyDescent="0.3">
      <c r="C73" s="50"/>
      <c r="D73" s="50"/>
      <c r="E73" s="50"/>
      <c r="F73" s="50"/>
      <c r="G73" s="50"/>
      <c r="H73" s="50"/>
      <c r="I73" s="50"/>
      <c r="J73" s="50"/>
      <c r="K73" s="47"/>
      <c r="M73" s="50"/>
      <c r="N73" s="50"/>
      <c r="O73" s="50"/>
      <c r="P73" s="50"/>
      <c r="Q73" s="50"/>
      <c r="R73" s="50"/>
      <c r="U73" s="47"/>
      <c r="V73" s="47"/>
      <c r="W73" s="47"/>
      <c r="X73" s="47"/>
    </row>
    <row r="74" spans="2:24" s="40" customFormat="1" x14ac:dyDescent="0.25">
      <c r="B74" s="40" t="s">
        <v>824</v>
      </c>
      <c r="D74" s="49">
        <f t="shared" ref="D74:J74" si="23">SUM(D72+D65)</f>
        <v>156015</v>
      </c>
      <c r="E74" s="49">
        <f t="shared" si="23"/>
        <v>142988</v>
      </c>
      <c r="F74" s="49">
        <f t="shared" si="23"/>
        <v>74184.69</v>
      </c>
      <c r="G74" s="49">
        <f t="shared" si="23"/>
        <v>60184.524000000005</v>
      </c>
      <c r="H74" s="49">
        <f t="shared" si="23"/>
        <v>58632.472000000002</v>
      </c>
      <c r="I74" s="49">
        <f t="shared" si="23"/>
        <v>47114.070999999996</v>
      </c>
      <c r="J74" s="49">
        <f t="shared" si="23"/>
        <v>37336.711000000003</v>
      </c>
      <c r="K74" s="49"/>
      <c r="L74" s="49"/>
      <c r="M74" s="49">
        <f t="shared" ref="M74:R74" si="24">SUM(M72+M65)</f>
        <v>238266</v>
      </c>
      <c r="N74" s="49">
        <f t="shared" si="24"/>
        <v>177187</v>
      </c>
      <c r="O74" s="49">
        <f t="shared" si="24"/>
        <v>153992</v>
      </c>
      <c r="P74" s="49">
        <f t="shared" si="24"/>
        <v>84056</v>
      </c>
      <c r="Q74" s="49">
        <f t="shared" si="24"/>
        <v>78238.896999999997</v>
      </c>
      <c r="R74" s="49">
        <f t="shared" si="24"/>
        <v>69157.55</v>
      </c>
      <c r="T74"/>
      <c r="U74" s="47"/>
      <c r="V74" s="47"/>
      <c r="W74" s="47"/>
      <c r="X74" s="47"/>
    </row>
    <row r="75" spans="2:24" x14ac:dyDescent="0.25">
      <c r="U75" s="47"/>
      <c r="V75" s="47"/>
      <c r="W75" s="47"/>
      <c r="X75" s="47"/>
    </row>
    <row r="76" spans="2:24" x14ac:dyDescent="0.25">
      <c r="B76" t="s">
        <v>411</v>
      </c>
      <c r="F76" s="47">
        <v>16.811</v>
      </c>
      <c r="G76" s="47">
        <v>201.732</v>
      </c>
      <c r="H76" s="47">
        <v>3371.444</v>
      </c>
      <c r="I76" s="47">
        <v>432.54399999999998</v>
      </c>
      <c r="J76" s="47">
        <v>954.52099999999996</v>
      </c>
      <c r="K76" s="47"/>
      <c r="O76" s="47" t="s">
        <v>548</v>
      </c>
      <c r="P76">
        <v>118</v>
      </c>
      <c r="Q76" s="47">
        <v>3482.482</v>
      </c>
      <c r="R76" s="47">
        <v>3773.9940000000001</v>
      </c>
      <c r="U76" s="47"/>
      <c r="V76" s="47"/>
      <c r="W76" s="47"/>
      <c r="X76" s="47"/>
    </row>
    <row r="77" spans="2:24" x14ac:dyDescent="0.25">
      <c r="B77" t="s">
        <v>823</v>
      </c>
      <c r="F77" s="47"/>
      <c r="G77" s="47"/>
      <c r="H77" s="47"/>
      <c r="I77" s="47"/>
      <c r="J77" s="47">
        <v>10637.314</v>
      </c>
      <c r="K77" s="47"/>
      <c r="O77" s="47"/>
      <c r="Q77" s="47"/>
      <c r="R77" s="47"/>
      <c r="U77" s="47"/>
      <c r="V77" s="47"/>
      <c r="W77" s="47"/>
      <c r="X77" s="47"/>
    </row>
    <row r="78" spans="2:24" x14ac:dyDescent="0.25">
      <c r="B78" t="s">
        <v>822</v>
      </c>
      <c r="D78" s="47">
        <v>42223</v>
      </c>
      <c r="E78" s="47">
        <v>27251</v>
      </c>
      <c r="F78" s="47">
        <v>19527.742999999999</v>
      </c>
      <c r="G78" s="47">
        <v>15545.844999999999</v>
      </c>
      <c r="H78" s="47">
        <v>16632.717000000001</v>
      </c>
      <c r="I78" s="47">
        <v>16334.191000000001</v>
      </c>
      <c r="J78" s="47">
        <v>12210.082</v>
      </c>
      <c r="K78" s="47"/>
      <c r="M78" s="47">
        <v>64373</v>
      </c>
      <c r="N78" s="47">
        <v>50484</v>
      </c>
      <c r="O78" s="47">
        <v>34758</v>
      </c>
      <c r="P78" s="47">
        <v>27146</v>
      </c>
      <c r="Q78" s="47">
        <v>25808.949000000001</v>
      </c>
      <c r="R78" s="47">
        <v>25799.853999999999</v>
      </c>
      <c r="U78" s="47"/>
      <c r="V78" s="47"/>
      <c r="W78" s="47"/>
      <c r="X78" s="47"/>
    </row>
    <row r="79" spans="2:24" x14ac:dyDescent="0.25">
      <c r="B79" t="s">
        <v>821</v>
      </c>
      <c r="D79" s="47"/>
      <c r="E79" s="47"/>
      <c r="F79" s="47">
        <v>1607.069</v>
      </c>
      <c r="G79" s="47">
        <v>1328.673</v>
      </c>
      <c r="H79" s="47">
        <v>1104.7460000000001</v>
      </c>
      <c r="I79" s="47">
        <v>611.05100000000004</v>
      </c>
      <c r="J79" s="47"/>
      <c r="K79" s="47"/>
      <c r="M79">
        <v>965</v>
      </c>
      <c r="N79" s="47">
        <v>2580</v>
      </c>
      <c r="O79" s="47">
        <v>712</v>
      </c>
      <c r="P79" s="47">
        <v>3016</v>
      </c>
      <c r="Q79" s="47">
        <v>2818.241</v>
      </c>
      <c r="R79" s="47">
        <v>2396.2109999999998</v>
      </c>
      <c r="U79" s="47"/>
      <c r="V79" s="47"/>
      <c r="W79" s="47"/>
      <c r="X79" s="47"/>
    </row>
    <row r="80" spans="2:24" x14ac:dyDescent="0.25">
      <c r="B80" t="s">
        <v>409</v>
      </c>
      <c r="D80" s="47">
        <v>9061</v>
      </c>
      <c r="E80" s="47">
        <v>10993</v>
      </c>
      <c r="M80" s="47">
        <v>9008</v>
      </c>
      <c r="N80" s="47">
        <v>13735</v>
      </c>
      <c r="O80" s="47">
        <v>11705</v>
      </c>
      <c r="P80" t="s">
        <v>548</v>
      </c>
      <c r="U80" s="47"/>
      <c r="V80" s="47"/>
      <c r="W80" s="47"/>
      <c r="X80" s="47"/>
    </row>
    <row r="81" spans="2:24" ht="15.75" thickBot="1" x14ac:dyDescent="0.3">
      <c r="B81" t="s">
        <v>818</v>
      </c>
      <c r="C81" s="50"/>
      <c r="D81" s="50">
        <v>925</v>
      </c>
      <c r="E81" s="50">
        <v>27</v>
      </c>
      <c r="F81" s="50">
        <v>1.671</v>
      </c>
      <c r="G81" s="50">
        <v>54.691000000000003</v>
      </c>
      <c r="H81" s="50">
        <v>137.47999999999999</v>
      </c>
      <c r="I81" s="50" t="s">
        <v>548</v>
      </c>
      <c r="J81" s="50"/>
      <c r="K81" s="47"/>
      <c r="M81" s="50">
        <v>293</v>
      </c>
      <c r="N81" s="50">
        <v>392</v>
      </c>
      <c r="O81" s="50">
        <v>404</v>
      </c>
      <c r="P81" s="50"/>
      <c r="Q81" s="50">
        <v>52.491</v>
      </c>
      <c r="R81" s="50">
        <v>144.97399999999999</v>
      </c>
      <c r="U81" s="47"/>
      <c r="V81" s="47"/>
      <c r="W81" s="47"/>
      <c r="X81" s="47"/>
    </row>
    <row r="82" spans="2:24" x14ac:dyDescent="0.25">
      <c r="B82" s="40" t="s">
        <v>820</v>
      </c>
      <c r="C82" s="40"/>
      <c r="D82" s="49">
        <f t="shared" ref="D82:J82" si="25">SUM(D76:D81)</f>
        <v>52209</v>
      </c>
      <c r="E82" s="49">
        <f t="shared" si="25"/>
        <v>38271</v>
      </c>
      <c r="F82" s="49">
        <f t="shared" si="25"/>
        <v>21153.293999999998</v>
      </c>
      <c r="G82" s="49">
        <f t="shared" si="25"/>
        <v>17130.940999999999</v>
      </c>
      <c r="H82" s="49">
        <f t="shared" si="25"/>
        <v>21246.386999999999</v>
      </c>
      <c r="I82" s="49">
        <f t="shared" si="25"/>
        <v>17377.786</v>
      </c>
      <c r="J82" s="49">
        <f t="shared" si="25"/>
        <v>23801.917000000001</v>
      </c>
      <c r="K82" s="49"/>
      <c r="L82" s="49"/>
      <c r="M82" s="49">
        <f t="shared" ref="M82:R82" si="26">SUM(M76:M81)</f>
        <v>74639</v>
      </c>
      <c r="N82" s="49">
        <f t="shared" si="26"/>
        <v>67191</v>
      </c>
      <c r="O82" s="49">
        <f t="shared" si="26"/>
        <v>47579</v>
      </c>
      <c r="P82" s="49">
        <f t="shared" si="26"/>
        <v>30280</v>
      </c>
      <c r="Q82" s="49">
        <f t="shared" si="26"/>
        <v>32162.163</v>
      </c>
      <c r="R82" s="49">
        <f t="shared" si="26"/>
        <v>32115.032999999996</v>
      </c>
      <c r="U82" s="47"/>
      <c r="V82" s="47"/>
      <c r="W82" s="47"/>
      <c r="X82" s="47"/>
    </row>
    <row r="83" spans="2:24" x14ac:dyDescent="0.25">
      <c r="D83" s="47"/>
      <c r="E83" s="47"/>
      <c r="U83" s="47"/>
      <c r="V83" s="47"/>
      <c r="W83" s="47"/>
      <c r="X83" s="47"/>
    </row>
    <row r="84" spans="2:24" x14ac:dyDescent="0.25">
      <c r="B84" t="s">
        <v>411</v>
      </c>
      <c r="G84" s="47">
        <v>16.811</v>
      </c>
      <c r="H84" s="47">
        <v>3504.5439999999999</v>
      </c>
      <c r="I84" s="47">
        <v>6643.2120000000004</v>
      </c>
      <c r="J84" s="47">
        <v>7298.7179999999998</v>
      </c>
      <c r="K84" s="47"/>
      <c r="U84" s="47"/>
      <c r="V84" s="47"/>
      <c r="W84" s="47"/>
      <c r="X84" s="47"/>
    </row>
    <row r="85" spans="2:24" x14ac:dyDescent="0.25">
      <c r="B85" t="s">
        <v>818</v>
      </c>
      <c r="G85" s="47"/>
      <c r="H85" s="47">
        <v>33.97</v>
      </c>
      <c r="Q85" s="47">
        <v>3191.6770000000001</v>
      </c>
      <c r="R85" s="47">
        <v>3542.1309999999999</v>
      </c>
      <c r="U85" s="47"/>
      <c r="V85" s="47"/>
      <c r="W85" s="47"/>
      <c r="X85" s="47"/>
    </row>
    <row r="86" spans="2:24" x14ac:dyDescent="0.25">
      <c r="B86" t="s">
        <v>507</v>
      </c>
      <c r="D86">
        <v>2</v>
      </c>
      <c r="E86">
        <v>31</v>
      </c>
      <c r="F86" s="47">
        <v>2757.1579999999999</v>
      </c>
      <c r="G86" s="47">
        <v>2581.0439999999999</v>
      </c>
      <c r="H86" s="47">
        <v>1934.057</v>
      </c>
      <c r="I86" s="47">
        <v>1485.09</v>
      </c>
      <c r="J86" s="47">
        <v>1774.731</v>
      </c>
      <c r="K86" s="47"/>
      <c r="N86" s="47">
        <v>26</v>
      </c>
      <c r="O86" s="47" t="s">
        <v>548</v>
      </c>
      <c r="P86" s="47">
        <v>2861</v>
      </c>
      <c r="Q86" s="47">
        <v>2546.5230000000001</v>
      </c>
      <c r="R86" s="47">
        <v>1850.884</v>
      </c>
      <c r="U86" s="47"/>
      <c r="V86" s="47"/>
      <c r="W86" s="47"/>
      <c r="X86" s="47"/>
    </row>
    <row r="87" spans="2:24" x14ac:dyDescent="0.25">
      <c r="B87" t="s">
        <v>409</v>
      </c>
      <c r="D87" s="47">
        <v>30503</v>
      </c>
      <c r="E87" s="47">
        <v>35960</v>
      </c>
      <c r="M87" s="47">
        <v>27568</v>
      </c>
      <c r="N87" s="47">
        <v>31345</v>
      </c>
      <c r="O87" s="47">
        <v>43221</v>
      </c>
      <c r="U87" s="47"/>
      <c r="V87" s="47"/>
      <c r="W87" s="47"/>
      <c r="X87" s="47"/>
    </row>
    <row r="88" spans="2:24" x14ac:dyDescent="0.25">
      <c r="B88" t="s">
        <v>819</v>
      </c>
      <c r="D88" s="47"/>
      <c r="E88" s="47"/>
      <c r="M88" s="47">
        <v>1622</v>
      </c>
      <c r="O88" s="47"/>
      <c r="R88" s="47">
        <v>10.728999999999999</v>
      </c>
      <c r="U88" s="47"/>
      <c r="V88" s="47"/>
      <c r="W88" s="47"/>
      <c r="X88" s="47"/>
    </row>
    <row r="89" spans="2:24" x14ac:dyDescent="0.25">
      <c r="B89" t="s">
        <v>818</v>
      </c>
      <c r="D89">
        <v>28</v>
      </c>
      <c r="E89">
        <v>327</v>
      </c>
      <c r="F89" s="47">
        <v>9.1059999999999999</v>
      </c>
      <c r="H89" s="47">
        <v>33.97</v>
      </c>
      <c r="M89">
        <v>99</v>
      </c>
      <c r="N89" s="47">
        <v>5</v>
      </c>
      <c r="R89" s="47">
        <v>102.824</v>
      </c>
      <c r="U89" s="47"/>
      <c r="V89" s="47"/>
      <c r="W89" s="47"/>
      <c r="X89" s="47"/>
    </row>
    <row r="90" spans="2:24" ht="15.75" thickBot="1" x14ac:dyDescent="0.3">
      <c r="B90" t="s">
        <v>476</v>
      </c>
      <c r="C90" s="50"/>
      <c r="D90" s="50">
        <v>1585</v>
      </c>
      <c r="E90" s="50">
        <v>959</v>
      </c>
      <c r="F90" s="50">
        <v>943.62699999999995</v>
      </c>
      <c r="G90" s="50">
        <v>879.80799999999999</v>
      </c>
      <c r="H90" s="50">
        <v>750.62900000000002</v>
      </c>
      <c r="I90" s="50">
        <v>464.48599999999999</v>
      </c>
      <c r="J90" s="50">
        <v>668.89800000000002</v>
      </c>
      <c r="K90" s="47"/>
      <c r="M90" s="50">
        <v>1598</v>
      </c>
      <c r="N90" s="50">
        <v>956</v>
      </c>
      <c r="O90" s="50" t="s">
        <v>548</v>
      </c>
      <c r="P90" s="50">
        <v>936</v>
      </c>
      <c r="Q90" s="50">
        <v>825.85199999999998</v>
      </c>
      <c r="R90" s="50">
        <v>705.51300000000003</v>
      </c>
      <c r="U90" s="47"/>
      <c r="V90" s="47"/>
      <c r="W90" s="47"/>
      <c r="X90" s="47"/>
    </row>
    <row r="91" spans="2:24" x14ac:dyDescent="0.25">
      <c r="B91" s="40" t="s">
        <v>817</v>
      </c>
      <c r="C91" s="40"/>
      <c r="D91" s="49">
        <f t="shared" ref="D91:J91" si="27">SUM(D84:D90)</f>
        <v>32118</v>
      </c>
      <c r="E91" s="49">
        <f t="shared" si="27"/>
        <v>37277</v>
      </c>
      <c r="F91" s="49">
        <f t="shared" si="27"/>
        <v>3709.8910000000001</v>
      </c>
      <c r="G91" s="49">
        <f t="shared" si="27"/>
        <v>3477.663</v>
      </c>
      <c r="H91" s="49">
        <f t="shared" si="27"/>
        <v>6257.17</v>
      </c>
      <c r="I91" s="49">
        <f t="shared" si="27"/>
        <v>8592.7880000000005</v>
      </c>
      <c r="J91" s="49">
        <f t="shared" si="27"/>
        <v>9742.3469999999998</v>
      </c>
      <c r="K91" s="49"/>
      <c r="L91" s="49"/>
      <c r="M91" s="49">
        <f t="shared" ref="M91:R91" si="28">SUM(M84:M90)</f>
        <v>30887</v>
      </c>
      <c r="N91" s="49">
        <f t="shared" si="28"/>
        <v>32332</v>
      </c>
      <c r="O91" s="49">
        <f t="shared" si="28"/>
        <v>43221</v>
      </c>
      <c r="P91" s="49">
        <f t="shared" si="28"/>
        <v>3797</v>
      </c>
      <c r="Q91" s="49">
        <f t="shared" si="28"/>
        <v>6564.0520000000006</v>
      </c>
      <c r="R91" s="49">
        <f t="shared" si="28"/>
        <v>6212.0809999999992</v>
      </c>
      <c r="U91" s="47"/>
      <c r="V91" s="47"/>
      <c r="W91" s="47"/>
      <c r="X91" s="47"/>
    </row>
    <row r="92" spans="2:24" ht="15.75" thickBot="1" x14ac:dyDescent="0.3">
      <c r="C92" s="50"/>
      <c r="D92" s="50"/>
      <c r="E92" s="50"/>
      <c r="F92" s="50"/>
      <c r="G92" s="50"/>
      <c r="H92" s="50"/>
      <c r="I92" s="50"/>
      <c r="J92" s="50"/>
      <c r="K92" s="47"/>
      <c r="M92" s="50"/>
      <c r="N92" s="50"/>
      <c r="O92" s="50"/>
      <c r="P92" s="50"/>
      <c r="Q92" s="50"/>
      <c r="R92" s="50"/>
      <c r="U92" s="47"/>
      <c r="V92" s="47"/>
      <c r="W92" s="47"/>
      <c r="X92" s="47"/>
    </row>
    <row r="93" spans="2:24" x14ac:dyDescent="0.25">
      <c r="B93" s="40" t="s">
        <v>816</v>
      </c>
      <c r="C93" s="40"/>
      <c r="D93" s="49">
        <f t="shared" ref="D93:J93" si="29">SUM(D91+D82)</f>
        <v>84327</v>
      </c>
      <c r="E93" s="49">
        <f t="shared" si="29"/>
        <v>75548</v>
      </c>
      <c r="F93" s="49">
        <f t="shared" si="29"/>
        <v>24863.184999999998</v>
      </c>
      <c r="G93" s="49">
        <f t="shared" si="29"/>
        <v>20608.603999999999</v>
      </c>
      <c r="H93" s="49">
        <f t="shared" si="29"/>
        <v>27503.557000000001</v>
      </c>
      <c r="I93" s="49">
        <f t="shared" si="29"/>
        <v>25970.574000000001</v>
      </c>
      <c r="J93" s="49">
        <f t="shared" si="29"/>
        <v>33544.264000000003</v>
      </c>
      <c r="K93" s="49"/>
      <c r="L93" s="49"/>
      <c r="M93" s="49">
        <f t="shared" ref="M93:R93" si="30">SUM(M91+M82)</f>
        <v>105526</v>
      </c>
      <c r="N93" s="49">
        <f t="shared" si="30"/>
        <v>99523</v>
      </c>
      <c r="O93" s="49">
        <f t="shared" si="30"/>
        <v>90800</v>
      </c>
      <c r="P93" s="49">
        <f t="shared" si="30"/>
        <v>34077</v>
      </c>
      <c r="Q93" s="49">
        <f t="shared" si="30"/>
        <v>38726.215000000004</v>
      </c>
      <c r="R93" s="49">
        <f t="shared" si="30"/>
        <v>38327.113999999994</v>
      </c>
      <c r="U93" s="47"/>
      <c r="V93" s="47"/>
      <c r="W93" s="47"/>
      <c r="X93" s="47"/>
    </row>
    <row r="94" spans="2:24" ht="15.75" thickBot="1" x14ac:dyDescent="0.3">
      <c r="C94" s="50"/>
      <c r="D94" s="50"/>
      <c r="E94" s="50"/>
      <c r="F94" s="50"/>
      <c r="G94" s="50"/>
      <c r="H94" s="50"/>
      <c r="I94" s="50"/>
      <c r="J94" s="50"/>
      <c r="K94" s="47"/>
      <c r="M94" s="50"/>
      <c r="N94" s="50"/>
      <c r="O94" s="50"/>
      <c r="P94" s="50"/>
      <c r="Q94" s="50"/>
      <c r="R94" s="50"/>
      <c r="U94" s="47"/>
      <c r="V94" s="47"/>
      <c r="W94" s="47"/>
      <c r="X94" s="47"/>
    </row>
    <row r="95" spans="2:24" x14ac:dyDescent="0.25">
      <c r="B95" s="40" t="s">
        <v>815</v>
      </c>
      <c r="C95" s="40"/>
      <c r="D95" s="49">
        <f t="shared" ref="D95:J95" si="31">SUM(D74-D93)</f>
        <v>71688</v>
      </c>
      <c r="E95" s="49">
        <f t="shared" si="31"/>
        <v>67440</v>
      </c>
      <c r="F95" s="49">
        <f t="shared" si="31"/>
        <v>49321.505000000005</v>
      </c>
      <c r="G95" s="49">
        <f t="shared" si="31"/>
        <v>39575.920000000006</v>
      </c>
      <c r="H95" s="49">
        <f t="shared" si="31"/>
        <v>31128.915000000001</v>
      </c>
      <c r="I95" s="49">
        <f t="shared" si="31"/>
        <v>21143.496999999996</v>
      </c>
      <c r="J95" s="49">
        <f t="shared" si="31"/>
        <v>3792.4470000000001</v>
      </c>
      <c r="K95" s="49"/>
      <c r="L95" s="49"/>
      <c r="M95" s="49">
        <f t="shared" ref="M95:R95" si="32">SUM(M74-M93)</f>
        <v>132740</v>
      </c>
      <c r="N95" s="49">
        <f t="shared" si="32"/>
        <v>77664</v>
      </c>
      <c r="O95" s="49">
        <f t="shared" si="32"/>
        <v>63192</v>
      </c>
      <c r="P95" s="49">
        <f t="shared" si="32"/>
        <v>49979</v>
      </c>
      <c r="Q95" s="49">
        <f t="shared" si="32"/>
        <v>39512.681999999993</v>
      </c>
      <c r="R95" s="49">
        <f t="shared" si="32"/>
        <v>30830.436000000009</v>
      </c>
      <c r="U95" s="47"/>
      <c r="V95" s="47"/>
      <c r="W95" s="47"/>
      <c r="X95" s="47"/>
    </row>
    <row r="96" spans="2:24" x14ac:dyDescent="0.25">
      <c r="U96" s="47"/>
      <c r="V96" s="47"/>
      <c r="W96" s="47"/>
      <c r="X96" s="47"/>
    </row>
    <row r="97" spans="2:24" x14ac:dyDescent="0.25">
      <c r="B97" t="s">
        <v>814</v>
      </c>
      <c r="D97">
        <v>126</v>
      </c>
      <c r="E97">
        <v>126</v>
      </c>
      <c r="F97" s="47">
        <v>112.83799999999999</v>
      </c>
      <c r="G97" s="47">
        <v>112.83799999999999</v>
      </c>
      <c r="H97">
        <v>112.83799999999999</v>
      </c>
      <c r="I97">
        <v>112.83799999999999</v>
      </c>
      <c r="J97">
        <v>103.41800000000001</v>
      </c>
      <c r="M97">
        <v>137</v>
      </c>
      <c r="N97" s="47">
        <v>126</v>
      </c>
      <c r="O97" s="47">
        <v>116</v>
      </c>
      <c r="P97">
        <v>113</v>
      </c>
      <c r="Q97" s="47">
        <v>112.83799999999999</v>
      </c>
      <c r="R97" s="47">
        <v>112.83799999999999</v>
      </c>
      <c r="U97" s="47"/>
      <c r="V97" s="47"/>
      <c r="W97" s="47"/>
      <c r="X97" s="47"/>
    </row>
    <row r="98" spans="2:24" x14ac:dyDescent="0.25">
      <c r="B98" t="s">
        <v>813</v>
      </c>
      <c r="D98" s="47">
        <v>38684</v>
      </c>
      <c r="E98" s="47">
        <v>37627</v>
      </c>
      <c r="F98" s="47">
        <v>11750.056</v>
      </c>
      <c r="G98" s="47">
        <v>11749.486999999999</v>
      </c>
      <c r="H98" s="47">
        <v>11749.486999999999</v>
      </c>
      <c r="I98" s="47">
        <v>11749.486999999999</v>
      </c>
      <c r="M98" s="47">
        <v>77800</v>
      </c>
      <c r="N98" s="47">
        <v>37726</v>
      </c>
      <c r="O98" s="47">
        <v>15825</v>
      </c>
      <c r="P98" s="47">
        <v>11750</v>
      </c>
      <c r="Q98" s="47">
        <v>11749.486999999999</v>
      </c>
      <c r="R98" s="47">
        <v>11749.486999999999</v>
      </c>
      <c r="U98" s="47"/>
      <c r="V98" s="47"/>
      <c r="W98" s="47"/>
      <c r="X98" s="47"/>
    </row>
    <row r="99" spans="2:24" x14ac:dyDescent="0.25">
      <c r="B99" t="s">
        <v>812</v>
      </c>
      <c r="D99" s="47">
        <v>28976</v>
      </c>
      <c r="E99" s="47">
        <v>23290</v>
      </c>
      <c r="F99" s="47">
        <v>33358.932000000001</v>
      </c>
      <c r="G99" s="47">
        <v>24348.409</v>
      </c>
      <c r="H99" s="47">
        <v>16851.199000000001</v>
      </c>
      <c r="I99" s="47">
        <v>8087.35</v>
      </c>
      <c r="J99" s="47">
        <v>4003.5459999999998</v>
      </c>
      <c r="K99" s="47"/>
      <c r="M99" s="47">
        <v>48246</v>
      </c>
      <c r="N99" s="47">
        <v>36417</v>
      </c>
      <c r="O99" s="47">
        <v>43760</v>
      </c>
      <c r="P99" s="47">
        <v>33909</v>
      </c>
      <c r="Q99" s="47">
        <v>25160.751</v>
      </c>
      <c r="R99" s="47">
        <v>16884.722000000002</v>
      </c>
      <c r="T99" s="40"/>
      <c r="U99" s="47"/>
      <c r="V99" s="47"/>
      <c r="W99" s="47"/>
      <c r="X99" s="47"/>
    </row>
    <row r="100" spans="2:24" x14ac:dyDescent="0.25">
      <c r="B100" t="s">
        <v>811</v>
      </c>
      <c r="D100">
        <v>754</v>
      </c>
      <c r="E100" s="47">
        <v>1579</v>
      </c>
      <c r="F100" s="47">
        <v>1253.355</v>
      </c>
      <c r="G100" s="47">
        <v>880.56</v>
      </c>
      <c r="H100" s="47">
        <v>1049.221</v>
      </c>
      <c r="I100" s="47">
        <v>353.12599999999998</v>
      </c>
      <c r="J100" s="47">
        <v>-542.92700000000002</v>
      </c>
      <c r="K100" s="47"/>
      <c r="M100" s="47">
        <v>861</v>
      </c>
      <c r="N100" s="47">
        <v>843</v>
      </c>
      <c r="O100" s="47">
        <v>1026</v>
      </c>
      <c r="P100" s="47">
        <v>1264</v>
      </c>
      <c r="Q100" s="47">
        <v>687.39200000000005</v>
      </c>
      <c r="R100" s="47">
        <v>1134.1189999999999</v>
      </c>
      <c r="U100" s="47"/>
      <c r="V100" s="47"/>
      <c r="W100" s="47"/>
      <c r="X100" s="47"/>
    </row>
    <row r="101" spans="2:24" x14ac:dyDescent="0.25">
      <c r="B101" t="s">
        <v>810</v>
      </c>
      <c r="D101">
        <v>223</v>
      </c>
      <c r="E101" s="47">
        <v>223</v>
      </c>
      <c r="F101" s="47">
        <v>223.251</v>
      </c>
      <c r="G101" s="47">
        <v>223.251</v>
      </c>
      <c r="H101" s="47">
        <v>223.251</v>
      </c>
      <c r="I101" s="47">
        <v>223.251</v>
      </c>
      <c r="J101" s="47">
        <v>223.251</v>
      </c>
      <c r="K101" s="47"/>
      <c r="M101" s="47">
        <v>223</v>
      </c>
      <c r="N101" s="47">
        <v>223</v>
      </c>
      <c r="O101" s="47">
        <v>223</v>
      </c>
      <c r="P101" s="40">
        <v>223</v>
      </c>
      <c r="Q101" s="47">
        <v>223.251</v>
      </c>
      <c r="R101" s="47">
        <v>223.251</v>
      </c>
      <c r="U101" s="47"/>
      <c r="V101" s="47"/>
      <c r="W101" s="47"/>
      <c r="X101" s="47"/>
    </row>
    <row r="102" spans="2:24" x14ac:dyDescent="0.25">
      <c r="B102" t="s">
        <v>809</v>
      </c>
      <c r="D102">
        <v>6</v>
      </c>
      <c r="E102">
        <v>6</v>
      </c>
      <c r="F102" s="47">
        <v>6.3010000000000002</v>
      </c>
      <c r="G102" s="47">
        <v>6.3010000000000002</v>
      </c>
      <c r="H102">
        <v>6.3010000000000002</v>
      </c>
      <c r="I102">
        <v>6.3010000000000002</v>
      </c>
      <c r="J102" s="79">
        <v>5.0780000000000003</v>
      </c>
      <c r="K102" s="79"/>
      <c r="M102">
        <v>6</v>
      </c>
      <c r="N102" s="47">
        <v>6</v>
      </c>
      <c r="O102" s="47">
        <v>6</v>
      </c>
      <c r="P102">
        <v>6</v>
      </c>
      <c r="Q102" s="47">
        <v>6.3010000000000002</v>
      </c>
      <c r="R102" s="47">
        <v>6.3010000000000002</v>
      </c>
      <c r="U102" s="47"/>
      <c r="V102" s="47"/>
      <c r="W102" s="47"/>
      <c r="X102" s="47"/>
    </row>
    <row r="103" spans="2:24" ht="15.75" thickBot="1" x14ac:dyDescent="0.3">
      <c r="B103" t="s">
        <v>808</v>
      </c>
      <c r="C103" s="50"/>
      <c r="D103" s="50">
        <v>2919</v>
      </c>
      <c r="E103" s="50">
        <v>4139</v>
      </c>
      <c r="F103" s="50">
        <v>2625.5030000000002</v>
      </c>
      <c r="G103" s="50">
        <v>2290.5749999999998</v>
      </c>
      <c r="H103" s="50">
        <v>1170.588</v>
      </c>
      <c r="I103" s="50">
        <v>532.15499999999997</v>
      </c>
      <c r="J103" s="50"/>
      <c r="K103" s="47"/>
      <c r="M103" s="50">
        <v>5467</v>
      </c>
      <c r="N103" s="50">
        <v>2323</v>
      </c>
      <c r="O103" s="50">
        <v>2236</v>
      </c>
      <c r="P103" s="50">
        <v>2713</v>
      </c>
      <c r="Q103" s="50">
        <v>1572.662</v>
      </c>
      <c r="R103" s="50">
        <v>725.05200000000002</v>
      </c>
      <c r="U103" s="47"/>
      <c r="V103" s="47"/>
      <c r="W103" s="47"/>
      <c r="X103" s="47"/>
    </row>
    <row r="104" spans="2:24" s="40" customFormat="1" x14ac:dyDescent="0.25">
      <c r="B104" s="40" t="s">
        <v>807</v>
      </c>
      <c r="D104" s="49">
        <f t="shared" ref="D104:J104" si="33">SUM(D97:D103)</f>
        <v>71688</v>
      </c>
      <c r="E104" s="49">
        <f t="shared" si="33"/>
        <v>66990</v>
      </c>
      <c r="F104" s="49">
        <f t="shared" si="33"/>
        <v>49330.235999999997</v>
      </c>
      <c r="G104" s="49">
        <f t="shared" si="33"/>
        <v>39611.420999999988</v>
      </c>
      <c r="H104" s="49">
        <f t="shared" si="33"/>
        <v>31162.884999999998</v>
      </c>
      <c r="I104" s="49">
        <f t="shared" si="33"/>
        <v>21064.507999999998</v>
      </c>
      <c r="J104" s="49">
        <f t="shared" si="33"/>
        <v>3792.366</v>
      </c>
      <c r="K104" s="49"/>
      <c r="L104" s="49"/>
      <c r="M104" s="49">
        <f t="shared" ref="M104:R104" si="34">SUM(M97:M103)</f>
        <v>132740</v>
      </c>
      <c r="N104" s="49">
        <f t="shared" si="34"/>
        <v>77664</v>
      </c>
      <c r="O104" s="49">
        <f t="shared" si="34"/>
        <v>63192</v>
      </c>
      <c r="P104" s="49">
        <f t="shared" si="34"/>
        <v>49978</v>
      </c>
      <c r="Q104" s="49">
        <f t="shared" si="34"/>
        <v>39512.681999999993</v>
      </c>
      <c r="R104" s="49">
        <f t="shared" si="34"/>
        <v>30835.769999999997</v>
      </c>
      <c r="T104"/>
      <c r="U104" s="47"/>
      <c r="V104" s="47"/>
      <c r="W104" s="47"/>
      <c r="X104" s="47"/>
    </row>
    <row r="105" spans="2:24" x14ac:dyDescent="0.25">
      <c r="U105" s="47"/>
      <c r="V105" s="47"/>
      <c r="W105" s="47"/>
      <c r="X105" s="47"/>
    </row>
    <row r="106" spans="2:24" x14ac:dyDescent="0.25">
      <c r="U106" s="47"/>
      <c r="V106" s="47"/>
      <c r="W106" s="47"/>
      <c r="X106" s="47"/>
    </row>
    <row r="107" spans="2:24" x14ac:dyDescent="0.25">
      <c r="E107" s="67"/>
      <c r="G107" s="67"/>
      <c r="U107" s="47"/>
      <c r="V107" s="47"/>
      <c r="W107" s="47"/>
      <c r="X107" s="47"/>
    </row>
    <row r="108" spans="2:24" x14ac:dyDescent="0.25">
      <c r="B108" s="102" t="s">
        <v>806</v>
      </c>
      <c r="C108" s="102"/>
      <c r="D108" s="102"/>
      <c r="E108" s="102"/>
      <c r="F108" s="102"/>
      <c r="G108" s="102"/>
      <c r="H108" s="102"/>
      <c r="I108" s="102"/>
      <c r="J108" s="102"/>
      <c r="K108" s="102"/>
      <c r="L108" s="102"/>
      <c r="M108" s="102"/>
      <c r="N108" s="102"/>
      <c r="O108" s="102"/>
      <c r="P108" s="102"/>
      <c r="Q108" s="102"/>
      <c r="R108" s="102"/>
      <c r="U108" s="47"/>
      <c r="V108" s="47"/>
      <c r="W108" s="47"/>
      <c r="X108" s="47"/>
    </row>
    <row r="109" spans="2:24" x14ac:dyDescent="0.25">
      <c r="U109" s="47"/>
      <c r="V109" s="47"/>
      <c r="W109" s="47"/>
      <c r="X109" s="47"/>
    </row>
    <row r="110" spans="2:24" ht="15.75" thickBot="1" x14ac:dyDescent="0.3">
      <c r="C110" s="56">
        <v>44739</v>
      </c>
      <c r="D110" s="56">
        <v>44374</v>
      </c>
      <c r="E110" s="56">
        <v>44010</v>
      </c>
      <c r="F110" s="56">
        <v>43646</v>
      </c>
      <c r="G110" s="56">
        <v>43282</v>
      </c>
      <c r="H110" s="56">
        <v>42918</v>
      </c>
      <c r="I110" s="56">
        <v>42577</v>
      </c>
      <c r="J110" s="56">
        <v>42213</v>
      </c>
      <c r="K110" s="57"/>
      <c r="M110" s="56">
        <v>44556</v>
      </c>
      <c r="N110" s="56">
        <v>44192</v>
      </c>
      <c r="O110" s="56">
        <v>43828</v>
      </c>
      <c r="P110" s="56">
        <v>43464</v>
      </c>
      <c r="Q110" s="56">
        <v>43100</v>
      </c>
      <c r="R110" s="56">
        <v>42729</v>
      </c>
      <c r="U110" s="47"/>
      <c r="V110" s="47"/>
      <c r="W110" s="47"/>
      <c r="X110" s="47"/>
    </row>
    <row r="111" spans="2:24" x14ac:dyDescent="0.25">
      <c r="B111" t="s">
        <v>805</v>
      </c>
      <c r="D111" s="47">
        <v>7824</v>
      </c>
      <c r="E111" s="47">
        <v>-7541</v>
      </c>
      <c r="F111" s="47">
        <v>14051.259</v>
      </c>
      <c r="G111" s="47">
        <v>12708.764999999999</v>
      </c>
      <c r="H111" s="47">
        <v>11205.210999999999</v>
      </c>
      <c r="I111" s="47">
        <v>5591.0940000000001</v>
      </c>
      <c r="J111" s="47">
        <f>SUM(J30)</f>
        <v>2931.0699999999956</v>
      </c>
      <c r="K111" s="47"/>
      <c r="M111" s="47">
        <f t="shared" ref="M111:R111" si="35">SUM(M30)</f>
        <v>24055</v>
      </c>
      <c r="N111" s="47">
        <f t="shared" si="35"/>
        <v>15459</v>
      </c>
      <c r="O111" s="47">
        <f t="shared" si="35"/>
        <v>14984</v>
      </c>
      <c r="P111" s="47">
        <f t="shared" si="35"/>
        <v>13846</v>
      </c>
      <c r="Q111" s="47">
        <f t="shared" si="35"/>
        <v>12935.748000000001</v>
      </c>
      <c r="R111" s="47">
        <f t="shared" si="35"/>
        <v>11219.233</v>
      </c>
      <c r="U111" s="47"/>
      <c r="V111" s="47"/>
      <c r="W111" s="47"/>
      <c r="X111" s="47"/>
    </row>
    <row r="112" spans="2:24" x14ac:dyDescent="0.25">
      <c r="B112" t="s">
        <v>804</v>
      </c>
      <c r="U112" s="47"/>
      <c r="V112" s="47"/>
      <c r="W112" s="47"/>
      <c r="X112" s="47"/>
    </row>
    <row r="113" spans="2:24" x14ac:dyDescent="0.25">
      <c r="B113" t="s">
        <v>588</v>
      </c>
      <c r="D113" s="47">
        <v>5543</v>
      </c>
      <c r="E113" s="47">
        <v>5781</v>
      </c>
      <c r="F113" s="47">
        <v>4939.982</v>
      </c>
      <c r="G113" s="47">
        <v>4247.55</v>
      </c>
      <c r="H113" s="47">
        <v>3302.7759999999998</v>
      </c>
      <c r="I113" s="47">
        <v>2516.6320000000001</v>
      </c>
      <c r="J113" s="47">
        <v>4044.6019999999999</v>
      </c>
      <c r="K113" s="47"/>
      <c r="M113" s="47">
        <v>2702</v>
      </c>
      <c r="N113" s="47">
        <v>2749</v>
      </c>
      <c r="O113" s="47">
        <v>2727</v>
      </c>
      <c r="P113" s="47">
        <v>2482.0749999999998</v>
      </c>
      <c r="Q113" s="47">
        <v>1952.7049999999999</v>
      </c>
      <c r="R113" s="47">
        <v>1605.009</v>
      </c>
      <c r="U113" s="47"/>
      <c r="V113" s="47"/>
      <c r="W113" s="47"/>
      <c r="X113" s="47"/>
    </row>
    <row r="114" spans="2:24" x14ac:dyDescent="0.25">
      <c r="B114" t="s">
        <v>803</v>
      </c>
      <c r="D114" s="47">
        <v>9287</v>
      </c>
      <c r="E114" s="47">
        <v>10953</v>
      </c>
      <c r="M114" s="47">
        <v>4273</v>
      </c>
      <c r="N114" s="47">
        <v>5081</v>
      </c>
      <c r="O114" s="47">
        <v>5212</v>
      </c>
      <c r="U114" s="47"/>
      <c r="V114" s="47"/>
      <c r="W114" s="47"/>
      <c r="X114" s="47"/>
    </row>
    <row r="115" spans="2:24" x14ac:dyDescent="0.25">
      <c r="B115" t="s">
        <v>802</v>
      </c>
      <c r="D115" s="47"/>
      <c r="E115" s="47"/>
      <c r="N115" s="47">
        <v>219</v>
      </c>
      <c r="O115">
        <v>9</v>
      </c>
      <c r="P115" s="47">
        <v>83.617000000000004</v>
      </c>
      <c r="U115" s="47"/>
      <c r="V115" s="47"/>
      <c r="W115" s="47"/>
      <c r="X115" s="47"/>
    </row>
    <row r="116" spans="2:24" x14ac:dyDescent="0.25">
      <c r="B116" t="s">
        <v>801</v>
      </c>
      <c r="D116" s="47">
        <v>2311</v>
      </c>
      <c r="E116" s="47">
        <v>9968</v>
      </c>
      <c r="F116" s="47" t="s">
        <v>548</v>
      </c>
      <c r="G116" s="47">
        <v>284.68099999999998</v>
      </c>
      <c r="J116" s="47">
        <v>131.99799999999999</v>
      </c>
      <c r="K116" s="47"/>
      <c r="U116" s="47"/>
      <c r="V116" s="47"/>
      <c r="W116" s="47"/>
      <c r="X116" s="47"/>
    </row>
    <row r="117" spans="2:24" x14ac:dyDescent="0.25">
      <c r="B117" t="s">
        <v>584</v>
      </c>
      <c r="D117">
        <v>965</v>
      </c>
      <c r="E117">
        <v>598</v>
      </c>
      <c r="F117" s="47">
        <v>512.86199999999997</v>
      </c>
      <c r="G117" s="47">
        <v>509.892</v>
      </c>
      <c r="H117" s="47">
        <v>442.07100000000003</v>
      </c>
      <c r="I117" s="47">
        <v>676.97699999999998</v>
      </c>
      <c r="J117" s="47">
        <v>194.542</v>
      </c>
      <c r="K117" s="47"/>
      <c r="M117">
        <v>681</v>
      </c>
      <c r="N117" s="47">
        <v>404</v>
      </c>
      <c r="O117">
        <v>255</v>
      </c>
      <c r="P117" s="47">
        <v>311.363</v>
      </c>
      <c r="Q117" s="47">
        <v>253.983</v>
      </c>
      <c r="R117" s="47">
        <v>137.983</v>
      </c>
      <c r="U117" s="47"/>
      <c r="V117" s="47"/>
      <c r="W117" s="47"/>
      <c r="X117" s="47"/>
    </row>
    <row r="118" spans="2:24" x14ac:dyDescent="0.25">
      <c r="B118" t="s">
        <v>800</v>
      </c>
      <c r="D118">
        <v>-25</v>
      </c>
      <c r="E118">
        <v>-80</v>
      </c>
      <c r="N118" s="47">
        <v>-75</v>
      </c>
      <c r="U118" s="47"/>
      <c r="V118" s="47"/>
      <c r="W118" s="47"/>
      <c r="X118" s="47"/>
    </row>
    <row r="119" spans="2:24" x14ac:dyDescent="0.25">
      <c r="B119" t="s">
        <v>799</v>
      </c>
      <c r="D119" s="47">
        <v>1412</v>
      </c>
      <c r="E119" s="47">
        <v>1509</v>
      </c>
      <c r="F119" s="47">
        <v>225.999</v>
      </c>
      <c r="G119" s="47">
        <v>556.64700000000005</v>
      </c>
      <c r="H119" s="47">
        <v>722.63499999999999</v>
      </c>
      <c r="I119" s="47">
        <v>774.77800000000002</v>
      </c>
      <c r="J119" s="47">
        <v>531.31899999999996</v>
      </c>
      <c r="K119" s="47"/>
      <c r="M119">
        <v>569</v>
      </c>
      <c r="N119">
        <v>818</v>
      </c>
      <c r="O119">
        <v>845</v>
      </c>
      <c r="P119" s="47">
        <v>173.56899999999999</v>
      </c>
      <c r="Q119" s="47">
        <v>280.10899999999998</v>
      </c>
      <c r="R119" s="47">
        <v>442.803</v>
      </c>
      <c r="U119" s="47"/>
      <c r="V119" s="47"/>
      <c r="W119" s="47"/>
      <c r="X119" s="47"/>
    </row>
    <row r="120" spans="2:24" x14ac:dyDescent="0.25">
      <c r="B120" t="s">
        <v>492</v>
      </c>
      <c r="D120">
        <v>911</v>
      </c>
      <c r="E120">
        <v>362</v>
      </c>
      <c r="F120" s="47">
        <v>246.262</v>
      </c>
      <c r="G120" s="47">
        <v>726.58500000000004</v>
      </c>
      <c r="H120" s="47">
        <v>562.25599999999997</v>
      </c>
      <c r="I120" s="47">
        <v>64.641999999999996</v>
      </c>
      <c r="J120" s="47"/>
      <c r="K120" s="47"/>
      <c r="M120" s="47">
        <v>1465</v>
      </c>
      <c r="N120" s="47">
        <v>197</v>
      </c>
      <c r="O120">
        <v>527</v>
      </c>
      <c r="P120" s="47">
        <v>408.19400000000002</v>
      </c>
      <c r="Q120" s="47">
        <v>366.53800000000001</v>
      </c>
      <c r="R120" s="47">
        <v>277.22399999999999</v>
      </c>
      <c r="U120" s="47"/>
      <c r="V120" s="47"/>
      <c r="W120" s="47"/>
      <c r="X120" s="47"/>
    </row>
    <row r="121" spans="2:24" x14ac:dyDescent="0.25">
      <c r="B121" t="s">
        <v>798</v>
      </c>
      <c r="D121">
        <v>254</v>
      </c>
      <c r="E121">
        <v>9</v>
      </c>
      <c r="F121" s="47">
        <v>33.969000000000001</v>
      </c>
      <c r="G121" s="47" t="s">
        <v>548</v>
      </c>
      <c r="U121" s="47"/>
      <c r="V121" s="47"/>
      <c r="W121" s="47"/>
      <c r="X121" s="47"/>
    </row>
    <row r="122" spans="2:24" x14ac:dyDescent="0.25">
      <c r="B122" t="s">
        <v>797</v>
      </c>
      <c r="D122">
        <v>112</v>
      </c>
      <c r="E122">
        <v>-69</v>
      </c>
      <c r="F122" s="47">
        <v>44.1</v>
      </c>
      <c r="G122" s="47">
        <v>-88.253</v>
      </c>
      <c r="H122" s="47">
        <v>111.88</v>
      </c>
      <c r="I122" s="47">
        <v>128.874</v>
      </c>
      <c r="J122" s="47"/>
      <c r="K122" s="47"/>
      <c r="M122">
        <v>14</v>
      </c>
      <c r="N122" s="47">
        <v>23</v>
      </c>
      <c r="O122">
        <v>12</v>
      </c>
      <c r="P122" s="47">
        <v>24.253</v>
      </c>
      <c r="Q122" s="47">
        <v>9.4169999999999998</v>
      </c>
      <c r="R122" s="47">
        <v>15.852</v>
      </c>
      <c r="U122" s="47"/>
      <c r="V122" s="47"/>
      <c r="W122" s="47"/>
      <c r="X122" s="47"/>
    </row>
    <row r="123" spans="2:24" x14ac:dyDescent="0.25">
      <c r="B123" t="s">
        <v>796</v>
      </c>
      <c r="D123">
        <v>46</v>
      </c>
      <c r="E123" t="s">
        <v>548</v>
      </c>
      <c r="U123" s="47"/>
      <c r="V123" s="47"/>
      <c r="W123" s="47"/>
      <c r="X123" s="47"/>
    </row>
    <row r="124" spans="2:24" x14ac:dyDescent="0.25">
      <c r="B124" t="s">
        <v>795</v>
      </c>
      <c r="D124" s="47">
        <v>-4718</v>
      </c>
      <c r="E124" s="47">
        <v>1352</v>
      </c>
      <c r="F124" s="47">
        <v>-259.44200000000001</v>
      </c>
      <c r="G124" s="47">
        <v>-2931.7809999999999</v>
      </c>
      <c r="H124" s="47">
        <v>-485.90600000000001</v>
      </c>
      <c r="I124" s="47">
        <v>-309.17399999999998</v>
      </c>
      <c r="J124" s="47">
        <v>1252.819</v>
      </c>
      <c r="K124" s="47"/>
      <c r="M124" s="47">
        <v>-13589</v>
      </c>
      <c r="N124" s="47">
        <v>-14111</v>
      </c>
      <c r="O124" s="47">
        <v>-3111</v>
      </c>
      <c r="P124" s="47">
        <v>-2071.3789999999999</v>
      </c>
      <c r="Q124" s="47">
        <v>-484.35199999999998</v>
      </c>
      <c r="R124" s="47">
        <v>-1036.3579999999999</v>
      </c>
      <c r="U124" s="47"/>
      <c r="V124" s="47"/>
      <c r="W124" s="47"/>
      <c r="X124" s="47"/>
    </row>
    <row r="125" spans="2:24" x14ac:dyDescent="0.25">
      <c r="B125" t="s">
        <v>794</v>
      </c>
      <c r="D125" s="47">
        <v>-19673</v>
      </c>
      <c r="E125" s="47">
        <v>-1106</v>
      </c>
      <c r="F125" s="47">
        <v>-1890.866</v>
      </c>
      <c r="G125" s="47">
        <v>-1460.3330000000001</v>
      </c>
      <c r="H125" s="47">
        <v>-3438.5889999999999</v>
      </c>
      <c r="I125" s="47">
        <v>-2294.585</v>
      </c>
      <c r="J125" s="47">
        <v>-566.89</v>
      </c>
      <c r="K125" s="47"/>
      <c r="M125" s="47">
        <v>-12222</v>
      </c>
      <c r="N125" s="47">
        <v>-1628</v>
      </c>
      <c r="O125" s="47">
        <v>-3412</v>
      </c>
      <c r="P125" s="47">
        <v>3119.6689999999999</v>
      </c>
      <c r="Q125" s="47">
        <v>755.98500000000001</v>
      </c>
      <c r="R125" s="47">
        <v>-657.17600000000004</v>
      </c>
      <c r="U125" s="47"/>
      <c r="V125" s="47"/>
      <c r="W125" s="47"/>
      <c r="X125" s="47"/>
    </row>
    <row r="126" spans="2:24" x14ac:dyDescent="0.25">
      <c r="B126" t="s">
        <v>793</v>
      </c>
      <c r="D126" s="47">
        <v>13819</v>
      </c>
      <c r="E126" s="47">
        <v>5589</v>
      </c>
      <c r="F126" s="47">
        <v>4076.6</v>
      </c>
      <c r="G126" s="47">
        <v>277.21899999999999</v>
      </c>
      <c r="H126" s="47">
        <v>905.02200000000005</v>
      </c>
      <c r="I126" s="47">
        <v>1516.1210000000001</v>
      </c>
      <c r="J126" s="47">
        <v>-1001.379</v>
      </c>
      <c r="K126" s="47"/>
      <c r="M126" s="47">
        <v>22232</v>
      </c>
      <c r="N126" s="47">
        <v>23771</v>
      </c>
      <c r="O126" s="47">
        <v>15590</v>
      </c>
      <c r="P126" s="47">
        <v>12645.018</v>
      </c>
      <c r="Q126" s="47">
        <v>10064.094999999999</v>
      </c>
      <c r="R126" s="47">
        <v>10908.324000000001</v>
      </c>
      <c r="U126" s="47"/>
      <c r="V126" s="47"/>
      <c r="W126" s="47"/>
      <c r="X126" s="47"/>
    </row>
    <row r="127" spans="2:24" x14ac:dyDescent="0.25">
      <c r="B127" t="s">
        <v>792</v>
      </c>
      <c r="E127">
        <v>29</v>
      </c>
      <c r="F127" s="47">
        <v>40.935000000000002</v>
      </c>
      <c r="G127" s="47">
        <v>22.113</v>
      </c>
      <c r="H127" s="47">
        <v>3.23</v>
      </c>
      <c r="I127" s="47"/>
      <c r="J127" s="47"/>
      <c r="K127" s="47"/>
      <c r="M127">
        <v>3</v>
      </c>
      <c r="N127" s="47">
        <v>3</v>
      </c>
      <c r="O127">
        <v>6</v>
      </c>
      <c r="P127" s="47">
        <v>0.70799999999999996</v>
      </c>
      <c r="Q127" s="47">
        <v>8.4000000000000005E-2</v>
      </c>
      <c r="R127" s="47">
        <v>3.0680000000000001</v>
      </c>
      <c r="U127" s="47"/>
      <c r="V127" s="47"/>
      <c r="W127" s="47"/>
      <c r="X127" s="47"/>
    </row>
    <row r="128" spans="2:24" x14ac:dyDescent="0.25">
      <c r="B128" t="s">
        <v>791</v>
      </c>
      <c r="D128" s="47">
        <v>-1152</v>
      </c>
      <c r="E128" s="47">
        <v>-2541</v>
      </c>
      <c r="F128" s="47">
        <v>-2820.395</v>
      </c>
      <c r="G128" s="47">
        <v>-2466.0509999999999</v>
      </c>
      <c r="H128" s="47">
        <v>-1831.913</v>
      </c>
      <c r="I128" s="47">
        <v>-548.99400000000003</v>
      </c>
      <c r="J128" s="47">
        <v>-74.019000000000005</v>
      </c>
      <c r="K128" s="47"/>
      <c r="M128">
        <v>-534</v>
      </c>
      <c r="N128" s="47">
        <v>751</v>
      </c>
      <c r="O128" s="47">
        <v>-2541</v>
      </c>
      <c r="P128" s="47">
        <v>-1319.577</v>
      </c>
      <c r="Q128" s="47">
        <v>-1116.0509999999999</v>
      </c>
      <c r="R128" s="47">
        <v>-590.98500000000001</v>
      </c>
      <c r="U128" s="47"/>
      <c r="V128" s="47"/>
      <c r="W128" s="47"/>
      <c r="X128" s="47"/>
    </row>
    <row r="129" spans="2:24" x14ac:dyDescent="0.25">
      <c r="B129" t="s">
        <v>790</v>
      </c>
      <c r="F129" s="47"/>
      <c r="G129" s="47"/>
      <c r="H129" s="47"/>
      <c r="I129" s="47"/>
      <c r="J129" s="47"/>
      <c r="K129" s="47"/>
      <c r="U129" s="47"/>
      <c r="V129" s="47"/>
      <c r="W129" s="47"/>
      <c r="X129" s="47"/>
    </row>
    <row r="130" spans="2:24" x14ac:dyDescent="0.25">
      <c r="B130" t="s">
        <v>789</v>
      </c>
      <c r="D130">
        <v>-328</v>
      </c>
      <c r="E130">
        <v>-108</v>
      </c>
      <c r="F130" s="47">
        <v>-110.282</v>
      </c>
      <c r="G130" s="47">
        <v>-28.802</v>
      </c>
      <c r="H130" s="47">
        <v>-248.232</v>
      </c>
      <c r="I130" s="47">
        <v>-660.66300000000001</v>
      </c>
      <c r="J130" s="47">
        <v>-593.80100000000004</v>
      </c>
      <c r="K130" s="47"/>
      <c r="M130">
        <v>-218</v>
      </c>
      <c r="N130" s="47">
        <v>-125</v>
      </c>
      <c r="O130">
        <v>-45</v>
      </c>
      <c r="P130" s="47">
        <v>-61.271999999999998</v>
      </c>
      <c r="Q130" s="47">
        <v>-0.77700000000000002</v>
      </c>
      <c r="R130" s="47">
        <v>-113.417</v>
      </c>
      <c r="U130" s="47"/>
      <c r="V130" s="47"/>
      <c r="W130" s="47"/>
      <c r="X130" s="47"/>
    </row>
    <row r="131" spans="2:24" x14ac:dyDescent="0.25">
      <c r="B131" t="s">
        <v>788</v>
      </c>
      <c r="D131">
        <v>-198</v>
      </c>
      <c r="E131">
        <v>-223</v>
      </c>
      <c r="F131" s="47">
        <v>-180.083</v>
      </c>
      <c r="G131" s="47">
        <v>-147.74700000000001</v>
      </c>
      <c r="H131" s="47">
        <v>-181.13399999999999</v>
      </c>
      <c r="I131" s="47" t="s">
        <v>548</v>
      </c>
      <c r="J131" s="47"/>
      <c r="K131" s="47"/>
      <c r="M131">
        <v>-48</v>
      </c>
      <c r="N131" s="47">
        <v>-101</v>
      </c>
      <c r="O131">
        <v>-104</v>
      </c>
      <c r="P131" s="47">
        <v>-99.828000000000003</v>
      </c>
      <c r="Q131" s="47">
        <v>-82.542000000000002</v>
      </c>
      <c r="R131" s="47">
        <v>-65.721999999999994</v>
      </c>
      <c r="U131" s="47"/>
      <c r="V131" s="47"/>
      <c r="W131" s="47"/>
      <c r="X131" s="47"/>
    </row>
    <row r="132" spans="2:24" ht="15.75" thickBot="1" x14ac:dyDescent="0.3">
      <c r="B132" t="s">
        <v>787</v>
      </c>
      <c r="D132" s="59">
        <v>-1121</v>
      </c>
      <c r="E132" s="59">
        <v>-1378</v>
      </c>
      <c r="F132" s="59"/>
      <c r="G132" s="59"/>
      <c r="H132" s="59">
        <v>-14.305999999999999</v>
      </c>
      <c r="I132" s="59">
        <v>-30.02</v>
      </c>
      <c r="J132" s="59">
        <v>-31.654</v>
      </c>
      <c r="K132" s="47"/>
      <c r="M132" s="59">
        <v>-466</v>
      </c>
      <c r="N132" s="59">
        <v>-302</v>
      </c>
      <c r="O132" s="59">
        <v>-722</v>
      </c>
      <c r="P132" s="59"/>
      <c r="Q132" s="59">
        <v>-1.1919999999999999</v>
      </c>
      <c r="R132" s="59">
        <v>-7.1529999999999996</v>
      </c>
      <c r="U132" s="47"/>
      <c r="V132" s="47"/>
      <c r="W132" s="47"/>
      <c r="X132" s="47"/>
    </row>
    <row r="133" spans="2:24" s="40" customFormat="1" x14ac:dyDescent="0.25">
      <c r="B133" s="40" t="s">
        <v>786</v>
      </c>
      <c r="D133" s="49">
        <f t="shared" ref="D133:J133" si="36">SUM(D111:D132)</f>
        <v>15269</v>
      </c>
      <c r="E133" s="49">
        <f t="shared" si="36"/>
        <v>23104</v>
      </c>
      <c r="F133" s="49">
        <f t="shared" si="36"/>
        <v>18910.900000000001</v>
      </c>
      <c r="G133" s="49">
        <f t="shared" si="36"/>
        <v>12210.484999999999</v>
      </c>
      <c r="H133" s="49">
        <f t="shared" si="36"/>
        <v>11055.000999999997</v>
      </c>
      <c r="I133" s="49">
        <f t="shared" si="36"/>
        <v>7425.6820000000007</v>
      </c>
      <c r="J133" s="49">
        <f t="shared" si="36"/>
        <v>6818.6069999999945</v>
      </c>
      <c r="K133" s="49"/>
      <c r="M133" s="49">
        <f>SUM(M111:M132)</f>
        <v>28917</v>
      </c>
      <c r="N133" s="49">
        <f>SUM(N111:N132)</f>
        <v>33133</v>
      </c>
      <c r="O133" s="49">
        <f>SUM(O111:O132)</f>
        <v>30232</v>
      </c>
      <c r="P133" s="49">
        <f>SUM(P111:P131)</f>
        <v>29542.409999999993</v>
      </c>
      <c r="Q133" s="49">
        <f>SUM(Q111:Q132)</f>
        <v>24933.750000000004</v>
      </c>
      <c r="R133" s="49">
        <f>SUM(R111:R132)</f>
        <v>22138.684999999998</v>
      </c>
      <c r="U133" s="47"/>
      <c r="V133" s="47"/>
      <c r="W133" s="47"/>
      <c r="X133" s="47"/>
    </row>
    <row r="134" spans="2:24" x14ac:dyDescent="0.25">
      <c r="U134" s="47"/>
      <c r="V134" s="47"/>
      <c r="W134" s="47"/>
      <c r="X134" s="47"/>
    </row>
    <row r="135" spans="2:24" x14ac:dyDescent="0.25">
      <c r="B135" t="s">
        <v>785</v>
      </c>
      <c r="D135" s="47">
        <v>-18632</v>
      </c>
      <c r="E135" s="47">
        <v>-12740</v>
      </c>
      <c r="F135" s="47">
        <v>-8295.8169999999991</v>
      </c>
      <c r="G135" s="47">
        <v>-10645.620999999999</v>
      </c>
      <c r="H135" s="47">
        <v>-7505.1409999999996</v>
      </c>
      <c r="I135" s="47">
        <v>-5625.076</v>
      </c>
      <c r="J135" s="47">
        <v>-2889.6109999999999</v>
      </c>
      <c r="K135" s="47"/>
      <c r="M135" s="47">
        <v>-13629</v>
      </c>
      <c r="N135" s="47">
        <v>-6402</v>
      </c>
      <c r="O135" s="47">
        <v>-7362</v>
      </c>
      <c r="P135" s="47">
        <v>-5632.0110000000004</v>
      </c>
      <c r="Q135" s="47">
        <v>-6136.9669999999996</v>
      </c>
      <c r="R135" s="47">
        <v>-4435.0060000000003</v>
      </c>
      <c r="U135" s="47"/>
      <c r="V135" s="47"/>
      <c r="W135" s="47"/>
      <c r="X135" s="47"/>
    </row>
    <row r="136" spans="2:24" x14ac:dyDescent="0.25">
      <c r="B136" t="s">
        <v>784</v>
      </c>
      <c r="D136" s="47"/>
      <c r="E136" s="47"/>
      <c r="F136" s="47"/>
      <c r="G136" s="47"/>
      <c r="H136" s="47"/>
      <c r="I136" s="47"/>
      <c r="J136" s="47"/>
      <c r="K136" s="47"/>
      <c r="N136" s="47">
        <v>-300</v>
      </c>
      <c r="O136" s="47"/>
      <c r="P136" s="47"/>
      <c r="Q136" s="47"/>
      <c r="R136" s="47"/>
      <c r="U136" s="47"/>
      <c r="V136" s="47"/>
      <c r="W136" s="47"/>
      <c r="X136" s="47"/>
    </row>
    <row r="137" spans="2:24" x14ac:dyDescent="0.25">
      <c r="B137" t="s">
        <v>783</v>
      </c>
      <c r="E137">
        <v>79</v>
      </c>
      <c r="F137" s="47">
        <v>9.5</v>
      </c>
      <c r="G137" s="47">
        <v>340.73700000000002</v>
      </c>
      <c r="H137" s="47">
        <v>14.21</v>
      </c>
      <c r="I137" s="47">
        <v>200</v>
      </c>
      <c r="J137" s="47"/>
      <c r="K137" s="47"/>
      <c r="N137" s="47" t="s">
        <v>548</v>
      </c>
      <c r="O137">
        <v>79</v>
      </c>
      <c r="P137" s="47">
        <v>9.5</v>
      </c>
      <c r="Q137" s="47" t="s">
        <v>548</v>
      </c>
      <c r="R137" s="47">
        <v>12</v>
      </c>
      <c r="U137" s="47"/>
      <c r="V137" s="47"/>
      <c r="W137" s="47"/>
      <c r="X137" s="47"/>
    </row>
    <row r="138" spans="2:24" x14ac:dyDescent="0.25">
      <c r="B138" t="s">
        <v>782</v>
      </c>
      <c r="D138" s="47">
        <v>-1551</v>
      </c>
      <c r="E138" s="47">
        <v>-1473</v>
      </c>
      <c r="F138" s="47">
        <v>-580.79499999999996</v>
      </c>
      <c r="G138" s="47">
        <v>-949.22900000000004</v>
      </c>
      <c r="H138" s="47">
        <v>-893.29600000000005</v>
      </c>
      <c r="I138" s="47">
        <v>-760.22400000000005</v>
      </c>
      <c r="J138" s="47">
        <v>-235.78399999999999</v>
      </c>
      <c r="K138" s="47"/>
      <c r="M138" s="47">
        <v>-1876</v>
      </c>
      <c r="N138" s="47">
        <v>-751</v>
      </c>
      <c r="O138">
        <v>-480</v>
      </c>
      <c r="P138" s="47">
        <v>-241.42699999999999</v>
      </c>
      <c r="Q138" s="47">
        <v>-257.524</v>
      </c>
      <c r="R138" s="47">
        <v>-414.29899999999998</v>
      </c>
      <c r="U138" s="47"/>
      <c r="V138" s="47"/>
      <c r="W138" s="47"/>
      <c r="X138" s="47"/>
    </row>
    <row r="139" spans="2:24" x14ac:dyDescent="0.25">
      <c r="B139" t="s">
        <v>781</v>
      </c>
      <c r="D139" s="47">
        <v>-3607</v>
      </c>
      <c r="E139" s="47">
        <v>-3114</v>
      </c>
      <c r="F139" s="47">
        <v>-2460.009</v>
      </c>
      <c r="G139" s="47" t="s">
        <v>548</v>
      </c>
      <c r="M139" s="47">
        <v>-4200</v>
      </c>
      <c r="N139" s="47">
        <v>-3900</v>
      </c>
      <c r="O139" s="47">
        <v>-1482</v>
      </c>
      <c r="P139" s="47">
        <v>-778.8</v>
      </c>
      <c r="U139" s="47"/>
      <c r="V139" s="47"/>
      <c r="W139" s="47"/>
      <c r="X139" s="47"/>
    </row>
    <row r="140" spans="2:24" ht="15.75" thickBot="1" x14ac:dyDescent="0.3">
      <c r="B140" t="s">
        <v>780</v>
      </c>
      <c r="D140" s="59">
        <v>-300</v>
      </c>
      <c r="E140" s="59" t="s">
        <v>548</v>
      </c>
      <c r="F140" s="59">
        <v>-7.2</v>
      </c>
      <c r="G140" s="59" t="s">
        <v>548</v>
      </c>
      <c r="H140" s="59" t="s">
        <v>548</v>
      </c>
      <c r="I140" s="59">
        <v>228.006</v>
      </c>
      <c r="J140" s="59"/>
      <c r="K140" s="47"/>
      <c r="M140" s="59"/>
      <c r="N140" s="59"/>
      <c r="O140" s="59"/>
      <c r="P140" s="59">
        <v>-7</v>
      </c>
      <c r="Q140" s="59"/>
      <c r="R140" s="59"/>
      <c r="U140" s="47"/>
      <c r="V140" s="47"/>
      <c r="W140" s="47"/>
      <c r="X140" s="47"/>
    </row>
    <row r="141" spans="2:24" x14ac:dyDescent="0.25">
      <c r="B141" s="40" t="s">
        <v>779</v>
      </c>
      <c r="C141" s="40"/>
      <c r="D141" s="49">
        <f t="shared" ref="D141:J141" si="37">SUM(D135:D140)</f>
        <v>-24090</v>
      </c>
      <c r="E141" s="49">
        <f t="shared" si="37"/>
        <v>-17248</v>
      </c>
      <c r="F141" s="49">
        <f t="shared" si="37"/>
        <v>-11334.321</v>
      </c>
      <c r="G141" s="49">
        <f t="shared" si="37"/>
        <v>-11254.112999999999</v>
      </c>
      <c r="H141" s="49">
        <f t="shared" si="37"/>
        <v>-8384.226999999999</v>
      </c>
      <c r="I141" s="49">
        <f t="shared" si="37"/>
        <v>-5957.2939999999999</v>
      </c>
      <c r="J141" s="49">
        <f t="shared" si="37"/>
        <v>-3125.395</v>
      </c>
      <c r="K141" s="49"/>
      <c r="L141" s="49"/>
      <c r="M141" s="49">
        <f t="shared" ref="M141:R141" si="38">SUM(M135:M140)</f>
        <v>-19705</v>
      </c>
      <c r="N141" s="49">
        <f t="shared" si="38"/>
        <v>-11353</v>
      </c>
      <c r="O141" s="49">
        <f t="shared" si="38"/>
        <v>-9245</v>
      </c>
      <c r="P141" s="49">
        <f t="shared" si="38"/>
        <v>-6649.7380000000003</v>
      </c>
      <c r="Q141" s="49">
        <f t="shared" si="38"/>
        <v>-6394.491</v>
      </c>
      <c r="R141" s="49">
        <f t="shared" si="38"/>
        <v>-4837.3050000000003</v>
      </c>
      <c r="U141" s="47"/>
      <c r="V141" s="47"/>
      <c r="W141" s="47"/>
      <c r="X141" s="47"/>
    </row>
    <row r="142" spans="2:24" x14ac:dyDescent="0.25">
      <c r="U142" s="47"/>
      <c r="V142" s="47"/>
      <c r="W142" s="47"/>
      <c r="X142" s="47"/>
    </row>
    <row r="143" spans="2:24" x14ac:dyDescent="0.25">
      <c r="B143" t="s">
        <v>778</v>
      </c>
      <c r="E143" s="47">
        <v>-1386</v>
      </c>
      <c r="F143" s="47">
        <v>-1918.25</v>
      </c>
      <c r="G143" s="47">
        <v>-2482.4319999999998</v>
      </c>
      <c r="N143" s="47"/>
      <c r="O143" s="47">
        <v>-1386</v>
      </c>
      <c r="P143" s="47">
        <v>-1241.22</v>
      </c>
      <c r="Q143" s="47">
        <v>-1805.405</v>
      </c>
      <c r="V143" s="47"/>
      <c r="W143" s="47"/>
      <c r="X143" s="47"/>
    </row>
    <row r="144" spans="2:24" x14ac:dyDescent="0.25">
      <c r="B144" t="s">
        <v>777</v>
      </c>
      <c r="E144" s="47"/>
      <c r="G144" s="47">
        <v>-6505.5</v>
      </c>
      <c r="H144" s="47">
        <v>-217.5</v>
      </c>
      <c r="I144" s="47">
        <v>-145</v>
      </c>
      <c r="J144" s="47">
        <v>406.5</v>
      </c>
      <c r="K144" s="47"/>
      <c r="Q144" s="47">
        <v>-110.5</v>
      </c>
      <c r="R144" s="47">
        <v>-118</v>
      </c>
      <c r="V144" s="47"/>
      <c r="W144" s="47"/>
      <c r="X144" s="47"/>
    </row>
    <row r="145" spans="2:24" x14ac:dyDescent="0.25">
      <c r="B145" t="s">
        <v>776</v>
      </c>
      <c r="E145" s="47"/>
      <c r="F145" s="47">
        <v>0.56999999999999995</v>
      </c>
      <c r="G145" s="47"/>
      <c r="I145" s="47">
        <v>12000.13</v>
      </c>
      <c r="J145" s="47">
        <v>-3.66</v>
      </c>
      <c r="K145" s="47"/>
      <c r="V145" s="47"/>
      <c r="W145" s="47"/>
      <c r="X145" s="47"/>
    </row>
    <row r="146" spans="2:24" x14ac:dyDescent="0.25">
      <c r="B146" t="s">
        <v>775</v>
      </c>
      <c r="D146">
        <v>347</v>
      </c>
      <c r="E146" s="47">
        <v>26316</v>
      </c>
      <c r="M146" s="47">
        <v>40250</v>
      </c>
      <c r="N146" s="47">
        <v>99</v>
      </c>
      <c r="O146" s="47">
        <v>4078</v>
      </c>
      <c r="P146" s="47">
        <v>0.56899999999999995</v>
      </c>
      <c r="V146" s="47"/>
      <c r="W146" s="47"/>
      <c r="X146" s="47"/>
    </row>
    <row r="147" spans="2:24" x14ac:dyDescent="0.25">
      <c r="B147" t="s">
        <v>774</v>
      </c>
      <c r="E147">
        <v>-426</v>
      </c>
      <c r="I147" s="47">
        <v>-240</v>
      </c>
      <c r="J147" s="47"/>
      <c r="K147" s="47"/>
      <c r="M147">
        <v>-998</v>
      </c>
      <c r="V147" s="47"/>
      <c r="W147" s="47"/>
      <c r="X147" s="47"/>
    </row>
    <row r="148" spans="2:24" x14ac:dyDescent="0.25">
      <c r="B148" t="s">
        <v>773</v>
      </c>
      <c r="D148" s="47">
        <v>-8773</v>
      </c>
      <c r="E148" s="47">
        <v>-7777</v>
      </c>
      <c r="F148" s="47">
        <v>-201.732</v>
      </c>
      <c r="G148" s="47">
        <v>-237.19499999999999</v>
      </c>
      <c r="H148" s="47">
        <v>-610.46500000000003</v>
      </c>
      <c r="I148" s="47">
        <v>-378.46199999999999</v>
      </c>
      <c r="J148" s="47">
        <v>-439.85</v>
      </c>
      <c r="K148" s="47"/>
      <c r="N148" s="47" t="s">
        <v>548</v>
      </c>
      <c r="O148">
        <v>-17</v>
      </c>
      <c r="P148" s="47">
        <v>-100.866</v>
      </c>
      <c r="Q148" s="47">
        <v>-136.328</v>
      </c>
      <c r="R148" s="47">
        <v>-296.827</v>
      </c>
      <c r="V148" s="47"/>
      <c r="W148" s="47"/>
      <c r="X148" s="47"/>
    </row>
    <row r="149" spans="2:24" x14ac:dyDescent="0.25">
      <c r="B149" t="s">
        <v>772</v>
      </c>
      <c r="D149" s="47"/>
      <c r="E149" s="47"/>
      <c r="F149" s="47"/>
      <c r="G149" s="47"/>
      <c r="H149" s="47"/>
      <c r="I149" s="47"/>
      <c r="J149" s="47"/>
      <c r="K149" s="47"/>
      <c r="M149" s="47">
        <v>-4738</v>
      </c>
      <c r="N149" s="47">
        <v>-3758</v>
      </c>
      <c r="O149" s="47">
        <v>-5065</v>
      </c>
      <c r="V149" s="47"/>
      <c r="W149" s="47"/>
      <c r="X149" s="47"/>
    </row>
    <row r="150" spans="2:24" ht="15.75" thickBot="1" x14ac:dyDescent="0.3">
      <c r="B150" t="s">
        <v>771</v>
      </c>
      <c r="D150" s="59"/>
      <c r="E150" s="59"/>
      <c r="F150" s="59"/>
      <c r="G150" s="59"/>
      <c r="H150" s="59"/>
      <c r="I150" s="59">
        <v>-654.02099999999996</v>
      </c>
      <c r="J150" s="59">
        <v>-160.416</v>
      </c>
      <c r="K150" s="47"/>
      <c r="M150" s="59"/>
      <c r="N150" s="59"/>
      <c r="O150" s="59"/>
      <c r="P150" s="59"/>
      <c r="Q150" s="59"/>
      <c r="R150" s="59"/>
      <c r="V150" s="47"/>
      <c r="W150" s="47"/>
      <c r="X150" s="47"/>
    </row>
    <row r="151" spans="2:24" x14ac:dyDescent="0.25">
      <c r="B151" s="40" t="s">
        <v>770</v>
      </c>
      <c r="C151" s="40"/>
      <c r="D151" s="49">
        <f t="shared" ref="D151:J151" si="39">SUM(D143:D150)</f>
        <v>-8426</v>
      </c>
      <c r="E151" s="49">
        <f t="shared" si="39"/>
        <v>16727</v>
      </c>
      <c r="F151" s="49">
        <f t="shared" si="39"/>
        <v>-2119.4120000000003</v>
      </c>
      <c r="G151" s="49">
        <f t="shared" si="39"/>
        <v>-9225.1270000000004</v>
      </c>
      <c r="H151" s="49">
        <f t="shared" si="39"/>
        <v>-827.96500000000003</v>
      </c>
      <c r="I151" s="49">
        <f t="shared" si="39"/>
        <v>10582.646999999999</v>
      </c>
      <c r="J151" s="49">
        <f t="shared" si="39"/>
        <v>-197.42600000000004</v>
      </c>
      <c r="K151" s="49"/>
      <c r="L151" s="40"/>
      <c r="M151" s="49">
        <f t="shared" ref="M151:R151" si="40">SUM(M143:M150)</f>
        <v>34514</v>
      </c>
      <c r="N151" s="49">
        <f t="shared" si="40"/>
        <v>-3659</v>
      </c>
      <c r="O151" s="49">
        <f t="shared" si="40"/>
        <v>-2390</v>
      </c>
      <c r="P151" s="49">
        <f t="shared" si="40"/>
        <v>-1341.5170000000001</v>
      </c>
      <c r="Q151" s="49">
        <f t="shared" si="40"/>
        <v>-2052.2330000000002</v>
      </c>
      <c r="R151" s="49">
        <f t="shared" si="40"/>
        <v>-414.827</v>
      </c>
      <c r="V151" s="47"/>
      <c r="W151" s="47"/>
      <c r="X151" s="47"/>
    </row>
    <row r="152" spans="2:24" x14ac:dyDescent="0.25">
      <c r="V152" s="47"/>
      <c r="W152" s="47"/>
      <c r="X152" s="47"/>
    </row>
    <row r="153" spans="2:24" x14ac:dyDescent="0.25">
      <c r="B153" t="s">
        <v>769</v>
      </c>
      <c r="D153" s="47">
        <f t="shared" ref="D153:J153" si="41">SUM(D151+D141+D133)</f>
        <v>-17247</v>
      </c>
      <c r="E153" s="47">
        <f t="shared" si="41"/>
        <v>22583</v>
      </c>
      <c r="F153" s="47">
        <f t="shared" si="41"/>
        <v>5457.1670000000013</v>
      </c>
      <c r="G153" s="47">
        <f t="shared" si="41"/>
        <v>-8268.7549999999992</v>
      </c>
      <c r="H153" s="47">
        <f t="shared" si="41"/>
        <v>1842.8089999999975</v>
      </c>
      <c r="I153" s="47">
        <f t="shared" si="41"/>
        <v>12051.035</v>
      </c>
      <c r="J153" s="47">
        <f t="shared" si="41"/>
        <v>3495.7859999999946</v>
      </c>
      <c r="K153" s="47"/>
      <c r="M153" s="47">
        <f t="shared" ref="M153:R153" si="42">SUM(M151+M141+M133)</f>
        <v>43726</v>
      </c>
      <c r="N153" s="47">
        <f t="shared" si="42"/>
        <v>18121</v>
      </c>
      <c r="O153" s="47">
        <f t="shared" si="42"/>
        <v>18597</v>
      </c>
      <c r="P153" s="47">
        <f t="shared" si="42"/>
        <v>21551.154999999992</v>
      </c>
      <c r="Q153" s="47">
        <f t="shared" si="42"/>
        <v>16487.026000000005</v>
      </c>
      <c r="R153" s="47">
        <f t="shared" si="42"/>
        <v>16886.552999999996</v>
      </c>
      <c r="V153" s="47"/>
      <c r="W153" s="47"/>
      <c r="X153" s="47"/>
    </row>
    <row r="154" spans="2:24" x14ac:dyDescent="0.25">
      <c r="B154" t="s">
        <v>768</v>
      </c>
      <c r="D154" s="47">
        <v>27503</v>
      </c>
      <c r="E154" s="47">
        <v>4971</v>
      </c>
      <c r="F154" s="47">
        <v>235.93600000000001</v>
      </c>
      <c r="G154" s="47">
        <v>8470.1779999999999</v>
      </c>
      <c r="H154" s="47">
        <v>6475.4459999999999</v>
      </c>
      <c r="I154" s="47">
        <v>-5697.39</v>
      </c>
      <c r="J154" s="47">
        <v>-9134.4619999999995</v>
      </c>
      <c r="K154" s="47"/>
      <c r="M154" s="47">
        <v>10046</v>
      </c>
      <c r="N154" s="47">
        <v>27503</v>
      </c>
      <c r="O154" s="47">
        <v>5778</v>
      </c>
      <c r="P154" s="47">
        <v>235.93600000000001</v>
      </c>
      <c r="Q154" s="47">
        <v>8470.1779999999999</v>
      </c>
      <c r="R154" s="47">
        <v>6475.4459999999999</v>
      </c>
      <c r="V154" s="47"/>
      <c r="W154" s="47"/>
      <c r="X154" s="47"/>
    </row>
    <row r="155" spans="2:24" ht="15.75" thickBot="1" x14ac:dyDescent="0.3">
      <c r="B155" t="s">
        <v>767</v>
      </c>
      <c r="D155" s="59">
        <v>-210</v>
      </c>
      <c r="E155" s="59">
        <v>-51</v>
      </c>
      <c r="F155" s="59">
        <v>85.102000000000004</v>
      </c>
      <c r="G155" s="59">
        <v>35.704000000000001</v>
      </c>
      <c r="H155" s="59">
        <v>151.923</v>
      </c>
      <c r="I155" s="59">
        <v>121.69199999999999</v>
      </c>
      <c r="J155" s="59">
        <v>-59.76</v>
      </c>
      <c r="K155" s="47"/>
      <c r="M155" s="59">
        <v>16</v>
      </c>
      <c r="N155" s="59">
        <v>-64</v>
      </c>
      <c r="O155" s="59">
        <v>-76</v>
      </c>
      <c r="P155" s="59">
        <v>91.47</v>
      </c>
      <c r="Q155" s="59">
        <v>37.784999999999997</v>
      </c>
      <c r="R155" s="59">
        <v>160.55099999999999</v>
      </c>
      <c r="V155" s="47"/>
      <c r="W155" s="47"/>
      <c r="X155" s="47"/>
    </row>
    <row r="156" spans="2:24" x14ac:dyDescent="0.25">
      <c r="B156" s="40" t="s">
        <v>766</v>
      </c>
      <c r="C156" s="40"/>
      <c r="D156" s="49">
        <f t="shared" ref="D156:J156" si="43">SUM(D153:D155)</f>
        <v>10046</v>
      </c>
      <c r="E156" s="49">
        <f t="shared" si="43"/>
        <v>27503</v>
      </c>
      <c r="F156" s="49">
        <f t="shared" si="43"/>
        <v>5778.2050000000008</v>
      </c>
      <c r="G156" s="49">
        <f t="shared" si="43"/>
        <v>237.12700000000069</v>
      </c>
      <c r="H156" s="49">
        <f t="shared" si="43"/>
        <v>8470.1779999999981</v>
      </c>
      <c r="I156" s="49">
        <f t="shared" si="43"/>
        <v>6475.3369999999995</v>
      </c>
      <c r="J156" s="49">
        <f t="shared" si="43"/>
        <v>-5698.4360000000052</v>
      </c>
      <c r="K156" s="49"/>
      <c r="L156" s="40"/>
      <c r="M156" s="49">
        <f t="shared" ref="M156:R156" si="44">SUM(M153:M155)</f>
        <v>53788</v>
      </c>
      <c r="N156" s="49">
        <f t="shared" si="44"/>
        <v>45560</v>
      </c>
      <c r="O156" s="49">
        <f t="shared" si="44"/>
        <v>24299</v>
      </c>
      <c r="P156" s="49">
        <f t="shared" si="44"/>
        <v>21878.560999999994</v>
      </c>
      <c r="Q156" s="49">
        <f t="shared" si="44"/>
        <v>24994.989000000005</v>
      </c>
      <c r="R156" s="49">
        <f t="shared" si="44"/>
        <v>23522.549999999996</v>
      </c>
      <c r="V156" s="47"/>
      <c r="W156" s="47"/>
      <c r="X156" s="47"/>
    </row>
    <row r="157" spans="2:24" x14ac:dyDescent="0.25">
      <c r="V157" s="47"/>
      <c r="W157" s="47"/>
      <c r="X157" s="47"/>
    </row>
    <row r="158" spans="2:24" x14ac:dyDescent="0.25">
      <c r="V158" s="47"/>
      <c r="W158" s="47"/>
      <c r="X158" s="47"/>
    </row>
    <row r="159" spans="2:24" x14ac:dyDescent="0.25">
      <c r="B159" s="102" t="s">
        <v>765</v>
      </c>
      <c r="C159" s="102"/>
      <c r="D159" s="102"/>
      <c r="E159" s="102"/>
      <c r="F159" s="102"/>
      <c r="G159" s="102"/>
      <c r="H159" s="102"/>
      <c r="I159" s="102"/>
      <c r="J159" s="102"/>
      <c r="K159" s="102"/>
      <c r="L159" s="102"/>
      <c r="M159" s="102"/>
      <c r="N159" s="102"/>
      <c r="O159" s="102"/>
      <c r="P159" s="102"/>
      <c r="Q159" s="102"/>
      <c r="R159" s="102"/>
      <c r="V159" s="47"/>
      <c r="W159" s="47"/>
      <c r="X159" s="47"/>
    </row>
    <row r="160" spans="2:24" x14ac:dyDescent="0.25">
      <c r="V160" s="47"/>
      <c r="W160" s="47"/>
      <c r="X160" s="47"/>
    </row>
    <row r="161" spans="2:24" ht="15.75" thickBot="1" x14ac:dyDescent="0.3">
      <c r="B161" s="40" t="s">
        <v>764</v>
      </c>
      <c r="C161" s="56">
        <v>44739</v>
      </c>
      <c r="D161" s="56">
        <v>44374</v>
      </c>
      <c r="E161" s="56">
        <v>44010</v>
      </c>
      <c r="F161" s="56">
        <v>43646</v>
      </c>
      <c r="G161" s="56">
        <v>43282</v>
      </c>
      <c r="H161" s="56">
        <v>42918</v>
      </c>
      <c r="I161" s="56">
        <v>42577</v>
      </c>
      <c r="J161" s="56">
        <v>42213</v>
      </c>
      <c r="K161" s="57"/>
      <c r="M161" s="56">
        <v>44556</v>
      </c>
      <c r="N161" s="56">
        <v>44192</v>
      </c>
      <c r="O161" s="56">
        <v>43828</v>
      </c>
      <c r="P161" s="56">
        <v>43464</v>
      </c>
      <c r="Q161" s="56">
        <v>43100</v>
      </c>
      <c r="R161" s="56">
        <v>42729</v>
      </c>
      <c r="V161" s="47"/>
      <c r="W161" s="47"/>
      <c r="X161" s="47"/>
    </row>
    <row r="162" spans="2:24" x14ac:dyDescent="0.25">
      <c r="B162" t="s">
        <v>763</v>
      </c>
      <c r="C162" s="57"/>
      <c r="D162" s="77">
        <f t="shared" ref="D162:J162" si="45">D18/D14</f>
        <v>0.61788746346117618</v>
      </c>
      <c r="E162" s="77">
        <f t="shared" si="45"/>
        <v>0.60924499229583973</v>
      </c>
      <c r="F162" s="77">
        <f t="shared" si="45"/>
        <v>0.659268276612337</v>
      </c>
      <c r="G162" s="77">
        <f t="shared" si="45"/>
        <v>0.6841711990707664</v>
      </c>
      <c r="H162" s="77">
        <f t="shared" si="45"/>
        <v>0.67922936811271517</v>
      </c>
      <c r="I162" s="77">
        <f t="shared" si="45"/>
        <v>0.66805283321219278</v>
      </c>
      <c r="J162" s="77">
        <f t="shared" si="45"/>
        <v>0.66587901514777714</v>
      </c>
      <c r="K162" s="77"/>
      <c r="L162" s="77"/>
      <c r="M162" s="77">
        <f t="shared" ref="M162:R162" si="46">M18/M14</f>
        <v>0.59842304839996086</v>
      </c>
      <c r="N162" s="77">
        <f t="shared" si="46"/>
        <v>0.61048520059668687</v>
      </c>
      <c r="O162" s="77">
        <f t="shared" si="46"/>
        <v>0.65019189672467181</v>
      </c>
      <c r="P162" s="77">
        <f t="shared" si="46"/>
        <v>0.65780051784586036</v>
      </c>
      <c r="Q162" s="77">
        <f t="shared" si="46"/>
        <v>0.68481963735513462</v>
      </c>
      <c r="R162" s="77">
        <f t="shared" si="46"/>
        <v>0.680398481710629</v>
      </c>
      <c r="V162" s="47"/>
      <c r="W162" s="47"/>
      <c r="X162" s="47"/>
    </row>
    <row r="163" spans="2:24" x14ac:dyDescent="0.25">
      <c r="B163" t="s">
        <v>762</v>
      </c>
      <c r="C163" s="57"/>
      <c r="D163" s="77">
        <f t="shared" ref="D163:J163" si="47">D24/D14</f>
        <v>5.7672089504165878E-2</v>
      </c>
      <c r="E163" s="77">
        <f t="shared" si="47"/>
        <v>-4.4192530633208597E-2</v>
      </c>
      <c r="F163" s="77">
        <f t="shared" si="47"/>
        <v>0.108025938767014</v>
      </c>
      <c r="G163" s="77">
        <f t="shared" si="47"/>
        <v>0.11372589104491215</v>
      </c>
      <c r="H163" s="77">
        <f t="shared" si="47"/>
        <v>0.11334218230251147</v>
      </c>
      <c r="I163" s="77">
        <f t="shared" si="47"/>
        <v>6.9885654845485229E-2</v>
      </c>
      <c r="J163" s="77">
        <f t="shared" si="47"/>
        <v>4.2709688163023583E-2</v>
      </c>
      <c r="K163" s="77"/>
      <c r="M163" s="77">
        <f t="shared" ref="M163:R163" si="48">M24/M14</f>
        <v>0.17227531588005654</v>
      </c>
      <c r="N163" s="77">
        <f t="shared" si="48"/>
        <v>0.16189055507576353</v>
      </c>
      <c r="O163" s="77">
        <f t="shared" si="48"/>
        <v>0.17266343931266082</v>
      </c>
      <c r="P163" s="77">
        <f t="shared" si="48"/>
        <v>0.1747296175621601</v>
      </c>
      <c r="Q163" s="77">
        <f t="shared" si="48"/>
        <v>0.18419733365991456</v>
      </c>
      <c r="R163" s="77">
        <f t="shared" si="48"/>
        <v>0.18650980145803453</v>
      </c>
      <c r="V163" s="47"/>
      <c r="W163" s="47"/>
      <c r="X163" s="47"/>
    </row>
    <row r="164" spans="2:24" x14ac:dyDescent="0.25">
      <c r="B164" t="s">
        <v>761</v>
      </c>
      <c r="C164" s="57"/>
      <c r="D164" s="77">
        <f t="shared" ref="D164:J164" si="49">D30/D14</f>
        <v>4.7547568838840239E-2</v>
      </c>
      <c r="E164" s="77">
        <f t="shared" si="49"/>
        <v>-5.5330545161053638E-2</v>
      </c>
      <c r="F164" s="77">
        <f t="shared" si="49"/>
        <v>0.10606361315724042</v>
      </c>
      <c r="G164" s="77">
        <f t="shared" si="49"/>
        <v>0.10924605794441043</v>
      </c>
      <c r="H164" s="77">
        <f t="shared" si="49"/>
        <v>0.10647564764505714</v>
      </c>
      <c r="I164" s="77">
        <f t="shared" si="49"/>
        <v>6.1380006618521908E-2</v>
      </c>
      <c r="J164" s="77">
        <f t="shared" si="49"/>
        <v>3.6155696452360928E-2</v>
      </c>
      <c r="K164" s="77"/>
      <c r="M164" s="77">
        <f t="shared" ref="M164:R164" si="50">M30/M14</f>
        <v>0.16829445758182099</v>
      </c>
      <c r="N164" s="77">
        <f t="shared" si="50"/>
        <v>0.15171351181596923</v>
      </c>
      <c r="O164" s="77">
        <f t="shared" si="50"/>
        <v>0.16337389332286623</v>
      </c>
      <c r="P164" s="77">
        <f t="shared" si="50"/>
        <v>0.17153334407016935</v>
      </c>
      <c r="Q164" s="77">
        <f t="shared" si="50"/>
        <v>0.18039336644300347</v>
      </c>
      <c r="R164" s="77">
        <f t="shared" si="50"/>
        <v>0.17942809637540383</v>
      </c>
      <c r="V164" s="47"/>
      <c r="W164" s="47"/>
      <c r="X164" s="47"/>
    </row>
    <row r="165" spans="2:24" x14ac:dyDescent="0.25">
      <c r="B165" t="s">
        <v>760</v>
      </c>
      <c r="C165" s="57"/>
      <c r="D165" s="77">
        <f t="shared" ref="D165:J165" si="51">D34/D14</f>
        <v>3.454855941319105E-2</v>
      </c>
      <c r="E165" s="77">
        <f t="shared" si="51"/>
        <v>-5.4714212341330982E-2</v>
      </c>
      <c r="F165" s="77">
        <f t="shared" si="51"/>
        <v>8.249404211788379E-2</v>
      </c>
      <c r="G165" s="77">
        <f t="shared" si="51"/>
        <v>8.5786191514004087E-2</v>
      </c>
      <c r="H165" s="77">
        <f t="shared" si="51"/>
        <v>8.3277633731543357E-2</v>
      </c>
      <c r="I165" s="77">
        <f t="shared" si="51"/>
        <v>4.4832713695878872E-2</v>
      </c>
      <c r="J165" s="77">
        <f t="shared" si="51"/>
        <v>2.5248692455716138E-2</v>
      </c>
      <c r="K165" s="77"/>
      <c r="M165" s="77">
        <f t="shared" ref="M165:R165" si="52">M34/M14</f>
        <v>0.13482446443813229</v>
      </c>
      <c r="N165" s="77">
        <f t="shared" si="52"/>
        <v>0.11912145717201852</v>
      </c>
      <c r="O165" s="77">
        <f t="shared" si="52"/>
        <v>0.14257054385276288</v>
      </c>
      <c r="P165" s="77">
        <f t="shared" si="52"/>
        <v>0.13380988367051128</v>
      </c>
      <c r="Q165" s="77">
        <f t="shared" si="52"/>
        <v>0.14105648507192806</v>
      </c>
      <c r="R165" s="77">
        <f t="shared" si="52"/>
        <v>0.14069551020700605</v>
      </c>
      <c r="V165" s="47"/>
      <c r="W165" s="47"/>
      <c r="X165" s="47"/>
    </row>
    <row r="166" spans="2:24" x14ac:dyDescent="0.25">
      <c r="C166" s="57"/>
      <c r="D166" s="57"/>
      <c r="E166" s="57"/>
      <c r="F166" s="57"/>
      <c r="G166" s="57"/>
      <c r="V166" s="47"/>
      <c r="W166" s="47"/>
      <c r="X166" s="47"/>
    </row>
    <row r="167" spans="2:24" x14ac:dyDescent="0.25">
      <c r="B167" s="87" t="s">
        <v>759</v>
      </c>
      <c r="C167" s="57"/>
      <c r="D167" s="57"/>
      <c r="E167" s="57"/>
      <c r="F167" s="57"/>
      <c r="G167" s="57"/>
      <c r="V167" s="47"/>
      <c r="W167" s="47"/>
      <c r="X167" s="47"/>
    </row>
    <row r="168" spans="2:24" x14ac:dyDescent="0.25">
      <c r="B168" t="s">
        <v>758</v>
      </c>
      <c r="C168" s="57"/>
      <c r="D168" s="47">
        <f t="shared" ref="D168:J168" si="53">D71-D76-D77-D84</f>
        <v>10046</v>
      </c>
      <c r="E168" s="47">
        <f t="shared" si="53"/>
        <v>27503</v>
      </c>
      <c r="F168" s="47">
        <f t="shared" si="53"/>
        <v>5761.3940000000002</v>
      </c>
      <c r="G168" s="47">
        <f t="shared" si="53"/>
        <v>17.393000000000008</v>
      </c>
      <c r="H168" s="47">
        <f t="shared" si="53"/>
        <v>1594.1900000000005</v>
      </c>
      <c r="I168" s="47">
        <f t="shared" si="53"/>
        <v>-600.3100000000004</v>
      </c>
      <c r="J168" s="47">
        <f t="shared" si="53"/>
        <v>-13950.629000000001</v>
      </c>
      <c r="K168" s="47"/>
      <c r="L168" s="47"/>
      <c r="M168" s="47">
        <f>M71-M76-M77-M84</f>
        <v>53788</v>
      </c>
      <c r="N168" s="47">
        <f>N71-N76-N77-N84</f>
        <v>47629</v>
      </c>
      <c r="O168" s="47"/>
      <c r="P168" s="47"/>
      <c r="Q168" s="47"/>
      <c r="R168" s="47"/>
      <c r="V168" s="47"/>
      <c r="W168" s="47"/>
      <c r="X168" s="47"/>
    </row>
    <row r="169" spans="2:24" x14ac:dyDescent="0.25">
      <c r="B169" t="s">
        <v>757</v>
      </c>
      <c r="C169" s="57"/>
      <c r="D169" s="47">
        <f t="shared" ref="D169:J169" si="54">D71-D87-D80-D76-D77-D84</f>
        <v>-29518</v>
      </c>
      <c r="E169" s="47">
        <f t="shared" si="54"/>
        <v>-19450</v>
      </c>
      <c r="F169" s="47">
        <f t="shared" si="54"/>
        <v>5761.3940000000002</v>
      </c>
      <c r="G169" s="47">
        <f t="shared" si="54"/>
        <v>17.393000000000008</v>
      </c>
      <c r="H169" s="47">
        <f t="shared" si="54"/>
        <v>1594.1900000000005</v>
      </c>
      <c r="I169" s="47">
        <f t="shared" si="54"/>
        <v>-600.3100000000004</v>
      </c>
      <c r="J169" s="47">
        <f t="shared" si="54"/>
        <v>-13950.629000000001</v>
      </c>
      <c r="K169" s="47"/>
      <c r="L169" s="47"/>
      <c r="M169" s="47">
        <f>M71-M87-M80-M76-M77-M84</f>
        <v>17212</v>
      </c>
      <c r="N169" s="47">
        <f>N71-N87-N80-N76-N77-N84</f>
        <v>2549</v>
      </c>
      <c r="O169" s="47"/>
      <c r="P169" s="47"/>
      <c r="Q169" s="47"/>
      <c r="R169" s="47"/>
      <c r="V169" s="47"/>
      <c r="W169" s="47"/>
      <c r="X169" s="47"/>
    </row>
    <row r="170" spans="2:24" x14ac:dyDescent="0.25">
      <c r="B170" t="s">
        <v>756</v>
      </c>
      <c r="C170" s="57"/>
      <c r="D170" s="79">
        <f t="shared" ref="D170:J171" si="55">D168/D$104</f>
        <v>0.14013502957259236</v>
      </c>
      <c r="E170" s="79">
        <f t="shared" si="55"/>
        <v>0.41055381400208985</v>
      </c>
      <c r="F170" s="79">
        <f t="shared" si="55"/>
        <v>0.11679234617892362</v>
      </c>
      <c r="G170" s="79">
        <f t="shared" si="55"/>
        <v>4.3909053401542986E-4</v>
      </c>
      <c r="H170" s="79">
        <f t="shared" si="55"/>
        <v>5.1156688477334518E-2</v>
      </c>
      <c r="I170" s="79">
        <f t="shared" si="55"/>
        <v>-2.8498648057671248E-2</v>
      </c>
      <c r="J170" s="79">
        <f t="shared" si="55"/>
        <v>-3.6786082883350395</v>
      </c>
      <c r="K170" s="79"/>
      <c r="L170" s="79"/>
      <c r="M170" s="79">
        <f>M168/M$104</f>
        <v>0.40521319873436795</v>
      </c>
      <c r="N170" s="79">
        <f>N168/N$104</f>
        <v>0.6132699835187474</v>
      </c>
      <c r="O170" s="47"/>
      <c r="P170" s="47"/>
      <c r="Q170" s="47"/>
      <c r="R170" s="47"/>
      <c r="V170" s="47"/>
      <c r="W170" s="47"/>
      <c r="X170" s="47"/>
    </row>
    <row r="171" spans="2:24" x14ac:dyDescent="0.25">
      <c r="B171" t="s">
        <v>755</v>
      </c>
      <c r="C171" s="57"/>
      <c r="D171" s="79">
        <f t="shared" si="55"/>
        <v>-0.41175650039058143</v>
      </c>
      <c r="E171" s="79">
        <f t="shared" si="55"/>
        <v>-0.29034184206598002</v>
      </c>
      <c r="F171" s="79">
        <f t="shared" si="55"/>
        <v>0.11679234617892362</v>
      </c>
      <c r="G171" s="79">
        <f t="shared" si="55"/>
        <v>4.3909053401542986E-4</v>
      </c>
      <c r="H171" s="79">
        <f t="shared" si="55"/>
        <v>5.1156688477334518E-2</v>
      </c>
      <c r="I171" s="79">
        <f t="shared" si="55"/>
        <v>-2.8498648057671248E-2</v>
      </c>
      <c r="J171" s="79">
        <f t="shared" si="55"/>
        <v>-3.6786082883350395</v>
      </c>
      <c r="K171" s="79"/>
      <c r="L171" s="79"/>
      <c r="M171" s="79">
        <f>M169/M$104</f>
        <v>0.12966701823112853</v>
      </c>
      <c r="N171" s="79">
        <f>N169/N$104</f>
        <v>3.2820869386073342E-2</v>
      </c>
      <c r="O171" s="47"/>
      <c r="P171" s="47"/>
      <c r="Q171" s="47"/>
      <c r="R171" s="47"/>
      <c r="V171" s="47"/>
      <c r="W171" s="47"/>
      <c r="X171" s="47"/>
    </row>
    <row r="172" spans="2:24" x14ac:dyDescent="0.25">
      <c r="B172" t="s">
        <v>754</v>
      </c>
      <c r="C172" s="57"/>
      <c r="D172" s="79">
        <f t="shared" ref="D172:J173" si="56">D168/D$71</f>
        <v>1</v>
      </c>
      <c r="E172" s="79">
        <f t="shared" si="56"/>
        <v>1</v>
      </c>
      <c r="F172" s="79">
        <f t="shared" si="56"/>
        <v>0.99709061897250106</v>
      </c>
      <c r="G172" s="79">
        <f t="shared" si="56"/>
        <v>7.371914417469147E-2</v>
      </c>
      <c r="H172" s="79">
        <f t="shared" si="56"/>
        <v>0.18821210132774074</v>
      </c>
      <c r="I172" s="79">
        <f t="shared" si="56"/>
        <v>-9.2705583522741206E-2</v>
      </c>
      <c r="J172" s="79">
        <f t="shared" si="56"/>
        <v>-2.8240574146484847</v>
      </c>
      <c r="K172" s="79"/>
      <c r="L172" s="79"/>
      <c r="M172" s="79">
        <f>M168/M$71</f>
        <v>1</v>
      </c>
      <c r="N172" s="79">
        <f>N168/N$71</f>
        <v>1</v>
      </c>
      <c r="O172" s="47"/>
      <c r="P172" s="47"/>
      <c r="Q172" s="47"/>
      <c r="R172" s="47"/>
      <c r="V172" s="47"/>
      <c r="W172" s="47"/>
      <c r="X172" s="47"/>
    </row>
    <row r="173" spans="2:24" x14ac:dyDescent="0.25">
      <c r="B173" t="s">
        <v>753</v>
      </c>
      <c r="C173" s="57"/>
      <c r="D173" s="79">
        <f t="shared" si="56"/>
        <v>-2.9382838940871987</v>
      </c>
      <c r="E173" s="79">
        <f t="shared" si="56"/>
        <v>-0.70719557866414573</v>
      </c>
      <c r="F173" s="79">
        <f t="shared" si="56"/>
        <v>0.99709061897250106</v>
      </c>
      <c r="G173" s="79">
        <f t="shared" si="56"/>
        <v>7.371914417469147E-2</v>
      </c>
      <c r="H173" s="79">
        <f t="shared" si="56"/>
        <v>0.18821210132774074</v>
      </c>
      <c r="I173" s="79">
        <f t="shared" si="56"/>
        <v>-9.2705583522741206E-2</v>
      </c>
      <c r="J173" s="79">
        <f t="shared" si="56"/>
        <v>-2.8240574146484847</v>
      </c>
      <c r="K173" s="79"/>
      <c r="L173" s="79"/>
      <c r="M173" s="79">
        <f>M169/M$71</f>
        <v>0.31999702535881608</v>
      </c>
      <c r="N173" s="79">
        <f>N169/N$71</f>
        <v>5.3517814776711664E-2</v>
      </c>
      <c r="O173" s="47"/>
      <c r="P173" s="47"/>
      <c r="Q173" s="47"/>
      <c r="R173" s="47"/>
      <c r="V173" s="47"/>
      <c r="W173" s="47"/>
      <c r="X173" s="47"/>
    </row>
    <row r="174" spans="2:24" x14ac:dyDescent="0.25">
      <c r="B174" t="s">
        <v>752</v>
      </c>
      <c r="C174" s="57"/>
      <c r="D174" s="79">
        <f t="shared" ref="D174:J174" si="57">D93/D95</f>
        <v>1.1763056578506863</v>
      </c>
      <c r="E174" s="79">
        <f t="shared" si="57"/>
        <v>1.1202253855278765</v>
      </c>
      <c r="F174" s="79">
        <f t="shared" si="57"/>
        <v>0.50410434555879824</v>
      </c>
      <c r="G174" s="79">
        <f t="shared" si="57"/>
        <v>0.52073594246198185</v>
      </c>
      <c r="H174" s="79">
        <f t="shared" si="57"/>
        <v>0.88353728358344641</v>
      </c>
      <c r="I174" s="79">
        <f t="shared" si="57"/>
        <v>1.2283007867620008</v>
      </c>
      <c r="J174" s="79">
        <f t="shared" si="57"/>
        <v>8.8450185328891884</v>
      </c>
      <c r="K174" s="79"/>
      <c r="L174" s="79"/>
      <c r="M174" s="79">
        <f>M93/M95</f>
        <v>0.79498267289437996</v>
      </c>
      <c r="N174" s="79">
        <f>N93/N95</f>
        <v>1.2814560156571899</v>
      </c>
      <c r="V174" s="47"/>
      <c r="W174" s="47"/>
      <c r="X174" s="47"/>
    </row>
    <row r="175" spans="2:24" x14ac:dyDescent="0.25">
      <c r="B175" t="s">
        <v>751</v>
      </c>
      <c r="C175" s="57"/>
      <c r="D175" s="79">
        <f t="shared" ref="D175:J175" si="58">D93/D74</f>
        <v>0.5405057206037881</v>
      </c>
      <c r="E175" s="79">
        <f t="shared" si="58"/>
        <v>0.52835202954094052</v>
      </c>
      <c r="F175" s="79">
        <f t="shared" si="58"/>
        <v>0.33515250923067813</v>
      </c>
      <c r="G175" s="79">
        <f t="shared" si="58"/>
        <v>0.34242364365962247</v>
      </c>
      <c r="H175" s="79">
        <f t="shared" si="58"/>
        <v>0.46908404271271387</v>
      </c>
      <c r="I175" s="79">
        <f t="shared" si="58"/>
        <v>0.55122755153126124</v>
      </c>
      <c r="J175" s="79">
        <f t="shared" si="58"/>
        <v>0.89842578795973749</v>
      </c>
      <c r="K175" s="79"/>
      <c r="L175" s="79"/>
      <c r="M175" s="79">
        <f>M93/M74</f>
        <v>0.44289155817447728</v>
      </c>
      <c r="N175" s="79">
        <f>N93/N74</f>
        <v>0.56168341921247045</v>
      </c>
      <c r="V175" s="47"/>
      <c r="W175" s="47"/>
      <c r="X175" s="47"/>
    </row>
    <row r="176" spans="2:24" x14ac:dyDescent="0.25">
      <c r="B176" t="s">
        <v>750</v>
      </c>
      <c r="C176" s="57"/>
      <c r="D176" s="79">
        <f t="shared" ref="D176:I176" si="59">SUM(((D74+E74)/2)/((D104+E104)/2))</f>
        <v>2.1560954152785587</v>
      </c>
      <c r="E176" s="79">
        <f t="shared" si="59"/>
        <v>1.8670241521862112</v>
      </c>
      <c r="F176" s="79">
        <f t="shared" si="59"/>
        <v>1.5107568099389024</v>
      </c>
      <c r="G176" s="79">
        <f t="shared" si="59"/>
        <v>1.6788154164309297</v>
      </c>
      <c r="H176" s="79">
        <f t="shared" si="59"/>
        <v>2.0247333233730433</v>
      </c>
      <c r="I176" s="79">
        <f t="shared" si="59"/>
        <v>3.397482000351292</v>
      </c>
      <c r="J176" s="79"/>
      <c r="K176" s="79"/>
      <c r="L176" s="79"/>
      <c r="M176" s="79">
        <f>SUM(((M74+N74)/2)/((M104+N104)/2))</f>
        <v>1.9745489629474724</v>
      </c>
      <c r="N176" s="79">
        <f>SUM(((N74+O74)/2)/((N104+O104)/2))</f>
        <v>2.3511884477764524</v>
      </c>
      <c r="V176" s="47"/>
      <c r="W176" s="47"/>
      <c r="X176" s="47"/>
    </row>
    <row r="177" spans="2:24" x14ac:dyDescent="0.25">
      <c r="B177" t="s">
        <v>749</v>
      </c>
      <c r="C177" s="57"/>
      <c r="D177" s="79">
        <f t="shared" ref="D177:J177" si="60">D202/-D28</f>
        <v>7.1521212121212123</v>
      </c>
      <c r="E177" s="79">
        <f t="shared" si="60"/>
        <v>2.3651079136690649</v>
      </c>
      <c r="F177" s="79">
        <f t="shared" si="60"/>
        <v>48.518225829417624</v>
      </c>
      <c r="G177" s="79">
        <f t="shared" si="60"/>
        <v>22.859062478402112</v>
      </c>
      <c r="H177" s="79">
        <f t="shared" si="60"/>
        <v>16.43300889283821</v>
      </c>
      <c r="I177" s="79">
        <f t="shared" si="60"/>
        <v>6.7229692338237799</v>
      </c>
      <c r="J177" s="79">
        <f t="shared" si="60"/>
        <v>4.810156319462962</v>
      </c>
      <c r="K177" s="79"/>
      <c r="L177" s="79"/>
      <c r="M177" s="79">
        <f>M202/-M28</f>
        <v>31.813953488372093</v>
      </c>
      <c r="N177" s="79">
        <f>N202/-N28</f>
        <v>18.390189520624304</v>
      </c>
      <c r="V177" s="47"/>
      <c r="W177" s="47"/>
      <c r="X177" s="47"/>
    </row>
    <row r="178" spans="2:24" x14ac:dyDescent="0.25">
      <c r="B178" t="s">
        <v>748</v>
      </c>
      <c r="C178" s="57"/>
      <c r="D178" s="79">
        <f t="shared" ref="D178:J178" si="61">D133/D93</f>
        <v>0.18106893403061891</v>
      </c>
      <c r="E178" s="79">
        <f t="shared" si="61"/>
        <v>0.30581881717583526</v>
      </c>
      <c r="F178" s="79">
        <f t="shared" si="61"/>
        <v>0.76059845108339919</v>
      </c>
      <c r="G178" s="79">
        <f t="shared" si="61"/>
        <v>0.59249452316129703</v>
      </c>
      <c r="H178" s="79">
        <f t="shared" si="61"/>
        <v>0.40194804621089542</v>
      </c>
      <c r="I178" s="79">
        <f t="shared" si="61"/>
        <v>0.28592675695192571</v>
      </c>
      <c r="J178" s="79">
        <f t="shared" si="61"/>
        <v>0.20327192154223428</v>
      </c>
      <c r="K178" s="79"/>
      <c r="L178" s="79"/>
      <c r="M178" s="79">
        <f>M133/M93</f>
        <v>0.27402725394689459</v>
      </c>
      <c r="N178" s="79">
        <f>N133/N93</f>
        <v>0.33291801895039336</v>
      </c>
      <c r="V178" s="47"/>
      <c r="W178" s="47"/>
      <c r="X178" s="47"/>
    </row>
    <row r="179" spans="2:24" x14ac:dyDescent="0.25">
      <c r="C179" s="57"/>
      <c r="D179" s="57"/>
      <c r="E179" s="57"/>
      <c r="G179" s="57"/>
      <c r="V179" s="47"/>
      <c r="W179" s="47"/>
      <c r="X179" s="47"/>
    </row>
    <row r="180" spans="2:24" x14ac:dyDescent="0.25">
      <c r="B180" s="87" t="s">
        <v>747</v>
      </c>
      <c r="C180" s="57"/>
      <c r="D180" s="57"/>
      <c r="E180" s="57"/>
      <c r="G180" s="57"/>
      <c r="V180" s="47"/>
      <c r="W180" s="47"/>
      <c r="X180" s="47"/>
    </row>
    <row r="181" spans="2:24" x14ac:dyDescent="0.25">
      <c r="B181" t="s">
        <v>746</v>
      </c>
      <c r="C181" s="57"/>
      <c r="D181" s="79">
        <f t="shared" ref="D181:J181" si="62">D72/D82</f>
        <v>1.0640694133195425</v>
      </c>
      <c r="E181" s="79">
        <f t="shared" si="62"/>
        <v>1.358234694677432</v>
      </c>
      <c r="F181" s="79">
        <f t="shared" si="62"/>
        <v>1.3250569391225786</v>
      </c>
      <c r="G181" s="79">
        <f t="shared" si="62"/>
        <v>1.1845976236798668</v>
      </c>
      <c r="H181" s="79">
        <f t="shared" si="62"/>
        <v>1.1614106436073108</v>
      </c>
      <c r="I181" s="79">
        <f t="shared" si="62"/>
        <v>1.0964356449089661</v>
      </c>
      <c r="J181" s="79">
        <f t="shared" si="62"/>
        <v>0.97777926878746779</v>
      </c>
      <c r="K181" s="79"/>
      <c r="L181" s="79"/>
      <c r="M181" s="79">
        <f>M72/M82</f>
        <v>1.6218464877610901</v>
      </c>
      <c r="N181" s="79">
        <f>N72/N82</f>
        <v>1.2093137473768809</v>
      </c>
      <c r="V181" s="47"/>
      <c r="W181" s="47"/>
      <c r="X181" s="47"/>
    </row>
    <row r="182" spans="2:24" x14ac:dyDescent="0.25">
      <c r="B182" t="s">
        <v>745</v>
      </c>
      <c r="C182" s="57"/>
      <c r="D182" s="79">
        <f t="shared" ref="D182:J182" si="63">D71/D72</f>
        <v>0.18083306332577312</v>
      </c>
      <c r="E182" s="79">
        <f t="shared" si="63"/>
        <v>0.52909717011985147</v>
      </c>
      <c r="F182" s="79">
        <f t="shared" si="63"/>
        <v>0.20614860460933779</v>
      </c>
      <c r="G182" s="79">
        <f t="shared" si="63"/>
        <v>1.1626316347605255E-2</v>
      </c>
      <c r="H182" s="79">
        <f t="shared" si="63"/>
        <v>0.34325877439335251</v>
      </c>
      <c r="I182" s="79">
        <f t="shared" si="63"/>
        <v>0.33985377269961869</v>
      </c>
      <c r="J182" s="79">
        <f t="shared" si="63"/>
        <v>0.212259680425674</v>
      </c>
      <c r="K182" s="79"/>
      <c r="L182" s="79"/>
      <c r="M182" s="79">
        <f>M71/M72</f>
        <v>0.44433429985213091</v>
      </c>
      <c r="N182" s="79">
        <f>N71/N72</f>
        <v>0.58616700510737796</v>
      </c>
      <c r="V182" s="47"/>
      <c r="W182" s="47"/>
      <c r="X182" s="47"/>
    </row>
    <row r="183" spans="2:24" x14ac:dyDescent="0.25">
      <c r="B183" t="s">
        <v>744</v>
      </c>
      <c r="C183" s="57"/>
      <c r="D183" s="79">
        <f t="shared" ref="D183:J183" si="64">D71/D82</f>
        <v>0.1924189316018311</v>
      </c>
      <c r="E183" s="79">
        <f t="shared" si="64"/>
        <v>0.71863813331242976</v>
      </c>
      <c r="F183" s="79">
        <f t="shared" si="64"/>
        <v>0.27315863902803983</v>
      </c>
      <c r="G183" s="79">
        <f t="shared" si="64"/>
        <v>1.3772506717523574E-2</v>
      </c>
      <c r="H183" s="79">
        <f t="shared" si="64"/>
        <v>0.39866439409204024</v>
      </c>
      <c r="I183" s="79">
        <f t="shared" si="64"/>
        <v>0.37262779044465155</v>
      </c>
      <c r="J183" s="79">
        <f t="shared" si="64"/>
        <v>0.2075431151196771</v>
      </c>
      <c r="K183" s="79"/>
      <c r="L183" s="79"/>
      <c r="M183" s="79">
        <f>M71/M82</f>
        <v>0.7206420236069615</v>
      </c>
      <c r="N183" s="79">
        <f>N71/N82</f>
        <v>0.70885981753508653</v>
      </c>
      <c r="V183" s="47"/>
      <c r="W183" s="47"/>
      <c r="X183" s="47"/>
    </row>
    <row r="184" spans="2:24" x14ac:dyDescent="0.25">
      <c r="B184" t="s">
        <v>743</v>
      </c>
      <c r="C184" s="57"/>
      <c r="D184" s="79">
        <f t="shared" ref="D184:J184" si="65">SUM(D72-D68)/D82</f>
        <v>0.45042042559711926</v>
      </c>
      <c r="E184" s="79">
        <f t="shared" si="65"/>
        <v>0.99461733427399335</v>
      </c>
      <c r="F184" s="79">
        <f t="shared" si="65"/>
        <v>0.7194751796103247</v>
      </c>
      <c r="G184" s="79">
        <f t="shared" si="65"/>
        <v>0.45168301029114521</v>
      </c>
      <c r="H184" s="79">
        <f t="shared" si="65"/>
        <v>0.69647879425334769</v>
      </c>
      <c r="I184" s="79">
        <f t="shared" si="65"/>
        <v>0.71640426461690809</v>
      </c>
      <c r="J184" s="79">
        <f t="shared" si="65"/>
        <v>0.78897762730623755</v>
      </c>
      <c r="K184" s="79"/>
      <c r="L184" s="79"/>
      <c r="M184" s="79">
        <f>SUM(M72-M68)/M82</f>
        <v>1.0640013933734376</v>
      </c>
      <c r="N184" s="79">
        <f>SUM(N72-N68)/N82</f>
        <v>0.97797324046375256</v>
      </c>
      <c r="V184" s="47"/>
      <c r="W184" s="47"/>
      <c r="X184" s="47"/>
    </row>
    <row r="185" spans="2:24" x14ac:dyDescent="0.25">
      <c r="B185" s="87"/>
      <c r="C185" s="57"/>
      <c r="D185" s="57"/>
      <c r="E185" s="57"/>
      <c r="F185" s="57"/>
      <c r="G185" s="57"/>
      <c r="V185" s="47"/>
      <c r="W185" s="47"/>
      <c r="X185" s="47"/>
    </row>
    <row r="186" spans="2:24" x14ac:dyDescent="0.25">
      <c r="B186" s="40" t="s">
        <v>742</v>
      </c>
      <c r="C186" s="57"/>
      <c r="D186" s="57"/>
      <c r="E186" s="57"/>
      <c r="F186" s="57"/>
      <c r="G186" s="57"/>
      <c r="V186" s="47"/>
      <c r="W186" s="47"/>
      <c r="X186" s="47"/>
    </row>
    <row r="187" spans="2:24" x14ac:dyDescent="0.25">
      <c r="B187" t="s">
        <v>741</v>
      </c>
      <c r="C187" s="57"/>
      <c r="D187" s="79">
        <f t="shared" ref="D187:I187" si="66">SUM((D14)/((D69+E69)/2))</f>
        <v>16.16176398369592</v>
      </c>
      <c r="E187" s="79">
        <f t="shared" si="66"/>
        <v>15.754461134198671</v>
      </c>
      <c r="F187" s="79">
        <f t="shared" si="66"/>
        <v>15.727692373443757</v>
      </c>
      <c r="G187" s="79">
        <f t="shared" si="66"/>
        <v>17.224293018399379</v>
      </c>
      <c r="H187" s="79">
        <f t="shared" si="66"/>
        <v>18.214269921335532</v>
      </c>
      <c r="I187" s="79">
        <f t="shared" si="66"/>
        <v>9.4849165949968715</v>
      </c>
      <c r="J187" s="79">
        <f>SUM((J14)/((J69+L69)/2))</f>
        <v>11.858577669895102</v>
      </c>
      <c r="K187" s="79"/>
      <c r="L187" s="79"/>
      <c r="M187" s="79">
        <f>SUM((M14)/((M69+N69)/2))</f>
        <v>6.6008127828576706</v>
      </c>
      <c r="N187" s="79">
        <f>SUM((N14)/((N69+O69)/2))</f>
        <v>7.3017556431386597</v>
      </c>
      <c r="V187" s="47"/>
      <c r="W187" s="47"/>
      <c r="X187" s="47"/>
    </row>
    <row r="188" spans="2:24" x14ac:dyDescent="0.25">
      <c r="B188" t="s">
        <v>740</v>
      </c>
      <c r="C188" s="57"/>
      <c r="D188" s="79">
        <f t="shared" ref="D188:J188" si="67">360/D187</f>
        <v>22.274796263772323</v>
      </c>
      <c r="E188" s="79">
        <f t="shared" si="67"/>
        <v>22.850670482060313</v>
      </c>
      <c r="F188" s="79">
        <f t="shared" si="67"/>
        <v>22.889562654967794</v>
      </c>
      <c r="G188" s="79">
        <f t="shared" si="67"/>
        <v>20.900712709394799</v>
      </c>
      <c r="H188" s="79">
        <f t="shared" si="67"/>
        <v>19.76472301963139</v>
      </c>
      <c r="I188" s="79">
        <f t="shared" si="67"/>
        <v>37.954999012842528</v>
      </c>
      <c r="J188" s="79">
        <f t="shared" si="67"/>
        <v>30.357772240588147</v>
      </c>
      <c r="K188" s="79"/>
      <c r="M188" s="79">
        <f>360/M187</f>
        <v>54.53873815887053</v>
      </c>
      <c r="N188" s="79">
        <f>360/N187</f>
        <v>49.303211117217558</v>
      </c>
      <c r="V188" s="47"/>
      <c r="W188" s="47"/>
      <c r="X188" s="47"/>
    </row>
    <row r="189" spans="2:24" x14ac:dyDescent="0.25">
      <c r="B189" t="s">
        <v>739</v>
      </c>
      <c r="C189" s="57"/>
      <c r="D189" s="79">
        <f t="shared" ref="D189:I189" si="68">SUM((-D16)/((D68+E68)/2))</f>
        <v>2.7365191278234757</v>
      </c>
      <c r="E189" s="79">
        <f t="shared" si="68"/>
        <v>3.9853253281096657</v>
      </c>
      <c r="F189" s="79">
        <f t="shared" si="68"/>
        <v>3.5591544064106437</v>
      </c>
      <c r="G189" s="79">
        <f t="shared" si="68"/>
        <v>3.275514864084244</v>
      </c>
      <c r="H189" s="79">
        <f t="shared" si="68"/>
        <v>4.0962844460450913</v>
      </c>
      <c r="I189" s="79">
        <f t="shared" si="68"/>
        <v>5.4491185530294119</v>
      </c>
      <c r="J189" s="79">
        <f>SUM((-J16)/((J68+L68)/2))</f>
        <v>12.054952545049991</v>
      </c>
      <c r="K189" s="79"/>
      <c r="M189" s="79">
        <f>SUM((-M16)/((M68+N68)/2))</f>
        <v>2.0076249103723263</v>
      </c>
      <c r="N189" s="79">
        <f>SUM((-N16)/((N68+O68)/2))</f>
        <v>2.4988981930365801</v>
      </c>
      <c r="V189" s="47"/>
      <c r="W189" s="47"/>
      <c r="X189" s="47"/>
    </row>
    <row r="190" spans="2:24" x14ac:dyDescent="0.25">
      <c r="B190" t="s">
        <v>738</v>
      </c>
      <c r="C190" s="57"/>
      <c r="D190" s="79">
        <f t="shared" ref="D190:J190" si="69">360/D189</f>
        <v>131.55398635431078</v>
      </c>
      <c r="E190" s="79">
        <f t="shared" si="69"/>
        <v>90.331395899053632</v>
      </c>
      <c r="F190" s="79">
        <f t="shared" si="69"/>
        <v>101.14762072462455</v>
      </c>
      <c r="G190" s="79">
        <f t="shared" si="69"/>
        <v>109.90638569446621</v>
      </c>
      <c r="H190" s="79">
        <f t="shared" si="69"/>
        <v>87.884521873859427</v>
      </c>
      <c r="I190" s="79">
        <f t="shared" si="69"/>
        <v>66.065730906122369</v>
      </c>
      <c r="J190" s="79">
        <f t="shared" si="69"/>
        <v>29.863244890816542</v>
      </c>
      <c r="K190" s="79"/>
      <c r="M190" s="79">
        <f>360/M189</f>
        <v>179.31636439659229</v>
      </c>
      <c r="N190" s="79">
        <f>360/N189</f>
        <v>144.06349206349205</v>
      </c>
      <c r="V190" s="47"/>
      <c r="W190" s="47"/>
      <c r="X190" s="47"/>
    </row>
    <row r="191" spans="2:24" x14ac:dyDescent="0.25">
      <c r="B191" t="s">
        <v>737</v>
      </c>
      <c r="C191" s="57"/>
      <c r="D191" s="79">
        <f t="shared" ref="D191:I191" si="70">SUM((-D16)/((D78+E78)/2))</f>
        <v>1.8100872268762416</v>
      </c>
      <c r="E191" s="79">
        <f t="shared" si="70"/>
        <v>2.2769316396552166</v>
      </c>
      <c r="F191" s="79">
        <f t="shared" si="70"/>
        <v>2.5740156952291282</v>
      </c>
      <c r="G191" s="79">
        <f t="shared" si="70"/>
        <v>2.2835612728747789</v>
      </c>
      <c r="H191" s="79">
        <f t="shared" si="70"/>
        <v>2.0479896385793896</v>
      </c>
      <c r="I191" s="79">
        <f t="shared" si="70"/>
        <v>2.1186042468133621</v>
      </c>
      <c r="J191" s="79">
        <f>SUM((-J16)/((J78+L78)/2))</f>
        <v>4.4367466164436893</v>
      </c>
      <c r="K191" s="79"/>
      <c r="M191" s="79">
        <f>SUM((-M16)/((M78+N78)/2))</f>
        <v>0.99948631776905195</v>
      </c>
      <c r="N191" s="79">
        <f>SUM((-N16)/((N78+O78)/2))</f>
        <v>0.9312310832688111</v>
      </c>
      <c r="V191" s="47"/>
      <c r="W191" s="47"/>
      <c r="X191" s="47"/>
    </row>
    <row r="192" spans="2:24" x14ac:dyDescent="0.25">
      <c r="B192" t="s">
        <v>736</v>
      </c>
      <c r="C192" s="57"/>
      <c r="D192" s="79">
        <f t="shared" ref="D192:J192" si="71">360/D191</f>
        <v>198.88544300777707</v>
      </c>
      <c r="E192" s="79">
        <f t="shared" si="71"/>
        <v>158.10751351960346</v>
      </c>
      <c r="F192" s="79">
        <f t="shared" si="71"/>
        <v>139.85928705378555</v>
      </c>
      <c r="G192" s="79">
        <f t="shared" si="71"/>
        <v>157.64849591567798</v>
      </c>
      <c r="H192" s="79">
        <f t="shared" si="71"/>
        <v>175.78213933236398</v>
      </c>
      <c r="I192" s="79">
        <f t="shared" si="71"/>
        <v>169.92319379208442</v>
      </c>
      <c r="J192" s="79">
        <f t="shared" si="71"/>
        <v>81.140536325818161</v>
      </c>
      <c r="K192" s="79"/>
      <c r="M192" s="79">
        <f>360/M191</f>
        <v>360.18502064495897</v>
      </c>
      <c r="N192" s="79">
        <f>360/N191</f>
        <v>386.58503401360548</v>
      </c>
      <c r="V192" s="47"/>
      <c r="W192" s="47"/>
      <c r="X192" s="47"/>
    </row>
    <row r="193" spans="2:24" x14ac:dyDescent="0.25">
      <c r="B193" t="s">
        <v>735</v>
      </c>
      <c r="C193" s="57"/>
      <c r="D193" s="79">
        <f t="shared" ref="D193:J193" si="72">D188+D190-D192</f>
        <v>-45.056660389693974</v>
      </c>
      <c r="E193" s="79">
        <f t="shared" si="72"/>
        <v>-44.925447138489517</v>
      </c>
      <c r="F193" s="79">
        <f t="shared" si="72"/>
        <v>-15.822103674193215</v>
      </c>
      <c r="G193" s="79">
        <f t="shared" si="72"/>
        <v>-26.841397511816979</v>
      </c>
      <c r="H193" s="79">
        <f t="shared" si="72"/>
        <v>-68.132894438873166</v>
      </c>
      <c r="I193" s="79">
        <f t="shared" si="72"/>
        <v>-65.90246387311953</v>
      </c>
      <c r="J193" s="79">
        <f t="shared" si="72"/>
        <v>-20.919519194413468</v>
      </c>
      <c r="K193" s="79"/>
      <c r="M193" s="79">
        <f>M188+M190-M192</f>
        <v>-126.32991808949615</v>
      </c>
      <c r="N193" s="79">
        <f>N188+N190-N192</f>
        <v>-193.21833083289587</v>
      </c>
      <c r="V193" s="47"/>
      <c r="W193" s="47"/>
      <c r="X193" s="47"/>
    </row>
    <row r="194" spans="2:24" x14ac:dyDescent="0.25">
      <c r="B194" t="s">
        <v>734</v>
      </c>
      <c r="C194" s="57"/>
      <c r="D194" s="88">
        <f t="shared" ref="D194:J194" si="73">D188+D190</f>
        <v>153.8287826180831</v>
      </c>
      <c r="E194" s="88">
        <f t="shared" si="73"/>
        <v>113.18206638111394</v>
      </c>
      <c r="F194" s="88">
        <f t="shared" si="73"/>
        <v>124.03718337959234</v>
      </c>
      <c r="G194" s="88">
        <f t="shared" si="73"/>
        <v>130.807098403861</v>
      </c>
      <c r="H194" s="88">
        <f t="shared" si="73"/>
        <v>107.64924489349082</v>
      </c>
      <c r="I194" s="88">
        <f t="shared" si="73"/>
        <v>104.02072991896489</v>
      </c>
      <c r="J194" s="88">
        <f t="shared" si="73"/>
        <v>60.221017131404693</v>
      </c>
      <c r="K194" s="88"/>
      <c r="M194" s="88">
        <f>M188+M190</f>
        <v>233.85510255546282</v>
      </c>
      <c r="N194" s="88">
        <f>N188+N190</f>
        <v>193.36670318070961</v>
      </c>
      <c r="V194" s="47"/>
      <c r="W194" s="47"/>
      <c r="X194" s="47"/>
    </row>
    <row r="195" spans="2:24" x14ac:dyDescent="0.25">
      <c r="C195" s="57"/>
      <c r="D195" s="57"/>
      <c r="E195" s="57"/>
      <c r="F195" s="57"/>
      <c r="G195" s="57"/>
      <c r="V195" s="47"/>
      <c r="W195" s="47"/>
      <c r="X195" s="47"/>
    </row>
    <row r="196" spans="2:24" ht="15.75" thickBot="1" x14ac:dyDescent="0.3">
      <c r="B196" s="40" t="s">
        <v>733</v>
      </c>
      <c r="C196" s="56">
        <v>44739</v>
      </c>
      <c r="D196" s="56">
        <v>44374</v>
      </c>
      <c r="E196" s="56">
        <v>44010</v>
      </c>
      <c r="F196" s="56">
        <v>43646</v>
      </c>
      <c r="G196" s="56">
        <v>43282</v>
      </c>
      <c r="H196" s="56">
        <v>42918</v>
      </c>
      <c r="I196" s="56">
        <v>42577</v>
      </c>
      <c r="J196" s="56">
        <v>42213</v>
      </c>
      <c r="K196" s="57"/>
      <c r="M196" s="56">
        <v>44556</v>
      </c>
      <c r="N196" s="56">
        <v>44192</v>
      </c>
      <c r="O196" s="56">
        <v>43828</v>
      </c>
      <c r="P196" s="56">
        <v>43464</v>
      </c>
      <c r="Q196" s="56">
        <v>43100</v>
      </c>
      <c r="R196" s="56">
        <v>42729</v>
      </c>
      <c r="V196" s="47"/>
      <c r="W196" s="47"/>
      <c r="X196" s="47"/>
    </row>
    <row r="197" spans="2:24" x14ac:dyDescent="0.25">
      <c r="B197" t="s">
        <v>732</v>
      </c>
      <c r="D197" s="47">
        <f t="shared" ref="D197:J197" si="74">SUM(D124:D126)</f>
        <v>-10572</v>
      </c>
      <c r="E197" s="47">
        <f t="shared" si="74"/>
        <v>5835</v>
      </c>
      <c r="F197" s="47">
        <f t="shared" si="74"/>
        <v>1926.2919999999999</v>
      </c>
      <c r="G197" s="47">
        <f t="shared" si="74"/>
        <v>-4114.8949999999995</v>
      </c>
      <c r="H197" s="47">
        <f t="shared" si="74"/>
        <v>-3019.473</v>
      </c>
      <c r="I197" s="47">
        <f t="shared" si="74"/>
        <v>-1087.6379999999999</v>
      </c>
      <c r="J197" s="47">
        <f t="shared" si="74"/>
        <v>-315.45000000000005</v>
      </c>
      <c r="K197" s="47"/>
      <c r="M197" s="47">
        <f>SUM(M124:M126)</f>
        <v>-3579</v>
      </c>
      <c r="N197" s="47">
        <f>SUM(N124:N126)</f>
        <v>8032</v>
      </c>
      <c r="V197" s="47"/>
      <c r="W197" s="47"/>
      <c r="X197" s="47"/>
    </row>
    <row r="198" spans="2:24" x14ac:dyDescent="0.25">
      <c r="B198" t="s">
        <v>731</v>
      </c>
      <c r="D198" s="47">
        <f t="shared" ref="D198:J198" si="75">SUM(D69+D68-D78)</f>
        <v>2236</v>
      </c>
      <c r="E198" s="47">
        <f t="shared" si="75"/>
        <v>-5393</v>
      </c>
      <c r="F198" s="47">
        <f t="shared" si="75"/>
        <v>2642.0720000000038</v>
      </c>
      <c r="G198" s="47">
        <f t="shared" si="75"/>
        <v>4496.5660000000007</v>
      </c>
      <c r="H198" s="47">
        <f t="shared" si="75"/>
        <v>-733.64100000000144</v>
      </c>
      <c r="I198" s="47">
        <f t="shared" si="75"/>
        <v>-4195.2520000000004</v>
      </c>
      <c r="J198" s="47">
        <f t="shared" si="75"/>
        <v>5956.2250000000004</v>
      </c>
      <c r="K198" s="47"/>
      <c r="M198" s="47">
        <f>SUM(M69+M68-M78)</f>
        <v>2892</v>
      </c>
      <c r="N198" s="47">
        <f>SUM(N69+N68-N78)</f>
        <v>-17260</v>
      </c>
      <c r="V198" s="47"/>
      <c r="W198" s="47"/>
      <c r="X198" s="47"/>
    </row>
    <row r="199" spans="2:24" x14ac:dyDescent="0.25">
      <c r="B199" t="s">
        <v>730</v>
      </c>
      <c r="D199" s="47">
        <f t="shared" ref="D199:J199" si="76">SUM(D72-D82)</f>
        <v>3345</v>
      </c>
      <c r="E199" s="47">
        <f t="shared" si="76"/>
        <v>13710</v>
      </c>
      <c r="F199" s="47">
        <f t="shared" si="76"/>
        <v>6876.0250000000051</v>
      </c>
      <c r="G199" s="47">
        <f t="shared" si="76"/>
        <v>3162.3310000000019</v>
      </c>
      <c r="H199" s="47">
        <f t="shared" si="76"/>
        <v>3429.393</v>
      </c>
      <c r="I199" s="47">
        <f t="shared" si="76"/>
        <v>1675.8379999999997</v>
      </c>
      <c r="J199" s="47">
        <f t="shared" si="76"/>
        <v>-528.89600000000064</v>
      </c>
      <c r="K199" s="47"/>
      <c r="M199" s="47">
        <f>SUM(M72-M82)</f>
        <v>46414</v>
      </c>
      <c r="N199" s="47">
        <f>SUM(N72-N82)</f>
        <v>14064</v>
      </c>
      <c r="V199" s="47"/>
      <c r="W199" s="47"/>
      <c r="X199" s="47"/>
    </row>
    <row r="200" spans="2:24" x14ac:dyDescent="0.25">
      <c r="B200" t="s">
        <v>729</v>
      </c>
      <c r="D200" s="47">
        <f t="shared" ref="D200:J200" si="77">D65</f>
        <v>100461</v>
      </c>
      <c r="E200" s="47">
        <f t="shared" si="77"/>
        <v>91007</v>
      </c>
      <c r="F200" s="47">
        <f t="shared" si="77"/>
        <v>46155.370999999999</v>
      </c>
      <c r="G200" s="47">
        <f t="shared" si="77"/>
        <v>39891.252</v>
      </c>
      <c r="H200" s="47">
        <f t="shared" si="77"/>
        <v>33956.692000000003</v>
      </c>
      <c r="I200" s="47">
        <f t="shared" si="77"/>
        <v>28060.447</v>
      </c>
      <c r="J200" s="47">
        <f t="shared" si="77"/>
        <v>14063.69</v>
      </c>
      <c r="K200" s="47"/>
      <c r="M200" s="47">
        <f>M65</f>
        <v>117213</v>
      </c>
      <c r="N200" s="47">
        <f>N65</f>
        <v>95932</v>
      </c>
      <c r="V200" s="47"/>
      <c r="W200" s="47"/>
      <c r="X200" s="47"/>
    </row>
    <row r="201" spans="2:24" x14ac:dyDescent="0.25">
      <c r="B201" t="s">
        <v>728</v>
      </c>
      <c r="D201" s="47">
        <f t="shared" ref="D201:J201" si="78">SUM(D24-D23)+D117</f>
        <v>12766</v>
      </c>
      <c r="E201" s="47">
        <f t="shared" si="78"/>
        <v>4543</v>
      </c>
      <c r="F201" s="47">
        <f t="shared" si="78"/>
        <v>14824.088999999998</v>
      </c>
      <c r="G201" s="47">
        <f t="shared" si="78"/>
        <v>13739.803000000007</v>
      </c>
      <c r="H201" s="47">
        <f t="shared" si="78"/>
        <v>12370.217000000008</v>
      </c>
      <c r="I201" s="47">
        <f t="shared" si="78"/>
        <v>7042.8489999999956</v>
      </c>
      <c r="J201" s="47">
        <f t="shared" si="78"/>
        <v>3656.9309999999955</v>
      </c>
      <c r="K201" s="47"/>
      <c r="M201" s="47">
        <f>SUM(M24-M23)+M117</f>
        <v>25305</v>
      </c>
      <c r="N201" s="47">
        <f>SUM(N24-N23)+N117</f>
        <v>16900</v>
      </c>
      <c r="V201" s="47"/>
      <c r="W201" s="47"/>
      <c r="X201" s="47"/>
    </row>
    <row r="202" spans="2:24" x14ac:dyDescent="0.25">
      <c r="B202" t="s">
        <v>727</v>
      </c>
      <c r="D202" s="47">
        <f t="shared" ref="D202:J202" si="79">SUM(D24-D23)</f>
        <v>11801</v>
      </c>
      <c r="E202" s="47">
        <f t="shared" si="79"/>
        <v>3945</v>
      </c>
      <c r="F202" s="47">
        <f t="shared" si="79"/>
        <v>14311.226999999999</v>
      </c>
      <c r="G202" s="47">
        <f t="shared" si="79"/>
        <v>13229.911000000007</v>
      </c>
      <c r="H202" s="47">
        <f t="shared" si="79"/>
        <v>11928.146000000008</v>
      </c>
      <c r="I202" s="47">
        <f t="shared" si="79"/>
        <v>6365.8719999999958</v>
      </c>
      <c r="J202" s="47">
        <f t="shared" si="79"/>
        <v>3462.3889999999956</v>
      </c>
      <c r="K202" s="47"/>
      <c r="L202" s="47"/>
      <c r="M202" s="47">
        <f>SUM(M24-M23)</f>
        <v>24624</v>
      </c>
      <c r="N202" s="47">
        <f>SUM(N24-N23)</f>
        <v>16496</v>
      </c>
      <c r="V202" s="47"/>
      <c r="W202" s="47"/>
      <c r="X202" s="47"/>
    </row>
    <row r="203" spans="2:24" x14ac:dyDescent="0.25">
      <c r="B203" t="s">
        <v>726</v>
      </c>
      <c r="D203" s="47">
        <f t="shared" ref="D203:J203" si="80">SUM(D24+D113+D117-D23)</f>
        <v>18309</v>
      </c>
      <c r="E203" s="47">
        <f t="shared" si="80"/>
        <v>10324</v>
      </c>
      <c r="F203" s="47">
        <f t="shared" si="80"/>
        <v>19764.071</v>
      </c>
      <c r="G203" s="47">
        <f t="shared" si="80"/>
        <v>17987.353000000006</v>
      </c>
      <c r="H203" s="47">
        <f t="shared" si="80"/>
        <v>15672.993000000008</v>
      </c>
      <c r="I203" s="47">
        <f t="shared" si="80"/>
        <v>9559.4809999999961</v>
      </c>
      <c r="J203" s="47">
        <f t="shared" si="80"/>
        <v>7701.5329999999958</v>
      </c>
      <c r="K203" s="47"/>
      <c r="L203" s="47"/>
      <c r="M203" s="47">
        <f>SUM(M24+M113+M117-M23)</f>
        <v>28007</v>
      </c>
      <c r="N203" s="47">
        <f>SUM(N24+N113+N117-N23)</f>
        <v>19649</v>
      </c>
      <c r="V203" s="47"/>
      <c r="W203" s="47"/>
      <c r="X203" s="47"/>
    </row>
    <row r="204" spans="2:24" x14ac:dyDescent="0.25">
      <c r="B204" t="s">
        <v>725</v>
      </c>
      <c r="D204" s="47">
        <f t="shared" ref="D204:J204" si="81">SUM(D24+D113+D117-D23+D114)</f>
        <v>27596</v>
      </c>
      <c r="E204" s="47">
        <f t="shared" si="81"/>
        <v>21277</v>
      </c>
      <c r="F204" s="47">
        <f t="shared" si="81"/>
        <v>19764.071</v>
      </c>
      <c r="G204" s="47">
        <f t="shared" si="81"/>
        <v>17987.353000000006</v>
      </c>
      <c r="H204" s="47">
        <f t="shared" si="81"/>
        <v>15672.993000000008</v>
      </c>
      <c r="I204" s="47">
        <f t="shared" si="81"/>
        <v>9559.4809999999961</v>
      </c>
      <c r="J204" s="47">
        <f t="shared" si="81"/>
        <v>7701.5329999999958</v>
      </c>
      <c r="K204" s="47"/>
      <c r="L204" s="47"/>
      <c r="M204" s="47">
        <f>SUM(M24+M113+M117-M23+M114)</f>
        <v>32280</v>
      </c>
      <c r="N204" s="47">
        <f>SUM(N24+N113+N117-N23+N114)</f>
        <v>24730</v>
      </c>
      <c r="V204" s="47"/>
      <c r="W204" s="47"/>
      <c r="X204" s="47"/>
    </row>
    <row r="205" spans="2:24" x14ac:dyDescent="0.25">
      <c r="B205" t="s">
        <v>724</v>
      </c>
      <c r="D205" s="47">
        <f t="shared" ref="D205:J205" si="82">SUM(D24+D113+D117-D23+D120)</f>
        <v>19220</v>
      </c>
      <c r="E205" s="47">
        <f t="shared" si="82"/>
        <v>10686</v>
      </c>
      <c r="F205" s="47">
        <f t="shared" si="82"/>
        <v>20010.332999999999</v>
      </c>
      <c r="G205" s="47">
        <f t="shared" si="82"/>
        <v>18713.938000000006</v>
      </c>
      <c r="H205" s="47">
        <f t="shared" si="82"/>
        <v>16235.249000000007</v>
      </c>
      <c r="I205" s="47">
        <f t="shared" si="82"/>
        <v>9624.122999999996</v>
      </c>
      <c r="J205" s="47">
        <f t="shared" si="82"/>
        <v>7701.5329999999958</v>
      </c>
      <c r="K205" s="47"/>
      <c r="L205" s="47"/>
      <c r="M205" s="47">
        <f>SUM(M24+M113+M117-M23+M120)</f>
        <v>29472</v>
      </c>
      <c r="N205" s="47">
        <f>SUM(N24+N113+N117-N23+N120)</f>
        <v>19846</v>
      </c>
      <c r="V205" s="47"/>
      <c r="W205" s="47"/>
      <c r="X205" s="47"/>
    </row>
    <row r="206" spans="2:24" x14ac:dyDescent="0.25">
      <c r="B206" t="s">
        <v>723</v>
      </c>
      <c r="D206" s="47">
        <f t="shared" ref="D206:J206" si="83">SUM(D24+D113+D117-D23+D114+D120)</f>
        <v>28507</v>
      </c>
      <c r="E206" s="47">
        <f t="shared" si="83"/>
        <v>21639</v>
      </c>
      <c r="F206" s="47">
        <f t="shared" si="83"/>
        <v>20010.332999999999</v>
      </c>
      <c r="G206" s="47">
        <f t="shared" si="83"/>
        <v>18713.938000000006</v>
      </c>
      <c r="H206" s="47">
        <f t="shared" si="83"/>
        <v>16235.249000000007</v>
      </c>
      <c r="I206" s="47">
        <f t="shared" si="83"/>
        <v>9624.122999999996</v>
      </c>
      <c r="J206" s="47">
        <f t="shared" si="83"/>
        <v>7701.5329999999958</v>
      </c>
      <c r="K206" s="47"/>
      <c r="L206" s="47"/>
      <c r="M206" s="47">
        <f>SUM(M24+M113+M117-M23+M114+M120)</f>
        <v>33745</v>
      </c>
      <c r="N206" s="47">
        <f>SUM(N24+N113+N117-N23+N114+N120)</f>
        <v>24927</v>
      </c>
      <c r="V206" s="47"/>
      <c r="W206" s="47"/>
      <c r="X206" s="47"/>
    </row>
    <row r="207" spans="2:24" x14ac:dyDescent="0.25">
      <c r="B207" t="s">
        <v>722</v>
      </c>
      <c r="D207" s="47">
        <f t="shared" ref="D207:J207" si="84">SUM(D202*D48)</f>
        <v>8574.7296779141107</v>
      </c>
      <c r="E207" s="47">
        <f t="shared" si="84"/>
        <v>3901.0562259647259</v>
      </c>
      <c r="F207" s="47">
        <f t="shared" si="84"/>
        <v>11130.970629355774</v>
      </c>
      <c r="G207" s="47">
        <f t="shared" si="84"/>
        <v>10388.875352708315</v>
      </c>
      <c r="H207" s="47">
        <f t="shared" si="84"/>
        <v>9329.3423956974457</v>
      </c>
      <c r="I207" s="47">
        <f t="shared" si="84"/>
        <v>4649.7114047962659</v>
      </c>
      <c r="J207" s="47">
        <f t="shared" si="84"/>
        <v>2417.8982456676185</v>
      </c>
      <c r="K207" s="47"/>
      <c r="M207" s="47">
        <f>SUM(M202*M48)</f>
        <v>19726.838661400958</v>
      </c>
      <c r="N207" s="47">
        <f>SUM(N202*N48)</f>
        <v>12952.225111585485</v>
      </c>
      <c r="Q207" s="47"/>
      <c r="R207" s="47"/>
      <c r="V207" s="47"/>
      <c r="W207" s="47"/>
      <c r="X207" s="47"/>
    </row>
    <row r="208" spans="2:24" x14ac:dyDescent="0.25">
      <c r="B208" t="s">
        <v>721</v>
      </c>
      <c r="D208" s="47">
        <f t="shared" ref="D208:J208" si="85">SUM(D201*D48)</f>
        <v>9275.9087423312885</v>
      </c>
      <c r="E208" s="47">
        <f t="shared" si="85"/>
        <v>4492.3950404455645</v>
      </c>
      <c r="F208" s="47">
        <f t="shared" si="85"/>
        <v>11529.863880012244</v>
      </c>
      <c r="G208" s="47">
        <f t="shared" si="85"/>
        <v>10789.271427280784</v>
      </c>
      <c r="H208" s="47">
        <f t="shared" si="85"/>
        <v>9675.098703694377</v>
      </c>
      <c r="I208" s="47">
        <f t="shared" si="85"/>
        <v>5144.1837532325462</v>
      </c>
      <c r="J208" s="47">
        <f t="shared" si="85"/>
        <v>2553.7532176273462</v>
      </c>
      <c r="K208" s="47"/>
      <c r="M208" s="47">
        <f>SUM(M201*M48)</f>
        <v>20272.403034712119</v>
      </c>
      <c r="N208" s="47">
        <f>SUM(N201*N48)</f>
        <v>13269.435280419173</v>
      </c>
      <c r="Q208" s="47"/>
      <c r="R208" s="47"/>
      <c r="V208" s="47"/>
      <c r="W208" s="47"/>
      <c r="X208" s="47"/>
    </row>
    <row r="209" spans="2:24" x14ac:dyDescent="0.25">
      <c r="B209" t="s">
        <v>720</v>
      </c>
      <c r="D209" s="83">
        <f t="shared" ref="D209:J209" si="86">SUM(D207)/(D200+D198)</f>
        <v>8.3495425162508255E-2</v>
      </c>
      <c r="E209" s="83">
        <f t="shared" si="86"/>
        <v>4.5565634428536519E-2</v>
      </c>
      <c r="F209" s="83">
        <f t="shared" si="86"/>
        <v>0.22810561261080367</v>
      </c>
      <c r="G209" s="83">
        <f t="shared" si="86"/>
        <v>0.23404789468832002</v>
      </c>
      <c r="H209" s="83">
        <f t="shared" si="86"/>
        <v>0.28080932108545498</v>
      </c>
      <c r="I209" s="83">
        <f t="shared" si="86"/>
        <v>0.19483232400976677</v>
      </c>
      <c r="J209" s="83">
        <f t="shared" si="86"/>
        <v>0.12077465092472263</v>
      </c>
      <c r="K209" s="83"/>
      <c r="M209" s="83">
        <f>SUM(M207)/(M200+M198)</f>
        <v>0.1642466063977433</v>
      </c>
      <c r="N209" s="83">
        <f>SUM(N207)/(N200+N198)</f>
        <v>0.16463576763760276</v>
      </c>
      <c r="Q209" s="47"/>
      <c r="R209" s="47"/>
      <c r="V209" s="47"/>
      <c r="W209" s="47"/>
      <c r="X209" s="47"/>
    </row>
    <row r="210" spans="2:24" x14ac:dyDescent="0.25">
      <c r="B210" t="s">
        <v>719</v>
      </c>
      <c r="D210" s="83">
        <f t="shared" ref="D210:J210" si="87">SUM(D208)/(D200+D198)</f>
        <v>9.0323074114446275E-2</v>
      </c>
      <c r="E210" s="83">
        <f t="shared" si="87"/>
        <v>5.2472668494002901E-2</v>
      </c>
      <c r="F210" s="83">
        <f t="shared" si="87"/>
        <v>0.23628008295459754</v>
      </c>
      <c r="G210" s="83">
        <f t="shared" si="87"/>
        <v>0.24306829921851045</v>
      </c>
      <c r="H210" s="83">
        <f t="shared" si="87"/>
        <v>0.29121644197260443</v>
      </c>
      <c r="I210" s="83">
        <f t="shared" si="87"/>
        <v>0.21555171676713919</v>
      </c>
      <c r="J210" s="83">
        <f t="shared" si="87"/>
        <v>0.12756064237172565</v>
      </c>
      <c r="K210" s="83"/>
      <c r="M210" s="83">
        <f>SUM(M208)/(M200+M198)</f>
        <v>0.16878900157955221</v>
      </c>
      <c r="N210" s="83">
        <f>SUM(N208)/(N200+N198)</f>
        <v>0.16866782693231611</v>
      </c>
      <c r="Q210" s="47"/>
      <c r="R210" s="47"/>
      <c r="V210" s="47"/>
      <c r="W210" s="47"/>
      <c r="X210" s="47"/>
    </row>
    <row r="211" spans="2:24" x14ac:dyDescent="0.25">
      <c r="B211" t="s">
        <v>718</v>
      </c>
      <c r="D211" s="47">
        <f>SUM(D48)*-D28</f>
        <v>1198.9072085889572</v>
      </c>
      <c r="E211" s="47">
        <f>SUM(E48)*-E28</f>
        <v>1649.4199708261503</v>
      </c>
      <c r="F211" s="47"/>
      <c r="G211" s="47"/>
      <c r="H211" s="47"/>
      <c r="I211" s="47"/>
      <c r="J211" s="47"/>
      <c r="K211" s="47"/>
      <c r="M211" s="47">
        <f>SUM(M48)*-M28</f>
        <v>620.06875909374355</v>
      </c>
      <c r="N211" s="47">
        <f>SUM(N48)*-N28</f>
        <v>704.30079565301764</v>
      </c>
      <c r="Q211" s="47"/>
      <c r="R211" s="47"/>
      <c r="V211" s="47"/>
      <c r="W211" s="47"/>
      <c r="X211" s="47"/>
    </row>
    <row r="212" spans="2:24" x14ac:dyDescent="0.25">
      <c r="B212" t="s">
        <v>717</v>
      </c>
      <c r="D212" s="83">
        <f>SUM(D211)/(D76+D77+D80+D87)</f>
        <v>3.0302982726442152E-2</v>
      </c>
      <c r="E212" s="83">
        <f>SUM(E211)/(E76+E77+E80+E87)</f>
        <v>3.5129171103574858E-2</v>
      </c>
      <c r="F212" s="83"/>
      <c r="G212" s="83"/>
      <c r="H212" s="83"/>
      <c r="I212" s="83"/>
      <c r="J212" s="83"/>
      <c r="K212" s="83"/>
      <c r="M212" s="83">
        <f>SUM(M211)/(M76+M77+M80+M87)</f>
        <v>1.695288602071696E-2</v>
      </c>
      <c r="N212" s="83">
        <f>SUM(N211)/(N76+N77+N80+N87)</f>
        <v>1.5623353940838901E-2</v>
      </c>
      <c r="Q212" s="47"/>
      <c r="R212" s="47"/>
      <c r="V212" s="47"/>
      <c r="W212" s="47"/>
      <c r="X212" s="47"/>
    </row>
    <row r="213" spans="2:24" x14ac:dyDescent="0.25">
      <c r="D213" s="83"/>
      <c r="E213" s="83"/>
      <c r="F213" s="83"/>
      <c r="G213" s="83"/>
      <c r="H213" s="83"/>
      <c r="I213" s="83"/>
      <c r="J213" s="83"/>
      <c r="K213" s="83"/>
      <c r="M213" s="83"/>
      <c r="N213" s="83"/>
      <c r="Q213" s="47"/>
      <c r="R213" s="47"/>
      <c r="V213" s="47"/>
      <c r="W213" s="47"/>
      <c r="X213" s="47"/>
    </row>
    <row r="214" spans="2:24" x14ac:dyDescent="0.25">
      <c r="B214" t="s">
        <v>716</v>
      </c>
      <c r="D214" s="47">
        <f>D202</f>
        <v>11801</v>
      </c>
      <c r="E214" s="47">
        <f>E202</f>
        <v>3945</v>
      </c>
      <c r="F214" s="47">
        <f>F202</f>
        <v>14311.226999999999</v>
      </c>
      <c r="G214" s="47"/>
      <c r="H214" s="47"/>
      <c r="I214" s="47"/>
      <c r="J214" s="47"/>
      <c r="K214" s="47"/>
      <c r="L214" s="47"/>
      <c r="M214" s="47"/>
      <c r="N214" s="47"/>
      <c r="O214" s="47"/>
      <c r="P214" s="47"/>
      <c r="Q214" s="47"/>
      <c r="R214" s="47"/>
      <c r="V214" s="47"/>
      <c r="W214" s="47"/>
      <c r="X214" s="47"/>
    </row>
    <row r="215" spans="2:24" x14ac:dyDescent="0.25">
      <c r="B215" t="s">
        <v>715</v>
      </c>
      <c r="D215" s="47">
        <f>D403</f>
        <v>11100</v>
      </c>
      <c r="E215" s="47">
        <f>E403</f>
        <v>12100</v>
      </c>
      <c r="F215" s="47">
        <f>F403</f>
        <v>11517</v>
      </c>
      <c r="G215" s="47"/>
      <c r="H215" s="47"/>
      <c r="I215" s="47"/>
      <c r="J215" s="47"/>
      <c r="K215" s="47"/>
      <c r="L215" s="47"/>
      <c r="M215" s="47"/>
      <c r="N215" s="47"/>
      <c r="O215" s="47"/>
      <c r="P215" s="47"/>
      <c r="Q215" s="47"/>
      <c r="R215" s="47"/>
      <c r="V215" s="47"/>
      <c r="W215" s="47"/>
      <c r="X215" s="47"/>
    </row>
    <row r="216" spans="2:24" x14ac:dyDescent="0.25">
      <c r="B216" t="s">
        <v>714</v>
      </c>
      <c r="D216" s="47">
        <f>D120</f>
        <v>911</v>
      </c>
      <c r="E216" s="47">
        <f>E120</f>
        <v>362</v>
      </c>
      <c r="F216" s="47">
        <f>F120</f>
        <v>246.262</v>
      </c>
      <c r="G216" s="47"/>
      <c r="H216" s="47"/>
      <c r="I216" s="47"/>
      <c r="J216" s="47"/>
      <c r="K216" s="47"/>
      <c r="L216" s="47"/>
      <c r="M216" s="47"/>
      <c r="N216" s="47"/>
      <c r="O216" s="47"/>
      <c r="P216" s="47"/>
      <c r="Q216" s="47"/>
      <c r="R216" s="47"/>
      <c r="V216" s="47"/>
      <c r="W216" s="47"/>
      <c r="X216" s="47"/>
    </row>
    <row r="217" spans="2:24" x14ac:dyDescent="0.25">
      <c r="B217" t="s">
        <v>422</v>
      </c>
      <c r="D217" s="47">
        <f>SUM(D214:D216)</f>
        <v>23812</v>
      </c>
      <c r="E217" s="47">
        <f>SUM(E214:E216)</f>
        <v>16407</v>
      </c>
      <c r="F217" s="47">
        <f>SUM(F214:F216)</f>
        <v>26074.488999999998</v>
      </c>
      <c r="G217" s="47"/>
      <c r="H217" s="47"/>
      <c r="I217" s="47"/>
      <c r="J217" s="47"/>
      <c r="K217" s="47"/>
      <c r="L217" s="47"/>
      <c r="M217" s="47"/>
      <c r="N217" s="47"/>
      <c r="O217" s="47"/>
      <c r="P217" s="47"/>
      <c r="Q217" s="47"/>
      <c r="R217" s="47"/>
      <c r="V217" s="47"/>
      <c r="W217" s="47"/>
      <c r="X217" s="47"/>
    </row>
    <row r="218" spans="2:24" x14ac:dyDescent="0.25">
      <c r="B218" t="s">
        <v>713</v>
      </c>
      <c r="D218" s="79">
        <f>D47</f>
        <v>0.27338957055214724</v>
      </c>
      <c r="E218" s="79">
        <f>E47</f>
        <v>1.1139106219334305E-2</v>
      </c>
      <c r="F218" s="79">
        <f>F47</f>
        <v>0.22222108353422282</v>
      </c>
      <c r="G218" s="79"/>
      <c r="H218" s="79"/>
      <c r="I218" s="79"/>
      <c r="J218" s="47"/>
      <c r="K218" s="47"/>
      <c r="L218" s="47"/>
      <c r="M218" s="47"/>
      <c r="N218" s="47"/>
      <c r="O218" s="47"/>
      <c r="P218" s="47"/>
      <c r="Q218" s="47"/>
      <c r="R218" s="47"/>
      <c r="V218" s="47"/>
      <c r="W218" s="47"/>
      <c r="X218" s="47"/>
    </row>
    <row r="219" spans="2:24" x14ac:dyDescent="0.25">
      <c r="B219" t="s">
        <v>712</v>
      </c>
      <c r="D219" s="47">
        <f>D218*D217</f>
        <v>6509.9524539877302</v>
      </c>
      <c r="E219" s="47">
        <f>E218*E217</f>
        <v>182.75931574061795</v>
      </c>
      <c r="F219" s="47">
        <f>F218*F217</f>
        <v>5794.3011981811733</v>
      </c>
      <c r="G219" s="47"/>
      <c r="H219" s="47"/>
      <c r="I219" s="47"/>
      <c r="J219" s="47"/>
      <c r="K219" s="47"/>
      <c r="L219" s="47"/>
      <c r="M219" s="47"/>
      <c r="N219" s="47"/>
      <c r="O219" s="47"/>
      <c r="P219" s="47"/>
      <c r="Q219" s="47"/>
      <c r="R219" s="47"/>
      <c r="V219" s="47"/>
      <c r="W219" s="47"/>
      <c r="X219" s="47"/>
    </row>
    <row r="220" spans="2:24" x14ac:dyDescent="0.25">
      <c r="B220" t="s">
        <v>422</v>
      </c>
      <c r="D220" s="47">
        <f>D217-D219</f>
        <v>17302.047546012269</v>
      </c>
      <c r="E220" s="47">
        <f>E217-E219</f>
        <v>16224.240684259383</v>
      </c>
      <c r="F220" s="47">
        <f>F217-F219</f>
        <v>20280.187801818825</v>
      </c>
      <c r="G220" s="47"/>
      <c r="H220" s="47"/>
      <c r="N220" s="47"/>
      <c r="O220" s="47"/>
      <c r="P220" s="47"/>
      <c r="Q220" s="47"/>
      <c r="R220" s="47"/>
      <c r="V220" s="47"/>
      <c r="W220" s="47"/>
      <c r="X220" s="47"/>
    </row>
    <row r="221" spans="2:24" x14ac:dyDescent="0.25">
      <c r="B221" t="s">
        <v>436</v>
      </c>
      <c r="D221" s="47">
        <f>SUM(D113+D114+D117)</f>
        <v>15795</v>
      </c>
      <c r="E221" s="47">
        <f>SUM(E113+E114+E117)</f>
        <v>17332</v>
      </c>
      <c r="F221" s="47">
        <f>SUM(F113+F114+F117)</f>
        <v>5452.8440000000001</v>
      </c>
      <c r="G221" s="47"/>
      <c r="H221" s="47"/>
      <c r="N221" s="47"/>
      <c r="O221" s="47"/>
      <c r="P221" s="47"/>
      <c r="Q221" s="47"/>
      <c r="R221" s="47"/>
      <c r="V221" s="47"/>
      <c r="W221" s="47"/>
      <c r="X221" s="47"/>
    </row>
    <row r="222" spans="2:24" x14ac:dyDescent="0.25">
      <c r="B222" s="87" t="s">
        <v>711</v>
      </c>
      <c r="D222" s="47">
        <f>SUM(D220:D221)</f>
        <v>33097.047546012269</v>
      </c>
      <c r="E222" s="47">
        <f>SUM(E220:E221)</f>
        <v>33556.240684259385</v>
      </c>
      <c r="F222" s="47">
        <f>SUM(F220:F221)</f>
        <v>25733.031801818826</v>
      </c>
      <c r="G222" s="47"/>
      <c r="H222" s="47"/>
      <c r="N222" s="47"/>
      <c r="O222" s="47"/>
      <c r="P222" s="47"/>
      <c r="Q222" s="47"/>
      <c r="R222" s="47"/>
      <c r="V222" s="47"/>
      <c r="W222" s="47"/>
      <c r="X222" s="47"/>
    </row>
    <row r="223" spans="2:24" x14ac:dyDescent="0.25">
      <c r="D223" s="47"/>
      <c r="E223" s="47"/>
      <c r="F223" s="47"/>
      <c r="G223" s="47"/>
      <c r="H223" s="47"/>
      <c r="O223" s="47"/>
      <c r="P223" s="47"/>
      <c r="Q223" s="47"/>
      <c r="R223" s="47"/>
      <c r="V223" s="47"/>
      <c r="W223" s="47"/>
      <c r="X223" s="47"/>
    </row>
    <row r="224" spans="2:24" x14ac:dyDescent="0.25">
      <c r="B224" t="s">
        <v>710</v>
      </c>
      <c r="D224" s="47">
        <f>D577</f>
        <v>101946</v>
      </c>
      <c r="E224" s="47">
        <f>E577</f>
        <v>85089</v>
      </c>
      <c r="F224" s="47">
        <f>F577</f>
        <v>73238</v>
      </c>
      <c r="G224" s="47"/>
      <c r="H224" s="47"/>
      <c r="O224" s="47"/>
      <c r="P224" s="47"/>
      <c r="Q224" s="47"/>
      <c r="R224" s="47"/>
      <c r="V224" s="47"/>
      <c r="W224" s="47"/>
      <c r="X224" s="47"/>
    </row>
    <row r="225" spans="2:24" x14ac:dyDescent="0.25">
      <c r="B225" t="s">
        <v>709</v>
      </c>
      <c r="D225" s="47">
        <f>D556</f>
        <v>53871</v>
      </c>
      <c r="E225" s="47">
        <f>E556</f>
        <v>54830</v>
      </c>
      <c r="F225" s="47">
        <v>45000</v>
      </c>
      <c r="G225" s="47"/>
      <c r="H225" s="47"/>
      <c r="O225" s="47"/>
      <c r="P225" s="47"/>
      <c r="Q225" s="47"/>
      <c r="R225" s="47"/>
      <c r="V225" s="47"/>
      <c r="W225" s="47"/>
      <c r="X225" s="47"/>
    </row>
    <row r="226" spans="2:24" x14ac:dyDescent="0.25">
      <c r="B226" t="s">
        <v>708</v>
      </c>
      <c r="D226" s="47">
        <f>D595</f>
        <v>6606</v>
      </c>
      <c r="E226" s="47">
        <f>E595</f>
        <v>5112</v>
      </c>
      <c r="F226" s="47">
        <f>F595</f>
        <v>3584</v>
      </c>
      <c r="G226" s="47"/>
      <c r="H226" s="47"/>
      <c r="I226" s="47"/>
      <c r="J226" s="47"/>
      <c r="K226" s="47"/>
      <c r="L226" s="47"/>
      <c r="M226" s="47"/>
      <c r="N226" s="47"/>
      <c r="O226" s="47"/>
      <c r="P226" s="47"/>
      <c r="Q226" s="47"/>
      <c r="R226" s="47"/>
      <c r="V226" s="47"/>
      <c r="W226" s="47"/>
      <c r="X226" s="47"/>
    </row>
    <row r="227" spans="2:24" x14ac:dyDescent="0.25">
      <c r="B227" t="s">
        <v>707</v>
      </c>
      <c r="D227" s="47">
        <f>D198</f>
        <v>2236</v>
      </c>
      <c r="E227" s="47">
        <f>E198</f>
        <v>-5393</v>
      </c>
      <c r="F227" s="47">
        <f>F198</f>
        <v>2642.0720000000038</v>
      </c>
      <c r="G227" s="47"/>
      <c r="H227" s="47"/>
      <c r="I227" s="47"/>
      <c r="J227" s="47"/>
      <c r="K227" s="47"/>
      <c r="L227" s="47"/>
      <c r="M227" s="47"/>
      <c r="N227" s="47"/>
      <c r="O227" s="47"/>
      <c r="P227" s="47"/>
      <c r="Q227" s="47"/>
      <c r="R227" s="47"/>
      <c r="V227" s="47"/>
      <c r="W227" s="47"/>
      <c r="X227" s="47"/>
    </row>
    <row r="228" spans="2:24" x14ac:dyDescent="0.25">
      <c r="B228" s="87" t="s">
        <v>706</v>
      </c>
      <c r="D228" s="47">
        <f>SUM(D224:D227)</f>
        <v>164659</v>
      </c>
      <c r="E228" s="47">
        <f>SUM(E224:E227)</f>
        <v>139638</v>
      </c>
      <c r="F228" s="47">
        <f>SUM(F224:F227)</f>
        <v>124464.072</v>
      </c>
      <c r="G228" s="47"/>
      <c r="H228" s="47"/>
      <c r="I228" s="47"/>
      <c r="J228" s="47"/>
      <c r="K228" s="47"/>
      <c r="L228" s="47"/>
      <c r="M228" s="47"/>
      <c r="N228" s="47"/>
      <c r="O228" s="47"/>
      <c r="P228" s="47"/>
      <c r="Q228" s="47"/>
      <c r="R228" s="47"/>
      <c r="V228" s="47"/>
      <c r="W228" s="47"/>
      <c r="X228" s="47"/>
    </row>
    <row r="229" spans="2:24" x14ac:dyDescent="0.25">
      <c r="D229" s="47"/>
      <c r="E229" s="47"/>
      <c r="F229" s="47"/>
      <c r="G229" s="47"/>
      <c r="H229" s="47"/>
      <c r="I229" s="47"/>
      <c r="J229" s="47"/>
      <c r="K229" s="47"/>
      <c r="L229" s="47"/>
      <c r="M229" s="47"/>
      <c r="N229" s="47"/>
      <c r="O229" s="47"/>
      <c r="P229" s="47"/>
      <c r="Q229" s="47"/>
      <c r="R229" s="47"/>
      <c r="V229" s="47"/>
      <c r="W229" s="47"/>
      <c r="X229" s="47"/>
    </row>
    <row r="230" spans="2:24" x14ac:dyDescent="0.25">
      <c r="B230" s="87" t="s">
        <v>705</v>
      </c>
      <c r="D230" s="83">
        <f>D222/D228</f>
        <v>0.2010035743324827</v>
      </c>
      <c r="E230" s="83">
        <f>E222/E228</f>
        <v>0.24030880336483898</v>
      </c>
      <c r="F230" s="83">
        <f>F222/F228</f>
        <v>0.20675068225165272</v>
      </c>
      <c r="G230" s="47"/>
      <c r="H230" s="47"/>
      <c r="I230" s="47"/>
      <c r="J230" s="47"/>
      <c r="K230" s="47"/>
      <c r="L230" s="47"/>
      <c r="M230" s="47"/>
      <c r="N230" s="47"/>
      <c r="O230" s="47"/>
      <c r="P230" s="47"/>
      <c r="Q230" s="47"/>
      <c r="R230" s="47"/>
      <c r="V230" s="47"/>
      <c r="W230" s="47"/>
      <c r="X230" s="47"/>
    </row>
    <row r="231" spans="2:24" x14ac:dyDescent="0.25">
      <c r="B231" s="87"/>
      <c r="D231" s="83"/>
      <c r="E231" s="83"/>
      <c r="F231" s="83"/>
      <c r="G231" s="47"/>
      <c r="H231" s="47"/>
      <c r="I231" s="47"/>
      <c r="J231" s="47"/>
      <c r="K231" s="47"/>
      <c r="L231" s="47"/>
      <c r="M231" s="47"/>
      <c r="N231" s="47"/>
      <c r="O231" s="47"/>
      <c r="P231" s="47"/>
      <c r="Q231" s="47"/>
      <c r="R231" s="47"/>
      <c r="V231" s="47"/>
      <c r="W231" s="47"/>
      <c r="X231" s="47"/>
    </row>
    <row r="232" spans="2:24" x14ac:dyDescent="0.25">
      <c r="B232" s="87" t="s">
        <v>704</v>
      </c>
      <c r="C232" s="47"/>
      <c r="D232" s="47"/>
      <c r="E232" s="47"/>
      <c r="F232" s="83"/>
      <c r="G232" s="47"/>
      <c r="H232" s="47"/>
      <c r="I232" s="47"/>
      <c r="J232" s="47"/>
      <c r="K232" s="47"/>
      <c r="L232" s="47"/>
      <c r="M232" s="47"/>
      <c r="N232" s="47"/>
      <c r="O232" s="47"/>
      <c r="P232" s="47"/>
      <c r="Q232" s="47"/>
      <c r="R232" s="47"/>
      <c r="V232" s="47"/>
      <c r="W232" s="47"/>
      <c r="X232" s="47"/>
    </row>
    <row r="233" spans="2:24" x14ac:dyDescent="0.25">
      <c r="B233" t="s">
        <v>703</v>
      </c>
      <c r="C233" s="47"/>
      <c r="D233" s="47">
        <f>D207</f>
        <v>8574.7296779141107</v>
      </c>
      <c r="E233" s="47">
        <f>E207</f>
        <v>3901.0562259647259</v>
      </c>
      <c r="F233" s="83"/>
      <c r="G233" s="47"/>
      <c r="H233" s="47"/>
      <c r="I233" s="47"/>
      <c r="J233" s="47"/>
      <c r="K233" s="47"/>
      <c r="L233" s="47"/>
      <c r="M233" s="47"/>
      <c r="N233" s="47"/>
      <c r="O233" s="47"/>
      <c r="P233" s="47"/>
      <c r="Q233" s="47"/>
      <c r="R233" s="47"/>
      <c r="V233" s="47"/>
      <c r="W233" s="47"/>
      <c r="X233" s="47"/>
    </row>
    <row r="234" spans="2:24" x14ac:dyDescent="0.25">
      <c r="B234" t="s">
        <v>702</v>
      </c>
      <c r="C234" s="47"/>
      <c r="D234" s="47">
        <f>D197</f>
        <v>-10572</v>
      </c>
      <c r="E234" s="47">
        <f>E197</f>
        <v>5835</v>
      </c>
      <c r="F234" s="83"/>
      <c r="G234" s="47"/>
      <c r="H234" s="47"/>
      <c r="I234" s="47"/>
      <c r="J234" s="47"/>
      <c r="K234" s="47"/>
      <c r="L234" s="47"/>
      <c r="M234" s="47"/>
      <c r="N234" s="47"/>
      <c r="O234" s="47"/>
      <c r="P234" s="47"/>
      <c r="Q234" s="47"/>
      <c r="R234" s="47"/>
      <c r="V234" s="47"/>
      <c r="W234" s="47"/>
      <c r="X234" s="47"/>
    </row>
    <row r="235" spans="2:24" x14ac:dyDescent="0.25">
      <c r="B235" t="s">
        <v>701</v>
      </c>
      <c r="D235" s="47">
        <f>SUM(D224-E224)+(D225-E225)+(D226-E226)</f>
        <v>17392</v>
      </c>
      <c r="E235" s="47">
        <f>SUM(E224-F224)+(E225-F225)+(E226-F226)</f>
        <v>23209</v>
      </c>
      <c r="F235" s="83"/>
      <c r="G235" s="47"/>
      <c r="H235" s="47"/>
      <c r="I235" s="47"/>
      <c r="J235" s="47"/>
      <c r="K235" s="47"/>
      <c r="L235" s="47"/>
      <c r="M235" s="47"/>
      <c r="N235" s="47"/>
      <c r="O235" s="47"/>
      <c r="P235" s="47"/>
      <c r="Q235" s="47"/>
      <c r="R235" s="47"/>
      <c r="V235" s="47"/>
      <c r="W235" s="47"/>
      <c r="X235" s="47"/>
    </row>
    <row r="236" spans="2:24" x14ac:dyDescent="0.25">
      <c r="B236" t="s">
        <v>700</v>
      </c>
      <c r="D236" s="47">
        <f>SUM(D117+D113+D114)</f>
        <v>15795</v>
      </c>
      <c r="E236" s="47">
        <f>SUM(E117+E113+E114)</f>
        <v>17332</v>
      </c>
      <c r="F236" s="83"/>
      <c r="G236" s="47"/>
      <c r="H236" s="47"/>
      <c r="I236" s="47"/>
      <c r="J236" s="47"/>
      <c r="K236" s="47"/>
      <c r="L236" s="47"/>
      <c r="M236" s="47"/>
      <c r="N236" s="47"/>
      <c r="O236" s="47"/>
      <c r="P236" s="47"/>
      <c r="Q236" s="47"/>
      <c r="R236" s="47"/>
      <c r="V236" s="47"/>
      <c r="W236" s="47"/>
      <c r="X236" s="47"/>
    </row>
    <row r="237" spans="2:24" x14ac:dyDescent="0.25">
      <c r="B237" t="s">
        <v>699</v>
      </c>
      <c r="D237" s="47">
        <f>D233-D235-D234+D236</f>
        <v>17549.729677914111</v>
      </c>
      <c r="E237" s="47">
        <f>E233-E235-E234+E236</f>
        <v>-7810.9437740352732</v>
      </c>
      <c r="F237" s="83"/>
      <c r="G237" s="47"/>
      <c r="H237" s="47"/>
      <c r="I237" s="47"/>
      <c r="J237" s="47"/>
      <c r="K237" s="47"/>
      <c r="L237" s="47"/>
      <c r="M237" s="47"/>
      <c r="N237" s="47"/>
      <c r="O237" s="47"/>
      <c r="P237" s="47"/>
      <c r="Q237" s="47"/>
      <c r="R237" s="47"/>
      <c r="V237" s="47"/>
      <c r="W237" s="47"/>
      <c r="X237" s="47"/>
    </row>
    <row r="238" spans="2:24" x14ac:dyDescent="0.25">
      <c r="Q238" s="47"/>
      <c r="R238" s="47"/>
      <c r="V238" s="47"/>
      <c r="W238" s="47"/>
      <c r="X238" s="47"/>
    </row>
    <row r="239" spans="2:24" ht="15.75" thickBot="1" x14ac:dyDescent="0.3">
      <c r="B239" s="40" t="s">
        <v>698</v>
      </c>
      <c r="C239" s="82" t="s">
        <v>688</v>
      </c>
      <c r="D239" s="56">
        <v>44374</v>
      </c>
      <c r="E239" s="56">
        <v>44010</v>
      </c>
      <c r="F239" s="56">
        <v>43646</v>
      </c>
      <c r="G239" s="56">
        <v>43282</v>
      </c>
      <c r="H239" s="56">
        <v>42918</v>
      </c>
      <c r="I239" s="56">
        <v>42577</v>
      </c>
      <c r="J239" s="56">
        <v>42213</v>
      </c>
      <c r="K239" s="57"/>
      <c r="M239" s="56">
        <v>44556</v>
      </c>
      <c r="N239" s="56">
        <v>44192</v>
      </c>
      <c r="O239" s="56">
        <v>43828</v>
      </c>
      <c r="P239" s="56">
        <v>43464</v>
      </c>
      <c r="Q239" s="56">
        <v>43100</v>
      </c>
      <c r="R239" s="56">
        <v>42729</v>
      </c>
      <c r="V239" s="47"/>
      <c r="W239" s="47"/>
      <c r="X239" s="47"/>
    </row>
    <row r="240" spans="2:24" x14ac:dyDescent="0.25">
      <c r="B240" t="s">
        <v>697</v>
      </c>
      <c r="C240" s="47">
        <f>C5/1000</f>
        <v>190873.42945999998</v>
      </c>
      <c r="V240" s="47"/>
      <c r="W240" s="47"/>
      <c r="X240" s="47"/>
    </row>
    <row r="241" spans="2:24" x14ac:dyDescent="0.25">
      <c r="B241" t="s">
        <v>696</v>
      </c>
      <c r="C241" s="47">
        <f>M241</f>
        <v>132740</v>
      </c>
      <c r="D241" s="47">
        <f t="shared" ref="D241:J241" si="88">D95</f>
        <v>71688</v>
      </c>
      <c r="E241" s="47">
        <f t="shared" si="88"/>
        <v>67440</v>
      </c>
      <c r="F241" s="47">
        <f t="shared" si="88"/>
        <v>49321.505000000005</v>
      </c>
      <c r="G241" s="47">
        <f t="shared" si="88"/>
        <v>39575.920000000006</v>
      </c>
      <c r="H241" s="47">
        <f t="shared" si="88"/>
        <v>31128.915000000001</v>
      </c>
      <c r="I241" s="47">
        <f t="shared" si="88"/>
        <v>21143.496999999996</v>
      </c>
      <c r="J241" s="47">
        <f t="shared" si="88"/>
        <v>3792.4470000000001</v>
      </c>
      <c r="K241" s="47"/>
      <c r="M241" s="47">
        <f t="shared" ref="M241:R241" si="89">M95</f>
        <v>132740</v>
      </c>
      <c r="N241" s="47">
        <f t="shared" si="89"/>
        <v>77664</v>
      </c>
      <c r="O241" s="47">
        <f t="shared" si="89"/>
        <v>63192</v>
      </c>
      <c r="P241" s="47">
        <f t="shared" si="89"/>
        <v>49979</v>
      </c>
      <c r="Q241" s="47">
        <f t="shared" si="89"/>
        <v>39512.681999999993</v>
      </c>
      <c r="R241" s="47">
        <f t="shared" si="89"/>
        <v>30830.436000000009</v>
      </c>
      <c r="V241" s="47"/>
      <c r="W241" s="47"/>
      <c r="X241" s="47"/>
    </row>
    <row r="242" spans="2:24" x14ac:dyDescent="0.25">
      <c r="B242" t="s">
        <v>695</v>
      </c>
      <c r="C242" s="47">
        <f>M242</f>
        <v>-17212</v>
      </c>
      <c r="D242" s="47">
        <f>SUM(D84+D87+D80+D77-D71)</f>
        <v>29518</v>
      </c>
      <c r="E242" s="47"/>
      <c r="F242" s="47"/>
      <c r="G242" s="47"/>
      <c r="H242" s="47"/>
      <c r="I242" s="47"/>
      <c r="J242" s="47"/>
      <c r="K242" s="47"/>
      <c r="M242" s="47">
        <f>SUM(M84+M87+M80+M77-M71)</f>
        <v>-17212</v>
      </c>
      <c r="N242" s="47"/>
      <c r="O242" s="47"/>
      <c r="P242" s="47"/>
      <c r="Q242" s="47"/>
      <c r="R242" s="47"/>
      <c r="V242" s="47"/>
      <c r="W242" s="47"/>
      <c r="X242" s="47"/>
    </row>
    <row r="243" spans="2:24" x14ac:dyDescent="0.25">
      <c r="B243" t="s">
        <v>694</v>
      </c>
      <c r="C243" s="47">
        <f>SUM($C$240+C242)</f>
        <v>173661.42945999998</v>
      </c>
      <c r="D243" s="47">
        <f>SUM($C$240+D242)</f>
        <v>220391.42945999998</v>
      </c>
      <c r="E243" s="47"/>
      <c r="F243" s="47"/>
      <c r="G243" s="47"/>
      <c r="H243" s="47"/>
      <c r="I243" s="47"/>
      <c r="J243" s="47"/>
      <c r="K243" s="47"/>
      <c r="L243" s="47"/>
      <c r="M243" s="47">
        <f>SUM($C$240+M242)</f>
        <v>173661.42945999998</v>
      </c>
      <c r="N243" s="47"/>
      <c r="O243" s="47"/>
      <c r="P243" s="47"/>
      <c r="Q243" s="47"/>
      <c r="R243" s="47"/>
      <c r="V243" s="47"/>
      <c r="W243" s="47"/>
      <c r="X243" s="47"/>
    </row>
    <row r="244" spans="2:24" x14ac:dyDescent="0.25">
      <c r="B244" t="s">
        <v>693</v>
      </c>
      <c r="C244" s="47">
        <f>$C$243/D207</f>
        <v>20.252700199669135</v>
      </c>
      <c r="D244" s="47">
        <f>$D$243/D207</f>
        <v>25.702434681720767</v>
      </c>
      <c r="E244" s="47"/>
      <c r="F244" s="47"/>
      <c r="G244" s="47"/>
      <c r="H244" s="47"/>
      <c r="I244" s="47"/>
      <c r="J244" s="47"/>
      <c r="K244" s="47"/>
      <c r="L244" s="47"/>
      <c r="M244" s="47">
        <f>M243/M207</f>
        <v>8.8033076379237194</v>
      </c>
      <c r="N244" s="47"/>
      <c r="O244" s="47"/>
      <c r="P244" s="47"/>
      <c r="Q244" s="47"/>
      <c r="R244" s="47"/>
      <c r="V244" s="47"/>
      <c r="W244" s="47"/>
      <c r="X244" s="47"/>
    </row>
    <row r="245" spans="2:24" x14ac:dyDescent="0.25">
      <c r="B245" t="s">
        <v>692</v>
      </c>
      <c r="C245" s="47">
        <f>$C$243/D202</f>
        <v>14.715823189560206</v>
      </c>
      <c r="D245" s="47">
        <f>D243/D202</f>
        <v>18.675657101940512</v>
      </c>
      <c r="E245" s="47"/>
      <c r="F245" s="47"/>
      <c r="G245" s="47"/>
      <c r="H245" s="47"/>
      <c r="I245" s="47"/>
      <c r="J245" s="47"/>
      <c r="K245" s="47"/>
      <c r="L245" s="47"/>
      <c r="M245" s="47"/>
      <c r="N245" s="47"/>
      <c r="O245" s="47"/>
      <c r="P245" s="47"/>
      <c r="Q245" s="47"/>
      <c r="R245" s="47"/>
      <c r="V245" s="47"/>
      <c r="W245" s="47"/>
      <c r="X245" s="47"/>
    </row>
    <row r="246" spans="2:24" x14ac:dyDescent="0.25">
      <c r="B246" t="s">
        <v>691</v>
      </c>
      <c r="C246" s="47">
        <f>$C$243/D204</f>
        <v>6.292992805479054</v>
      </c>
      <c r="D246" s="47">
        <f>D243/D204</f>
        <v>7.9863541621974194</v>
      </c>
      <c r="E246" s="47"/>
      <c r="F246" s="47"/>
      <c r="G246" s="47"/>
      <c r="H246" s="47"/>
      <c r="I246" s="47"/>
      <c r="J246" s="47"/>
      <c r="K246" s="47"/>
      <c r="L246" s="47"/>
      <c r="M246" s="47"/>
      <c r="N246" s="47"/>
      <c r="O246" s="47"/>
      <c r="P246" s="47"/>
      <c r="Q246" s="47"/>
      <c r="R246" s="47"/>
      <c r="V246" s="47"/>
      <c r="W246" s="47"/>
      <c r="X246" s="47"/>
    </row>
    <row r="247" spans="2:24" x14ac:dyDescent="0.25">
      <c r="B247" t="s">
        <v>690</v>
      </c>
      <c r="C247" s="86">
        <f>C243/C14</f>
        <v>0.76841340469026542</v>
      </c>
      <c r="D247" s="86">
        <f>D243/D14</f>
        <v>1.3393502893327904</v>
      </c>
      <c r="E247" s="47"/>
      <c r="F247" s="47"/>
      <c r="G247" s="47"/>
      <c r="H247" s="47"/>
      <c r="I247" s="47"/>
      <c r="J247" s="47"/>
      <c r="K247" s="47"/>
      <c r="L247" s="47"/>
      <c r="M247" s="47"/>
      <c r="N247" s="47"/>
      <c r="O247" s="47"/>
      <c r="P247" s="47"/>
      <c r="Q247" s="47"/>
      <c r="R247" s="47"/>
      <c r="V247" s="47"/>
      <c r="W247" s="47"/>
      <c r="X247" s="47"/>
    </row>
    <row r="248" spans="2:24" x14ac:dyDescent="0.25">
      <c r="B248" t="s">
        <v>689</v>
      </c>
      <c r="C248" s="47"/>
      <c r="D248" s="47">
        <f>$D$243/D133</f>
        <v>14.433913776933656</v>
      </c>
      <c r="E248" s="47"/>
      <c r="F248" s="47"/>
      <c r="G248" s="47"/>
      <c r="H248" s="47"/>
      <c r="I248" s="47"/>
      <c r="J248" s="47"/>
      <c r="K248" s="47"/>
      <c r="L248" s="47"/>
      <c r="M248" s="47"/>
      <c r="N248" s="47"/>
      <c r="O248" s="47"/>
      <c r="P248" s="47"/>
      <c r="Q248" s="47"/>
      <c r="R248" s="47"/>
      <c r="V248" s="47"/>
      <c r="W248" s="47"/>
      <c r="X248" s="47"/>
    </row>
    <row r="249" spans="2:24" x14ac:dyDescent="0.25">
      <c r="C249" s="47"/>
      <c r="D249" s="47"/>
      <c r="E249" s="47"/>
      <c r="F249" s="47"/>
      <c r="G249" s="47"/>
      <c r="H249" s="47"/>
      <c r="I249" s="47"/>
      <c r="J249" s="47"/>
      <c r="K249" s="47"/>
      <c r="L249" s="47"/>
      <c r="M249" s="47"/>
      <c r="N249" s="47"/>
      <c r="O249" s="47"/>
      <c r="P249" s="47"/>
      <c r="Q249" s="47"/>
      <c r="R249" s="47"/>
      <c r="V249" s="47"/>
      <c r="W249" s="47"/>
      <c r="X249" s="47"/>
    </row>
    <row r="250" spans="2:24" x14ac:dyDescent="0.25">
      <c r="C250" s="47"/>
      <c r="D250" s="47"/>
      <c r="E250" s="47"/>
      <c r="F250" s="47"/>
      <c r="G250" s="47"/>
      <c r="H250" s="47"/>
      <c r="I250" s="47"/>
      <c r="J250" s="47"/>
      <c r="K250" s="47"/>
      <c r="L250" s="47"/>
      <c r="M250" s="47"/>
      <c r="N250" s="47"/>
      <c r="O250" s="47"/>
      <c r="P250" s="47"/>
      <c r="Q250" s="47"/>
      <c r="R250" s="47"/>
      <c r="V250" s="47"/>
      <c r="W250" s="47"/>
      <c r="X250" s="47"/>
    </row>
    <row r="251" spans="2:24" ht="15.75" thickBot="1" x14ac:dyDescent="0.3">
      <c r="C251" s="82" t="s">
        <v>688</v>
      </c>
      <c r="D251" s="56">
        <v>44374</v>
      </c>
      <c r="E251" s="56">
        <v>44010</v>
      </c>
      <c r="F251" s="56">
        <v>43646</v>
      </c>
      <c r="G251" s="56">
        <v>43282</v>
      </c>
      <c r="H251" s="56">
        <v>42918</v>
      </c>
      <c r="I251" s="56">
        <v>42577</v>
      </c>
      <c r="J251" s="56">
        <v>42213</v>
      </c>
      <c r="K251" s="47"/>
      <c r="L251" s="47"/>
      <c r="M251" s="47"/>
      <c r="N251" s="47"/>
      <c r="O251" s="47"/>
      <c r="P251" s="47"/>
      <c r="Q251" s="47"/>
      <c r="R251" s="47"/>
      <c r="V251" s="47"/>
      <c r="W251" s="47"/>
      <c r="X251" s="47"/>
    </row>
    <row r="252" spans="2:24" x14ac:dyDescent="0.25">
      <c r="B252" t="s">
        <v>687</v>
      </c>
      <c r="C252" s="47">
        <f>C7/1000</f>
        <v>137319.014</v>
      </c>
      <c r="D252" s="47"/>
      <c r="E252" s="47"/>
      <c r="F252" s="47"/>
      <c r="G252" s="47"/>
      <c r="H252" s="47"/>
      <c r="I252" s="47"/>
      <c r="J252" s="47"/>
      <c r="K252" s="47"/>
      <c r="L252" s="47"/>
      <c r="M252" s="47"/>
      <c r="N252" s="47"/>
      <c r="O252" s="47"/>
      <c r="P252" s="47"/>
      <c r="Q252" s="47"/>
      <c r="R252" s="47"/>
      <c r="V252" s="47"/>
      <c r="W252" s="47"/>
      <c r="X252" s="47"/>
    </row>
    <row r="253" spans="2:24" x14ac:dyDescent="0.25">
      <c r="B253" t="s">
        <v>686</v>
      </c>
      <c r="C253" s="84">
        <f>SUM($C$4)/(C14/$C$252)</f>
        <v>0.8445726967256636</v>
      </c>
      <c r="D253" s="84">
        <f>SUM($C$4)/(D14/$C$252)</f>
        <v>1.1599651746874828</v>
      </c>
      <c r="E253" s="47"/>
      <c r="G253" s="47"/>
      <c r="H253" s="47"/>
      <c r="I253" s="47"/>
      <c r="J253" s="47"/>
      <c r="K253" s="47"/>
      <c r="L253" s="47"/>
      <c r="M253" s="47"/>
      <c r="N253" s="47"/>
      <c r="O253" s="47"/>
      <c r="P253" s="47"/>
      <c r="Q253" s="47"/>
      <c r="R253" s="47"/>
      <c r="V253" s="47"/>
      <c r="W253" s="47"/>
      <c r="X253" s="47"/>
    </row>
    <row r="254" spans="2:24" x14ac:dyDescent="0.25">
      <c r="B254" t="s">
        <v>685</v>
      </c>
      <c r="D254" s="84">
        <f>SUM($C$4)/(D133/$C$252)</f>
        <v>12.500715794092605</v>
      </c>
      <c r="E254" s="47"/>
      <c r="F254" s="47"/>
      <c r="G254" s="47"/>
      <c r="H254" s="47"/>
      <c r="I254" s="47"/>
      <c r="J254" s="47"/>
      <c r="K254" s="47"/>
      <c r="L254" s="47"/>
      <c r="M254" s="47"/>
      <c r="N254" s="47"/>
      <c r="O254" s="47"/>
      <c r="P254" s="47"/>
      <c r="Q254" s="47"/>
      <c r="R254" s="47"/>
      <c r="V254" s="47"/>
      <c r="W254" s="47"/>
      <c r="X254" s="47"/>
    </row>
    <row r="255" spans="2:24" x14ac:dyDescent="0.25">
      <c r="B255" t="s">
        <v>684</v>
      </c>
      <c r="C255" s="47">
        <f>22000*0.8</f>
        <v>17600</v>
      </c>
      <c r="D255" s="84"/>
      <c r="E255" s="47"/>
      <c r="F255" s="47"/>
      <c r="G255" s="47"/>
      <c r="H255" s="47"/>
      <c r="I255" s="47"/>
      <c r="J255" s="47"/>
      <c r="K255" s="47"/>
      <c r="L255" s="47"/>
      <c r="M255" s="47"/>
      <c r="N255" s="47"/>
      <c r="O255" s="47"/>
      <c r="P255" s="47"/>
      <c r="Q255" s="47"/>
      <c r="R255" s="47"/>
      <c r="V255" s="47"/>
      <c r="W255" s="47"/>
      <c r="X255" s="47"/>
    </row>
    <row r="256" spans="2:24" x14ac:dyDescent="0.25">
      <c r="B256" t="s">
        <v>683</v>
      </c>
      <c r="C256" s="84">
        <f>SUM($C$4)/(C241/$C$252)</f>
        <v>1.437949596655115</v>
      </c>
      <c r="D256" s="84">
        <f>SUM($C$4)/(D241/$C$252)</f>
        <v>2.6625576032250859</v>
      </c>
      <c r="F256" s="47"/>
      <c r="G256" s="47"/>
      <c r="H256" s="47"/>
      <c r="I256" s="47"/>
      <c r="J256" s="47"/>
      <c r="K256" s="47"/>
      <c r="L256" s="47"/>
      <c r="M256" s="84"/>
      <c r="N256" s="47"/>
      <c r="O256" s="47"/>
      <c r="P256" s="47"/>
      <c r="Q256" s="47"/>
      <c r="R256" s="47"/>
      <c r="V256" s="47"/>
      <c r="W256" s="47"/>
      <c r="X256" s="47"/>
    </row>
    <row r="257" spans="2:24" x14ac:dyDescent="0.25">
      <c r="B257" t="s">
        <v>682</v>
      </c>
      <c r="D257" s="84">
        <f>SUM($C$4)/(D44)</f>
        <v>30.703137373790675</v>
      </c>
      <c r="E257" s="47"/>
      <c r="F257" s="47"/>
      <c r="G257" s="47"/>
      <c r="H257" s="47"/>
      <c r="I257" s="47"/>
      <c r="J257" s="47"/>
      <c r="K257" s="47"/>
      <c r="L257" s="47"/>
      <c r="M257" s="65"/>
      <c r="N257" s="47"/>
      <c r="O257" s="47"/>
      <c r="P257" s="47"/>
      <c r="Q257" s="47"/>
      <c r="R257" s="47"/>
      <c r="V257" s="47"/>
      <c r="W257" s="47"/>
      <c r="X257" s="47"/>
    </row>
    <row r="258" spans="2:24" x14ac:dyDescent="0.25">
      <c r="B258" t="s">
        <v>681</v>
      </c>
      <c r="C258">
        <v>3</v>
      </c>
      <c r="D258" s="84"/>
      <c r="E258" s="47"/>
      <c r="F258" s="47"/>
      <c r="G258" s="47"/>
      <c r="H258" s="47"/>
      <c r="I258" s="47"/>
      <c r="J258" s="47"/>
      <c r="K258" s="47"/>
      <c r="L258" s="47"/>
      <c r="M258" s="65"/>
      <c r="N258" s="47"/>
      <c r="O258" s="47"/>
      <c r="P258" s="47"/>
      <c r="Q258" s="47"/>
      <c r="R258" s="47"/>
      <c r="V258" s="47"/>
      <c r="W258" s="47"/>
      <c r="X258" s="47"/>
    </row>
    <row r="259" spans="2:24" x14ac:dyDescent="0.25">
      <c r="B259" t="s">
        <v>680</v>
      </c>
      <c r="C259" s="85">
        <f>SUM(C255/C252)</f>
        <v>0.1281687035707961</v>
      </c>
      <c r="D259" s="84"/>
      <c r="E259" s="47"/>
      <c r="F259" s="47"/>
      <c r="G259" s="47"/>
      <c r="H259" s="47"/>
      <c r="I259" s="47"/>
      <c r="J259" s="47"/>
      <c r="K259" s="47"/>
      <c r="L259" s="47"/>
      <c r="M259" s="65"/>
      <c r="N259" s="47"/>
      <c r="O259" s="47"/>
      <c r="P259" s="47"/>
      <c r="Q259" s="47"/>
      <c r="R259" s="47"/>
      <c r="V259" s="47"/>
      <c r="W259" s="47"/>
      <c r="X259" s="47"/>
    </row>
    <row r="260" spans="2:24" x14ac:dyDescent="0.25">
      <c r="B260" t="s">
        <v>679</v>
      </c>
      <c r="C260" s="47">
        <f>C258/C259</f>
        <v>23.406650113636363</v>
      </c>
      <c r="E260" s="47"/>
      <c r="F260" s="47"/>
      <c r="G260" s="47"/>
      <c r="H260" s="47"/>
      <c r="I260" s="47"/>
      <c r="J260" s="47"/>
      <c r="K260" s="47"/>
      <c r="L260" s="47"/>
      <c r="M260" s="47"/>
      <c r="N260" s="47"/>
      <c r="O260" s="47"/>
      <c r="P260" s="47"/>
      <c r="Q260" s="47"/>
      <c r="R260" s="47"/>
      <c r="V260" s="47"/>
      <c r="W260" s="47"/>
      <c r="X260" s="47"/>
    </row>
    <row r="261" spans="2:24" x14ac:dyDescent="0.25">
      <c r="B261" t="s">
        <v>678</v>
      </c>
      <c r="C261" s="47"/>
      <c r="D261" s="83">
        <f>D44/C4</f>
        <v>3.2569961428555401E-2</v>
      </c>
      <c r="E261" s="47"/>
      <c r="F261" s="47"/>
      <c r="G261" s="47"/>
      <c r="H261" s="47"/>
      <c r="I261" s="47"/>
      <c r="J261" s="47"/>
      <c r="K261" s="47"/>
      <c r="L261" s="47"/>
      <c r="M261" s="47"/>
      <c r="N261" s="47"/>
      <c r="O261" s="47"/>
      <c r="P261" s="47"/>
      <c r="Q261" s="47"/>
      <c r="R261" s="47"/>
      <c r="V261" s="47"/>
      <c r="W261" s="47"/>
      <c r="X261" s="47"/>
    </row>
    <row r="262" spans="2:24" x14ac:dyDescent="0.25">
      <c r="C262" s="47"/>
      <c r="D262" s="83"/>
      <c r="E262" s="47"/>
      <c r="F262" s="47"/>
      <c r="G262" s="47"/>
      <c r="H262" s="47"/>
      <c r="I262" s="47"/>
      <c r="J262" s="47"/>
      <c r="K262" s="47"/>
      <c r="L262" s="47"/>
      <c r="M262" s="47"/>
      <c r="N262" s="47"/>
      <c r="O262" s="47"/>
      <c r="P262" s="47"/>
      <c r="Q262" s="47"/>
      <c r="R262" s="47"/>
      <c r="V262" s="47"/>
      <c r="W262" s="47"/>
      <c r="X262" s="47"/>
    </row>
    <row r="263" spans="2:24" x14ac:dyDescent="0.25">
      <c r="C263" s="47"/>
      <c r="D263" s="83"/>
      <c r="E263" s="47"/>
      <c r="F263" s="47"/>
      <c r="G263" s="47"/>
      <c r="H263" s="47"/>
      <c r="I263" s="47"/>
      <c r="J263" s="47"/>
      <c r="K263" s="47"/>
      <c r="L263" s="47"/>
      <c r="M263" s="47"/>
      <c r="N263" s="47"/>
      <c r="O263" s="47"/>
      <c r="P263" s="47"/>
      <c r="Q263" s="47"/>
      <c r="R263" s="47"/>
      <c r="V263" s="47"/>
      <c r="W263" s="47"/>
      <c r="X263" s="47"/>
    </row>
    <row r="264" spans="2:24" x14ac:dyDescent="0.25">
      <c r="C264" s="47"/>
      <c r="D264" s="47"/>
      <c r="E264" s="47"/>
      <c r="F264" s="47"/>
      <c r="G264" s="47"/>
      <c r="H264" s="47"/>
      <c r="I264" s="47"/>
      <c r="J264" s="47"/>
      <c r="K264" s="47"/>
      <c r="L264" s="47"/>
      <c r="M264" s="47"/>
      <c r="N264" s="47"/>
      <c r="O264" s="47"/>
      <c r="P264" s="47"/>
      <c r="Q264" s="47"/>
      <c r="R264" s="47"/>
      <c r="V264" s="47"/>
      <c r="W264" s="47"/>
      <c r="X264" s="47"/>
    </row>
    <row r="265" spans="2:24" ht="15.75" thickBot="1" x14ac:dyDescent="0.3">
      <c r="B265" s="40" t="s">
        <v>677</v>
      </c>
      <c r="C265" s="82" t="s">
        <v>676</v>
      </c>
      <c r="D265" s="56">
        <v>44374</v>
      </c>
      <c r="E265" s="56">
        <v>44010</v>
      </c>
      <c r="F265" s="56">
        <v>43646</v>
      </c>
      <c r="G265" s="56">
        <v>43282</v>
      </c>
      <c r="H265" s="56">
        <v>42918</v>
      </c>
      <c r="I265" s="56">
        <v>42577</v>
      </c>
      <c r="J265" s="56">
        <v>42213</v>
      </c>
      <c r="K265" s="57"/>
      <c r="M265" s="56">
        <v>44556</v>
      </c>
      <c r="N265" s="56">
        <v>44192</v>
      </c>
      <c r="O265" s="56">
        <v>43828</v>
      </c>
      <c r="P265" s="56">
        <v>43464</v>
      </c>
      <c r="Q265" s="56">
        <v>43100</v>
      </c>
      <c r="R265" s="56">
        <v>42729</v>
      </c>
      <c r="V265" s="47"/>
      <c r="W265" s="47"/>
      <c r="X265" s="47"/>
    </row>
    <row r="266" spans="2:24" x14ac:dyDescent="0.25">
      <c r="B266" t="s">
        <v>675</v>
      </c>
      <c r="C266" s="47">
        <f>C311</f>
        <v>127</v>
      </c>
      <c r="D266" s="47">
        <f>D311</f>
        <v>132</v>
      </c>
      <c r="E266" s="47">
        <f>E311</f>
        <v>132</v>
      </c>
      <c r="F266" s="47">
        <f>F311</f>
        <v>119</v>
      </c>
      <c r="G266" s="47">
        <f>G311</f>
        <v>106</v>
      </c>
      <c r="V266" s="47"/>
      <c r="W266" s="47"/>
      <c r="X266" s="47"/>
    </row>
    <row r="267" spans="2:24" x14ac:dyDescent="0.25">
      <c r="B267" s="74" t="s">
        <v>674</v>
      </c>
      <c r="C267" s="47">
        <v>55000</v>
      </c>
      <c r="D267" s="47">
        <f>D349</f>
        <v>48797</v>
      </c>
      <c r="E267" s="47">
        <f>E349</f>
        <v>77512</v>
      </c>
      <c r="F267" s="47">
        <f>F349</f>
        <v>89192</v>
      </c>
      <c r="G267" s="47">
        <f>G349</f>
        <v>77556.475000000006</v>
      </c>
      <c r="V267" s="47"/>
      <c r="W267" s="47"/>
      <c r="X267" s="47"/>
    </row>
    <row r="268" spans="2:24" x14ac:dyDescent="0.25">
      <c r="B268" t="s">
        <v>673</v>
      </c>
      <c r="C268" s="47">
        <f>SUM(C267*1000)/C266</f>
        <v>433070.86614173226</v>
      </c>
      <c r="D268" s="47">
        <f>SUM(D267*1000)/D266</f>
        <v>369674.24242424243</v>
      </c>
      <c r="E268" s="47">
        <f>SUM(E267*1000)/E266</f>
        <v>587212.12121212122</v>
      </c>
      <c r="F268" s="47">
        <f>SUM(F267*1000)/F266</f>
        <v>749512.60504201683</v>
      </c>
      <c r="G268" s="47">
        <f>SUM(G267*1000)/G266</f>
        <v>731664.85849056602</v>
      </c>
      <c r="H268" s="47"/>
      <c r="I268" s="47"/>
      <c r="J268" s="47"/>
      <c r="K268" s="47"/>
      <c r="L268" s="47"/>
      <c r="M268" s="47"/>
      <c r="N268" s="47"/>
      <c r="O268" s="47"/>
      <c r="P268" s="47"/>
      <c r="V268" s="47"/>
      <c r="W268" s="47"/>
      <c r="X268" s="47"/>
    </row>
    <row r="269" spans="2:24" x14ac:dyDescent="0.25">
      <c r="B269" t="s">
        <v>672</v>
      </c>
      <c r="C269" s="47">
        <f>SUM(C268)/13.5</f>
        <v>32079.323417906093</v>
      </c>
      <c r="D269" s="47">
        <f>SUM(D268)/13.5</f>
        <v>27383.27721661055</v>
      </c>
      <c r="E269" s="47">
        <f>SUM(E268)/13.5</f>
        <v>43497.194163860833</v>
      </c>
      <c r="F269" s="47">
        <f>SUM(F268)/13.5</f>
        <v>55519.452225334579</v>
      </c>
      <c r="G269" s="47"/>
      <c r="H269" s="47"/>
      <c r="I269" s="47"/>
      <c r="J269" s="47"/>
      <c r="K269" s="47"/>
      <c r="L269" s="47"/>
      <c r="M269" s="47"/>
      <c r="N269" s="47"/>
      <c r="O269" s="47"/>
      <c r="P269" s="47"/>
      <c r="V269" s="47"/>
      <c r="W269" s="47"/>
      <c r="X269" s="47"/>
    </row>
    <row r="270" spans="2:24" x14ac:dyDescent="0.25">
      <c r="B270" s="81" t="s">
        <v>669</v>
      </c>
      <c r="C270" s="80">
        <f>(C268/D268)-1</f>
        <v>0.17149321332681633</v>
      </c>
      <c r="D270" s="80">
        <f>(D268/E268)-1</f>
        <v>-0.37045876767468267</v>
      </c>
      <c r="E270" s="80">
        <f>(E268/F268)-1</f>
        <v>-0.21654136666693846</v>
      </c>
      <c r="F270" s="80">
        <f>(F268/G268)-1</f>
        <v>2.4393335752479484E-2</v>
      </c>
      <c r="G270" s="47"/>
      <c r="H270" s="47"/>
      <c r="I270" s="47"/>
      <c r="J270" s="47"/>
      <c r="K270" s="47"/>
      <c r="L270" s="47"/>
      <c r="M270" s="47"/>
      <c r="N270" s="47"/>
      <c r="O270" s="47"/>
      <c r="P270" s="47"/>
      <c r="V270" s="47"/>
      <c r="W270" s="47"/>
      <c r="X270" s="47"/>
    </row>
    <row r="271" spans="2:24" x14ac:dyDescent="0.25">
      <c r="B271" t="s">
        <v>671</v>
      </c>
      <c r="C271" s="47">
        <v>620</v>
      </c>
      <c r="D271" s="47">
        <f>D624</f>
        <v>595</v>
      </c>
      <c r="E271" s="47">
        <f>E624</f>
        <v>706</v>
      </c>
      <c r="F271" s="47">
        <f>0.65*F625</f>
        <v>656.5</v>
      </c>
      <c r="G271" s="47">
        <f>0.65*G625</f>
        <v>653.9</v>
      </c>
      <c r="H271" s="47"/>
      <c r="I271" s="47"/>
      <c r="J271" s="47"/>
      <c r="K271" s="47"/>
      <c r="L271" s="47"/>
      <c r="M271" s="47"/>
      <c r="N271" s="47"/>
      <c r="O271" s="47"/>
      <c r="P271" s="47"/>
      <c r="V271" s="47"/>
      <c r="W271" s="47"/>
      <c r="X271" s="47"/>
    </row>
    <row r="272" spans="2:24" x14ac:dyDescent="0.25">
      <c r="B272" t="s">
        <v>670</v>
      </c>
      <c r="C272" s="47">
        <f>SUM(C267*1000)/C271</f>
        <v>88709.677419354834</v>
      </c>
      <c r="D272" s="47">
        <f>SUM(D267*1000)/D271</f>
        <v>82011.76470588235</v>
      </c>
      <c r="E272" s="47">
        <f>SUM(E267*1000)/E271</f>
        <v>109790.36827195468</v>
      </c>
      <c r="F272" s="47">
        <f>SUM(F267*1000)/F271</f>
        <v>135859.86290936786</v>
      </c>
      <c r="G272" s="47">
        <f>SUM(G267*1000)/G271</f>
        <v>118606.01773971556</v>
      </c>
      <c r="H272" s="47"/>
      <c r="I272" s="47"/>
      <c r="J272" s="47"/>
      <c r="K272" s="47"/>
      <c r="L272" s="47"/>
      <c r="M272" s="47"/>
      <c r="N272" s="47"/>
      <c r="O272" s="47"/>
      <c r="P272" s="47"/>
      <c r="V272" s="47"/>
      <c r="W272" s="47"/>
      <c r="X272" s="47"/>
    </row>
    <row r="273" spans="2:24" x14ac:dyDescent="0.25">
      <c r="B273" s="81" t="s">
        <v>669</v>
      </c>
      <c r="C273" s="80">
        <f>(C271/D271)-1</f>
        <v>4.2016806722689148E-2</v>
      </c>
      <c r="D273" s="80">
        <f>(D271/E271)-1</f>
        <v>-0.15722379603399439</v>
      </c>
      <c r="E273" s="80">
        <f>(E271/F271)-1</f>
        <v>7.5399847677075416E-2</v>
      </c>
      <c r="F273" s="80">
        <f>(F271/G271)-1</f>
        <v>3.9761431411531323E-3</v>
      </c>
      <c r="G273" s="47"/>
      <c r="H273" s="47"/>
      <c r="I273" s="47"/>
      <c r="J273" s="47"/>
      <c r="K273" s="47"/>
      <c r="L273" s="47"/>
      <c r="M273" s="47"/>
      <c r="N273" s="47"/>
      <c r="O273" s="47"/>
      <c r="P273" s="47"/>
      <c r="V273" s="47"/>
      <c r="W273" s="47"/>
      <c r="X273" s="47"/>
    </row>
    <row r="274" spans="2:24" x14ac:dyDescent="0.25">
      <c r="B274" t="s">
        <v>668</v>
      </c>
      <c r="C274" s="57"/>
      <c r="D274" s="79">
        <f>-SUM((D16)/((D68+E68)/2))</f>
        <v>2.7365191278234757</v>
      </c>
      <c r="E274" s="79">
        <f>-SUM((E16)/((E68+F68)/2))</f>
        <v>3.9853253281096657</v>
      </c>
      <c r="F274" s="79">
        <f>-SUM((F16)/((F68+G68)/2))</f>
        <v>3.5591544064106437</v>
      </c>
      <c r="G274" s="79">
        <f>-SUM((G16)/((G68+H68)/2))</f>
        <v>3.275514864084244</v>
      </c>
      <c r="H274" s="47"/>
      <c r="I274" s="47"/>
      <c r="J274" s="47"/>
      <c r="K274" s="47"/>
      <c r="L274" s="47"/>
      <c r="M274" s="47"/>
      <c r="N274" s="47"/>
      <c r="O274" s="47"/>
      <c r="P274" s="47"/>
      <c r="V274" s="47"/>
      <c r="W274" s="47"/>
      <c r="X274" s="47"/>
    </row>
    <row r="275" spans="2:24" x14ac:dyDescent="0.25">
      <c r="C275" s="57"/>
      <c r="D275" s="47"/>
      <c r="E275" s="47"/>
      <c r="F275" s="47"/>
      <c r="G275" s="47"/>
      <c r="H275" s="47"/>
      <c r="I275" s="47"/>
      <c r="J275" s="47"/>
      <c r="K275" s="47"/>
      <c r="L275" s="47"/>
      <c r="M275" s="47"/>
      <c r="N275" s="47"/>
      <c r="O275" s="47"/>
      <c r="P275" s="47"/>
      <c r="V275" s="47"/>
      <c r="W275" s="47"/>
      <c r="X275" s="47"/>
    </row>
    <row r="276" spans="2:24" x14ac:dyDescent="0.25">
      <c r="B276" s="40" t="s">
        <v>667</v>
      </c>
      <c r="C276" s="57"/>
      <c r="D276" s="47"/>
      <c r="E276" s="47"/>
      <c r="F276" s="47"/>
      <c r="G276" s="47"/>
      <c r="H276" s="47"/>
      <c r="I276" s="47"/>
      <c r="J276" s="47"/>
      <c r="K276" s="47"/>
      <c r="L276" s="47"/>
      <c r="M276" s="47"/>
      <c r="N276" s="47"/>
      <c r="O276" s="47"/>
      <c r="P276" s="47"/>
      <c r="V276" s="47"/>
      <c r="W276" s="47"/>
      <c r="X276" s="47"/>
    </row>
    <row r="277" spans="2:24" x14ac:dyDescent="0.25">
      <c r="B277" t="s">
        <v>666</v>
      </c>
      <c r="C277" s="47">
        <v>30000</v>
      </c>
      <c r="E277" s="57"/>
      <c r="F277" s="57"/>
      <c r="G277" s="57"/>
      <c r="V277" s="47"/>
      <c r="W277" s="47"/>
      <c r="X277" s="47"/>
    </row>
    <row r="278" spans="2:24" x14ac:dyDescent="0.25">
      <c r="B278" t="s">
        <v>665</v>
      </c>
      <c r="C278" s="47">
        <v>5000</v>
      </c>
      <c r="E278" s="57"/>
      <c r="F278" s="57"/>
      <c r="G278" s="57"/>
      <c r="V278" s="47"/>
      <c r="W278" s="47"/>
      <c r="X278" s="47"/>
    </row>
    <row r="279" spans="2:24" x14ac:dyDescent="0.25">
      <c r="B279" t="s">
        <v>664</v>
      </c>
      <c r="C279" s="47">
        <v>15000</v>
      </c>
      <c r="E279" s="57"/>
      <c r="F279" s="57"/>
      <c r="G279" s="57"/>
      <c r="V279" s="47"/>
      <c r="W279" s="47"/>
      <c r="X279" s="47"/>
    </row>
    <row r="280" spans="2:24" x14ac:dyDescent="0.25">
      <c r="B280" t="s">
        <v>663</v>
      </c>
      <c r="C280" s="47">
        <f>SUM(C281:C284)</f>
        <v>204090.90909090909</v>
      </c>
      <c r="E280" s="57"/>
      <c r="F280" s="57"/>
      <c r="G280" s="57"/>
      <c r="V280" s="47"/>
      <c r="W280" s="47"/>
      <c r="X280" s="47"/>
    </row>
    <row r="281" spans="2:24" x14ac:dyDescent="0.25">
      <c r="B281" s="48" t="s">
        <v>662</v>
      </c>
      <c r="C281" s="47">
        <f>SUM(D403*1000)/(D266)</f>
        <v>84090.909090909088</v>
      </c>
      <c r="E281" s="47"/>
      <c r="F281" s="47"/>
      <c r="G281" s="47"/>
      <c r="V281" s="47"/>
      <c r="W281" s="47"/>
      <c r="X281" s="47"/>
    </row>
    <row r="282" spans="2:24" x14ac:dyDescent="0.25">
      <c r="B282" s="48" t="s">
        <v>661</v>
      </c>
      <c r="C282" s="47">
        <v>21000</v>
      </c>
      <c r="E282" s="47"/>
      <c r="V282" s="47"/>
      <c r="W282" s="47"/>
      <c r="X282" s="47"/>
    </row>
    <row r="283" spans="2:24" x14ac:dyDescent="0.25">
      <c r="B283" s="48" t="s">
        <v>660</v>
      </c>
      <c r="C283" s="47">
        <f>C282*4</f>
        <v>84000</v>
      </c>
      <c r="E283" s="47"/>
      <c r="V283" s="47"/>
      <c r="W283" s="47"/>
      <c r="X283" s="47"/>
    </row>
    <row r="284" spans="2:24" x14ac:dyDescent="0.25">
      <c r="B284" s="48" t="s">
        <v>659</v>
      </c>
      <c r="C284" s="47">
        <v>15000</v>
      </c>
      <c r="V284" s="47"/>
      <c r="W284" s="47"/>
      <c r="X284" s="47"/>
    </row>
    <row r="285" spans="2:24" x14ac:dyDescent="0.25">
      <c r="B285" t="s">
        <v>658</v>
      </c>
      <c r="C285" s="47">
        <f>SUM(C280,C279,C278,C277)</f>
        <v>254090.90909090909</v>
      </c>
      <c r="V285" s="47"/>
      <c r="W285" s="47"/>
      <c r="X285" s="47"/>
    </row>
    <row r="286" spans="2:24" x14ac:dyDescent="0.25">
      <c r="V286" s="47"/>
      <c r="W286" s="47"/>
      <c r="X286" s="47"/>
    </row>
    <row r="287" spans="2:24" x14ac:dyDescent="0.25">
      <c r="B287" t="s">
        <v>657</v>
      </c>
      <c r="C287" s="47">
        <f>C268-C285</f>
        <v>178979.95705082317</v>
      </c>
      <c r="D287" s="47"/>
      <c r="E287" s="47"/>
      <c r="F287" s="47"/>
      <c r="V287" s="47"/>
      <c r="W287" s="47"/>
      <c r="X287" s="47"/>
    </row>
    <row r="288" spans="2:24" x14ac:dyDescent="0.25">
      <c r="V288" s="47"/>
      <c r="W288" s="47"/>
      <c r="X288" s="47"/>
    </row>
    <row r="289" spans="2:24" x14ac:dyDescent="0.25">
      <c r="V289" s="47"/>
      <c r="W289" s="47"/>
      <c r="X289" s="47"/>
    </row>
    <row r="290" spans="2:24" x14ac:dyDescent="0.25">
      <c r="B290" t="s">
        <v>656</v>
      </c>
      <c r="D290" s="47">
        <f>D626</f>
        <v>1499</v>
      </c>
      <c r="E290" s="47">
        <f>E626</f>
        <v>1421</v>
      </c>
      <c r="F290" s="47"/>
      <c r="V290" s="47"/>
      <c r="W290" s="47"/>
      <c r="X290" s="47"/>
    </row>
    <row r="291" spans="2:24" x14ac:dyDescent="0.25">
      <c r="B291" s="48" t="s">
        <v>503</v>
      </c>
      <c r="D291">
        <f>D624</f>
        <v>595</v>
      </c>
      <c r="E291">
        <f>E624</f>
        <v>706</v>
      </c>
      <c r="V291" s="47"/>
      <c r="W291" s="47"/>
      <c r="X291" s="47"/>
    </row>
    <row r="292" spans="2:24" x14ac:dyDescent="0.25">
      <c r="B292" s="48" t="s">
        <v>655</v>
      </c>
      <c r="D292" s="46">
        <f>D291/D290</f>
        <v>0.39693128752501666</v>
      </c>
      <c r="E292" s="46">
        <f>E291/E290</f>
        <v>0.49683321604503872</v>
      </c>
      <c r="F292" s="46"/>
      <c r="V292" s="47"/>
      <c r="W292" s="47"/>
      <c r="X292" s="47"/>
    </row>
    <row r="293" spans="2:24" x14ac:dyDescent="0.25">
      <c r="B293" s="48" t="s">
        <v>654</v>
      </c>
      <c r="D293" s="47">
        <f>D629</f>
        <v>45772</v>
      </c>
      <c r="E293" s="47">
        <f>E629</f>
        <v>36389</v>
      </c>
      <c r="F293" s="47"/>
      <c r="V293" s="47"/>
      <c r="W293" s="47"/>
      <c r="X293" s="47"/>
    </row>
    <row r="294" spans="2:24" x14ac:dyDescent="0.25">
      <c r="B294" s="48" t="s">
        <v>653</v>
      </c>
      <c r="D294" s="47">
        <f>(D292*D293)</f>
        <v>18168.338892595064</v>
      </c>
      <c r="E294" s="47">
        <f>(E292*E293)</f>
        <v>18079.263898662914</v>
      </c>
      <c r="V294" s="47"/>
      <c r="W294" s="47"/>
      <c r="X294" s="47"/>
    </row>
    <row r="295" spans="2:24" x14ac:dyDescent="0.25">
      <c r="B295" s="48" t="s">
        <v>652</v>
      </c>
      <c r="D295" s="47">
        <f>SUM(D294*1000)/D291</f>
        <v>30535.023348899267</v>
      </c>
      <c r="E295" s="47">
        <f>SUM(E294*1000)/E291</f>
        <v>25608.022519352569</v>
      </c>
      <c r="V295" s="47"/>
      <c r="W295" s="47"/>
      <c r="X295" s="47"/>
    </row>
    <row r="296" spans="2:24" x14ac:dyDescent="0.25">
      <c r="B296" s="48" t="s">
        <v>651</v>
      </c>
      <c r="D296" s="47">
        <f>D295*0.7</f>
        <v>21374.516344229487</v>
      </c>
      <c r="E296" s="47">
        <f>E295*0.8</f>
        <v>20486.418015482057</v>
      </c>
      <c r="V296" s="47"/>
      <c r="W296" s="47"/>
      <c r="X296" s="47"/>
    </row>
    <row r="297" spans="2:24" x14ac:dyDescent="0.25">
      <c r="V297" s="47"/>
      <c r="W297" s="47"/>
      <c r="X297" s="47"/>
    </row>
    <row r="298" spans="2:24" x14ac:dyDescent="0.25">
      <c r="V298" s="47"/>
      <c r="W298" s="47"/>
      <c r="X298" s="47"/>
    </row>
    <row r="299" spans="2:24" x14ac:dyDescent="0.25">
      <c r="V299" s="47"/>
      <c r="W299" s="47"/>
      <c r="X299" s="47"/>
    </row>
    <row r="302" spans="2:24" x14ac:dyDescent="0.25">
      <c r="B302" s="102" t="s">
        <v>650</v>
      </c>
      <c r="C302" s="102"/>
      <c r="D302" s="102"/>
      <c r="E302" s="102"/>
      <c r="F302" s="102"/>
      <c r="G302" s="102"/>
      <c r="H302" s="102"/>
      <c r="I302" s="102"/>
      <c r="J302" s="102"/>
      <c r="K302" s="102"/>
      <c r="L302" s="102"/>
      <c r="M302" s="102"/>
      <c r="N302" s="102"/>
      <c r="O302" s="102"/>
      <c r="P302" s="102"/>
      <c r="Q302" s="102"/>
      <c r="R302" s="102"/>
    </row>
    <row r="304" spans="2:24" ht="15.75" thickBot="1" x14ac:dyDescent="0.3">
      <c r="C304" s="56">
        <v>44739</v>
      </c>
      <c r="D304" s="56">
        <v>44374</v>
      </c>
      <c r="E304" s="56">
        <v>44010</v>
      </c>
      <c r="F304" s="56">
        <v>43646</v>
      </c>
      <c r="G304" s="56">
        <v>43282</v>
      </c>
      <c r="H304" s="56">
        <v>42918</v>
      </c>
      <c r="I304" s="56">
        <v>42577</v>
      </c>
      <c r="J304" s="56">
        <v>42213</v>
      </c>
      <c r="K304" s="57"/>
      <c r="M304" s="56">
        <v>44556</v>
      </c>
      <c r="N304" s="56">
        <v>44192</v>
      </c>
      <c r="O304" s="56">
        <v>43828</v>
      </c>
      <c r="P304" s="56">
        <v>43464</v>
      </c>
      <c r="Q304" s="56">
        <v>43100</v>
      </c>
      <c r="R304" s="56">
        <v>42729</v>
      </c>
    </row>
    <row r="305" spans="2:13" x14ac:dyDescent="0.25">
      <c r="B305" t="s">
        <v>649</v>
      </c>
    </row>
    <row r="306" spans="2:13" x14ac:dyDescent="0.25">
      <c r="B306" t="s">
        <v>624</v>
      </c>
      <c r="C306">
        <v>126</v>
      </c>
      <c r="D306">
        <v>127</v>
      </c>
      <c r="E306">
        <v>127</v>
      </c>
      <c r="F306">
        <v>117</v>
      </c>
      <c r="G306">
        <v>104</v>
      </c>
      <c r="M306">
        <v>126</v>
      </c>
    </row>
    <row r="307" spans="2:13" x14ac:dyDescent="0.25">
      <c r="B307" t="s">
        <v>618</v>
      </c>
      <c r="D307">
        <v>4</v>
      </c>
      <c r="E307">
        <v>4</v>
      </c>
      <c r="F307">
        <v>2</v>
      </c>
      <c r="G307">
        <v>2</v>
      </c>
    </row>
    <row r="308" spans="2:13" x14ac:dyDescent="0.25">
      <c r="B308" t="s">
        <v>648</v>
      </c>
      <c r="C308">
        <v>1</v>
      </c>
      <c r="D308">
        <v>1</v>
      </c>
      <c r="E308">
        <v>1</v>
      </c>
      <c r="M308">
        <v>1</v>
      </c>
    </row>
    <row r="309" spans="2:13" x14ac:dyDescent="0.25">
      <c r="B309" t="s">
        <v>613</v>
      </c>
      <c r="F309">
        <v>8</v>
      </c>
      <c r="M309">
        <v>1</v>
      </c>
    </row>
    <row r="310" spans="2:13" x14ac:dyDescent="0.25">
      <c r="B310" t="s">
        <v>647</v>
      </c>
      <c r="D310">
        <v>22</v>
      </c>
      <c r="E310">
        <v>8</v>
      </c>
      <c r="F310">
        <v>2</v>
      </c>
      <c r="M310">
        <v>31</v>
      </c>
    </row>
    <row r="311" spans="2:13" x14ac:dyDescent="0.25">
      <c r="B311" t="s">
        <v>646</v>
      </c>
      <c r="C311">
        <f>SUM(C306:C308)</f>
        <v>127</v>
      </c>
      <c r="D311">
        <f>SUM(D306:D308)</f>
        <v>132</v>
      </c>
      <c r="E311">
        <f>SUM(E306:E308)</f>
        <v>132</v>
      </c>
      <c r="F311">
        <f>SUM(F306:F308)</f>
        <v>119</v>
      </c>
      <c r="G311">
        <f>SUM(G306:G308)</f>
        <v>106</v>
      </c>
      <c r="M311">
        <f>SUM(M306:M308)</f>
        <v>127</v>
      </c>
    </row>
    <row r="313" spans="2:13" x14ac:dyDescent="0.25">
      <c r="B313" t="s">
        <v>645</v>
      </c>
      <c r="D313" s="54" t="s">
        <v>644</v>
      </c>
      <c r="E313" s="54" t="s">
        <v>643</v>
      </c>
      <c r="F313" s="54" t="s">
        <v>642</v>
      </c>
      <c r="G313" s="54" t="s">
        <v>641</v>
      </c>
      <c r="H313" s="54" t="s">
        <v>640</v>
      </c>
      <c r="M313" s="54" t="s">
        <v>639</v>
      </c>
    </row>
    <row r="314" spans="2:13" x14ac:dyDescent="0.25">
      <c r="B314" t="s">
        <v>638</v>
      </c>
      <c r="C314" s="63">
        <v>0.71</v>
      </c>
      <c r="D314" s="78">
        <v>0.44</v>
      </c>
      <c r="E314" s="54"/>
      <c r="F314" s="54"/>
      <c r="M314" s="54"/>
    </row>
    <row r="315" spans="2:13" x14ac:dyDescent="0.25">
      <c r="B315" t="s">
        <v>637</v>
      </c>
      <c r="C315" s="63"/>
      <c r="D315" s="47">
        <v>4351</v>
      </c>
      <c r="E315" s="54"/>
      <c r="F315" s="54"/>
      <c r="M315" s="54"/>
    </row>
    <row r="316" spans="2:13" x14ac:dyDescent="0.25">
      <c r="B316" t="s">
        <v>636</v>
      </c>
      <c r="E316" s="54" t="s">
        <v>635</v>
      </c>
    </row>
    <row r="317" spans="2:13" x14ac:dyDescent="0.25">
      <c r="B317" t="s">
        <v>634</v>
      </c>
      <c r="D317">
        <v>14</v>
      </c>
    </row>
    <row r="318" spans="2:13" x14ac:dyDescent="0.25">
      <c r="B318" t="s">
        <v>633</v>
      </c>
      <c r="D318" s="54" t="s">
        <v>632</v>
      </c>
      <c r="E318" s="54"/>
      <c r="F318" s="54"/>
      <c r="G318" s="54"/>
      <c r="H318" s="54"/>
      <c r="I318" s="54"/>
      <c r="J318" s="54" t="s">
        <v>631</v>
      </c>
      <c r="K318" s="54"/>
    </row>
    <row r="320" spans="2:13" x14ac:dyDescent="0.25">
      <c r="B320" s="70"/>
      <c r="C320" s="70"/>
      <c r="E320" s="54"/>
    </row>
    <row r="321" spans="2:18" x14ac:dyDescent="0.25">
      <c r="B321" s="70"/>
      <c r="C321" s="70"/>
      <c r="E321" s="54"/>
    </row>
    <row r="322" spans="2:18" x14ac:dyDescent="0.25">
      <c r="B322" s="102" t="s">
        <v>630</v>
      </c>
      <c r="C322" s="102"/>
      <c r="D322" s="102"/>
      <c r="E322" s="102"/>
      <c r="F322" s="102"/>
      <c r="G322" s="102"/>
      <c r="H322" s="102"/>
      <c r="I322" s="102"/>
      <c r="J322" s="102"/>
      <c r="K322" s="102"/>
      <c r="L322" s="102"/>
      <c r="M322" s="102"/>
      <c r="N322" s="102"/>
      <c r="O322" s="102"/>
      <c r="P322" s="102"/>
      <c r="Q322" s="102"/>
      <c r="R322" s="102"/>
    </row>
    <row r="323" spans="2:18" x14ac:dyDescent="0.25">
      <c r="B323" s="70"/>
      <c r="C323" s="70"/>
      <c r="E323" s="54"/>
    </row>
    <row r="324" spans="2:18" ht="15.75" thickBot="1" x14ac:dyDescent="0.3">
      <c r="B324" s="40" t="s">
        <v>629</v>
      </c>
      <c r="C324" s="40"/>
      <c r="E324" s="56">
        <v>44010</v>
      </c>
    </row>
    <row r="325" spans="2:18" x14ac:dyDescent="0.25">
      <c r="B325" s="70" t="s">
        <v>624</v>
      </c>
      <c r="C325" s="70"/>
      <c r="E325" s="54" t="s">
        <v>628</v>
      </c>
    </row>
    <row r="326" spans="2:18" x14ac:dyDescent="0.25">
      <c r="B326" s="70" t="s">
        <v>627</v>
      </c>
      <c r="C326" s="70"/>
      <c r="E326" s="54" t="s">
        <v>626</v>
      </c>
    </row>
    <row r="328" spans="2:18" x14ac:dyDescent="0.25">
      <c r="B328" s="72" t="s">
        <v>611</v>
      </c>
      <c r="C328" s="72"/>
      <c r="E328" s="54" t="s">
        <v>610</v>
      </c>
    </row>
    <row r="329" spans="2:18" x14ac:dyDescent="0.25">
      <c r="B329" t="s">
        <v>625</v>
      </c>
    </row>
    <row r="330" spans="2:18" x14ac:dyDescent="0.25">
      <c r="B330" s="70" t="s">
        <v>624</v>
      </c>
      <c r="C330" s="70"/>
      <c r="E330" s="54" t="s">
        <v>623</v>
      </c>
    </row>
    <row r="331" spans="2:18" x14ac:dyDescent="0.25">
      <c r="B331" s="48" t="s">
        <v>622</v>
      </c>
      <c r="C331" s="48"/>
      <c r="E331" s="54" t="s">
        <v>621</v>
      </c>
    </row>
    <row r="332" spans="2:18" x14ac:dyDescent="0.25">
      <c r="B332" s="48" t="s">
        <v>620</v>
      </c>
      <c r="C332" s="48"/>
      <c r="E332" s="54" t="s">
        <v>619</v>
      </c>
    </row>
    <row r="333" spans="2:18" x14ac:dyDescent="0.25">
      <c r="B333" s="70" t="s">
        <v>618</v>
      </c>
      <c r="C333" s="70"/>
      <c r="E333" s="54" t="s">
        <v>617</v>
      </c>
    </row>
    <row r="334" spans="2:18" x14ac:dyDescent="0.25">
      <c r="B334" s="70"/>
      <c r="C334" s="70"/>
      <c r="E334" s="54"/>
    </row>
    <row r="335" spans="2:18" x14ac:dyDescent="0.25">
      <c r="B335" s="72" t="s">
        <v>611</v>
      </c>
      <c r="C335" s="72"/>
      <c r="E335" s="54" t="s">
        <v>610</v>
      </c>
    </row>
    <row r="336" spans="2:18" x14ac:dyDescent="0.25">
      <c r="B336" t="s">
        <v>616</v>
      </c>
    </row>
    <row r="337" spans="2:18" x14ac:dyDescent="0.25">
      <c r="B337" s="70" t="s">
        <v>613</v>
      </c>
      <c r="C337" s="70"/>
      <c r="E337" s="54" t="s">
        <v>615</v>
      </c>
    </row>
    <row r="338" spans="2:18" x14ac:dyDescent="0.25">
      <c r="B338" s="74" t="s">
        <v>611</v>
      </c>
      <c r="C338" s="74"/>
      <c r="E338" s="54" t="s">
        <v>610</v>
      </c>
    </row>
    <row r="339" spans="2:18" x14ac:dyDescent="0.25">
      <c r="B339" s="74"/>
      <c r="C339" s="74"/>
      <c r="E339" s="54"/>
    </row>
    <row r="340" spans="2:18" x14ac:dyDescent="0.25">
      <c r="B340" s="40" t="s">
        <v>614</v>
      </c>
      <c r="C340" s="40"/>
    </row>
    <row r="341" spans="2:18" x14ac:dyDescent="0.25">
      <c r="B341" s="70" t="s">
        <v>613</v>
      </c>
      <c r="C341" s="70"/>
      <c r="E341" s="54" t="s">
        <v>612</v>
      </c>
    </row>
    <row r="342" spans="2:18" x14ac:dyDescent="0.25">
      <c r="B342" s="74" t="s">
        <v>611</v>
      </c>
      <c r="C342" s="74"/>
      <c r="E342" s="54" t="s">
        <v>610</v>
      </c>
    </row>
    <row r="343" spans="2:18" x14ac:dyDescent="0.25">
      <c r="B343" s="74"/>
      <c r="C343" s="74"/>
      <c r="E343" s="54"/>
    </row>
    <row r="344" spans="2:18" x14ac:dyDescent="0.25">
      <c r="B344" s="74"/>
      <c r="C344" s="74"/>
      <c r="E344" s="54"/>
    </row>
    <row r="345" spans="2:18" x14ac:dyDescent="0.25">
      <c r="B345" s="74"/>
      <c r="C345" s="74"/>
      <c r="E345" s="54"/>
    </row>
    <row r="346" spans="2:18" x14ac:dyDescent="0.25">
      <c r="B346" s="102" t="s">
        <v>609</v>
      </c>
      <c r="C346" s="102"/>
      <c r="D346" s="102"/>
      <c r="E346" s="102"/>
      <c r="F346" s="102"/>
      <c r="G346" s="102"/>
      <c r="H346" s="102"/>
      <c r="I346" s="102"/>
      <c r="J346" s="102"/>
      <c r="K346" s="102"/>
      <c r="L346" s="102"/>
      <c r="M346" s="102"/>
      <c r="N346" s="102"/>
      <c r="O346" s="102"/>
      <c r="P346" s="102"/>
      <c r="Q346" s="102"/>
      <c r="R346" s="102"/>
    </row>
    <row r="347" spans="2:18" x14ac:dyDescent="0.25">
      <c r="B347" s="74"/>
      <c r="C347" s="74"/>
      <c r="E347" s="54"/>
    </row>
    <row r="348" spans="2:18" ht="15.75" thickBot="1" x14ac:dyDescent="0.3">
      <c r="B348" s="74"/>
      <c r="C348" s="74"/>
      <c r="D348" s="56">
        <v>44374</v>
      </c>
      <c r="E348" s="56">
        <v>44010</v>
      </c>
      <c r="F348" s="56">
        <v>43646</v>
      </c>
      <c r="G348" s="56">
        <v>43282</v>
      </c>
      <c r="H348" s="56">
        <v>42918</v>
      </c>
      <c r="I348" s="56">
        <v>42577</v>
      </c>
      <c r="J348" s="56">
        <v>42213</v>
      </c>
      <c r="K348" s="57"/>
      <c r="M348" s="56">
        <v>44556</v>
      </c>
      <c r="N348" s="56">
        <v>44192</v>
      </c>
      <c r="O348" s="56">
        <v>43828</v>
      </c>
      <c r="P348" s="56">
        <v>43464</v>
      </c>
      <c r="Q348" s="56">
        <v>43100</v>
      </c>
      <c r="R348" s="56">
        <v>42729</v>
      </c>
    </row>
    <row r="349" spans="2:18" x14ac:dyDescent="0.25">
      <c r="B349" s="74" t="s">
        <v>606</v>
      </c>
      <c r="C349" s="74"/>
      <c r="D349" s="47">
        <v>48797</v>
      </c>
      <c r="E349" s="47">
        <v>77512</v>
      </c>
      <c r="F349" s="47">
        <v>89192</v>
      </c>
      <c r="G349" s="47">
        <v>77556.475000000006</v>
      </c>
    </row>
    <row r="350" spans="2:18" x14ac:dyDescent="0.25">
      <c r="B350" s="74" t="s">
        <v>605</v>
      </c>
      <c r="C350" s="74"/>
      <c r="D350" s="47">
        <v>91027</v>
      </c>
      <c r="E350" s="47">
        <v>32705</v>
      </c>
      <c r="F350" s="47">
        <v>25434</v>
      </c>
      <c r="G350" s="47">
        <v>23556.921999999999</v>
      </c>
    </row>
    <row r="351" spans="2:18" x14ac:dyDescent="0.25">
      <c r="B351" s="74" t="s">
        <v>604</v>
      </c>
      <c r="C351" s="74"/>
      <c r="D351" s="47">
        <v>19574</v>
      </c>
      <c r="E351" s="47">
        <v>20843</v>
      </c>
      <c r="F351" s="47">
        <v>13114</v>
      </c>
      <c r="G351" s="47">
        <v>11064.022000000001</v>
      </c>
    </row>
    <row r="352" spans="2:18" x14ac:dyDescent="0.25">
      <c r="B352" s="74" t="s">
        <v>608</v>
      </c>
      <c r="C352" s="74"/>
      <c r="D352" s="47">
        <v>4547</v>
      </c>
      <c r="E352" s="47">
        <v>3722</v>
      </c>
      <c r="F352" s="47">
        <v>2711</v>
      </c>
      <c r="G352" s="47">
        <v>2316.328</v>
      </c>
      <c r="L352" s="40"/>
    </row>
    <row r="353" spans="2:18" ht="15.75" thickBot="1" x14ac:dyDescent="0.3">
      <c r="B353" s="74" t="s">
        <v>602</v>
      </c>
      <c r="C353" s="74"/>
      <c r="D353" s="59">
        <v>606</v>
      </c>
      <c r="E353" s="59">
        <v>1508</v>
      </c>
      <c r="F353" s="59">
        <v>2029</v>
      </c>
      <c r="G353" s="59">
        <v>1837.819</v>
      </c>
      <c r="H353" s="66"/>
      <c r="I353" s="66"/>
      <c r="J353" s="66"/>
      <c r="L353" s="40"/>
      <c r="M353" s="66"/>
      <c r="N353" s="66"/>
      <c r="O353" s="66"/>
      <c r="P353" s="66"/>
      <c r="Q353" s="66"/>
      <c r="R353" s="66"/>
    </row>
    <row r="354" spans="2:18" s="40" customFormat="1" x14ac:dyDescent="0.25">
      <c r="B354" s="72" t="s">
        <v>422</v>
      </c>
      <c r="C354" s="72"/>
      <c r="D354" s="49">
        <f>SUM(D349:D353)</f>
        <v>164551</v>
      </c>
      <c r="E354" s="49">
        <f>SUM(E349:E353)</f>
        <v>136290</v>
      </c>
      <c r="F354" s="49">
        <f>SUM(F349:F353)</f>
        <v>132480</v>
      </c>
      <c r="G354" s="49">
        <f>SUM(G349:G353)</f>
        <v>116331.56599999999</v>
      </c>
      <c r="H354" s="47"/>
      <c r="I354" s="47"/>
      <c r="J354" s="47"/>
      <c r="K354" s="47"/>
    </row>
    <row r="355" spans="2:18" s="40" customFormat="1" x14ac:dyDescent="0.25">
      <c r="B355" s="72"/>
      <c r="C355" s="72"/>
      <c r="D355" s="49"/>
      <c r="E355" s="49"/>
      <c r="F355" s="49"/>
    </row>
    <row r="356" spans="2:18" s="40" customFormat="1" x14ac:dyDescent="0.25">
      <c r="B356" s="74" t="s">
        <v>607</v>
      </c>
      <c r="C356" s="72"/>
      <c r="D356" s="49"/>
      <c r="E356" s="49"/>
      <c r="F356" s="49"/>
    </row>
    <row r="357" spans="2:18" s="40" customFormat="1" x14ac:dyDescent="0.25">
      <c r="B357" s="74" t="s">
        <v>606</v>
      </c>
      <c r="C357" s="72"/>
      <c r="D357" s="77">
        <f t="shared" ref="D357:G361" si="90">D349/D$354</f>
        <v>0.29654635948733221</v>
      </c>
      <c r="E357" s="77">
        <f t="shared" si="90"/>
        <v>0.56872844669454836</v>
      </c>
      <c r="F357" s="77">
        <f t="shared" si="90"/>
        <v>0.67324879227053136</v>
      </c>
      <c r="G357" s="77">
        <f t="shared" si="90"/>
        <v>0.66668469845922995</v>
      </c>
    </row>
    <row r="358" spans="2:18" s="40" customFormat="1" x14ac:dyDescent="0.25">
      <c r="B358" s="74" t="s">
        <v>605</v>
      </c>
      <c r="C358" s="72"/>
      <c r="D358" s="77">
        <f t="shared" si="90"/>
        <v>0.55318411920924215</v>
      </c>
      <c r="E358" s="77">
        <f t="shared" si="90"/>
        <v>0.2399662484408247</v>
      </c>
      <c r="F358" s="77">
        <f t="shared" si="90"/>
        <v>0.19198369565217391</v>
      </c>
      <c r="G358" s="77">
        <f t="shared" si="90"/>
        <v>0.20249810786523753</v>
      </c>
    </row>
    <row r="359" spans="2:18" s="40" customFormat="1" x14ac:dyDescent="0.25">
      <c r="B359" s="74" t="s">
        <v>604</v>
      </c>
      <c r="C359" s="72"/>
      <c r="D359" s="77">
        <f t="shared" si="90"/>
        <v>0.11895400210269157</v>
      </c>
      <c r="E359" s="77">
        <f t="shared" si="90"/>
        <v>0.15293124954141904</v>
      </c>
      <c r="F359" s="77">
        <f t="shared" si="90"/>
        <v>9.8988526570048307E-2</v>
      </c>
      <c r="G359" s="77">
        <f t="shared" si="90"/>
        <v>9.51076511769815E-2</v>
      </c>
    </row>
    <row r="360" spans="2:18" s="40" customFormat="1" x14ac:dyDescent="0.25">
      <c r="B360" s="74" t="s">
        <v>603</v>
      </c>
      <c r="C360" s="72"/>
      <c r="D360" s="77">
        <f t="shared" si="90"/>
        <v>2.7632770387296338E-2</v>
      </c>
      <c r="E360" s="77">
        <f t="shared" si="90"/>
        <v>2.7309413750091716E-2</v>
      </c>
      <c r="F360" s="77">
        <f t="shared" si="90"/>
        <v>2.0463466183574881E-2</v>
      </c>
      <c r="G360" s="77">
        <f t="shared" si="90"/>
        <v>1.9911431433838001E-2</v>
      </c>
    </row>
    <row r="361" spans="2:18" s="40" customFormat="1" ht="15.75" thickBot="1" x14ac:dyDescent="0.3">
      <c r="B361" s="74" t="s">
        <v>602</v>
      </c>
      <c r="C361" s="72"/>
      <c r="D361" s="76">
        <f t="shared" si="90"/>
        <v>3.6827488134377794E-3</v>
      </c>
      <c r="E361" s="76">
        <f t="shared" si="90"/>
        <v>1.106464157311615E-2</v>
      </c>
      <c r="F361" s="76">
        <f t="shared" si="90"/>
        <v>1.5315519323671497E-2</v>
      </c>
      <c r="G361" s="76">
        <f t="shared" si="90"/>
        <v>1.5798111064713082E-2</v>
      </c>
      <c r="H361" s="39"/>
      <c r="I361" s="39"/>
      <c r="J361" s="39"/>
    </row>
    <row r="362" spans="2:18" s="40" customFormat="1" x14ac:dyDescent="0.25">
      <c r="B362" s="72" t="s">
        <v>422</v>
      </c>
      <c r="C362" s="72"/>
      <c r="D362" s="75">
        <f>SUM(D357:D361)</f>
        <v>1.0000000000000002</v>
      </c>
      <c r="E362" s="75">
        <f>SUM(E357:E361)</f>
        <v>1</v>
      </c>
      <c r="F362" s="75">
        <f>SUM(F357:F361)</f>
        <v>0.99999999999999989</v>
      </c>
      <c r="G362" s="75">
        <f>SUM(G357:G361)</f>
        <v>1.0000000000000002</v>
      </c>
    </row>
    <row r="363" spans="2:18" x14ac:dyDescent="0.25">
      <c r="B363" s="74"/>
      <c r="C363" s="74"/>
      <c r="E363" s="54"/>
      <c r="F363" s="75"/>
    </row>
    <row r="364" spans="2:18" x14ac:dyDescent="0.25">
      <c r="B364" s="102" t="s">
        <v>601</v>
      </c>
      <c r="C364" s="102"/>
      <c r="D364" s="102"/>
      <c r="E364" s="102"/>
      <c r="F364" s="102"/>
      <c r="G364" s="102"/>
      <c r="H364" s="102"/>
      <c r="I364" s="102"/>
      <c r="J364" s="102"/>
      <c r="K364" s="102"/>
      <c r="L364" s="102"/>
      <c r="M364" s="102"/>
      <c r="N364" s="102"/>
      <c r="O364" s="102"/>
      <c r="P364" s="102"/>
      <c r="Q364" s="102"/>
      <c r="R364" s="102"/>
    </row>
    <row r="365" spans="2:18" x14ac:dyDescent="0.25">
      <c r="B365" s="74"/>
      <c r="C365" s="74"/>
      <c r="E365" s="54"/>
    </row>
    <row r="366" spans="2:18" ht="15.75" thickBot="1" x14ac:dyDescent="0.3">
      <c r="D366" s="56">
        <v>44374</v>
      </c>
      <c r="E366" s="56">
        <v>44010</v>
      </c>
      <c r="F366" s="56">
        <v>43646</v>
      </c>
      <c r="G366" s="56">
        <v>43282</v>
      </c>
      <c r="H366" s="56">
        <v>42918</v>
      </c>
      <c r="I366" s="56">
        <v>42577</v>
      </c>
      <c r="J366" s="56">
        <v>42213</v>
      </c>
      <c r="K366" s="57"/>
      <c r="M366" s="56">
        <v>44556</v>
      </c>
      <c r="N366" s="56">
        <v>44192</v>
      </c>
      <c r="O366" s="56">
        <v>43828</v>
      </c>
      <c r="P366" s="56">
        <v>43464</v>
      </c>
      <c r="Q366" s="56">
        <v>43100</v>
      </c>
      <c r="R366" s="56">
        <v>42729</v>
      </c>
    </row>
    <row r="367" spans="2:18" x14ac:dyDescent="0.25">
      <c r="B367" s="74" t="s">
        <v>596</v>
      </c>
      <c r="C367" s="74"/>
      <c r="D367" s="47">
        <v>159399</v>
      </c>
      <c r="E367" s="47">
        <v>131060</v>
      </c>
      <c r="F367" s="47">
        <v>127740</v>
      </c>
      <c r="G367" s="47">
        <v>112117.41899999999</v>
      </c>
      <c r="H367" s="47">
        <v>101253.605</v>
      </c>
      <c r="I367" s="47">
        <v>88915</v>
      </c>
      <c r="J367" s="47">
        <v>78621.649000000005</v>
      </c>
      <c r="K367" s="47"/>
      <c r="M367" s="47">
        <v>139700</v>
      </c>
    </row>
    <row r="368" spans="2:18" x14ac:dyDescent="0.25">
      <c r="B368" s="74" t="s">
        <v>600</v>
      </c>
      <c r="C368" s="74"/>
      <c r="D368" s="47">
        <v>504</v>
      </c>
      <c r="E368" s="47">
        <v>1399</v>
      </c>
      <c r="F368" s="47">
        <v>1674</v>
      </c>
      <c r="G368" s="47">
        <v>2316.328</v>
      </c>
      <c r="H368" s="47">
        <v>2060.9369999999999</v>
      </c>
      <c r="I368" s="47">
        <v>1879.24</v>
      </c>
      <c r="J368" s="47">
        <v>2040.0809999999999</v>
      </c>
      <c r="K368" s="47"/>
    </row>
    <row r="369" spans="2:20" x14ac:dyDescent="0.25">
      <c r="B369" t="s">
        <v>593</v>
      </c>
      <c r="D369" s="47">
        <v>606</v>
      </c>
      <c r="E369" s="47">
        <v>1507</v>
      </c>
      <c r="F369" s="47"/>
      <c r="G369" s="47"/>
      <c r="H369" s="47"/>
      <c r="I369" s="47"/>
      <c r="J369" s="47"/>
      <c r="K369" s="47"/>
      <c r="M369" s="47">
        <v>1200</v>
      </c>
      <c r="N369" s="47"/>
      <c r="O369" s="47"/>
      <c r="P369" s="47"/>
      <c r="Q369" s="47"/>
      <c r="R369" s="47"/>
    </row>
    <row r="370" spans="2:20" x14ac:dyDescent="0.25">
      <c r="B370" t="s">
        <v>594</v>
      </c>
      <c r="D370" s="47">
        <v>1947</v>
      </c>
      <c r="E370" s="47">
        <v>1529</v>
      </c>
      <c r="F370" s="47"/>
      <c r="G370" s="47"/>
      <c r="H370" s="47"/>
      <c r="I370" s="47"/>
      <c r="J370" s="47"/>
      <c r="K370" s="47"/>
      <c r="M370" s="47">
        <v>2000</v>
      </c>
      <c r="N370" s="47"/>
      <c r="O370" s="47"/>
      <c r="P370" s="47"/>
      <c r="Q370" s="47"/>
      <c r="R370" s="47"/>
    </row>
    <row r="371" spans="2:20" x14ac:dyDescent="0.25">
      <c r="B371" t="s">
        <v>599</v>
      </c>
      <c r="D371" s="47">
        <v>2095</v>
      </c>
      <c r="E371" s="47">
        <v>795</v>
      </c>
      <c r="F371" s="47"/>
      <c r="G371" s="47"/>
      <c r="H371" s="47"/>
      <c r="I371" s="47"/>
      <c r="J371" s="47"/>
      <c r="K371" s="47"/>
      <c r="L371" s="60"/>
      <c r="M371" s="47"/>
    </row>
    <row r="372" spans="2:20" ht="15.75" thickBot="1" x14ac:dyDescent="0.3">
      <c r="B372" t="s">
        <v>598</v>
      </c>
      <c r="D372" s="59">
        <f>SUM(D369:D371)</f>
        <v>4648</v>
      </c>
      <c r="E372" s="59">
        <f>SUM(E369:E371)</f>
        <v>3831</v>
      </c>
      <c r="F372" s="59">
        <v>3066</v>
      </c>
      <c r="G372" s="59">
        <v>1837.819</v>
      </c>
      <c r="H372" s="59">
        <v>1925.588</v>
      </c>
      <c r="I372" s="59">
        <v>295.435</v>
      </c>
      <c r="J372" s="59">
        <v>406.63400000000001</v>
      </c>
      <c r="K372" s="47"/>
      <c r="L372" s="60"/>
      <c r="M372" s="59">
        <f>SUM(M369:M371)</f>
        <v>3200</v>
      </c>
      <c r="N372" s="66"/>
      <c r="O372" s="66"/>
      <c r="P372" s="66"/>
      <c r="Q372" s="66"/>
      <c r="R372" s="66"/>
    </row>
    <row r="373" spans="2:20" s="40" customFormat="1" x14ac:dyDescent="0.25">
      <c r="B373" s="72" t="s">
        <v>597</v>
      </c>
      <c r="C373" s="72"/>
      <c r="D373" s="71">
        <f>SUM(D372+D368+D367)</f>
        <v>164551</v>
      </c>
      <c r="E373" s="71">
        <f t="shared" ref="E373:J373" si="91">SUM(E367:E372)</f>
        <v>140121</v>
      </c>
      <c r="F373" s="71">
        <f t="shared" si="91"/>
        <v>132480</v>
      </c>
      <c r="G373" s="71">
        <f t="shared" si="91"/>
        <v>116271.56599999999</v>
      </c>
      <c r="H373" s="71">
        <f t="shared" si="91"/>
        <v>105240.13</v>
      </c>
      <c r="I373" s="71">
        <f t="shared" si="91"/>
        <v>91089.675000000003</v>
      </c>
      <c r="J373" s="71">
        <f t="shared" si="91"/>
        <v>81068.364000000016</v>
      </c>
      <c r="K373" s="71"/>
      <c r="L373" s="60"/>
      <c r="M373" s="71">
        <f>SUM(M372+M368+M367)</f>
        <v>142900</v>
      </c>
    </row>
    <row r="374" spans="2:20" s="40" customFormat="1" x14ac:dyDescent="0.25">
      <c r="B374" s="72"/>
      <c r="C374" s="72"/>
      <c r="D374" s="71"/>
      <c r="E374" s="71"/>
      <c r="F374" s="71"/>
      <c r="G374" s="71"/>
      <c r="H374" s="71"/>
      <c r="I374" s="71"/>
      <c r="J374" s="71"/>
      <c r="K374" s="71"/>
      <c r="L374" s="60"/>
    </row>
    <row r="375" spans="2:20" s="40" customFormat="1" x14ac:dyDescent="0.25">
      <c r="B375" s="40" t="s">
        <v>442</v>
      </c>
      <c r="D375" s="71"/>
      <c r="E375" s="71"/>
      <c r="F375" s="71"/>
      <c r="G375" s="71"/>
      <c r="H375" s="71"/>
      <c r="I375" s="71"/>
      <c r="J375" s="71"/>
      <c r="K375" s="71"/>
    </row>
    <row r="376" spans="2:20" s="40" customFormat="1" x14ac:dyDescent="0.25">
      <c r="B376" s="74" t="s">
        <v>596</v>
      </c>
      <c r="C376" s="74"/>
      <c r="D376" s="60">
        <v>89747</v>
      </c>
      <c r="E376" s="47">
        <v>76889</v>
      </c>
      <c r="F376" s="47">
        <v>33356</v>
      </c>
      <c r="G376" s="60">
        <v>29226.984</v>
      </c>
      <c r="H376" s="60"/>
      <c r="I376" s="60"/>
      <c r="J376" s="60"/>
      <c r="K376" s="60"/>
      <c r="L376" s="60"/>
      <c r="M376" s="60"/>
      <c r="N376" s="60"/>
      <c r="O376" s="60"/>
      <c r="P376" s="60"/>
      <c r="Q376" s="60"/>
      <c r="R376" s="60"/>
      <c r="S376" s="60"/>
      <c r="T376" s="60"/>
    </row>
    <row r="377" spans="2:20" s="40" customFormat="1" x14ac:dyDescent="0.25">
      <c r="B377" s="74" t="s">
        <v>595</v>
      </c>
      <c r="C377" s="74"/>
      <c r="D377" s="60">
        <v>264</v>
      </c>
      <c r="E377">
        <v>883</v>
      </c>
      <c r="F377">
        <v>661</v>
      </c>
      <c r="G377" s="60">
        <v>385.56900000000002</v>
      </c>
      <c r="H377" s="60"/>
      <c r="I377" s="60"/>
      <c r="J377" s="60"/>
      <c r="K377" s="60"/>
      <c r="L377" s="60"/>
      <c r="M377" s="60"/>
      <c r="N377" s="60"/>
      <c r="O377" s="60"/>
      <c r="P377" s="60"/>
      <c r="Q377" s="60"/>
      <c r="R377" s="60"/>
      <c r="S377" s="60"/>
      <c r="T377" s="60"/>
    </row>
    <row r="378" spans="2:20" s="40" customFormat="1" x14ac:dyDescent="0.25">
      <c r="B378" t="s">
        <v>594</v>
      </c>
      <c r="C378"/>
      <c r="D378" s="60">
        <v>339</v>
      </c>
      <c r="E378" s="60">
        <v>4172</v>
      </c>
      <c r="F378" s="60">
        <v>1146</v>
      </c>
      <c r="G378" s="60"/>
      <c r="H378" s="60"/>
      <c r="I378" s="60"/>
      <c r="J378" s="60"/>
      <c r="K378" s="60"/>
      <c r="L378" s="60"/>
      <c r="M378" s="60"/>
      <c r="N378" s="60"/>
      <c r="O378" s="60"/>
      <c r="P378" s="60"/>
      <c r="Q378" s="60"/>
      <c r="R378" s="60"/>
      <c r="S378" s="60"/>
      <c r="T378" s="60"/>
    </row>
    <row r="379" spans="2:20" s="40" customFormat="1" ht="15.75" thickBot="1" x14ac:dyDescent="0.3">
      <c r="B379" t="s">
        <v>593</v>
      </c>
      <c r="C379"/>
      <c r="D379" s="73">
        <v>10111</v>
      </c>
      <c r="E379" s="73">
        <v>9063</v>
      </c>
      <c r="F379" s="73">
        <v>11001</v>
      </c>
      <c r="G379" s="73">
        <v>10314.200000000001</v>
      </c>
      <c r="H379" s="73">
        <v>10185.564</v>
      </c>
      <c r="I379" s="73">
        <v>9268.4940000000006</v>
      </c>
      <c r="J379" s="73"/>
      <c r="K379" s="60"/>
      <c r="L379" s="60"/>
      <c r="M379" s="73"/>
      <c r="N379" s="73"/>
      <c r="O379" s="73"/>
      <c r="P379" s="73"/>
      <c r="Q379" s="73"/>
      <c r="R379" s="73"/>
      <c r="S379" s="60"/>
      <c r="T379" s="60"/>
    </row>
    <row r="380" spans="2:20" s="40" customFormat="1" x14ac:dyDescent="0.25">
      <c r="B380" s="72" t="s">
        <v>422</v>
      </c>
      <c r="C380" s="72"/>
      <c r="D380" s="71">
        <f>SUM(D376:D379)</f>
        <v>100461</v>
      </c>
      <c r="E380" s="71">
        <f>SUM(E376:E379)</f>
        <v>91007</v>
      </c>
      <c r="F380" s="71">
        <f>SUM(F376:F379)</f>
        <v>46164</v>
      </c>
      <c r="G380" s="71">
        <f>SUM(G376:G379)</f>
        <v>39926.752999999997</v>
      </c>
      <c r="H380" s="71"/>
      <c r="I380" s="71"/>
      <c r="J380" s="71"/>
      <c r="K380" s="71"/>
      <c r="L380" s="60"/>
      <c r="M380" s="60"/>
      <c r="N380" s="60"/>
      <c r="O380" s="60"/>
      <c r="P380" s="60"/>
      <c r="Q380" s="60"/>
      <c r="R380" s="60"/>
      <c r="S380" s="60"/>
      <c r="T380" s="60"/>
    </row>
    <row r="381" spans="2:20" s="40" customFormat="1" x14ac:dyDescent="0.25">
      <c r="B381" s="72"/>
      <c r="C381" s="72"/>
      <c r="D381" s="60"/>
      <c r="E381" s="60"/>
      <c r="F381" s="60"/>
      <c r="G381" s="60"/>
      <c r="H381" s="60"/>
      <c r="I381" s="60"/>
      <c r="J381" s="60"/>
      <c r="K381" s="60"/>
      <c r="L381" s="60"/>
      <c r="M381" s="60"/>
      <c r="N381" s="60"/>
      <c r="O381" s="60"/>
      <c r="P381" s="60"/>
      <c r="Q381" s="60"/>
      <c r="R381" s="60"/>
      <c r="S381" s="60"/>
      <c r="T381" s="60"/>
    </row>
    <row r="382" spans="2:20" s="40" customFormat="1" x14ac:dyDescent="0.25">
      <c r="B382" s="72"/>
      <c r="C382" s="72"/>
      <c r="D382" s="60"/>
      <c r="E382" s="60"/>
      <c r="F382" s="60"/>
      <c r="G382" s="60"/>
      <c r="H382" s="60"/>
      <c r="I382" s="60"/>
      <c r="J382" s="60"/>
      <c r="K382" s="60"/>
      <c r="L382" s="60"/>
      <c r="M382" s="60"/>
      <c r="N382" s="60"/>
      <c r="O382" s="60"/>
      <c r="P382" s="60"/>
      <c r="Q382" s="60"/>
      <c r="R382" s="60"/>
      <c r="S382" s="60"/>
      <c r="T382" s="60"/>
    </row>
    <row r="383" spans="2:20" s="40" customFormat="1" x14ac:dyDescent="0.25">
      <c r="B383" s="72"/>
      <c r="C383" s="72"/>
      <c r="D383" s="60"/>
      <c r="E383" s="60"/>
      <c r="F383" s="60"/>
      <c r="G383" s="60"/>
      <c r="H383" s="60"/>
      <c r="I383" s="60"/>
      <c r="J383" s="60"/>
      <c r="K383" s="60"/>
      <c r="L383" s="60"/>
      <c r="M383" s="60"/>
      <c r="N383" s="60"/>
      <c r="O383" s="60"/>
      <c r="P383" s="60"/>
      <c r="Q383" s="60"/>
      <c r="R383" s="60"/>
      <c r="S383" s="60"/>
      <c r="T383" s="60"/>
    </row>
    <row r="384" spans="2:20" s="40" customFormat="1" x14ac:dyDescent="0.25">
      <c r="B384" s="72"/>
      <c r="C384" s="72"/>
      <c r="D384" s="71"/>
      <c r="E384" s="71"/>
      <c r="F384" s="71"/>
      <c r="G384" s="71"/>
      <c r="H384" s="71"/>
      <c r="I384" s="71"/>
      <c r="J384" s="71"/>
      <c r="K384" s="71"/>
    </row>
    <row r="386" spans="2:18" x14ac:dyDescent="0.25">
      <c r="B386" s="102" t="s">
        <v>592</v>
      </c>
      <c r="C386" s="102"/>
      <c r="D386" s="102"/>
      <c r="E386" s="102"/>
      <c r="F386" s="102"/>
      <c r="G386" s="102"/>
      <c r="H386" s="102"/>
      <c r="I386" s="102"/>
      <c r="J386" s="102"/>
      <c r="K386" s="102"/>
      <c r="L386" s="102"/>
      <c r="M386" s="102"/>
      <c r="N386" s="102"/>
      <c r="O386" s="102"/>
      <c r="P386" s="102"/>
      <c r="Q386" s="102"/>
      <c r="R386" s="102"/>
    </row>
    <row r="388" spans="2:18" ht="15.75" thickBot="1" x14ac:dyDescent="0.3">
      <c r="B388" t="s">
        <v>591</v>
      </c>
      <c r="D388" s="56">
        <v>44374</v>
      </c>
      <c r="E388" s="56">
        <v>44010</v>
      </c>
      <c r="F388" s="56">
        <v>43646</v>
      </c>
      <c r="G388" s="56">
        <v>43282</v>
      </c>
      <c r="H388" s="56">
        <v>42918</v>
      </c>
      <c r="I388" s="56">
        <v>42577</v>
      </c>
      <c r="J388" s="56">
        <v>42213</v>
      </c>
      <c r="K388" s="57"/>
      <c r="M388" s="56">
        <v>44556</v>
      </c>
      <c r="N388" s="56">
        <v>44192</v>
      </c>
      <c r="O388" s="56">
        <v>43828</v>
      </c>
      <c r="P388" s="56">
        <v>43464</v>
      </c>
      <c r="Q388" s="56">
        <v>43100</v>
      </c>
      <c r="R388" s="56">
        <v>42729</v>
      </c>
    </row>
    <row r="389" spans="2:18" x14ac:dyDescent="0.25">
      <c r="B389" t="s">
        <v>481</v>
      </c>
      <c r="D389" s="47">
        <v>62558</v>
      </c>
      <c r="E389" s="47">
        <v>53358</v>
      </c>
      <c r="F389" s="47">
        <v>44574</v>
      </c>
      <c r="G389" s="47">
        <v>36341.317999999999</v>
      </c>
      <c r="H389" s="47">
        <v>32540.620999999999</v>
      </c>
      <c r="I389" s="57"/>
      <c r="J389" s="57"/>
      <c r="K389" s="57"/>
      <c r="M389" s="57"/>
      <c r="N389" s="57"/>
      <c r="O389" s="57"/>
      <c r="P389" s="57"/>
      <c r="Q389" s="57"/>
      <c r="R389" s="57"/>
    </row>
    <row r="390" spans="2:18" x14ac:dyDescent="0.25">
      <c r="B390" t="s">
        <v>590</v>
      </c>
      <c r="D390" s="47">
        <v>51591</v>
      </c>
      <c r="E390" s="47">
        <v>37641</v>
      </c>
      <c r="F390" s="47">
        <v>35840.517999999996</v>
      </c>
      <c r="G390" s="47">
        <v>30658.433000000001</v>
      </c>
      <c r="H390" s="47">
        <v>28310.134999999998</v>
      </c>
      <c r="M390" s="47">
        <v>25092</v>
      </c>
      <c r="N390" s="47">
        <v>24634</v>
      </c>
    </row>
    <row r="391" spans="2:18" x14ac:dyDescent="0.25">
      <c r="B391" t="s">
        <v>589</v>
      </c>
      <c r="D391">
        <v>-553</v>
      </c>
      <c r="E391">
        <v>-650</v>
      </c>
      <c r="M391">
        <v>-41</v>
      </c>
      <c r="N391">
        <v>-893</v>
      </c>
    </row>
    <row r="392" spans="2:18" x14ac:dyDescent="0.25">
      <c r="B392" t="s">
        <v>588</v>
      </c>
      <c r="D392" s="47">
        <v>5543</v>
      </c>
      <c r="E392" s="47">
        <v>5781</v>
      </c>
      <c r="F392" s="47">
        <v>4939.982</v>
      </c>
      <c r="G392" s="47">
        <v>4247.55</v>
      </c>
      <c r="H392" s="47">
        <v>3302.7759999999998</v>
      </c>
      <c r="M392" s="47">
        <v>2702</v>
      </c>
      <c r="N392" s="47">
        <v>2749</v>
      </c>
    </row>
    <row r="393" spans="2:18" x14ac:dyDescent="0.25">
      <c r="B393" t="s">
        <v>587</v>
      </c>
      <c r="D393" s="47"/>
      <c r="E393" s="47"/>
      <c r="F393" s="47" t="s">
        <v>548</v>
      </c>
      <c r="G393" s="47">
        <v>284.68099999999998</v>
      </c>
    </row>
    <row r="394" spans="2:18" x14ac:dyDescent="0.25">
      <c r="B394" t="s">
        <v>586</v>
      </c>
      <c r="D394" s="47">
        <v>9287</v>
      </c>
      <c r="E394" s="47">
        <v>10953</v>
      </c>
      <c r="M394" s="47">
        <v>4273</v>
      </c>
      <c r="N394" s="47">
        <v>5081</v>
      </c>
    </row>
    <row r="395" spans="2:18" x14ac:dyDescent="0.25">
      <c r="B395" t="s">
        <v>585</v>
      </c>
      <c r="D395" s="47"/>
      <c r="E395" s="47"/>
      <c r="F395" s="47">
        <f>11516.556+225</f>
        <v>11741.556</v>
      </c>
      <c r="G395" s="47">
        <f>SUM(10583+149)</f>
        <v>10732</v>
      </c>
      <c r="H395" s="47">
        <f>SUM(H406:H407)</f>
        <v>9437.8130000000001</v>
      </c>
      <c r="M395" s="47"/>
      <c r="N395" s="47"/>
    </row>
    <row r="396" spans="2:18" x14ac:dyDescent="0.25">
      <c r="B396" t="s">
        <v>584</v>
      </c>
      <c r="D396">
        <v>965</v>
      </c>
      <c r="E396">
        <v>598</v>
      </c>
      <c r="F396" s="47">
        <v>512.86199999999997</v>
      </c>
      <c r="G396" s="47">
        <v>509.892</v>
      </c>
      <c r="H396" s="47">
        <v>442.07100000000003</v>
      </c>
      <c r="M396">
        <v>681</v>
      </c>
      <c r="N396">
        <v>404</v>
      </c>
    </row>
    <row r="397" spans="2:18" x14ac:dyDescent="0.25">
      <c r="B397" t="s">
        <v>583</v>
      </c>
      <c r="D397">
        <v>112</v>
      </c>
      <c r="E397">
        <v>-69</v>
      </c>
      <c r="F397" s="47">
        <v>44.1</v>
      </c>
      <c r="G397" s="47">
        <v>-88.253</v>
      </c>
      <c r="H397">
        <v>111.88</v>
      </c>
      <c r="M397">
        <v>14</v>
      </c>
      <c r="N397">
        <v>23</v>
      </c>
    </row>
    <row r="398" spans="2:18" x14ac:dyDescent="0.25">
      <c r="B398" t="s">
        <v>582</v>
      </c>
      <c r="D398">
        <v>46</v>
      </c>
      <c r="E398" t="s">
        <v>548</v>
      </c>
    </row>
    <row r="399" spans="2:18" x14ac:dyDescent="0.25">
      <c r="B399" t="s">
        <v>581</v>
      </c>
      <c r="D399">
        <v>-55</v>
      </c>
      <c r="E399">
        <v>171</v>
      </c>
      <c r="F399" s="47">
        <v>-10.507</v>
      </c>
      <c r="G399" s="47">
        <v>106.76</v>
      </c>
      <c r="H399" s="47">
        <v>249.56700000000001</v>
      </c>
      <c r="M399">
        <v>-131</v>
      </c>
      <c r="N399">
        <v>-51</v>
      </c>
    </row>
    <row r="400" spans="2:18" x14ac:dyDescent="0.25">
      <c r="B400" t="s">
        <v>580</v>
      </c>
      <c r="D400">
        <v>44</v>
      </c>
      <c r="E400" t="s">
        <v>548</v>
      </c>
    </row>
    <row r="401" spans="2:18" x14ac:dyDescent="0.25">
      <c r="B401" t="s">
        <v>579</v>
      </c>
      <c r="D401" s="47">
        <v>3267</v>
      </c>
      <c r="E401" s="47">
        <v>3026</v>
      </c>
      <c r="M401" s="47">
        <v>1357</v>
      </c>
      <c r="N401" s="47">
        <v>1878</v>
      </c>
    </row>
    <row r="402" spans="2:18" x14ac:dyDescent="0.25">
      <c r="B402" t="s">
        <v>578</v>
      </c>
      <c r="D402">
        <v>-6</v>
      </c>
      <c r="E402">
        <v>252</v>
      </c>
      <c r="F402" s="47">
        <v>47.527000000000001</v>
      </c>
      <c r="G402" s="47">
        <v>57.94</v>
      </c>
      <c r="H402" s="47">
        <v>58.781999999999996</v>
      </c>
      <c r="M402">
        <v>43</v>
      </c>
      <c r="N402" t="s">
        <v>548</v>
      </c>
    </row>
    <row r="403" spans="2:18" x14ac:dyDescent="0.25">
      <c r="B403" t="s">
        <v>577</v>
      </c>
      <c r="D403" s="47">
        <v>11100</v>
      </c>
      <c r="E403" s="47">
        <v>12100</v>
      </c>
      <c r="F403" s="47">
        <v>11517</v>
      </c>
      <c r="G403" s="47"/>
      <c r="H403" s="47"/>
    </row>
    <row r="405" spans="2:18" x14ac:dyDescent="0.25">
      <c r="B405" t="s">
        <v>576</v>
      </c>
    </row>
    <row r="406" spans="2:18" x14ac:dyDescent="0.25">
      <c r="B406" t="s">
        <v>575</v>
      </c>
      <c r="F406" s="47">
        <v>11517</v>
      </c>
      <c r="G406" s="47">
        <v>10582.822</v>
      </c>
      <c r="H406" s="47">
        <v>9260.982</v>
      </c>
    </row>
    <row r="407" spans="2:18" x14ac:dyDescent="0.25">
      <c r="B407" t="s">
        <v>574</v>
      </c>
      <c r="F407">
        <v>225</v>
      </c>
      <c r="G407" s="47">
        <v>148.94900000000001</v>
      </c>
      <c r="H407" s="47">
        <v>176.83099999999999</v>
      </c>
    </row>
    <row r="410" spans="2:18" x14ac:dyDescent="0.25">
      <c r="B410" s="102" t="s">
        <v>573</v>
      </c>
      <c r="C410" s="102"/>
      <c r="D410" s="102"/>
      <c r="E410" s="102"/>
      <c r="F410" s="102"/>
      <c r="G410" s="102"/>
      <c r="H410" s="102"/>
      <c r="I410" s="102"/>
      <c r="J410" s="102"/>
      <c r="K410" s="102"/>
      <c r="L410" s="102"/>
      <c r="M410" s="102"/>
      <c r="N410" s="102"/>
      <c r="O410" s="102"/>
      <c r="P410" s="102"/>
      <c r="Q410" s="102"/>
      <c r="R410" s="102"/>
    </row>
    <row r="412" spans="2:18" ht="15.75" thickBot="1" x14ac:dyDescent="0.3">
      <c r="D412" s="56">
        <v>44374</v>
      </c>
      <c r="E412" s="56">
        <v>44010</v>
      </c>
      <c r="F412" s="56">
        <v>43646</v>
      </c>
      <c r="G412" s="56">
        <v>43282</v>
      </c>
      <c r="H412" s="56">
        <v>42918</v>
      </c>
      <c r="I412" s="56">
        <v>42577</v>
      </c>
      <c r="J412" s="56">
        <v>42213</v>
      </c>
      <c r="K412" s="57"/>
      <c r="M412" s="56">
        <v>44556</v>
      </c>
      <c r="N412" s="56">
        <v>44192</v>
      </c>
      <c r="O412" s="56">
        <v>43828</v>
      </c>
      <c r="P412" s="56">
        <v>43464</v>
      </c>
      <c r="Q412" s="56">
        <v>43100</v>
      </c>
      <c r="R412" s="56">
        <v>42729</v>
      </c>
    </row>
    <row r="413" spans="2:18" x14ac:dyDescent="0.25">
      <c r="B413" t="s">
        <v>572</v>
      </c>
      <c r="D413" s="47">
        <v>183</v>
      </c>
      <c r="E413">
        <v>103</v>
      </c>
      <c r="F413">
        <v>28</v>
      </c>
      <c r="M413">
        <v>160</v>
      </c>
      <c r="N413">
        <v>73</v>
      </c>
    </row>
    <row r="414" spans="2:18" x14ac:dyDescent="0.25">
      <c r="B414" t="s">
        <v>571</v>
      </c>
      <c r="D414" s="47">
        <v>3</v>
      </c>
      <c r="E414">
        <v>29</v>
      </c>
      <c r="F414">
        <v>41</v>
      </c>
      <c r="G414">
        <v>22.113</v>
      </c>
      <c r="H414">
        <v>3.23</v>
      </c>
      <c r="M414">
        <v>3</v>
      </c>
      <c r="N414">
        <v>3</v>
      </c>
    </row>
    <row r="415" spans="2:18" ht="15.75" thickBot="1" x14ac:dyDescent="0.3">
      <c r="B415" t="s">
        <v>570</v>
      </c>
      <c r="D415" s="50">
        <v>52</v>
      </c>
      <c r="E415" s="58">
        <v>27</v>
      </c>
      <c r="F415" s="58"/>
      <c r="G415" s="58"/>
      <c r="H415" s="58"/>
      <c r="I415" s="58"/>
      <c r="J415" s="58"/>
      <c r="M415" s="58">
        <v>42</v>
      </c>
      <c r="N415" s="58">
        <v>3</v>
      </c>
      <c r="O415" s="58"/>
      <c r="P415" s="58"/>
      <c r="Q415" s="58"/>
      <c r="R415" s="58"/>
    </row>
    <row r="416" spans="2:18" s="40" customFormat="1" x14ac:dyDescent="0.25">
      <c r="B416" s="40" t="s">
        <v>569</v>
      </c>
      <c r="D416" s="49">
        <v>238</v>
      </c>
      <c r="E416" s="40">
        <v>159</v>
      </c>
      <c r="F416" s="40">
        <f>SUM(F413:F415)</f>
        <v>69</v>
      </c>
      <c r="G416" s="40">
        <f>SUM(G413:G415)</f>
        <v>22.113</v>
      </c>
      <c r="H416" s="40">
        <f>SUM(H413:H415)</f>
        <v>3.23</v>
      </c>
      <c r="M416" s="49">
        <v>238</v>
      </c>
      <c r="N416" s="40">
        <v>159</v>
      </c>
      <c r="O416" s="40">
        <f>SUM(O413:O415)</f>
        <v>0</v>
      </c>
      <c r="P416" s="40">
        <f>SUM(P413:P415)</f>
        <v>0</v>
      </c>
      <c r="Q416" s="40">
        <f>SUM(Q413:Q415)</f>
        <v>0</v>
      </c>
    </row>
    <row r="417" spans="2:18" x14ac:dyDescent="0.25">
      <c r="D417" s="47"/>
    </row>
    <row r="418" spans="2:18" x14ac:dyDescent="0.25">
      <c r="B418" t="s">
        <v>568</v>
      </c>
      <c r="D418" s="47">
        <v>328</v>
      </c>
      <c r="E418">
        <v>66</v>
      </c>
      <c r="F418">
        <v>79</v>
      </c>
      <c r="G418">
        <v>92.373000000000005</v>
      </c>
      <c r="H418">
        <v>253.43</v>
      </c>
      <c r="M418">
        <v>218</v>
      </c>
      <c r="N418">
        <v>192</v>
      </c>
    </row>
    <row r="419" spans="2:18" x14ac:dyDescent="0.25">
      <c r="B419" t="s">
        <v>567</v>
      </c>
      <c r="D419" s="47">
        <v>201</v>
      </c>
      <c r="E419">
        <v>224</v>
      </c>
      <c r="F419">
        <v>180</v>
      </c>
      <c r="G419">
        <v>147.74700000000001</v>
      </c>
      <c r="H419">
        <v>65.778999999999996</v>
      </c>
      <c r="M419">
        <v>90</v>
      </c>
      <c r="N419">
        <v>101</v>
      </c>
    </row>
    <row r="420" spans="2:18" x14ac:dyDescent="0.25">
      <c r="B420" t="s">
        <v>566</v>
      </c>
      <c r="D420" s="47"/>
      <c r="F420">
        <v>36</v>
      </c>
      <c r="G420">
        <v>0.121</v>
      </c>
      <c r="H420">
        <v>130.25200000000001</v>
      </c>
    </row>
    <row r="421" spans="2:18" x14ac:dyDescent="0.25">
      <c r="B421" t="s">
        <v>565</v>
      </c>
      <c r="D421" s="47"/>
      <c r="G421">
        <v>337.327</v>
      </c>
      <c r="H421">
        <v>262.09800000000001</v>
      </c>
    </row>
    <row r="422" spans="2:18" x14ac:dyDescent="0.25">
      <c r="B422" t="s">
        <v>564</v>
      </c>
      <c r="D422" s="47"/>
      <c r="G422">
        <v>1.1919999999999999</v>
      </c>
      <c r="H422">
        <v>14.305999999999999</v>
      </c>
    </row>
    <row r="423" spans="2:18" ht="15.75" thickBot="1" x14ac:dyDescent="0.3">
      <c r="B423" t="s">
        <v>563</v>
      </c>
      <c r="D423" s="50">
        <v>1121</v>
      </c>
      <c r="E423" s="50">
        <v>1378</v>
      </c>
      <c r="F423" s="50"/>
      <c r="G423" s="58"/>
      <c r="H423" s="50"/>
      <c r="I423" s="58"/>
      <c r="J423" s="50"/>
      <c r="K423" s="47"/>
      <c r="M423" s="50">
        <v>466</v>
      </c>
      <c r="N423" s="50">
        <v>604</v>
      </c>
      <c r="O423" s="50"/>
      <c r="P423" s="50"/>
      <c r="Q423" s="50"/>
      <c r="R423" s="50"/>
    </row>
    <row r="424" spans="2:18" s="40" customFormat="1" x14ac:dyDescent="0.25">
      <c r="B424" s="40" t="s">
        <v>562</v>
      </c>
      <c r="D424" s="49">
        <f>SUM(D418:D423)</f>
        <v>1650</v>
      </c>
      <c r="E424" s="49">
        <f>SUM(E418:E423)</f>
        <v>1668</v>
      </c>
      <c r="F424" s="49">
        <f>SUM(F418:F423)</f>
        <v>295</v>
      </c>
      <c r="G424" s="49">
        <f>SUM(G418:G423)</f>
        <v>578.76</v>
      </c>
      <c r="H424" s="49">
        <f>SUM(H418:H423)</f>
        <v>725.86500000000001</v>
      </c>
      <c r="I424" s="49"/>
      <c r="J424" s="49"/>
      <c r="K424" s="49"/>
      <c r="L424" s="49"/>
      <c r="M424" s="49">
        <f t="shared" ref="M424:R424" si="92">SUM(M418:M423)</f>
        <v>774</v>
      </c>
      <c r="N424" s="49">
        <f t="shared" si="92"/>
        <v>897</v>
      </c>
      <c r="O424" s="49">
        <f t="shared" si="92"/>
        <v>0</v>
      </c>
      <c r="P424" s="49">
        <f t="shared" si="92"/>
        <v>0</v>
      </c>
      <c r="Q424" s="49">
        <f t="shared" si="92"/>
        <v>0</v>
      </c>
      <c r="R424" s="49">
        <f t="shared" si="92"/>
        <v>0</v>
      </c>
    </row>
    <row r="426" spans="2:18" x14ac:dyDescent="0.25">
      <c r="B426" s="102" t="s">
        <v>561</v>
      </c>
      <c r="C426" s="102"/>
      <c r="D426" s="102"/>
      <c r="E426" s="102"/>
      <c r="F426" s="102"/>
      <c r="G426" s="102"/>
      <c r="H426" s="102"/>
      <c r="I426" s="102"/>
      <c r="J426" s="102"/>
      <c r="K426" s="102"/>
      <c r="L426" s="102"/>
      <c r="M426" s="102"/>
      <c r="N426" s="102"/>
      <c r="O426" s="102"/>
      <c r="P426" s="102"/>
      <c r="Q426" s="102"/>
      <c r="R426" s="102"/>
    </row>
    <row r="428" spans="2:18" x14ac:dyDescent="0.25">
      <c r="F428" s="67"/>
    </row>
    <row r="429" spans="2:18" ht="15.75" thickBot="1" x14ac:dyDescent="0.3">
      <c r="D429" s="56">
        <v>44374</v>
      </c>
      <c r="E429" s="56">
        <v>44010</v>
      </c>
      <c r="F429" s="56">
        <v>43646</v>
      </c>
      <c r="G429" s="56">
        <v>43282</v>
      </c>
      <c r="H429" s="56">
        <v>42918</v>
      </c>
      <c r="I429" s="56">
        <v>42577</v>
      </c>
      <c r="J429" s="56">
        <v>42213</v>
      </c>
      <c r="K429" s="57"/>
      <c r="M429" s="56">
        <v>44556</v>
      </c>
      <c r="N429" s="56">
        <v>44192</v>
      </c>
      <c r="O429" s="56">
        <v>43828</v>
      </c>
      <c r="P429" s="56">
        <v>43464</v>
      </c>
      <c r="Q429" s="56">
        <v>43100</v>
      </c>
      <c r="R429" s="56">
        <v>42729</v>
      </c>
    </row>
    <row r="430" spans="2:18" x14ac:dyDescent="0.25">
      <c r="B430" t="s">
        <v>560</v>
      </c>
      <c r="D430" s="47">
        <v>125573623</v>
      </c>
      <c r="E430" s="47">
        <v>117507319</v>
      </c>
      <c r="F430" s="47">
        <v>112838191</v>
      </c>
      <c r="G430" s="47">
        <v>112837828</v>
      </c>
      <c r="H430" s="47">
        <v>112837828</v>
      </c>
      <c r="I430" s="47">
        <v>103411610</v>
      </c>
      <c r="J430" s="47"/>
      <c r="K430" s="47"/>
      <c r="M430" s="47">
        <v>135327170</v>
      </c>
      <c r="N430" s="47">
        <v>125509201</v>
      </c>
    </row>
    <row r="431" spans="2:18" x14ac:dyDescent="0.25">
      <c r="B431" t="s">
        <v>559</v>
      </c>
      <c r="H431" s="67"/>
    </row>
    <row r="432" spans="2:18" x14ac:dyDescent="0.25">
      <c r="B432" s="70" t="s">
        <v>558</v>
      </c>
      <c r="C432" s="70"/>
      <c r="D432" s="47">
        <v>29711</v>
      </c>
      <c r="E432" s="47">
        <v>36485</v>
      </c>
      <c r="F432" s="47">
        <v>271405</v>
      </c>
      <c r="G432" s="47">
        <v>244987</v>
      </c>
      <c r="H432" s="47">
        <v>145187</v>
      </c>
      <c r="M432" s="47">
        <v>67886</v>
      </c>
      <c r="N432" s="47">
        <v>48168</v>
      </c>
    </row>
    <row r="433" spans="2:18" x14ac:dyDescent="0.25">
      <c r="B433" s="70" t="s">
        <v>557</v>
      </c>
      <c r="C433" s="70"/>
      <c r="D433" s="47">
        <v>169669</v>
      </c>
      <c r="E433" s="47">
        <v>255913</v>
      </c>
      <c r="F433" s="47">
        <v>1617021</v>
      </c>
      <c r="H433" s="47"/>
      <c r="I433" s="47"/>
      <c r="J433" s="47"/>
      <c r="K433" s="47"/>
      <c r="M433" s="47">
        <v>417858</v>
      </c>
      <c r="N433" s="47">
        <v>240830</v>
      </c>
    </row>
    <row r="434" spans="2:18" x14ac:dyDescent="0.25">
      <c r="B434" t="s">
        <v>556</v>
      </c>
      <c r="D434" s="47">
        <f t="shared" ref="D434:I434" si="93">SUM(D430:D433)</f>
        <v>125773003</v>
      </c>
      <c r="E434" s="47">
        <f t="shared" si="93"/>
        <v>117799717</v>
      </c>
      <c r="F434" s="47">
        <f t="shared" si="93"/>
        <v>114726617</v>
      </c>
      <c r="G434" s="47">
        <f t="shared" si="93"/>
        <v>113082815</v>
      </c>
      <c r="H434" s="47">
        <f t="shared" si="93"/>
        <v>112983015</v>
      </c>
      <c r="I434" s="47">
        <f t="shared" si="93"/>
        <v>103411610</v>
      </c>
      <c r="J434" s="47"/>
      <c r="K434" s="47"/>
      <c r="M434" s="47">
        <f>SUM(M430:M433)</f>
        <v>135812914</v>
      </c>
      <c r="N434" s="47">
        <f>SUM(N430:N433)</f>
        <v>125798199</v>
      </c>
    </row>
    <row r="435" spans="2:18" x14ac:dyDescent="0.25">
      <c r="B435" t="s">
        <v>555</v>
      </c>
      <c r="D435">
        <v>4.5</v>
      </c>
      <c r="E435">
        <v>-6.3</v>
      </c>
      <c r="F435">
        <v>9.6999999999999993</v>
      </c>
      <c r="G435">
        <v>8.8000000000000007</v>
      </c>
      <c r="H435" s="47">
        <v>7.8</v>
      </c>
      <c r="I435">
        <v>3.9</v>
      </c>
      <c r="M435">
        <v>14.2</v>
      </c>
      <c r="N435">
        <v>9.6999999999999993</v>
      </c>
    </row>
    <row r="436" spans="2:18" x14ac:dyDescent="0.25">
      <c r="B436" t="s">
        <v>554</v>
      </c>
      <c r="D436">
        <v>4.5</v>
      </c>
      <c r="E436">
        <v>-6.3</v>
      </c>
      <c r="F436">
        <v>9.5</v>
      </c>
      <c r="G436">
        <v>8.8000000000000007</v>
      </c>
      <c r="H436">
        <v>7.8</v>
      </c>
      <c r="I436">
        <v>3.9</v>
      </c>
      <c r="M436">
        <v>14.2</v>
      </c>
      <c r="N436">
        <v>9.6</v>
      </c>
    </row>
    <row r="438" spans="2:18" x14ac:dyDescent="0.25">
      <c r="B438" s="102" t="s">
        <v>553</v>
      </c>
      <c r="C438" s="102"/>
      <c r="D438" s="102"/>
      <c r="E438" s="102"/>
      <c r="F438" s="102"/>
      <c r="G438" s="102"/>
      <c r="H438" s="102"/>
      <c r="I438" s="102"/>
      <c r="J438" s="102"/>
      <c r="K438" s="102"/>
      <c r="L438" s="102"/>
      <c r="M438" s="102"/>
      <c r="N438" s="102"/>
      <c r="O438" s="102"/>
      <c r="P438" s="102"/>
      <c r="Q438" s="102"/>
      <c r="R438" s="102"/>
    </row>
    <row r="440" spans="2:18" ht="15.75" thickBot="1" x14ac:dyDescent="0.3">
      <c r="B440" s="40" t="s">
        <v>552</v>
      </c>
      <c r="C440" s="40"/>
      <c r="D440" s="56">
        <v>44374</v>
      </c>
      <c r="E440" s="56">
        <v>44010</v>
      </c>
      <c r="F440" s="56">
        <v>43646</v>
      </c>
      <c r="G440" s="56">
        <v>43282</v>
      </c>
      <c r="H440" s="56">
        <v>42918</v>
      </c>
      <c r="I440" s="56">
        <v>42577</v>
      </c>
      <c r="J440" s="56">
        <v>42213</v>
      </c>
      <c r="K440" s="57"/>
      <c r="L440" s="43"/>
      <c r="M440" s="56">
        <v>44556</v>
      </c>
      <c r="N440" s="56">
        <v>44192</v>
      </c>
      <c r="O440" s="56">
        <v>43828</v>
      </c>
      <c r="P440" s="56">
        <v>43464</v>
      </c>
      <c r="Q440" s="56">
        <v>43100</v>
      </c>
      <c r="R440" s="56">
        <v>42729</v>
      </c>
    </row>
    <row r="441" spans="2:18" x14ac:dyDescent="0.25">
      <c r="B441" t="s">
        <v>551</v>
      </c>
      <c r="D441" s="47">
        <f>39623+225</f>
        <v>39848</v>
      </c>
      <c r="E441" s="47">
        <f>50034+569</f>
        <v>50603</v>
      </c>
      <c r="N441" s="47"/>
    </row>
    <row r="442" spans="2:18" x14ac:dyDescent="0.25">
      <c r="B442" t="s">
        <v>550</v>
      </c>
      <c r="D442" s="47">
        <v>5468</v>
      </c>
      <c r="E442" s="47">
        <f>8712+21</f>
        <v>8733</v>
      </c>
      <c r="N442" s="47"/>
    </row>
    <row r="443" spans="2:18" x14ac:dyDescent="0.25">
      <c r="B443" t="s">
        <v>549</v>
      </c>
      <c r="D443" s="47">
        <f>-9068+-219</f>
        <v>-9287</v>
      </c>
      <c r="E443" s="47">
        <f>-10588-365</f>
        <v>-10953</v>
      </c>
      <c r="N443" s="47"/>
    </row>
    <row r="444" spans="2:18" x14ac:dyDescent="0.25">
      <c r="B444" t="s">
        <v>546</v>
      </c>
      <c r="D444" s="47">
        <v>-1693</v>
      </c>
      <c r="E444" s="47">
        <v>-4769</v>
      </c>
      <c r="N444" s="47"/>
    </row>
    <row r="445" spans="2:18" x14ac:dyDescent="0.25">
      <c r="B445" t="s">
        <v>543</v>
      </c>
      <c r="D445" s="47">
        <v>-1748</v>
      </c>
      <c r="E445" t="s">
        <v>548</v>
      </c>
    </row>
    <row r="446" spans="2:18" x14ac:dyDescent="0.25">
      <c r="B446" t="s">
        <v>522</v>
      </c>
      <c r="D446" s="47">
        <v>-1676</v>
      </c>
      <c r="E446" s="47">
        <v>-4029</v>
      </c>
      <c r="N446" s="47"/>
    </row>
    <row r="447" spans="2:18" ht="15.75" thickBot="1" x14ac:dyDescent="0.3">
      <c r="B447" t="s">
        <v>544</v>
      </c>
      <c r="D447" s="66">
        <v>-555</v>
      </c>
      <c r="E447" s="66">
        <v>263</v>
      </c>
      <c r="F447" s="66"/>
      <c r="G447" s="66"/>
      <c r="H447" s="66"/>
      <c r="I447" s="66"/>
    </row>
    <row r="448" spans="2:18" s="40" customFormat="1" x14ac:dyDescent="0.25">
      <c r="B448" s="40" t="s">
        <v>468</v>
      </c>
      <c r="D448" s="49">
        <f>SUM(D441:D447)</f>
        <v>30357</v>
      </c>
      <c r="E448" s="49">
        <f>SUM(E441:E447)</f>
        <v>39848</v>
      </c>
      <c r="N448" s="49"/>
    </row>
    <row r="450" spans="2:16" x14ac:dyDescent="0.25">
      <c r="B450" s="40" t="s">
        <v>409</v>
      </c>
      <c r="C450" s="40"/>
    </row>
    <row r="451" spans="2:16" x14ac:dyDescent="0.25">
      <c r="B451" t="s">
        <v>472</v>
      </c>
      <c r="D451" s="47">
        <f ca="1">E458</f>
        <v>46953</v>
      </c>
      <c r="E451" s="47">
        <v>53208</v>
      </c>
      <c r="L451" s="47"/>
      <c r="M451" s="47"/>
      <c r="P451" s="47"/>
    </row>
    <row r="452" spans="2:16" x14ac:dyDescent="0.25">
      <c r="B452" t="s">
        <v>547</v>
      </c>
      <c r="D452" s="47">
        <v>5534</v>
      </c>
      <c r="E452" s="47">
        <v>9180</v>
      </c>
      <c r="L452" s="47"/>
      <c r="M452" s="47"/>
      <c r="P452" s="47"/>
    </row>
    <row r="453" spans="2:16" x14ac:dyDescent="0.25">
      <c r="B453" t="s">
        <v>434</v>
      </c>
      <c r="D453" s="47">
        <v>1121</v>
      </c>
      <c r="E453" s="47">
        <v>1450</v>
      </c>
      <c r="L453" s="47"/>
      <c r="M453" s="47"/>
      <c r="P453" s="47"/>
    </row>
    <row r="454" spans="2:16" x14ac:dyDescent="0.25">
      <c r="B454" t="s">
        <v>546</v>
      </c>
      <c r="D454" s="47">
        <v>-1717</v>
      </c>
      <c r="E454" s="47">
        <v>-4849</v>
      </c>
      <c r="L454" s="47"/>
      <c r="M454" s="47"/>
      <c r="P454" s="47"/>
    </row>
    <row r="455" spans="2:16" x14ac:dyDescent="0.25">
      <c r="B455" t="s">
        <v>545</v>
      </c>
      <c r="D455" s="47">
        <v>-9904</v>
      </c>
      <c r="E455" s="47">
        <v>-12189</v>
      </c>
      <c r="L455" s="47"/>
      <c r="M455" s="47"/>
      <c r="P455" s="47"/>
    </row>
    <row r="456" spans="2:16" x14ac:dyDescent="0.25">
      <c r="B456" t="s">
        <v>544</v>
      </c>
      <c r="D456" s="47">
        <v>-624</v>
      </c>
      <c r="E456" s="47">
        <v>153</v>
      </c>
    </row>
    <row r="457" spans="2:16" ht="15.75" thickBot="1" x14ac:dyDescent="0.3">
      <c r="B457" t="s">
        <v>543</v>
      </c>
      <c r="D457" s="59">
        <v>-1799</v>
      </c>
      <c r="E457" s="59"/>
      <c r="F457" s="66"/>
      <c r="G457" s="66"/>
      <c r="H457" s="66"/>
      <c r="I457" s="66"/>
    </row>
    <row r="458" spans="2:16" s="40" customFormat="1" x14ac:dyDescent="0.25">
      <c r="B458" s="40" t="s">
        <v>468</v>
      </c>
      <c r="D458" s="49">
        <v>39564</v>
      </c>
      <c r="E458" s="49">
        <f ca="1">SUM(E451:E458)</f>
        <v>46953</v>
      </c>
      <c r="L458" s="49"/>
      <c r="M458" s="49"/>
      <c r="P458" s="49"/>
    </row>
    <row r="459" spans="2:16" s="40" customFormat="1" x14ac:dyDescent="0.25">
      <c r="D459" s="49"/>
      <c r="E459" s="49"/>
      <c r="L459" s="49"/>
      <c r="M459" s="49"/>
      <c r="P459" s="49"/>
    </row>
    <row r="460" spans="2:16" s="40" customFormat="1" x14ac:dyDescent="0.25">
      <c r="D460" s="49"/>
      <c r="E460" s="49"/>
      <c r="L460" s="49"/>
      <c r="M460" s="49"/>
      <c r="P460" s="49"/>
    </row>
    <row r="461" spans="2:16" s="40" customFormat="1" x14ac:dyDescent="0.25">
      <c r="B461" s="40" t="s">
        <v>542</v>
      </c>
      <c r="D461" s="49"/>
      <c r="L461" s="49"/>
      <c r="M461" s="49"/>
      <c r="P461" s="49"/>
    </row>
    <row r="462" spans="2:16" s="40" customFormat="1" x14ac:dyDescent="0.25">
      <c r="B462" t="s">
        <v>539</v>
      </c>
      <c r="C462"/>
      <c r="D462" s="47">
        <v>10237</v>
      </c>
      <c r="E462" s="47">
        <v>11433</v>
      </c>
      <c r="L462" s="49"/>
      <c r="M462" s="49"/>
      <c r="P462" s="49"/>
    </row>
    <row r="463" spans="2:16" s="40" customFormat="1" x14ac:dyDescent="0.25">
      <c r="B463" t="s">
        <v>538</v>
      </c>
      <c r="C463"/>
      <c r="D463" s="47">
        <v>9470</v>
      </c>
      <c r="E463" s="47">
        <v>10903</v>
      </c>
      <c r="L463" s="49"/>
      <c r="M463" s="49"/>
      <c r="P463" s="49"/>
    </row>
    <row r="464" spans="2:16" s="40" customFormat="1" x14ac:dyDescent="0.25">
      <c r="B464" t="s">
        <v>537</v>
      </c>
      <c r="C464"/>
      <c r="D464" s="47">
        <v>20377</v>
      </c>
      <c r="E464" s="47">
        <v>25482</v>
      </c>
      <c r="L464" s="49"/>
      <c r="M464" s="49"/>
      <c r="P464" s="49"/>
    </row>
    <row r="465" spans="2:18" s="40" customFormat="1" ht="15.75" thickBot="1" x14ac:dyDescent="0.3">
      <c r="B465" t="s">
        <v>536</v>
      </c>
      <c r="C465"/>
      <c r="D465" s="59">
        <v>7481</v>
      </c>
      <c r="E465" s="59">
        <v>12279</v>
      </c>
      <c r="F465" s="59"/>
      <c r="G465" s="59"/>
      <c r="H465" s="59"/>
      <c r="I465" s="59"/>
      <c r="J465" s="47"/>
      <c r="K465" s="47"/>
      <c r="L465" s="49"/>
      <c r="M465" s="49"/>
      <c r="P465" s="49"/>
    </row>
    <row r="466" spans="2:18" s="40" customFormat="1" x14ac:dyDescent="0.25">
      <c r="B466" s="40" t="s">
        <v>541</v>
      </c>
      <c r="D466" s="49">
        <f>SUM(D462:D465)</f>
        <v>47565</v>
      </c>
      <c r="E466" s="49">
        <f>SUM(E462:E465)</f>
        <v>60097</v>
      </c>
      <c r="L466" s="49"/>
      <c r="M466" s="49"/>
      <c r="P466" s="49"/>
    </row>
    <row r="467" spans="2:18" s="40" customFormat="1" x14ac:dyDescent="0.25">
      <c r="D467" s="49"/>
      <c r="E467" s="49"/>
      <c r="L467" s="49"/>
      <c r="M467" s="49"/>
      <c r="P467" s="49"/>
    </row>
    <row r="468" spans="2:18" s="40" customFormat="1" x14ac:dyDescent="0.25">
      <c r="D468" s="49"/>
      <c r="E468" s="49"/>
      <c r="L468" s="49"/>
      <c r="M468" s="49"/>
      <c r="P468" s="49"/>
    </row>
    <row r="469" spans="2:18" s="40" customFormat="1" x14ac:dyDescent="0.25">
      <c r="B469" s="40" t="s">
        <v>540</v>
      </c>
      <c r="D469" s="49"/>
      <c r="E469" s="49"/>
      <c r="L469" s="49"/>
      <c r="M469" s="49"/>
      <c r="P469" s="49"/>
    </row>
    <row r="470" spans="2:18" s="40" customFormat="1" x14ac:dyDescent="0.25">
      <c r="B470" t="s">
        <v>539</v>
      </c>
      <c r="C470"/>
      <c r="D470" s="47">
        <v>10237</v>
      </c>
      <c r="E470" s="47">
        <v>11433</v>
      </c>
      <c r="L470" s="49"/>
      <c r="M470" s="49"/>
      <c r="P470" s="49"/>
    </row>
    <row r="471" spans="2:18" s="40" customFormat="1" x14ac:dyDescent="0.25">
      <c r="B471" t="s">
        <v>538</v>
      </c>
      <c r="C471"/>
      <c r="D471" s="47">
        <v>9470</v>
      </c>
      <c r="E471" s="47">
        <v>10903</v>
      </c>
      <c r="L471" s="49"/>
      <c r="M471" s="49"/>
      <c r="P471" s="49"/>
    </row>
    <row r="472" spans="2:18" s="40" customFormat="1" x14ac:dyDescent="0.25">
      <c r="B472" t="s">
        <v>537</v>
      </c>
      <c r="C472"/>
      <c r="D472" s="47">
        <v>20377</v>
      </c>
      <c r="E472" s="47">
        <v>25482</v>
      </c>
      <c r="L472" s="49"/>
      <c r="M472" s="49"/>
      <c r="P472" s="49"/>
    </row>
    <row r="473" spans="2:18" s="40" customFormat="1" ht="15.75" thickBot="1" x14ac:dyDescent="0.3">
      <c r="B473" t="s">
        <v>536</v>
      </c>
      <c r="C473"/>
      <c r="D473" s="59">
        <v>7481</v>
      </c>
      <c r="E473" s="59">
        <v>12279</v>
      </c>
      <c r="F473" s="69"/>
      <c r="G473" s="69"/>
      <c r="H473" s="69"/>
      <c r="I473" s="69"/>
      <c r="L473" s="49"/>
      <c r="M473" s="49"/>
      <c r="P473" s="49"/>
    </row>
    <row r="474" spans="2:18" s="40" customFormat="1" x14ac:dyDescent="0.25">
      <c r="B474" t="s">
        <v>535</v>
      </c>
      <c r="C474"/>
      <c r="D474" s="49">
        <f>SUM(D470:D473)</f>
        <v>47565</v>
      </c>
      <c r="E474" s="49">
        <f>SUM(E470:E473)</f>
        <v>60097</v>
      </c>
      <c r="L474" s="49"/>
      <c r="M474" s="49"/>
      <c r="P474" s="49"/>
    </row>
    <row r="475" spans="2:18" s="40" customFormat="1" x14ac:dyDescent="0.25">
      <c r="D475" s="49"/>
      <c r="E475" s="49"/>
      <c r="L475" s="49"/>
      <c r="M475" s="49"/>
      <c r="P475" s="49"/>
    </row>
    <row r="476" spans="2:18" s="40" customFormat="1" x14ac:dyDescent="0.25">
      <c r="D476" s="49"/>
      <c r="E476" s="49"/>
      <c r="L476" s="49"/>
      <c r="M476" s="49"/>
      <c r="P476" s="49"/>
    </row>
    <row r="477" spans="2:18" s="40" customFormat="1" x14ac:dyDescent="0.25">
      <c r="D477" s="49"/>
      <c r="E477" s="49"/>
      <c r="L477" s="49"/>
      <c r="M477" s="49"/>
      <c r="P477" s="49"/>
    </row>
    <row r="478" spans="2:18" s="40" customFormat="1" x14ac:dyDescent="0.25">
      <c r="D478" s="49"/>
      <c r="E478" s="49"/>
      <c r="L478" s="49"/>
      <c r="M478" s="49"/>
      <c r="P478" s="49"/>
    </row>
    <row r="479" spans="2:18" s="40" customFormat="1" x14ac:dyDescent="0.25">
      <c r="B479" s="68" t="s">
        <v>534</v>
      </c>
      <c r="C479" s="68"/>
      <c r="D479" s="68"/>
      <c r="E479" s="68"/>
      <c r="F479" s="68"/>
      <c r="G479" s="68"/>
      <c r="H479" s="68"/>
      <c r="I479" s="68"/>
      <c r="J479" s="68"/>
      <c r="K479" s="68"/>
      <c r="L479" s="68"/>
      <c r="M479" s="68"/>
      <c r="N479" s="68"/>
      <c r="O479" s="68"/>
      <c r="P479" s="68"/>
      <c r="Q479" s="68"/>
      <c r="R479" s="68"/>
    </row>
    <row r="480" spans="2:18" s="40" customFormat="1" x14ac:dyDescent="0.25">
      <c r="D480" s="49"/>
      <c r="E480" s="49"/>
      <c r="L480" s="49"/>
      <c r="M480" s="49"/>
      <c r="P480" s="49"/>
    </row>
    <row r="481" spans="2:20" s="40" customFormat="1" ht="15.75" thickBot="1" x14ac:dyDescent="0.3">
      <c r="B481" s="40" t="s">
        <v>533</v>
      </c>
      <c r="D481" s="56">
        <v>44374</v>
      </c>
      <c r="E481" s="56">
        <v>44010</v>
      </c>
      <c r="F481" s="56">
        <v>43646</v>
      </c>
      <c r="G481" s="56">
        <v>43282</v>
      </c>
      <c r="H481" s="56">
        <v>42918</v>
      </c>
      <c r="I481" s="56">
        <v>42577</v>
      </c>
      <c r="J481" s="56">
        <v>42213</v>
      </c>
      <c r="K481" s="57"/>
      <c r="L481" s="43"/>
      <c r="M481" s="56">
        <v>44556</v>
      </c>
      <c r="N481" s="56">
        <v>44192</v>
      </c>
      <c r="O481" s="56">
        <v>43828</v>
      </c>
      <c r="P481" s="56">
        <v>43464</v>
      </c>
      <c r="Q481" s="56">
        <v>43100</v>
      </c>
      <c r="R481" s="56">
        <v>42729</v>
      </c>
    </row>
    <row r="482" spans="2:20" s="40" customFormat="1" x14ac:dyDescent="0.25">
      <c r="B482" t="s">
        <v>472</v>
      </c>
      <c r="C482"/>
      <c r="D482" s="47">
        <f>E487</f>
        <v>17038</v>
      </c>
      <c r="E482" s="47">
        <v>14775</v>
      </c>
      <c r="F482" s="47">
        <v>12837</v>
      </c>
      <c r="G482" s="47"/>
      <c r="H482" s="47"/>
      <c r="I482" s="47"/>
      <c r="J482" s="47"/>
      <c r="K482" s="47"/>
      <c r="L482" s="47"/>
      <c r="M482" s="47">
        <f>D487</f>
        <v>19947</v>
      </c>
      <c r="N482" s="47">
        <f>E487</f>
        <v>17038</v>
      </c>
      <c r="O482" s="47"/>
      <c r="P482" s="47"/>
      <c r="Q482" s="47"/>
      <c r="R482" s="47"/>
      <c r="S482" s="47"/>
      <c r="T482" s="47"/>
    </row>
    <row r="483" spans="2:20" s="40" customFormat="1" x14ac:dyDescent="0.25">
      <c r="B483" t="s">
        <v>524</v>
      </c>
      <c r="C483"/>
      <c r="D483" s="47"/>
      <c r="E483" s="47"/>
      <c r="F483" s="47"/>
      <c r="G483" s="47"/>
      <c r="H483" s="47"/>
      <c r="I483" s="47"/>
      <c r="J483" s="47"/>
      <c r="K483" s="47"/>
      <c r="L483" s="47"/>
      <c r="M483" s="47"/>
      <c r="N483" s="47"/>
      <c r="O483" s="47"/>
      <c r="P483" s="47"/>
      <c r="Q483" s="47"/>
      <c r="R483" s="47"/>
      <c r="S483" s="47"/>
      <c r="T483" s="47"/>
    </row>
    <row r="484" spans="2:20" s="40" customFormat="1" x14ac:dyDescent="0.25">
      <c r="B484" t="s">
        <v>517</v>
      </c>
      <c r="C484"/>
      <c r="D484" s="47">
        <v>4523</v>
      </c>
      <c r="E484" s="47">
        <v>1931</v>
      </c>
      <c r="F484" s="47">
        <v>1590</v>
      </c>
      <c r="G484" s="47"/>
      <c r="H484" s="47"/>
      <c r="I484" s="47"/>
      <c r="J484" s="47"/>
      <c r="K484" s="47"/>
      <c r="L484" s="47"/>
      <c r="M484" s="47">
        <v>2816</v>
      </c>
      <c r="N484" s="47">
        <v>1205</v>
      </c>
      <c r="O484" s="47"/>
      <c r="P484" s="47"/>
      <c r="Q484" s="47"/>
      <c r="R484" s="47"/>
      <c r="S484" s="47"/>
      <c r="T484" s="47"/>
    </row>
    <row r="485" spans="2:20" s="40" customFormat="1" x14ac:dyDescent="0.25">
      <c r="B485" t="s">
        <v>514</v>
      </c>
      <c r="C485"/>
      <c r="D485" s="47">
        <v>-5</v>
      </c>
      <c r="E485" s="47"/>
      <c r="F485" s="47">
        <v>-68</v>
      </c>
      <c r="G485" s="47"/>
      <c r="H485" s="47"/>
      <c r="I485" s="47"/>
      <c r="J485" s="47"/>
      <c r="K485" s="47"/>
      <c r="L485" s="47"/>
      <c r="M485" s="47">
        <v>-3</v>
      </c>
      <c r="N485" s="47"/>
      <c r="O485" s="47"/>
      <c r="P485" s="47"/>
      <c r="Q485" s="47"/>
      <c r="R485" s="47"/>
      <c r="S485" s="47"/>
      <c r="T485" s="47"/>
    </row>
    <row r="486" spans="2:20" s="40" customFormat="1" x14ac:dyDescent="0.25">
      <c r="B486" t="s">
        <v>526</v>
      </c>
      <c r="C486"/>
      <c r="D486" s="47">
        <v>-1609</v>
      </c>
      <c r="E486" s="47">
        <v>332</v>
      </c>
      <c r="F486" s="47">
        <v>416</v>
      </c>
      <c r="G486" s="47"/>
      <c r="H486" s="47"/>
      <c r="I486" s="47"/>
      <c r="J486" s="47"/>
      <c r="K486" s="47"/>
      <c r="L486" s="47"/>
      <c r="M486" s="47">
        <v>548</v>
      </c>
      <c r="N486" s="47">
        <v>-1152</v>
      </c>
      <c r="O486" s="47"/>
      <c r="P486" s="47"/>
      <c r="Q486" s="47"/>
      <c r="R486" s="47"/>
      <c r="S486" s="47"/>
      <c r="T486" s="47"/>
    </row>
    <row r="487" spans="2:20" s="40" customFormat="1" x14ac:dyDescent="0.25">
      <c r="B487" t="s">
        <v>468</v>
      </c>
      <c r="C487"/>
      <c r="D487" s="47">
        <f t="shared" ref="D487:J487" si="94">SUM(D482:D486)</f>
        <v>19947</v>
      </c>
      <c r="E487" s="47">
        <f t="shared" si="94"/>
        <v>17038</v>
      </c>
      <c r="F487" s="47">
        <f t="shared" si="94"/>
        <v>14775</v>
      </c>
      <c r="G487" s="47">
        <f t="shared" si="94"/>
        <v>0</v>
      </c>
      <c r="H487" s="47">
        <f t="shared" si="94"/>
        <v>0</v>
      </c>
      <c r="I487" s="47">
        <f t="shared" si="94"/>
        <v>0</v>
      </c>
      <c r="J487" s="47">
        <f t="shared" si="94"/>
        <v>0</v>
      </c>
      <c r="K487" s="47"/>
      <c r="L487" s="47"/>
      <c r="M487" s="47">
        <f t="shared" ref="M487:R487" si="95">SUM(M482:M486)</f>
        <v>23308</v>
      </c>
      <c r="N487" s="47">
        <f t="shared" si="95"/>
        <v>17091</v>
      </c>
      <c r="O487" s="47">
        <f t="shared" si="95"/>
        <v>0</v>
      </c>
      <c r="P487" s="47">
        <f t="shared" si="95"/>
        <v>0</v>
      </c>
      <c r="Q487" s="47">
        <f t="shared" si="95"/>
        <v>0</v>
      </c>
      <c r="R487" s="47">
        <f t="shared" si="95"/>
        <v>0</v>
      </c>
      <c r="S487" s="47"/>
      <c r="T487" s="47"/>
    </row>
    <row r="488" spans="2:20" s="40" customFormat="1" x14ac:dyDescent="0.25">
      <c r="B488"/>
      <c r="C488"/>
      <c r="D488" s="47"/>
      <c r="E488" s="47"/>
      <c r="F488" s="47"/>
      <c r="G488" s="47"/>
      <c r="H488" s="47"/>
      <c r="I488" s="47"/>
      <c r="J488" s="47"/>
      <c r="K488" s="47"/>
      <c r="L488" s="47"/>
      <c r="M488" s="47"/>
      <c r="N488" s="47"/>
      <c r="O488" s="47"/>
      <c r="P488" s="47"/>
      <c r="Q488" s="47"/>
      <c r="R488" s="47"/>
      <c r="S488" s="47"/>
      <c r="T488" s="47"/>
    </row>
    <row r="489" spans="2:20" s="40" customFormat="1" x14ac:dyDescent="0.25">
      <c r="B489" t="s">
        <v>525</v>
      </c>
      <c r="C489"/>
      <c r="D489" s="47">
        <f>E494</f>
        <v>-3267</v>
      </c>
      <c r="E489" s="47">
        <v>-816</v>
      </c>
      <c r="F489" s="47">
        <v>-725</v>
      </c>
      <c r="G489" s="47"/>
      <c r="H489" s="47"/>
      <c r="I489" s="47"/>
      <c r="J489" s="47"/>
      <c r="K489" s="47"/>
      <c r="L489" s="47"/>
      <c r="M489" s="47">
        <v>-3426</v>
      </c>
      <c r="N489" s="47">
        <v>-3267</v>
      </c>
      <c r="O489" s="47"/>
      <c r="P489" s="47"/>
      <c r="Q489" s="47"/>
      <c r="R489" s="47"/>
      <c r="S489" s="47"/>
      <c r="T489" s="47"/>
    </row>
    <row r="490" spans="2:20" s="40" customFormat="1" x14ac:dyDescent="0.25">
      <c r="B490" t="s">
        <v>523</v>
      </c>
      <c r="C490"/>
      <c r="D490" s="47">
        <v>-168</v>
      </c>
      <c r="E490" s="47">
        <v>-163</v>
      </c>
      <c r="F490" s="47">
        <v>-158</v>
      </c>
      <c r="G490" s="47"/>
      <c r="H490" s="47"/>
      <c r="I490" s="47"/>
      <c r="J490" s="47"/>
      <c r="K490" s="47"/>
      <c r="L490" s="47"/>
      <c r="M490" s="47">
        <v>-109</v>
      </c>
      <c r="N490" s="47">
        <v>-98</v>
      </c>
      <c r="O490" s="47"/>
      <c r="P490" s="47"/>
      <c r="Q490" s="47"/>
      <c r="R490" s="47"/>
      <c r="S490" s="47"/>
      <c r="T490" s="47"/>
    </row>
    <row r="491" spans="2:20" s="40" customFormat="1" x14ac:dyDescent="0.25">
      <c r="B491" t="s">
        <v>514</v>
      </c>
      <c r="C491"/>
      <c r="D491" s="47"/>
      <c r="E491" s="47"/>
      <c r="F491" s="47">
        <v>68</v>
      </c>
      <c r="G491" s="47"/>
      <c r="H491" s="47"/>
      <c r="I491" s="47"/>
      <c r="J491" s="47"/>
      <c r="K491" s="47"/>
      <c r="L491" s="47"/>
      <c r="M491" s="47"/>
      <c r="N491" s="47"/>
      <c r="O491" s="47"/>
      <c r="P491" s="47"/>
      <c r="Q491" s="47"/>
      <c r="R491" s="47"/>
      <c r="S491" s="47"/>
      <c r="T491" s="47"/>
    </row>
    <row r="492" spans="2:20" s="40" customFormat="1" x14ac:dyDescent="0.25">
      <c r="B492" t="s">
        <v>522</v>
      </c>
      <c r="C492"/>
      <c r="D492" s="47">
        <v>-216</v>
      </c>
      <c r="E492" s="47">
        <v>-2277</v>
      </c>
      <c r="F492" s="47"/>
      <c r="G492" s="47"/>
      <c r="H492" s="47"/>
      <c r="I492" s="47"/>
      <c r="J492" s="47"/>
      <c r="K492" s="47"/>
      <c r="L492" s="47"/>
      <c r="M492" s="47"/>
      <c r="N492" s="47"/>
      <c r="O492" s="47"/>
      <c r="P492" s="47"/>
      <c r="Q492" s="47"/>
      <c r="R492" s="47"/>
      <c r="S492" s="47"/>
      <c r="T492" s="47"/>
    </row>
    <row r="493" spans="2:20" s="40" customFormat="1" x14ac:dyDescent="0.25">
      <c r="B493" t="s">
        <v>521</v>
      </c>
      <c r="C493"/>
      <c r="D493" s="47">
        <v>225</v>
      </c>
      <c r="E493" s="47">
        <v>-11</v>
      </c>
      <c r="F493" s="47">
        <v>1</v>
      </c>
      <c r="G493" s="47"/>
      <c r="H493" s="47"/>
      <c r="I493" s="47"/>
      <c r="J493" s="47"/>
      <c r="K493" s="47"/>
      <c r="L493" s="47"/>
      <c r="M493" s="47">
        <v>-70</v>
      </c>
      <c r="N493" s="47">
        <v>41</v>
      </c>
      <c r="O493" s="47"/>
      <c r="P493" s="47"/>
      <c r="Q493" s="47"/>
      <c r="R493" s="47"/>
      <c r="S493" s="47"/>
      <c r="T493" s="47"/>
    </row>
    <row r="494" spans="2:20" s="40" customFormat="1" x14ac:dyDescent="0.25">
      <c r="B494" t="s">
        <v>520</v>
      </c>
      <c r="C494"/>
      <c r="D494" s="47">
        <f t="shared" ref="D494:J494" si="96">SUM(D489:D493)</f>
        <v>-3426</v>
      </c>
      <c r="E494" s="47">
        <f t="shared" si="96"/>
        <v>-3267</v>
      </c>
      <c r="F494" s="47">
        <f t="shared" si="96"/>
        <v>-814</v>
      </c>
      <c r="G494" s="47">
        <f t="shared" si="96"/>
        <v>0</v>
      </c>
      <c r="H494" s="47">
        <f t="shared" si="96"/>
        <v>0</v>
      </c>
      <c r="I494" s="47">
        <f t="shared" si="96"/>
        <v>0</v>
      </c>
      <c r="J494" s="47">
        <f t="shared" si="96"/>
        <v>0</v>
      </c>
      <c r="K494" s="47"/>
      <c r="L494" s="47"/>
      <c r="M494" s="47">
        <f t="shared" ref="M494:R494" si="97">SUM(M489:M493)</f>
        <v>-3605</v>
      </c>
      <c r="N494" s="47">
        <f t="shared" si="97"/>
        <v>-3324</v>
      </c>
      <c r="O494" s="47">
        <f t="shared" si="97"/>
        <v>0</v>
      </c>
      <c r="P494" s="47">
        <f t="shared" si="97"/>
        <v>0</v>
      </c>
      <c r="Q494" s="47">
        <f t="shared" si="97"/>
        <v>0</v>
      </c>
      <c r="R494" s="47">
        <f t="shared" si="97"/>
        <v>0</v>
      </c>
      <c r="S494" s="47"/>
      <c r="T494" s="47"/>
    </row>
    <row r="495" spans="2:20" s="40" customFormat="1" x14ac:dyDescent="0.25">
      <c r="B495" s="40" t="s">
        <v>519</v>
      </c>
      <c r="D495" s="47">
        <f t="shared" ref="D495:J495" si="98">SUM(D487+D494)</f>
        <v>16521</v>
      </c>
      <c r="E495" s="47">
        <f t="shared" si="98"/>
        <v>13771</v>
      </c>
      <c r="F495" s="47">
        <f t="shared" si="98"/>
        <v>13961</v>
      </c>
      <c r="G495" s="47">
        <f t="shared" si="98"/>
        <v>0</v>
      </c>
      <c r="H495" s="47">
        <f t="shared" si="98"/>
        <v>0</v>
      </c>
      <c r="I495" s="47">
        <f t="shared" si="98"/>
        <v>0</v>
      </c>
      <c r="J495" s="47">
        <f t="shared" si="98"/>
        <v>0</v>
      </c>
      <c r="K495" s="47"/>
      <c r="L495" s="47"/>
      <c r="M495" s="47">
        <f t="shared" ref="M495:R495" si="99">SUM(M487+M494)</f>
        <v>19703</v>
      </c>
      <c r="N495" s="47">
        <f t="shared" si="99"/>
        <v>13767</v>
      </c>
      <c r="O495" s="47">
        <f t="shared" si="99"/>
        <v>0</v>
      </c>
      <c r="P495" s="47">
        <f t="shared" si="99"/>
        <v>0</v>
      </c>
      <c r="Q495" s="47">
        <f t="shared" si="99"/>
        <v>0</v>
      </c>
      <c r="R495" s="47">
        <f t="shared" si="99"/>
        <v>0</v>
      </c>
      <c r="S495" s="47"/>
      <c r="T495" s="47"/>
    </row>
    <row r="496" spans="2:20" s="40" customFormat="1" x14ac:dyDescent="0.25">
      <c r="B496"/>
      <c r="C496"/>
      <c r="D496" s="47"/>
      <c r="E496" s="47"/>
      <c r="F496" s="47"/>
      <c r="G496" s="47"/>
      <c r="H496" s="47"/>
      <c r="I496" s="47"/>
      <c r="J496" s="47"/>
      <c r="K496" s="47"/>
      <c r="L496" s="47"/>
      <c r="M496" s="47"/>
      <c r="N496" s="47"/>
      <c r="O496" s="47"/>
      <c r="P496" s="47"/>
      <c r="Q496" s="47"/>
      <c r="R496" s="47"/>
      <c r="S496" s="47"/>
      <c r="T496" s="47"/>
    </row>
    <row r="497" spans="2:20" s="40" customFormat="1" x14ac:dyDescent="0.25">
      <c r="D497" s="47"/>
      <c r="E497" s="47"/>
      <c r="F497" s="47"/>
      <c r="G497" s="47"/>
      <c r="H497" s="47"/>
      <c r="I497" s="47"/>
      <c r="J497" s="47"/>
      <c r="K497" s="47"/>
      <c r="L497" s="47"/>
      <c r="M497" s="47"/>
      <c r="N497" s="47"/>
      <c r="O497" s="47"/>
      <c r="P497" s="47"/>
      <c r="Q497" s="47"/>
      <c r="R497" s="47"/>
      <c r="S497" s="47"/>
      <c r="T497" s="47"/>
    </row>
    <row r="498" spans="2:20" s="40" customFormat="1" x14ac:dyDescent="0.25">
      <c r="B498" s="40" t="s">
        <v>532</v>
      </c>
      <c r="D498" s="47"/>
      <c r="E498" s="47"/>
      <c r="F498" s="47"/>
      <c r="G498" s="47"/>
      <c r="H498" s="47"/>
      <c r="I498" s="47"/>
      <c r="J498" s="47"/>
      <c r="K498" s="47"/>
      <c r="L498" s="47"/>
      <c r="M498" s="47"/>
      <c r="N498" s="47"/>
      <c r="O498" s="47"/>
      <c r="P498" s="47"/>
      <c r="Q498" s="47"/>
      <c r="R498" s="47"/>
      <c r="S498" s="47"/>
      <c r="T498" s="47"/>
    </row>
    <row r="499" spans="2:20" s="40" customFormat="1" x14ac:dyDescent="0.25">
      <c r="B499" t="s">
        <v>472</v>
      </c>
      <c r="C499"/>
      <c r="D499" s="47">
        <f>E504</f>
        <v>1397</v>
      </c>
      <c r="E499" s="47">
        <v>735</v>
      </c>
      <c r="F499">
        <v>735</v>
      </c>
      <c r="G499" s="47"/>
      <c r="H499" s="47"/>
      <c r="I499" s="47"/>
      <c r="J499" s="47"/>
      <c r="K499" s="47"/>
      <c r="L499" s="47"/>
      <c r="M499" s="47">
        <f>D504</f>
        <v>1884</v>
      </c>
      <c r="N499" s="47">
        <f>E504</f>
        <v>1397</v>
      </c>
      <c r="O499" s="47"/>
      <c r="P499" s="47"/>
      <c r="Q499" s="47"/>
      <c r="R499" s="47"/>
      <c r="S499" s="47"/>
      <c r="T499" s="47"/>
    </row>
    <row r="500" spans="2:20" s="40" customFormat="1" x14ac:dyDescent="0.25">
      <c r="B500" t="s">
        <v>524</v>
      </c>
      <c r="C500"/>
      <c r="D500" s="47"/>
      <c r="E500" s="47"/>
      <c r="G500" s="47"/>
      <c r="H500" s="47"/>
      <c r="I500" s="47"/>
      <c r="J500" s="47"/>
      <c r="K500" s="47"/>
      <c r="L500" s="47"/>
      <c r="M500" s="47"/>
      <c r="N500" s="47"/>
      <c r="O500" s="47"/>
      <c r="P500" s="47"/>
      <c r="Q500" s="47"/>
      <c r="R500" s="47"/>
      <c r="S500" s="47"/>
      <c r="T500" s="47"/>
    </row>
    <row r="501" spans="2:20" s="40" customFormat="1" x14ac:dyDescent="0.25">
      <c r="B501" t="s">
        <v>517</v>
      </c>
      <c r="C501"/>
      <c r="D501" s="47">
        <v>567</v>
      </c>
      <c r="E501" s="47">
        <v>662</v>
      </c>
      <c r="G501" s="47"/>
      <c r="H501" s="47"/>
      <c r="I501" s="47"/>
      <c r="J501" s="47"/>
      <c r="K501" s="47"/>
      <c r="L501" s="47"/>
      <c r="M501" s="47"/>
      <c r="N501" s="47"/>
      <c r="O501" s="47"/>
      <c r="P501" s="47"/>
      <c r="Q501" s="47"/>
      <c r="R501" s="47"/>
      <c r="S501" s="47"/>
      <c r="T501" s="47"/>
    </row>
    <row r="502" spans="2:20" s="40" customFormat="1" x14ac:dyDescent="0.25">
      <c r="B502" t="s">
        <v>514</v>
      </c>
      <c r="C502"/>
      <c r="D502" s="47">
        <v>-80</v>
      </c>
      <c r="E502" s="47"/>
      <c r="G502" s="47"/>
      <c r="H502" s="47"/>
      <c r="I502" s="47"/>
      <c r="J502" s="47"/>
      <c r="K502" s="47"/>
      <c r="L502" s="47"/>
      <c r="M502" s="47"/>
      <c r="N502" s="47">
        <v>-18</v>
      </c>
      <c r="O502" s="47"/>
      <c r="P502" s="47"/>
      <c r="Q502" s="47"/>
      <c r="R502" s="47"/>
      <c r="S502" s="47"/>
      <c r="T502" s="47"/>
    </row>
    <row r="503" spans="2:20" s="40" customFormat="1" x14ac:dyDescent="0.25">
      <c r="B503" t="s">
        <v>526</v>
      </c>
      <c r="C503"/>
      <c r="D503" s="47"/>
      <c r="E503" s="47"/>
      <c r="G503" s="47"/>
      <c r="H503" s="47"/>
      <c r="I503" s="47"/>
      <c r="J503" s="47"/>
      <c r="K503" s="47"/>
      <c r="L503" s="47"/>
      <c r="M503" s="47">
        <v>90</v>
      </c>
      <c r="N503" s="47"/>
      <c r="O503" s="47"/>
      <c r="P503" s="47"/>
      <c r="Q503" s="47"/>
      <c r="R503" s="47"/>
      <c r="S503" s="47"/>
      <c r="T503" s="47"/>
    </row>
    <row r="504" spans="2:20" s="40" customFormat="1" x14ac:dyDescent="0.25">
      <c r="B504" t="s">
        <v>468</v>
      </c>
      <c r="C504"/>
      <c r="D504" s="47">
        <f t="shared" ref="D504:J504" si="100">SUM(D499:D503)</f>
        <v>1884</v>
      </c>
      <c r="E504" s="47">
        <f t="shared" si="100"/>
        <v>1397</v>
      </c>
      <c r="F504" s="47">
        <f t="shared" si="100"/>
        <v>735</v>
      </c>
      <c r="G504" s="47">
        <f t="shared" si="100"/>
        <v>0</v>
      </c>
      <c r="H504" s="47">
        <f t="shared" si="100"/>
        <v>0</v>
      </c>
      <c r="I504" s="47">
        <f t="shared" si="100"/>
        <v>0</v>
      </c>
      <c r="J504" s="47">
        <f t="shared" si="100"/>
        <v>0</v>
      </c>
      <c r="K504" s="47"/>
      <c r="L504" s="47"/>
      <c r="M504" s="47">
        <f t="shared" ref="M504:R504" si="101">SUM(M499:M503)</f>
        <v>1974</v>
      </c>
      <c r="N504" s="47">
        <f t="shared" si="101"/>
        <v>1379</v>
      </c>
      <c r="O504" s="47">
        <f t="shared" si="101"/>
        <v>0</v>
      </c>
      <c r="P504" s="47">
        <f t="shared" si="101"/>
        <v>0</v>
      </c>
      <c r="Q504" s="47">
        <f t="shared" si="101"/>
        <v>0</v>
      </c>
      <c r="R504" s="47">
        <f t="shared" si="101"/>
        <v>0</v>
      </c>
      <c r="S504" s="47"/>
      <c r="T504" s="47"/>
    </row>
    <row r="505" spans="2:20" s="40" customFormat="1" x14ac:dyDescent="0.25">
      <c r="B505"/>
      <c r="C505"/>
      <c r="D505" s="47"/>
      <c r="E505" s="47"/>
      <c r="F505" s="47"/>
      <c r="G505" s="47"/>
      <c r="H505" s="47"/>
      <c r="I505" s="47"/>
      <c r="J505" s="47"/>
      <c r="K505" s="47"/>
      <c r="L505" s="47"/>
      <c r="M505" s="47"/>
      <c r="N505" s="47"/>
      <c r="O505" s="47"/>
      <c r="P505" s="47"/>
      <c r="Q505" s="47"/>
      <c r="R505" s="47"/>
      <c r="S505" s="47"/>
      <c r="T505" s="47"/>
    </row>
    <row r="506" spans="2:20" s="40" customFormat="1" x14ac:dyDescent="0.25">
      <c r="B506" t="s">
        <v>525</v>
      </c>
      <c r="C506"/>
      <c r="D506" s="47">
        <f>E510</f>
        <v>-768</v>
      </c>
      <c r="E506" s="47">
        <v>-735</v>
      </c>
      <c r="F506" s="47">
        <v>-734</v>
      </c>
      <c r="G506" s="47"/>
      <c r="H506" s="47"/>
      <c r="I506" s="47"/>
      <c r="J506" s="47"/>
      <c r="K506" s="47"/>
      <c r="L506" s="47"/>
      <c r="M506" s="47">
        <v>-842</v>
      </c>
      <c r="N506" s="47">
        <v>-768</v>
      </c>
      <c r="O506" s="47"/>
      <c r="P506" s="47"/>
      <c r="Q506" s="47"/>
      <c r="R506" s="47"/>
      <c r="S506" s="47"/>
      <c r="T506" s="47"/>
    </row>
    <row r="507" spans="2:20" s="40" customFormat="1" x14ac:dyDescent="0.25">
      <c r="B507" t="s">
        <v>523</v>
      </c>
      <c r="C507"/>
      <c r="D507" s="47">
        <v>-142</v>
      </c>
      <c r="E507" s="47">
        <v>-33</v>
      </c>
      <c r="F507" s="47">
        <v>-1</v>
      </c>
      <c r="G507" s="47"/>
      <c r="H507" s="47"/>
      <c r="I507" s="47"/>
      <c r="J507" s="47"/>
      <c r="K507" s="47"/>
      <c r="L507" s="47"/>
      <c r="M507" s="47">
        <v>-96</v>
      </c>
      <c r="N507" s="47">
        <v>-64</v>
      </c>
      <c r="O507" s="47"/>
      <c r="P507" s="47"/>
      <c r="Q507" s="47"/>
      <c r="R507" s="47"/>
      <c r="S507" s="47"/>
      <c r="T507" s="47"/>
    </row>
    <row r="508" spans="2:20" s="40" customFormat="1" x14ac:dyDescent="0.25">
      <c r="B508" t="s">
        <v>522</v>
      </c>
      <c r="C508"/>
      <c r="D508" s="47"/>
      <c r="E508" s="47"/>
      <c r="F508" s="47"/>
      <c r="G508" s="47"/>
      <c r="H508" s="47"/>
      <c r="I508" s="47"/>
      <c r="J508" s="47"/>
      <c r="K508" s="47"/>
      <c r="L508" s="47"/>
      <c r="M508" s="47"/>
      <c r="N508" s="47"/>
      <c r="O508" s="47"/>
      <c r="P508" s="47"/>
      <c r="Q508" s="47"/>
      <c r="R508" s="47"/>
      <c r="S508" s="47"/>
      <c r="T508" s="47"/>
    </row>
    <row r="509" spans="2:20" s="40" customFormat="1" x14ac:dyDescent="0.25">
      <c r="B509" t="s">
        <v>521</v>
      </c>
      <c r="C509"/>
      <c r="D509" s="47">
        <v>68</v>
      </c>
      <c r="E509" s="47"/>
      <c r="F509" s="47"/>
      <c r="G509" s="47"/>
      <c r="H509" s="47"/>
      <c r="I509" s="47"/>
      <c r="J509" s="47"/>
      <c r="K509" s="47"/>
      <c r="L509" s="47"/>
      <c r="M509" s="47"/>
      <c r="N509" s="47"/>
      <c r="O509" s="47"/>
      <c r="P509" s="47"/>
      <c r="Q509" s="47"/>
      <c r="R509" s="47"/>
      <c r="S509" s="47"/>
      <c r="T509" s="47"/>
    </row>
    <row r="510" spans="2:20" s="40" customFormat="1" x14ac:dyDescent="0.25">
      <c r="B510" t="s">
        <v>520</v>
      </c>
      <c r="C510"/>
      <c r="D510" s="47">
        <f t="shared" ref="D510:J510" si="102">SUM(D506:D509)</f>
        <v>-842</v>
      </c>
      <c r="E510" s="47">
        <f t="shared" si="102"/>
        <v>-768</v>
      </c>
      <c r="F510" s="47">
        <f t="shared" si="102"/>
        <v>-735</v>
      </c>
      <c r="G510" s="47">
        <f t="shared" si="102"/>
        <v>0</v>
      </c>
      <c r="H510" s="47">
        <f t="shared" si="102"/>
        <v>0</v>
      </c>
      <c r="I510" s="47">
        <f t="shared" si="102"/>
        <v>0</v>
      </c>
      <c r="J510" s="47">
        <f t="shared" si="102"/>
        <v>0</v>
      </c>
      <c r="K510" s="47"/>
      <c r="L510" s="47"/>
      <c r="M510" s="47">
        <f t="shared" ref="M510:R510" si="103">SUM(M506:M509)</f>
        <v>-938</v>
      </c>
      <c r="N510" s="47">
        <f t="shared" si="103"/>
        <v>-832</v>
      </c>
      <c r="O510" s="47">
        <f t="shared" si="103"/>
        <v>0</v>
      </c>
      <c r="P510" s="47">
        <f t="shared" si="103"/>
        <v>0</v>
      </c>
      <c r="Q510" s="47">
        <f t="shared" si="103"/>
        <v>0</v>
      </c>
      <c r="R510" s="47">
        <f t="shared" si="103"/>
        <v>0</v>
      </c>
      <c r="S510" s="47"/>
      <c r="T510" s="47"/>
    </row>
    <row r="511" spans="2:20" s="40" customFormat="1" x14ac:dyDescent="0.25">
      <c r="B511" s="40" t="s">
        <v>519</v>
      </c>
      <c r="D511" s="47">
        <f t="shared" ref="D511:J511" si="104">SUM(D504+D510)</f>
        <v>1042</v>
      </c>
      <c r="E511" s="47">
        <f t="shared" si="104"/>
        <v>629</v>
      </c>
      <c r="F511" s="47">
        <f t="shared" si="104"/>
        <v>0</v>
      </c>
      <c r="G511" s="47">
        <f t="shared" si="104"/>
        <v>0</v>
      </c>
      <c r="H511" s="47">
        <f t="shared" si="104"/>
        <v>0</v>
      </c>
      <c r="I511" s="47">
        <f t="shared" si="104"/>
        <v>0</v>
      </c>
      <c r="J511" s="47">
        <f t="shared" si="104"/>
        <v>0</v>
      </c>
      <c r="K511" s="47"/>
      <c r="L511" s="47"/>
      <c r="M511" s="47">
        <f t="shared" ref="M511:R511" si="105">SUM(M504+M510)</f>
        <v>1036</v>
      </c>
      <c r="N511" s="47">
        <f t="shared" si="105"/>
        <v>547</v>
      </c>
      <c r="O511" s="47">
        <f t="shared" si="105"/>
        <v>0</v>
      </c>
      <c r="P511" s="47">
        <f t="shared" si="105"/>
        <v>0</v>
      </c>
      <c r="Q511" s="47">
        <f t="shared" si="105"/>
        <v>0</v>
      </c>
      <c r="R511" s="47">
        <f t="shared" si="105"/>
        <v>0</v>
      </c>
      <c r="S511" s="47"/>
      <c r="T511" s="47"/>
    </row>
    <row r="512" spans="2:20" s="40" customFormat="1" x14ac:dyDescent="0.25">
      <c r="B512"/>
      <c r="C512"/>
      <c r="D512" s="47"/>
      <c r="E512" s="47"/>
      <c r="F512" s="47"/>
      <c r="G512" s="47"/>
      <c r="H512" s="47"/>
      <c r="I512" s="47"/>
      <c r="J512" s="47"/>
      <c r="K512" s="47"/>
      <c r="L512" s="47"/>
      <c r="M512" s="47"/>
      <c r="N512" s="47"/>
      <c r="O512" s="47"/>
      <c r="P512" s="47"/>
      <c r="Q512" s="47"/>
      <c r="R512" s="47"/>
      <c r="S512" s="47"/>
      <c r="T512" s="47"/>
    </row>
    <row r="513" spans="2:20" s="40" customFormat="1" x14ac:dyDescent="0.25">
      <c r="D513" s="47"/>
      <c r="E513" s="47"/>
      <c r="F513" s="47"/>
      <c r="G513" s="47"/>
      <c r="H513" s="47"/>
      <c r="I513" s="47"/>
      <c r="J513" s="47"/>
      <c r="K513" s="47"/>
      <c r="L513" s="47"/>
      <c r="M513" s="47"/>
      <c r="N513" s="47"/>
      <c r="O513" s="47"/>
      <c r="P513" s="47"/>
      <c r="Q513" s="47"/>
      <c r="R513" s="47"/>
      <c r="S513" s="47"/>
      <c r="T513" s="47"/>
    </row>
    <row r="514" spans="2:20" s="40" customFormat="1" x14ac:dyDescent="0.25">
      <c r="B514" s="40" t="s">
        <v>531</v>
      </c>
      <c r="D514" s="47"/>
      <c r="E514" s="47"/>
      <c r="F514" s="47"/>
      <c r="G514" s="47"/>
      <c r="H514" s="47"/>
      <c r="I514" s="47"/>
      <c r="J514" s="47"/>
      <c r="K514" s="47"/>
      <c r="L514" s="47"/>
      <c r="M514" s="47"/>
      <c r="N514" s="47"/>
      <c r="O514" s="47"/>
      <c r="P514" s="47"/>
      <c r="Q514" s="47"/>
      <c r="R514" s="47"/>
      <c r="S514" s="47"/>
      <c r="T514" s="47"/>
    </row>
    <row r="515" spans="2:20" s="40" customFormat="1" x14ac:dyDescent="0.25">
      <c r="B515" t="s">
        <v>472</v>
      </c>
      <c r="C515"/>
      <c r="D515" s="47">
        <f>E520</f>
        <v>39838</v>
      </c>
      <c r="E515" s="47">
        <v>36184</v>
      </c>
      <c r="F515" s="47">
        <v>34890</v>
      </c>
      <c r="G515" s="47"/>
      <c r="H515" s="47"/>
      <c r="I515" s="47"/>
      <c r="J515" s="47"/>
      <c r="K515" s="47"/>
      <c r="L515" s="47"/>
      <c r="M515" s="47">
        <f>D520</f>
        <v>41281</v>
      </c>
      <c r="N515" s="47">
        <f>E520</f>
        <v>39838</v>
      </c>
      <c r="O515" s="47"/>
      <c r="P515" s="47"/>
      <c r="Q515" s="47"/>
      <c r="R515" s="47"/>
      <c r="S515" s="47"/>
      <c r="T515" s="47"/>
    </row>
    <row r="516" spans="2:20" s="40" customFormat="1" x14ac:dyDescent="0.25">
      <c r="B516" t="s">
        <v>527</v>
      </c>
      <c r="C516"/>
      <c r="E516" s="47">
        <v>-659</v>
      </c>
      <c r="F516" s="47">
        <v>-743</v>
      </c>
      <c r="G516" s="47"/>
      <c r="H516" s="47"/>
      <c r="I516" s="47"/>
      <c r="J516" s="47"/>
      <c r="K516" s="47"/>
      <c r="L516" s="47"/>
      <c r="M516" s="47"/>
      <c r="O516" s="47"/>
      <c r="P516" s="47"/>
      <c r="Q516" s="47"/>
      <c r="R516" s="47"/>
      <c r="S516" s="47"/>
      <c r="T516" s="47"/>
    </row>
    <row r="517" spans="2:20" s="40" customFormat="1" x14ac:dyDescent="0.25">
      <c r="B517" t="s">
        <v>517</v>
      </c>
      <c r="C517"/>
      <c r="D517" s="47">
        <v>2066</v>
      </c>
      <c r="E517" s="47">
        <v>4744</v>
      </c>
      <c r="F517" s="47">
        <v>4727</v>
      </c>
      <c r="G517" s="47"/>
      <c r="H517" s="47"/>
      <c r="I517" s="47"/>
      <c r="J517" s="47"/>
      <c r="K517" s="47"/>
      <c r="L517" s="47"/>
      <c r="M517" s="47">
        <v>2965</v>
      </c>
      <c r="N517" s="47">
        <v>763</v>
      </c>
      <c r="O517" s="47"/>
      <c r="P517" s="47"/>
      <c r="Q517" s="47"/>
      <c r="R517" s="47"/>
      <c r="S517" s="47"/>
      <c r="T517" s="47"/>
    </row>
    <row r="518" spans="2:20" s="40" customFormat="1" x14ac:dyDescent="0.25">
      <c r="B518" t="s">
        <v>514</v>
      </c>
      <c r="C518"/>
      <c r="D518" s="47">
        <v>-280</v>
      </c>
      <c r="E518" s="47">
        <v>-493</v>
      </c>
      <c r="F518" s="47">
        <v>-2728</v>
      </c>
      <c r="G518" s="47"/>
      <c r="H518" s="47"/>
      <c r="I518" s="47"/>
      <c r="J518" s="47"/>
      <c r="K518" s="47"/>
      <c r="L518" s="47"/>
      <c r="M518" s="47"/>
      <c r="N518" s="47">
        <v>-5</v>
      </c>
      <c r="O518" s="47"/>
      <c r="P518" s="47"/>
      <c r="Q518" s="47"/>
      <c r="R518" s="47"/>
      <c r="S518" s="47"/>
      <c r="T518" s="47"/>
    </row>
    <row r="519" spans="2:20" s="40" customFormat="1" x14ac:dyDescent="0.25">
      <c r="B519" t="s">
        <v>526</v>
      </c>
      <c r="C519"/>
      <c r="D519" s="47">
        <v>-343</v>
      </c>
      <c r="E519" s="47">
        <v>62</v>
      </c>
      <c r="F519" s="47">
        <v>38</v>
      </c>
      <c r="G519" s="47"/>
      <c r="H519" s="47"/>
      <c r="I519" s="47"/>
      <c r="J519" s="47"/>
      <c r="K519" s="47"/>
      <c r="L519" s="47"/>
      <c r="M519" s="47">
        <v>424</v>
      </c>
      <c r="N519" s="47">
        <v>-219</v>
      </c>
      <c r="O519" s="47"/>
      <c r="P519" s="47"/>
      <c r="Q519" s="47"/>
      <c r="R519" s="47"/>
      <c r="S519" s="47"/>
      <c r="T519" s="47"/>
    </row>
    <row r="520" spans="2:20" s="40" customFormat="1" x14ac:dyDescent="0.25">
      <c r="B520" t="s">
        <v>468</v>
      </c>
      <c r="C520"/>
      <c r="D520" s="47">
        <f t="shared" ref="D520:J520" si="106">SUM(D515:D519)</f>
        <v>41281</v>
      </c>
      <c r="E520" s="47">
        <f t="shared" si="106"/>
        <v>39838</v>
      </c>
      <c r="F520" s="47">
        <f t="shared" si="106"/>
        <v>36184</v>
      </c>
      <c r="G520" s="47">
        <f t="shared" si="106"/>
        <v>0</v>
      </c>
      <c r="H520" s="47">
        <f t="shared" si="106"/>
        <v>0</v>
      </c>
      <c r="I520" s="47">
        <f t="shared" si="106"/>
        <v>0</v>
      </c>
      <c r="J520" s="47">
        <f t="shared" si="106"/>
        <v>0</v>
      </c>
      <c r="K520" s="47"/>
      <c r="L520" s="47"/>
      <c r="M520" s="47">
        <f t="shared" ref="M520:R520" si="107">SUM(M515:M519)</f>
        <v>44670</v>
      </c>
      <c r="N520" s="47">
        <f t="shared" si="107"/>
        <v>40377</v>
      </c>
      <c r="O520" s="47">
        <f t="shared" si="107"/>
        <v>0</v>
      </c>
      <c r="P520" s="47">
        <f t="shared" si="107"/>
        <v>0</v>
      </c>
      <c r="Q520" s="47">
        <f t="shared" si="107"/>
        <v>0</v>
      </c>
      <c r="R520" s="47">
        <f t="shared" si="107"/>
        <v>0</v>
      </c>
      <c r="S520" s="47"/>
      <c r="T520" s="47"/>
    </row>
    <row r="521" spans="2:20" s="40" customFormat="1" x14ac:dyDescent="0.25">
      <c r="B521"/>
      <c r="C521"/>
      <c r="D521" s="47"/>
      <c r="E521" s="47"/>
      <c r="F521" s="47"/>
      <c r="G521" s="47"/>
      <c r="H521" s="47"/>
      <c r="I521" s="47"/>
      <c r="J521" s="47"/>
      <c r="K521" s="47"/>
      <c r="L521" s="47"/>
      <c r="M521" s="47"/>
      <c r="N521" s="47"/>
      <c r="O521" s="47"/>
      <c r="P521" s="47"/>
      <c r="Q521" s="47"/>
      <c r="R521" s="47"/>
      <c r="S521" s="47"/>
      <c r="T521" s="47"/>
    </row>
    <row r="522" spans="2:20" s="40" customFormat="1" x14ac:dyDescent="0.25">
      <c r="B522" t="s">
        <v>525</v>
      </c>
      <c r="C522"/>
      <c r="D522" s="47">
        <f>E528</f>
        <v>-26173</v>
      </c>
      <c r="E522" s="47">
        <v>-19844</v>
      </c>
      <c r="F522" s="47">
        <v>-18752</v>
      </c>
      <c r="G522" s="47"/>
      <c r="H522" s="47"/>
      <c r="I522" s="47"/>
      <c r="J522" s="47"/>
      <c r="K522" s="47"/>
      <c r="L522" s="47"/>
      <c r="M522" s="47">
        <f>D528</f>
        <v>-29858</v>
      </c>
      <c r="N522" s="47">
        <v>-26174</v>
      </c>
      <c r="O522" s="47"/>
      <c r="P522" s="47"/>
      <c r="Q522" s="47"/>
      <c r="R522" s="47"/>
      <c r="S522" s="47"/>
      <c r="T522" s="47"/>
    </row>
    <row r="523" spans="2:20" s="40" customFormat="1" x14ac:dyDescent="0.25">
      <c r="B523" t="s">
        <v>527</v>
      </c>
      <c r="C523"/>
      <c r="D523" s="47"/>
      <c r="E523" s="47">
        <v>317</v>
      </c>
      <c r="F523" s="47">
        <v>-160</v>
      </c>
      <c r="G523" s="47"/>
      <c r="H523" s="47"/>
      <c r="I523" s="47"/>
      <c r="J523" s="47"/>
      <c r="K523" s="47"/>
      <c r="L523" s="47"/>
      <c r="M523" s="47"/>
      <c r="O523" s="47"/>
      <c r="P523" s="47"/>
      <c r="Q523" s="47"/>
      <c r="R523" s="47"/>
      <c r="S523" s="47"/>
      <c r="T523" s="47"/>
    </row>
    <row r="524" spans="2:20" s="40" customFormat="1" x14ac:dyDescent="0.25">
      <c r="B524" t="s">
        <v>523</v>
      </c>
      <c r="C524"/>
      <c r="D524" s="47">
        <v>-3789</v>
      </c>
      <c r="E524" s="47">
        <v>-4300</v>
      </c>
      <c r="F524" s="47">
        <v>-3626</v>
      </c>
      <c r="G524" s="47"/>
      <c r="H524" s="47"/>
      <c r="I524" s="47"/>
      <c r="J524" s="47"/>
      <c r="K524" s="47"/>
      <c r="L524" s="47"/>
      <c r="M524" s="47">
        <v>-1832</v>
      </c>
      <c r="N524" s="47">
        <v>-1848</v>
      </c>
      <c r="O524" s="47"/>
      <c r="P524" s="47"/>
      <c r="Q524" s="47"/>
      <c r="R524" s="47"/>
      <c r="S524" s="47"/>
      <c r="T524" s="47"/>
    </row>
    <row r="525" spans="2:20" s="40" customFormat="1" x14ac:dyDescent="0.25">
      <c r="B525" t="s">
        <v>514</v>
      </c>
      <c r="C525"/>
      <c r="D525" s="47">
        <v>275</v>
      </c>
      <c r="E525" s="47">
        <v>401</v>
      </c>
      <c r="F525" s="47">
        <v>2709</v>
      </c>
      <c r="G525" s="47"/>
      <c r="H525" s="47"/>
      <c r="I525" s="47"/>
      <c r="J525" s="47"/>
      <c r="K525" s="47"/>
      <c r="L525" s="47"/>
      <c r="M525" s="47"/>
      <c r="N525" s="47">
        <v>4</v>
      </c>
      <c r="O525" s="47"/>
      <c r="P525" s="47"/>
      <c r="Q525" s="47"/>
      <c r="R525" s="47"/>
      <c r="S525" s="47"/>
      <c r="T525" s="47"/>
    </row>
    <row r="526" spans="2:20" s="40" customFormat="1" x14ac:dyDescent="0.25">
      <c r="B526" t="s">
        <v>522</v>
      </c>
      <c r="C526"/>
      <c r="D526" s="47">
        <v>-419</v>
      </c>
      <c r="E526" s="47">
        <v>-2710</v>
      </c>
      <c r="F526" s="47"/>
      <c r="G526" s="47"/>
      <c r="H526" s="47"/>
      <c r="I526" s="47"/>
      <c r="J526" s="47"/>
      <c r="K526" s="47"/>
      <c r="L526" s="47"/>
      <c r="M526" s="47"/>
      <c r="N526" s="47"/>
      <c r="O526" s="47"/>
      <c r="P526" s="47"/>
      <c r="Q526" s="47"/>
      <c r="R526" s="47"/>
      <c r="S526" s="47"/>
      <c r="T526" s="47"/>
    </row>
    <row r="527" spans="2:20" s="40" customFormat="1" x14ac:dyDescent="0.25">
      <c r="B527" t="s">
        <v>521</v>
      </c>
      <c r="C527"/>
      <c r="D527" s="47">
        <v>248</v>
      </c>
      <c r="E527" s="47">
        <v>-37</v>
      </c>
      <c r="F527" s="47">
        <v>15</v>
      </c>
      <c r="G527" s="47"/>
      <c r="H527" s="47"/>
      <c r="I527" s="47"/>
      <c r="J527" s="47"/>
      <c r="K527" s="47"/>
      <c r="L527" s="47"/>
      <c r="M527" s="47">
        <v>-91</v>
      </c>
      <c r="N527" s="47">
        <v>144</v>
      </c>
      <c r="O527" s="47"/>
      <c r="P527" s="47"/>
      <c r="Q527" s="47"/>
      <c r="R527" s="47"/>
      <c r="S527" s="47"/>
      <c r="T527" s="47"/>
    </row>
    <row r="528" spans="2:20" s="40" customFormat="1" x14ac:dyDescent="0.25">
      <c r="B528" t="s">
        <v>520</v>
      </c>
      <c r="C528"/>
      <c r="D528" s="47">
        <f t="shared" ref="D528:J528" si="108">SUM(D522:D527)</f>
        <v>-29858</v>
      </c>
      <c r="E528" s="47">
        <f t="shared" si="108"/>
        <v>-26173</v>
      </c>
      <c r="F528" s="47">
        <f t="shared" si="108"/>
        <v>-19814</v>
      </c>
      <c r="G528" s="47">
        <f t="shared" si="108"/>
        <v>0</v>
      </c>
      <c r="H528" s="47">
        <f t="shared" si="108"/>
        <v>0</v>
      </c>
      <c r="I528" s="47">
        <f t="shared" si="108"/>
        <v>0</v>
      </c>
      <c r="J528" s="47">
        <f t="shared" si="108"/>
        <v>0</v>
      </c>
      <c r="K528" s="47"/>
      <c r="L528" s="47"/>
      <c r="M528" s="47">
        <f t="shared" ref="M528:R528" si="109">SUM(M522:M527)</f>
        <v>-31781</v>
      </c>
      <c r="N528" s="47">
        <f t="shared" si="109"/>
        <v>-27874</v>
      </c>
      <c r="O528" s="47">
        <f t="shared" si="109"/>
        <v>0</v>
      </c>
      <c r="P528" s="47">
        <f t="shared" si="109"/>
        <v>0</v>
      </c>
      <c r="Q528" s="47">
        <f t="shared" si="109"/>
        <v>0</v>
      </c>
      <c r="R528" s="47">
        <f t="shared" si="109"/>
        <v>0</v>
      </c>
      <c r="S528" s="47"/>
      <c r="T528" s="47"/>
    </row>
    <row r="529" spans="2:20" s="40" customFormat="1" x14ac:dyDescent="0.25">
      <c r="B529" s="40" t="s">
        <v>519</v>
      </c>
      <c r="D529" s="47">
        <f t="shared" ref="D529:J529" si="110">SUM(D520+D528)</f>
        <v>11423</v>
      </c>
      <c r="E529" s="47">
        <f t="shared" si="110"/>
        <v>13665</v>
      </c>
      <c r="F529" s="47">
        <f t="shared" si="110"/>
        <v>16370</v>
      </c>
      <c r="G529" s="47">
        <f t="shared" si="110"/>
        <v>0</v>
      </c>
      <c r="H529" s="47">
        <f t="shared" si="110"/>
        <v>0</v>
      </c>
      <c r="I529" s="47">
        <f t="shared" si="110"/>
        <v>0</v>
      </c>
      <c r="J529" s="47">
        <f t="shared" si="110"/>
        <v>0</v>
      </c>
      <c r="K529" s="47"/>
      <c r="L529" s="47"/>
      <c r="M529" s="47">
        <f t="shared" ref="M529:R529" si="111">SUM(M520+M528)</f>
        <v>12889</v>
      </c>
      <c r="N529" s="47">
        <f t="shared" si="111"/>
        <v>12503</v>
      </c>
      <c r="O529" s="47">
        <f t="shared" si="111"/>
        <v>0</v>
      </c>
      <c r="P529" s="47">
        <f t="shared" si="111"/>
        <v>0</v>
      </c>
      <c r="Q529" s="47">
        <f t="shared" si="111"/>
        <v>0</v>
      </c>
      <c r="R529" s="47">
        <f t="shared" si="111"/>
        <v>0</v>
      </c>
      <c r="S529" s="47"/>
      <c r="T529" s="47"/>
    </row>
    <row r="530" spans="2:20" s="40" customFormat="1" x14ac:dyDescent="0.25">
      <c r="B530"/>
      <c r="C530"/>
      <c r="D530" s="47"/>
      <c r="E530" s="47"/>
      <c r="F530" s="47"/>
      <c r="G530" s="47"/>
      <c r="H530" s="47"/>
      <c r="I530" s="47"/>
      <c r="J530" s="47"/>
      <c r="K530" s="47"/>
      <c r="L530" s="47"/>
      <c r="M530" s="47"/>
      <c r="N530" s="47"/>
      <c r="O530" s="47"/>
      <c r="P530" s="47"/>
      <c r="Q530" s="47"/>
      <c r="R530" s="47"/>
      <c r="S530" s="47"/>
      <c r="T530" s="47"/>
    </row>
    <row r="531" spans="2:20" s="40" customFormat="1" x14ac:dyDescent="0.25">
      <c r="B531"/>
      <c r="C531"/>
      <c r="D531" s="47"/>
      <c r="E531" s="47"/>
      <c r="F531" s="47"/>
      <c r="G531" s="47"/>
      <c r="H531" s="47"/>
      <c r="I531" s="47"/>
      <c r="J531" s="47"/>
      <c r="K531" s="47"/>
      <c r="L531" s="47"/>
      <c r="M531" s="47"/>
      <c r="N531" s="47"/>
      <c r="O531" s="47"/>
      <c r="P531" s="47"/>
      <c r="Q531" s="47"/>
      <c r="R531" s="47"/>
      <c r="S531" s="47"/>
      <c r="T531" s="47"/>
    </row>
    <row r="532" spans="2:20" s="40" customFormat="1" x14ac:dyDescent="0.25">
      <c r="B532" s="40" t="s">
        <v>530</v>
      </c>
      <c r="D532" s="47"/>
      <c r="E532" s="47"/>
      <c r="F532" s="47"/>
      <c r="G532" s="47"/>
      <c r="H532" s="47"/>
      <c r="I532" s="47"/>
      <c r="J532" s="47"/>
      <c r="K532" s="47"/>
      <c r="L532" s="47"/>
      <c r="M532" s="47"/>
      <c r="N532" s="47"/>
      <c r="O532" s="47"/>
      <c r="P532" s="47"/>
      <c r="Q532" s="47"/>
      <c r="R532" s="47"/>
      <c r="S532" s="47"/>
      <c r="T532" s="47"/>
    </row>
    <row r="533" spans="2:20" s="40" customFormat="1" x14ac:dyDescent="0.25">
      <c r="B533" t="s">
        <v>472</v>
      </c>
      <c r="C533"/>
      <c r="D533" s="47">
        <f>E538</f>
        <v>26816</v>
      </c>
      <c r="E533" s="47">
        <v>21544</v>
      </c>
      <c r="F533" s="47">
        <v>18896</v>
      </c>
      <c r="G533" s="47"/>
      <c r="H533" s="47"/>
      <c r="I533" s="47"/>
      <c r="J533" s="47"/>
      <c r="K533" s="47"/>
      <c r="M533" s="47">
        <f>D538</f>
        <v>38834</v>
      </c>
      <c r="N533" s="47">
        <f>E538</f>
        <v>26816</v>
      </c>
      <c r="O533" s="47"/>
      <c r="P533" s="47"/>
      <c r="Q533" s="47"/>
      <c r="R533" s="47"/>
      <c r="S533" s="47"/>
      <c r="T533" s="47"/>
    </row>
    <row r="534" spans="2:20" s="40" customFormat="1" x14ac:dyDescent="0.25">
      <c r="B534" t="s">
        <v>524</v>
      </c>
      <c r="C534"/>
      <c r="D534" s="47"/>
      <c r="E534" s="47"/>
      <c r="F534" s="47">
        <v>743</v>
      </c>
      <c r="G534" s="47"/>
      <c r="H534" s="47"/>
      <c r="I534" s="47"/>
      <c r="J534" s="47"/>
      <c r="K534" s="47"/>
      <c r="M534" s="47"/>
      <c r="O534" s="47"/>
      <c r="P534" s="47"/>
      <c r="Q534" s="47"/>
      <c r="R534" s="47"/>
      <c r="S534" s="47"/>
      <c r="T534" s="47"/>
    </row>
    <row r="535" spans="2:20" s="40" customFormat="1" x14ac:dyDescent="0.25">
      <c r="B535" t="s">
        <v>517</v>
      </c>
      <c r="C535"/>
      <c r="D535" s="47">
        <v>12176</v>
      </c>
      <c r="E535" s="47">
        <v>5253</v>
      </c>
      <c r="F535" s="47">
        <v>1946</v>
      </c>
      <c r="G535" s="47"/>
      <c r="H535" s="47"/>
      <c r="I535" s="47"/>
      <c r="J535" s="47"/>
      <c r="K535" s="47"/>
      <c r="M535" s="47">
        <v>7848</v>
      </c>
      <c r="N535" s="47">
        <v>4297</v>
      </c>
      <c r="O535" s="47"/>
      <c r="P535" s="47"/>
      <c r="Q535" s="47"/>
      <c r="R535" s="47"/>
      <c r="S535" s="47"/>
      <c r="T535" s="47"/>
    </row>
    <row r="536" spans="2:20" s="40" customFormat="1" x14ac:dyDescent="0.25">
      <c r="B536" t="s">
        <v>514</v>
      </c>
      <c r="C536"/>
      <c r="D536" s="47">
        <v>-157</v>
      </c>
      <c r="E536" s="47"/>
      <c r="F536" s="47">
        <v>-41</v>
      </c>
      <c r="G536" s="47"/>
      <c r="H536" s="47"/>
      <c r="I536" s="47"/>
      <c r="J536" s="47"/>
      <c r="K536" s="47"/>
      <c r="M536" s="47"/>
      <c r="N536" s="47">
        <v>-157</v>
      </c>
      <c r="O536" s="47"/>
      <c r="P536" s="47"/>
      <c r="Q536" s="47"/>
      <c r="R536" s="47"/>
      <c r="S536" s="47"/>
      <c r="T536" s="47"/>
    </row>
    <row r="537" spans="2:20" s="40" customFormat="1" x14ac:dyDescent="0.25">
      <c r="B537" t="s">
        <v>526</v>
      </c>
      <c r="C537"/>
      <c r="D537" s="47">
        <v>-1</v>
      </c>
      <c r="E537" s="47">
        <v>19</v>
      </c>
      <c r="F537" s="47"/>
      <c r="G537" s="47"/>
      <c r="H537" s="47"/>
      <c r="I537" s="47"/>
      <c r="J537" s="47"/>
      <c r="K537" s="47"/>
      <c r="M537" s="47">
        <v>1</v>
      </c>
      <c r="N537" s="47"/>
      <c r="O537" s="47"/>
      <c r="P537" s="47"/>
      <c r="Q537" s="47"/>
      <c r="R537" s="47"/>
      <c r="S537" s="47"/>
      <c r="T537" s="47"/>
    </row>
    <row r="538" spans="2:20" s="40" customFormat="1" x14ac:dyDescent="0.25">
      <c r="B538" t="s">
        <v>468</v>
      </c>
      <c r="C538"/>
      <c r="D538" s="47">
        <f t="shared" ref="D538:J538" si="112">SUM(D533:D537)</f>
        <v>38834</v>
      </c>
      <c r="E538" s="47">
        <f t="shared" si="112"/>
        <v>26816</v>
      </c>
      <c r="F538" s="47">
        <f t="shared" si="112"/>
        <v>21544</v>
      </c>
      <c r="G538" s="47">
        <f t="shared" si="112"/>
        <v>0</v>
      </c>
      <c r="H538" s="47">
        <f t="shared" si="112"/>
        <v>0</v>
      </c>
      <c r="I538" s="47">
        <f t="shared" si="112"/>
        <v>0</v>
      </c>
      <c r="J538" s="47">
        <f t="shared" si="112"/>
        <v>0</v>
      </c>
      <c r="K538" s="47"/>
      <c r="L538" s="47"/>
      <c r="M538" s="47">
        <f t="shared" ref="M538:S538" si="113">SUM(M533:M537)</f>
        <v>46683</v>
      </c>
      <c r="N538" s="47">
        <f t="shared" si="113"/>
        <v>30956</v>
      </c>
      <c r="O538" s="47">
        <f t="shared" si="113"/>
        <v>0</v>
      </c>
      <c r="P538" s="47">
        <f t="shared" si="113"/>
        <v>0</v>
      </c>
      <c r="Q538" s="47">
        <f t="shared" si="113"/>
        <v>0</v>
      </c>
      <c r="R538" s="47">
        <f t="shared" si="113"/>
        <v>0</v>
      </c>
      <c r="S538" s="47">
        <f t="shared" si="113"/>
        <v>0</v>
      </c>
      <c r="T538" s="47"/>
    </row>
    <row r="539" spans="2:20" s="40" customFormat="1" x14ac:dyDescent="0.25">
      <c r="B539"/>
      <c r="C539"/>
      <c r="D539" s="47"/>
      <c r="E539" s="47"/>
      <c r="F539" s="47"/>
      <c r="G539" s="47"/>
      <c r="H539" s="47"/>
      <c r="I539" s="47"/>
      <c r="J539" s="47"/>
      <c r="K539" s="47"/>
      <c r="L539" s="47"/>
      <c r="M539" s="47"/>
      <c r="N539" s="47"/>
      <c r="O539" s="47"/>
      <c r="P539" s="47"/>
      <c r="Q539" s="47"/>
      <c r="R539" s="47"/>
      <c r="S539" s="47"/>
      <c r="T539" s="47"/>
    </row>
    <row r="540" spans="2:20" s="40" customFormat="1" x14ac:dyDescent="0.25">
      <c r="B540" t="s">
        <v>525</v>
      </c>
      <c r="C540"/>
      <c r="D540" s="47">
        <f>E546</f>
        <v>-13013</v>
      </c>
      <c r="E540" s="47">
        <v>-11728</v>
      </c>
      <c r="F540" s="47">
        <v>-10738</v>
      </c>
      <c r="G540" s="47"/>
      <c r="H540" s="47"/>
      <c r="I540" s="47"/>
      <c r="J540" s="47"/>
      <c r="K540" s="47"/>
      <c r="L540" s="47"/>
      <c r="M540" s="47">
        <v>-14324</v>
      </c>
      <c r="N540" s="47">
        <v>-13013</v>
      </c>
      <c r="O540" s="47"/>
      <c r="P540" s="47"/>
      <c r="Q540" s="47"/>
      <c r="R540" s="47"/>
      <c r="S540" s="47"/>
      <c r="T540" s="47"/>
    </row>
    <row r="541" spans="2:20" s="40" customFormat="1" x14ac:dyDescent="0.25">
      <c r="B541" t="s">
        <v>527</v>
      </c>
      <c r="C541"/>
      <c r="D541" s="47"/>
      <c r="E541" s="47"/>
      <c r="F541" s="47">
        <v>160</v>
      </c>
      <c r="G541" s="47"/>
      <c r="H541" s="47"/>
      <c r="I541" s="47"/>
      <c r="J541" s="47"/>
      <c r="K541" s="47"/>
      <c r="L541" s="47"/>
      <c r="M541" s="47"/>
      <c r="N541" s="47"/>
      <c r="O541" s="47"/>
      <c r="P541" s="47"/>
      <c r="Q541" s="47"/>
      <c r="R541" s="47"/>
      <c r="S541" s="47"/>
      <c r="T541" s="47"/>
    </row>
    <row r="542" spans="2:20" s="40" customFormat="1" x14ac:dyDescent="0.25">
      <c r="B542" t="s">
        <v>523</v>
      </c>
      <c r="C542"/>
      <c r="D542" s="47">
        <v>-1444</v>
      </c>
      <c r="E542" s="47">
        <v>-1285</v>
      </c>
      <c r="F542" s="47">
        <v>-1156</v>
      </c>
      <c r="G542" s="47"/>
      <c r="H542" s="47"/>
      <c r="I542" s="47"/>
      <c r="J542" s="47"/>
      <c r="K542" s="47"/>
      <c r="L542" s="47"/>
      <c r="M542" s="47">
        <v>-665</v>
      </c>
      <c r="N542" s="47">
        <v>-739</v>
      </c>
      <c r="O542" s="47"/>
      <c r="P542" s="47"/>
      <c r="Q542" s="47"/>
      <c r="R542" s="47"/>
      <c r="S542" s="47"/>
      <c r="T542" s="47"/>
    </row>
    <row r="543" spans="2:20" s="40" customFormat="1" x14ac:dyDescent="0.25">
      <c r="B543" t="s">
        <v>514</v>
      </c>
      <c r="C543"/>
      <c r="D543" s="47">
        <v>133</v>
      </c>
      <c r="E543" s="47"/>
      <c r="F543" s="47">
        <v>6</v>
      </c>
      <c r="G543" s="47"/>
      <c r="H543" s="47"/>
      <c r="I543" s="47"/>
      <c r="J543" s="47"/>
      <c r="K543" s="47"/>
      <c r="L543" s="47"/>
      <c r="M543" s="47"/>
      <c r="N543" s="47">
        <v>138</v>
      </c>
      <c r="O543" s="47"/>
      <c r="P543" s="47"/>
      <c r="Q543" s="47"/>
      <c r="R543" s="47"/>
      <c r="S543" s="47"/>
      <c r="T543" s="47"/>
    </row>
    <row r="544" spans="2:20" s="40" customFormat="1" x14ac:dyDescent="0.25">
      <c r="B544" t="s">
        <v>522</v>
      </c>
      <c r="C544"/>
      <c r="E544" s="47"/>
      <c r="F544" s="47"/>
      <c r="G544" s="47"/>
      <c r="H544" s="47"/>
      <c r="I544" s="47"/>
      <c r="J544" s="47"/>
      <c r="K544" s="47"/>
      <c r="L544" s="47"/>
      <c r="M544" s="47"/>
      <c r="N544" s="47"/>
      <c r="O544" s="47"/>
      <c r="P544" s="47"/>
      <c r="Q544" s="47"/>
      <c r="R544" s="47"/>
      <c r="S544" s="47"/>
      <c r="T544" s="47"/>
    </row>
    <row r="545" spans="2:20" s="40" customFormat="1" x14ac:dyDescent="0.25">
      <c r="B545" t="s">
        <v>521</v>
      </c>
      <c r="C545"/>
      <c r="D545" s="47"/>
      <c r="E545" s="47"/>
      <c r="F545" s="47"/>
      <c r="G545" s="47"/>
      <c r="H545" s="47"/>
      <c r="I545" s="47"/>
      <c r="J545" s="47"/>
      <c r="K545" s="47"/>
      <c r="L545" s="47"/>
      <c r="M545" s="47">
        <v>-317</v>
      </c>
      <c r="N545" s="47"/>
      <c r="O545" s="47"/>
      <c r="P545" s="47"/>
      <c r="Q545" s="47"/>
      <c r="R545" s="47"/>
      <c r="S545" s="47"/>
      <c r="T545" s="47"/>
    </row>
    <row r="546" spans="2:20" s="40" customFormat="1" x14ac:dyDescent="0.25">
      <c r="B546" t="s">
        <v>520</v>
      </c>
      <c r="C546"/>
      <c r="D546" s="47">
        <f t="shared" ref="D546:J546" si="114">SUM(D540:D545)</f>
        <v>-14324</v>
      </c>
      <c r="E546" s="47">
        <f t="shared" si="114"/>
        <v>-13013</v>
      </c>
      <c r="F546" s="47">
        <f t="shared" si="114"/>
        <v>-11728</v>
      </c>
      <c r="G546" s="47">
        <f t="shared" si="114"/>
        <v>0</v>
      </c>
      <c r="H546" s="47">
        <f t="shared" si="114"/>
        <v>0</v>
      </c>
      <c r="I546" s="47">
        <f t="shared" si="114"/>
        <v>0</v>
      </c>
      <c r="J546" s="47">
        <f t="shared" si="114"/>
        <v>0</v>
      </c>
      <c r="K546" s="47"/>
      <c r="L546" s="47"/>
      <c r="M546" s="47">
        <f t="shared" ref="M546:S546" si="115">SUM(M540:M545)</f>
        <v>-15306</v>
      </c>
      <c r="N546" s="47">
        <f t="shared" si="115"/>
        <v>-13614</v>
      </c>
      <c r="O546" s="47">
        <f t="shared" si="115"/>
        <v>0</v>
      </c>
      <c r="P546" s="47">
        <f t="shared" si="115"/>
        <v>0</v>
      </c>
      <c r="Q546" s="47">
        <f t="shared" si="115"/>
        <v>0</v>
      </c>
      <c r="R546" s="47">
        <f t="shared" si="115"/>
        <v>0</v>
      </c>
      <c r="S546" s="47">
        <f t="shared" si="115"/>
        <v>0</v>
      </c>
      <c r="T546" s="47"/>
    </row>
    <row r="547" spans="2:20" s="40" customFormat="1" x14ac:dyDescent="0.25">
      <c r="B547" s="40" t="s">
        <v>519</v>
      </c>
      <c r="D547" s="47">
        <f t="shared" ref="D547:J547" si="116">SUM(D538+D546)</f>
        <v>24510</v>
      </c>
      <c r="E547" s="47">
        <f t="shared" si="116"/>
        <v>13803</v>
      </c>
      <c r="F547" s="47">
        <f t="shared" si="116"/>
        <v>9816</v>
      </c>
      <c r="G547" s="47">
        <f t="shared" si="116"/>
        <v>0</v>
      </c>
      <c r="H547" s="47">
        <f t="shared" si="116"/>
        <v>0</v>
      </c>
      <c r="I547" s="47">
        <f t="shared" si="116"/>
        <v>0</v>
      </c>
      <c r="J547" s="47">
        <f t="shared" si="116"/>
        <v>0</v>
      </c>
      <c r="K547" s="47"/>
      <c r="L547" s="47"/>
      <c r="M547" s="47">
        <f t="shared" ref="M547:S547" si="117">SUM(M538+M546)</f>
        <v>31377</v>
      </c>
      <c r="N547" s="47">
        <f t="shared" si="117"/>
        <v>17342</v>
      </c>
      <c r="O547" s="47">
        <f t="shared" si="117"/>
        <v>0</v>
      </c>
      <c r="P547" s="47">
        <f t="shared" si="117"/>
        <v>0</v>
      </c>
      <c r="Q547" s="47">
        <f t="shared" si="117"/>
        <v>0</v>
      </c>
      <c r="R547" s="47">
        <f t="shared" si="117"/>
        <v>0</v>
      </c>
      <c r="S547" s="47">
        <f t="shared" si="117"/>
        <v>0</v>
      </c>
      <c r="T547" s="47"/>
    </row>
    <row r="548" spans="2:20" s="40" customFormat="1" x14ac:dyDescent="0.25">
      <c r="B548"/>
      <c r="C548"/>
      <c r="D548" s="47"/>
      <c r="E548" s="47"/>
      <c r="F548" s="47"/>
      <c r="G548" s="47"/>
      <c r="H548" s="47"/>
      <c r="I548" s="47"/>
      <c r="J548" s="47"/>
      <c r="K548" s="47"/>
      <c r="M548" s="47"/>
      <c r="N548" s="47"/>
      <c r="O548" s="47"/>
      <c r="P548" s="47"/>
      <c r="Q548" s="47"/>
      <c r="R548" s="47"/>
      <c r="S548" s="47"/>
      <c r="T548" s="47"/>
    </row>
    <row r="549" spans="2:20" s="40" customFormat="1" x14ac:dyDescent="0.25">
      <c r="D549" s="47"/>
      <c r="E549" s="47"/>
      <c r="F549" s="47"/>
      <c r="G549" s="47"/>
      <c r="H549" s="47"/>
      <c r="I549" s="47"/>
      <c r="J549" s="47"/>
      <c r="K549" s="47"/>
      <c r="M549" s="47"/>
      <c r="N549" s="47"/>
      <c r="O549" s="47"/>
      <c r="P549" s="47"/>
      <c r="Q549" s="47"/>
      <c r="R549" s="47"/>
      <c r="S549" s="47"/>
      <c r="T549" s="47"/>
    </row>
    <row r="550" spans="2:20" s="40" customFormat="1" x14ac:dyDescent="0.25">
      <c r="B550" s="40" t="s">
        <v>529</v>
      </c>
      <c r="D550" s="47"/>
      <c r="E550" s="47"/>
      <c r="F550" s="47"/>
      <c r="G550" s="47"/>
      <c r="H550" s="47"/>
      <c r="I550" s="47"/>
      <c r="J550" s="47"/>
      <c r="K550" s="47"/>
      <c r="M550" s="47"/>
      <c r="N550" s="47"/>
      <c r="O550" s="47"/>
      <c r="P550" s="47"/>
      <c r="Q550" s="47"/>
      <c r="R550" s="47"/>
      <c r="S550" s="47"/>
      <c r="T550" s="47"/>
    </row>
    <row r="551" spans="2:20" s="40" customFormat="1" x14ac:dyDescent="0.25">
      <c r="B551" t="s">
        <v>472</v>
      </c>
      <c r="C551"/>
      <c r="D551" s="47">
        <f>E556</f>
        <v>54830</v>
      </c>
      <c r="E551" s="47"/>
      <c r="F551" s="47"/>
      <c r="G551" s="47"/>
      <c r="H551" s="47"/>
      <c r="I551" s="47"/>
      <c r="J551" s="47"/>
      <c r="K551" s="47"/>
      <c r="M551" s="47">
        <f>D556</f>
        <v>53871</v>
      </c>
      <c r="N551" s="47">
        <f>E556</f>
        <v>54830</v>
      </c>
      <c r="O551" s="47"/>
      <c r="P551" s="47"/>
      <c r="Q551" s="47"/>
      <c r="R551" s="47"/>
      <c r="S551" s="47"/>
      <c r="T551" s="47"/>
    </row>
    <row r="552" spans="2:20" s="40" customFormat="1" x14ac:dyDescent="0.25">
      <c r="B552" t="s">
        <v>527</v>
      </c>
      <c r="C552"/>
      <c r="D552" s="47"/>
      <c r="E552" s="47">
        <v>50603</v>
      </c>
      <c r="F552" s="47"/>
      <c r="G552" s="47"/>
      <c r="H552" s="47"/>
      <c r="I552" s="47"/>
      <c r="J552" s="47"/>
      <c r="K552" s="47"/>
      <c r="M552" s="47"/>
      <c r="O552" s="47"/>
      <c r="P552" s="47"/>
      <c r="Q552" s="47"/>
      <c r="R552" s="47"/>
      <c r="S552" s="47"/>
      <c r="T552" s="47"/>
    </row>
    <row r="553" spans="2:20" s="40" customFormat="1" x14ac:dyDescent="0.25">
      <c r="B553" t="s">
        <v>517</v>
      </c>
      <c r="C553"/>
      <c r="D553" s="47">
        <v>5468</v>
      </c>
      <c r="E553" s="47">
        <v>8733</v>
      </c>
      <c r="F553" s="47"/>
      <c r="G553" s="47"/>
      <c r="H553" s="47"/>
      <c r="I553" s="47"/>
      <c r="J553" s="47"/>
      <c r="K553" s="47"/>
      <c r="M553" s="47">
        <v>1476</v>
      </c>
      <c r="N553" s="47">
        <v>5229</v>
      </c>
      <c r="O553" s="47"/>
      <c r="P553" s="47"/>
      <c r="Q553" s="47"/>
      <c r="R553" s="47"/>
      <c r="S553" s="47"/>
      <c r="T553" s="47"/>
    </row>
    <row r="554" spans="2:20" s="40" customFormat="1" x14ac:dyDescent="0.25">
      <c r="B554" t="s">
        <v>528</v>
      </c>
      <c r="C554"/>
      <c r="D554" s="47">
        <v>-5872</v>
      </c>
      <c r="E554" s="47">
        <v>-4769</v>
      </c>
      <c r="F554" s="47"/>
      <c r="G554" s="47"/>
      <c r="H554" s="47"/>
      <c r="I554" s="47"/>
      <c r="J554" s="47"/>
      <c r="K554" s="47"/>
      <c r="M554" s="47">
        <v>-314</v>
      </c>
      <c r="N554" s="47">
        <v>-1663</v>
      </c>
      <c r="O554" s="47"/>
      <c r="P554" s="47"/>
      <c r="Q554" s="47"/>
      <c r="R554" s="47"/>
      <c r="S554" s="47"/>
      <c r="T554" s="47"/>
    </row>
    <row r="555" spans="2:20" s="40" customFormat="1" x14ac:dyDescent="0.25">
      <c r="B555" t="s">
        <v>526</v>
      </c>
      <c r="C555"/>
      <c r="D555" s="47">
        <v>-555</v>
      </c>
      <c r="E555" s="47">
        <v>263</v>
      </c>
      <c r="F555" s="47"/>
      <c r="G555" s="47"/>
      <c r="H555" s="47"/>
      <c r="I555" s="47"/>
      <c r="J555" s="47"/>
      <c r="K555" s="47"/>
      <c r="M555" s="47">
        <v>5</v>
      </c>
      <c r="N555" s="47">
        <v>-689</v>
      </c>
      <c r="O555" s="47"/>
      <c r="P555" s="47"/>
      <c r="Q555" s="47"/>
      <c r="R555" s="47"/>
      <c r="S555" s="47"/>
      <c r="T555" s="47"/>
    </row>
    <row r="556" spans="2:20" s="40" customFormat="1" x14ac:dyDescent="0.25">
      <c r="B556" t="s">
        <v>468</v>
      </c>
      <c r="C556"/>
      <c r="D556" s="47">
        <f>SUM(D551:D555)</f>
        <v>53871</v>
      </c>
      <c r="E556" s="47">
        <f>SUM(E551:E555)</f>
        <v>54830</v>
      </c>
      <c r="F556" s="47"/>
      <c r="G556" s="47">
        <f>SUM(G551:G555)</f>
        <v>0</v>
      </c>
      <c r="H556" s="47">
        <f>SUM(H551:H555)</f>
        <v>0</v>
      </c>
      <c r="I556" s="47">
        <f>SUM(I551:I555)</f>
        <v>0</v>
      </c>
      <c r="J556" s="47">
        <f>SUM(J551:J555)</f>
        <v>0</v>
      </c>
      <c r="K556" s="47"/>
      <c r="L556" s="47"/>
      <c r="M556" s="47">
        <f>SUM(M551:M555)</f>
        <v>55038</v>
      </c>
      <c r="N556" s="47">
        <f>SUM(N551:N555)</f>
        <v>57707</v>
      </c>
      <c r="O556" s="47">
        <f>SUM(O551:O555)</f>
        <v>0</v>
      </c>
      <c r="P556" s="47"/>
      <c r="Q556" s="47"/>
      <c r="R556" s="47"/>
      <c r="S556" s="47"/>
      <c r="T556" s="47"/>
    </row>
    <row r="557" spans="2:20" s="40" customFormat="1" x14ac:dyDescent="0.25">
      <c r="B557"/>
      <c r="C557"/>
      <c r="D557" s="47"/>
      <c r="E557" s="47"/>
      <c r="F557" s="47"/>
      <c r="G557" s="47"/>
      <c r="H557" s="47"/>
      <c r="I557" s="47"/>
      <c r="J557" s="47"/>
      <c r="K557" s="47"/>
      <c r="L557" s="47"/>
      <c r="M557" s="47"/>
      <c r="N557" s="47"/>
      <c r="O557" s="47"/>
      <c r="P557" s="47"/>
      <c r="Q557" s="47"/>
      <c r="R557" s="47"/>
      <c r="S557" s="47"/>
      <c r="T557" s="47"/>
    </row>
    <row r="558" spans="2:20" s="40" customFormat="1" x14ac:dyDescent="0.25">
      <c r="B558" t="s">
        <v>525</v>
      </c>
      <c r="C558"/>
      <c r="D558" s="47">
        <f>E564</f>
        <v>-14982</v>
      </c>
      <c r="E558" s="47"/>
      <c r="F558" s="47"/>
      <c r="G558" s="47"/>
      <c r="H558" s="47"/>
      <c r="I558" s="47"/>
      <c r="J558" s="47"/>
      <c r="K558" s="47"/>
      <c r="L558" s="47"/>
      <c r="M558" s="47">
        <v>-23514</v>
      </c>
      <c r="N558" s="47">
        <v>-14982</v>
      </c>
      <c r="O558" s="47"/>
      <c r="P558" s="47"/>
      <c r="Q558" s="47"/>
      <c r="R558" s="47"/>
      <c r="S558" s="47"/>
      <c r="T558" s="47"/>
    </row>
    <row r="559" spans="2:20" s="40" customFormat="1" x14ac:dyDescent="0.25">
      <c r="B559" t="s">
        <v>527</v>
      </c>
      <c r="C559"/>
      <c r="D559" s="47"/>
      <c r="E559" s="47"/>
      <c r="F559" s="47"/>
      <c r="G559" s="47"/>
      <c r="H559" s="47"/>
      <c r="I559" s="47"/>
      <c r="J559" s="47"/>
      <c r="K559" s="47"/>
      <c r="L559" s="47"/>
      <c r="M559" s="47"/>
      <c r="O559" s="47"/>
      <c r="P559" s="47"/>
      <c r="Q559" s="47"/>
      <c r="R559" s="47"/>
      <c r="S559" s="47"/>
      <c r="T559" s="47"/>
    </row>
    <row r="560" spans="2:20" s="40" customFormat="1" x14ac:dyDescent="0.25">
      <c r="B560" t="s">
        <v>523</v>
      </c>
      <c r="C560"/>
      <c r="D560" s="47">
        <v>-9287</v>
      </c>
      <c r="E560" s="47">
        <v>-10953</v>
      </c>
      <c r="F560" s="47"/>
      <c r="G560" s="47"/>
      <c r="H560" s="47"/>
      <c r="I560" s="47"/>
      <c r="J560" s="47"/>
      <c r="K560" s="47"/>
      <c r="L560" s="47"/>
      <c r="M560" s="47">
        <v>-4273</v>
      </c>
      <c r="N560" s="47">
        <v>-5081</v>
      </c>
      <c r="O560" s="47"/>
      <c r="P560" s="47"/>
      <c r="Q560" s="47"/>
      <c r="R560" s="47"/>
      <c r="S560" s="47"/>
      <c r="T560" s="47"/>
    </row>
    <row r="561" spans="2:20" s="40" customFormat="1" x14ac:dyDescent="0.25">
      <c r="B561" t="s">
        <v>514</v>
      </c>
      <c r="C561"/>
      <c r="D561" s="47">
        <v>2431</v>
      </c>
      <c r="E561" s="47"/>
      <c r="F561" s="47"/>
      <c r="G561" s="47"/>
      <c r="H561" s="47"/>
      <c r="I561" s="47"/>
      <c r="J561" s="47"/>
      <c r="K561" s="47"/>
      <c r="L561" s="47"/>
      <c r="M561" s="47"/>
      <c r="N561" s="47">
        <v>195</v>
      </c>
      <c r="O561" s="47"/>
      <c r="P561" s="47"/>
      <c r="Q561" s="47"/>
      <c r="R561" s="47"/>
      <c r="S561" s="47"/>
      <c r="T561" s="47"/>
    </row>
    <row r="562" spans="2:20" s="40" customFormat="1" x14ac:dyDescent="0.25">
      <c r="B562" t="s">
        <v>522</v>
      </c>
      <c r="C562"/>
      <c r="D562" s="47">
        <v>-1676</v>
      </c>
      <c r="E562" s="47">
        <v>-4029</v>
      </c>
      <c r="F562" s="47"/>
      <c r="G562" s="47"/>
      <c r="H562" s="47"/>
      <c r="I562" s="47"/>
      <c r="J562" s="47"/>
      <c r="K562" s="47"/>
      <c r="L562" s="47"/>
      <c r="M562" s="47"/>
      <c r="N562" s="47"/>
      <c r="O562" s="47"/>
      <c r="P562" s="47"/>
      <c r="Q562" s="47"/>
      <c r="R562" s="47"/>
      <c r="S562" s="47"/>
      <c r="T562" s="47"/>
    </row>
    <row r="563" spans="2:20" s="40" customFormat="1" x14ac:dyDescent="0.25">
      <c r="B563" t="s">
        <v>521</v>
      </c>
      <c r="C563"/>
      <c r="D563" s="47"/>
      <c r="E563" s="47"/>
      <c r="F563" s="47"/>
      <c r="G563" s="47"/>
      <c r="H563" s="47"/>
      <c r="I563" s="47"/>
      <c r="J563" s="47"/>
      <c r="K563" s="47"/>
      <c r="L563" s="47"/>
      <c r="M563" s="47">
        <v>314</v>
      </c>
      <c r="N563" s="47">
        <v>57</v>
      </c>
      <c r="O563" s="47"/>
      <c r="P563" s="47"/>
      <c r="Q563" s="47"/>
      <c r="R563" s="47"/>
      <c r="S563" s="47"/>
      <c r="T563" s="47"/>
    </row>
    <row r="564" spans="2:20" s="40" customFormat="1" x14ac:dyDescent="0.25">
      <c r="B564" t="s">
        <v>520</v>
      </c>
      <c r="C564"/>
      <c r="D564" s="47">
        <f>SUM(D558:D563)</f>
        <v>-23514</v>
      </c>
      <c r="E564" s="47">
        <f>SUM(E558:E563)</f>
        <v>-14982</v>
      </c>
      <c r="F564" s="47"/>
      <c r="G564" s="47">
        <f>SUM(G558:G563)</f>
        <v>0</v>
      </c>
      <c r="H564" s="47">
        <f>SUM(H558:H563)</f>
        <v>0</v>
      </c>
      <c r="I564" s="47">
        <f>SUM(I558:I563)</f>
        <v>0</v>
      </c>
      <c r="J564" s="47">
        <f>SUM(J558:J563)</f>
        <v>0</v>
      </c>
      <c r="K564" s="47"/>
      <c r="L564" s="47"/>
      <c r="M564" s="47">
        <f>SUM(M558:M563)</f>
        <v>-27473</v>
      </c>
      <c r="N564" s="47">
        <f>SUM(N558:N563)</f>
        <v>-19811</v>
      </c>
      <c r="O564" s="47">
        <f>SUM(O558:O563)</f>
        <v>0</v>
      </c>
      <c r="P564" s="47"/>
      <c r="Q564" s="47"/>
      <c r="R564" s="47"/>
      <c r="S564" s="47"/>
      <c r="T564" s="47"/>
    </row>
    <row r="565" spans="2:20" s="40" customFormat="1" x14ac:dyDescent="0.25">
      <c r="B565" s="40" t="s">
        <v>519</v>
      </c>
      <c r="D565" s="47">
        <f>SUM(D556+D564)</f>
        <v>30357</v>
      </c>
      <c r="E565" s="47">
        <f>SUM(E556+E564)</f>
        <v>39848</v>
      </c>
      <c r="F565" s="47"/>
      <c r="G565" s="47">
        <f>SUM(G556+G564)</f>
        <v>0</v>
      </c>
      <c r="H565" s="47">
        <f>SUM(H556+H564)</f>
        <v>0</v>
      </c>
      <c r="I565" s="47">
        <f>SUM(I556+I564)</f>
        <v>0</v>
      </c>
      <c r="J565" s="47">
        <f>SUM(J556+J564)</f>
        <v>0</v>
      </c>
      <c r="K565" s="47"/>
      <c r="L565" s="47"/>
      <c r="M565" s="47">
        <f>SUM(M556+M564)</f>
        <v>27565</v>
      </c>
      <c r="N565" s="47">
        <f>SUM(N556+N564)</f>
        <v>37896</v>
      </c>
      <c r="O565" s="47">
        <f>SUM(O556+O564)</f>
        <v>0</v>
      </c>
      <c r="P565" s="47"/>
      <c r="Q565" s="47"/>
      <c r="R565" s="47"/>
      <c r="S565" s="47"/>
      <c r="T565" s="47"/>
    </row>
    <row r="566" spans="2:20" s="40" customFormat="1" x14ac:dyDescent="0.25">
      <c r="B566"/>
      <c r="C566"/>
      <c r="D566" s="47"/>
      <c r="E566" s="47"/>
      <c r="F566" s="47"/>
      <c r="G566" s="47"/>
      <c r="H566" s="47"/>
      <c r="I566" s="47"/>
      <c r="J566" s="47"/>
      <c r="K566" s="47"/>
      <c r="M566" s="47"/>
      <c r="N566" s="47"/>
      <c r="O566" s="47"/>
      <c r="P566" s="47"/>
      <c r="Q566" s="47"/>
      <c r="R566" s="47"/>
      <c r="S566" s="47"/>
      <c r="T566" s="47"/>
    </row>
    <row r="567" spans="2:20" s="40" customFormat="1" x14ac:dyDescent="0.25">
      <c r="B567"/>
      <c r="C567"/>
      <c r="D567" s="47"/>
      <c r="E567" s="47"/>
      <c r="F567" s="47"/>
      <c r="G567" s="47"/>
      <c r="H567" s="47"/>
      <c r="I567" s="47"/>
      <c r="J567" s="47"/>
      <c r="K567" s="47"/>
      <c r="M567" s="47"/>
      <c r="N567" s="47"/>
      <c r="O567" s="47"/>
      <c r="P567" s="47"/>
      <c r="Q567" s="47"/>
      <c r="R567" s="47"/>
      <c r="S567" s="47"/>
      <c r="T567" s="47"/>
    </row>
    <row r="568" spans="2:20" s="40" customFormat="1" x14ac:dyDescent="0.25">
      <c r="B568"/>
      <c r="C568"/>
      <c r="D568" s="47"/>
      <c r="E568" s="47"/>
      <c r="F568" s="47"/>
      <c r="G568" s="47"/>
      <c r="H568" s="47"/>
      <c r="I568" s="47"/>
      <c r="J568" s="47"/>
      <c r="K568" s="47"/>
      <c r="M568" s="47"/>
      <c r="N568" s="47"/>
      <c r="O568" s="47"/>
      <c r="P568" s="47"/>
      <c r="Q568" s="47"/>
      <c r="R568" s="47"/>
      <c r="S568" s="47"/>
      <c r="T568" s="47"/>
    </row>
    <row r="569" spans="2:20" s="40" customFormat="1" x14ac:dyDescent="0.25">
      <c r="B569"/>
      <c r="C569"/>
      <c r="D569" s="47"/>
      <c r="E569" s="47"/>
      <c r="F569" s="47"/>
      <c r="G569" s="47"/>
      <c r="H569" s="47"/>
      <c r="I569" s="47"/>
      <c r="J569" s="47"/>
      <c r="K569" s="47"/>
      <c r="M569" s="47"/>
      <c r="N569" s="47"/>
      <c r="O569" s="47"/>
      <c r="P569" s="47"/>
      <c r="Q569" s="47"/>
      <c r="R569" s="47"/>
      <c r="S569" s="47"/>
      <c r="T569" s="47"/>
    </row>
    <row r="570" spans="2:20" s="40" customFormat="1" x14ac:dyDescent="0.25">
      <c r="B570"/>
      <c r="C570"/>
      <c r="D570" s="47"/>
      <c r="E570" s="47"/>
      <c r="F570" s="47"/>
      <c r="G570" s="47"/>
      <c r="H570" s="47"/>
      <c r="I570" s="47"/>
      <c r="J570" s="47"/>
      <c r="K570" s="47"/>
      <c r="M570" s="47"/>
      <c r="N570" s="47"/>
      <c r="O570" s="47"/>
      <c r="P570" s="47"/>
      <c r="Q570" s="47"/>
      <c r="R570" s="47"/>
      <c r="S570" s="47"/>
      <c r="T570" s="47"/>
    </row>
    <row r="571" spans="2:20" s="40" customFormat="1" x14ac:dyDescent="0.25">
      <c r="B571" s="40" t="s">
        <v>422</v>
      </c>
      <c r="D571" s="47"/>
      <c r="E571" s="47"/>
      <c r="F571" s="47"/>
      <c r="G571" s="47"/>
      <c r="H571" s="47"/>
      <c r="I571" s="47"/>
      <c r="J571" s="47"/>
      <c r="K571" s="47"/>
      <c r="M571" s="47"/>
      <c r="N571" s="47"/>
      <c r="O571" s="47"/>
      <c r="P571" s="47"/>
      <c r="Q571" s="47"/>
      <c r="R571" s="47"/>
      <c r="S571" s="47"/>
      <c r="T571" s="47"/>
    </row>
    <row r="572" spans="2:20" s="40" customFormat="1" x14ac:dyDescent="0.25">
      <c r="B572" t="s">
        <v>472</v>
      </c>
      <c r="C572"/>
      <c r="D572" s="47">
        <f t="shared" ref="D572:F576" si="118">SUM(D482,D499,D515,D533)</f>
        <v>85089</v>
      </c>
      <c r="E572" s="47">
        <f t="shared" si="118"/>
        <v>73238</v>
      </c>
      <c r="F572" s="47">
        <f t="shared" si="118"/>
        <v>67358</v>
      </c>
      <c r="G572" s="47"/>
      <c r="H572" s="47"/>
      <c r="I572" s="47"/>
      <c r="J572" s="47"/>
      <c r="K572" s="47"/>
      <c r="M572" s="47">
        <f t="shared" ref="M572:N576" si="119">SUM(M482,M499,M515,M533)</f>
        <v>101946</v>
      </c>
      <c r="N572" s="47">
        <f t="shared" si="119"/>
        <v>85089</v>
      </c>
      <c r="O572" s="47"/>
      <c r="P572" s="47"/>
      <c r="Q572" s="47"/>
      <c r="R572" s="47"/>
      <c r="S572" s="47"/>
      <c r="T572" s="47"/>
    </row>
    <row r="573" spans="2:20" s="40" customFormat="1" x14ac:dyDescent="0.25">
      <c r="B573" t="s">
        <v>524</v>
      </c>
      <c r="C573"/>
      <c r="D573" s="47">
        <f t="shared" si="118"/>
        <v>0</v>
      </c>
      <c r="E573" s="47">
        <f t="shared" si="118"/>
        <v>-659</v>
      </c>
      <c r="F573" s="47">
        <f t="shared" si="118"/>
        <v>0</v>
      </c>
      <c r="G573" s="47"/>
      <c r="H573" s="47"/>
      <c r="I573" s="47"/>
      <c r="J573" s="47"/>
      <c r="K573" s="47"/>
      <c r="M573" s="47">
        <f t="shared" si="119"/>
        <v>0</v>
      </c>
      <c r="N573" s="47">
        <f t="shared" si="119"/>
        <v>0</v>
      </c>
      <c r="O573" s="47"/>
      <c r="P573" s="47"/>
      <c r="Q573" s="47"/>
      <c r="R573" s="47"/>
      <c r="S573" s="47"/>
      <c r="T573" s="47"/>
    </row>
    <row r="574" spans="2:20" s="40" customFormat="1" x14ac:dyDescent="0.25">
      <c r="B574" t="s">
        <v>517</v>
      </c>
      <c r="C574"/>
      <c r="D574" s="47">
        <f t="shared" si="118"/>
        <v>19332</v>
      </c>
      <c r="E574" s="47">
        <f t="shared" si="118"/>
        <v>12590</v>
      </c>
      <c r="F574" s="47">
        <f t="shared" si="118"/>
        <v>8263</v>
      </c>
      <c r="G574" s="47"/>
      <c r="H574" s="47"/>
      <c r="I574" s="47"/>
      <c r="J574" s="47"/>
      <c r="K574" s="47"/>
      <c r="M574" s="47">
        <f t="shared" si="119"/>
        <v>13629</v>
      </c>
      <c r="N574" s="47">
        <f t="shared" si="119"/>
        <v>6265</v>
      </c>
      <c r="O574" s="47"/>
      <c r="P574" s="47"/>
      <c r="Q574" s="47"/>
      <c r="R574" s="47"/>
      <c r="S574" s="47"/>
      <c r="T574" s="47"/>
    </row>
    <row r="575" spans="2:20" s="40" customFormat="1" x14ac:dyDescent="0.25">
      <c r="B575" t="s">
        <v>514</v>
      </c>
      <c r="C575"/>
      <c r="D575" s="47">
        <f t="shared" si="118"/>
        <v>-522</v>
      </c>
      <c r="E575" s="47">
        <f t="shared" si="118"/>
        <v>-493</v>
      </c>
      <c r="F575" s="47">
        <f t="shared" si="118"/>
        <v>-2837</v>
      </c>
      <c r="G575" s="47"/>
      <c r="H575" s="47"/>
      <c r="I575" s="47"/>
      <c r="J575" s="47"/>
      <c r="K575" s="47"/>
      <c r="M575" s="47">
        <f t="shared" si="119"/>
        <v>-3</v>
      </c>
      <c r="N575" s="47">
        <f t="shared" si="119"/>
        <v>-180</v>
      </c>
      <c r="O575" s="47"/>
      <c r="P575" s="47"/>
      <c r="Q575" s="47"/>
      <c r="R575" s="47"/>
      <c r="S575" s="47"/>
      <c r="T575" s="47"/>
    </row>
    <row r="576" spans="2:20" s="40" customFormat="1" x14ac:dyDescent="0.25">
      <c r="B576" t="s">
        <v>526</v>
      </c>
      <c r="C576"/>
      <c r="D576" s="47">
        <f t="shared" si="118"/>
        <v>-1953</v>
      </c>
      <c r="E576" s="47">
        <f t="shared" si="118"/>
        <v>413</v>
      </c>
      <c r="F576" s="47">
        <f t="shared" si="118"/>
        <v>454</v>
      </c>
      <c r="G576" s="47"/>
      <c r="H576" s="47"/>
      <c r="I576" s="47"/>
      <c r="J576" s="47"/>
      <c r="K576" s="47"/>
      <c r="M576" s="47">
        <f t="shared" si="119"/>
        <v>1063</v>
      </c>
      <c r="N576" s="47">
        <f t="shared" si="119"/>
        <v>-1371</v>
      </c>
      <c r="O576" s="47"/>
      <c r="P576" s="47"/>
      <c r="Q576" s="47"/>
      <c r="R576" s="47"/>
      <c r="S576" s="47"/>
      <c r="T576" s="47"/>
    </row>
    <row r="577" spans="2:20" s="40" customFormat="1" x14ac:dyDescent="0.25">
      <c r="B577" t="s">
        <v>468</v>
      </c>
      <c r="C577"/>
      <c r="D577" s="47">
        <f t="shared" ref="D577:J577" si="120">SUM(D572:D576)</f>
        <v>101946</v>
      </c>
      <c r="E577" s="47">
        <f t="shared" si="120"/>
        <v>85089</v>
      </c>
      <c r="F577" s="47">
        <f t="shared" si="120"/>
        <v>73238</v>
      </c>
      <c r="G577" s="47">
        <f t="shared" si="120"/>
        <v>0</v>
      </c>
      <c r="H577" s="47">
        <f t="shared" si="120"/>
        <v>0</v>
      </c>
      <c r="I577" s="47">
        <f t="shared" si="120"/>
        <v>0</v>
      </c>
      <c r="J577" s="47">
        <f t="shared" si="120"/>
        <v>0</v>
      </c>
      <c r="K577" s="47"/>
      <c r="L577" s="47"/>
      <c r="M577" s="47">
        <f t="shared" ref="M577:R577" si="121">SUM(M572:M576)</f>
        <v>116635</v>
      </c>
      <c r="N577" s="47">
        <f t="shared" si="121"/>
        <v>89803</v>
      </c>
      <c r="O577" s="47">
        <f t="shared" si="121"/>
        <v>0</v>
      </c>
      <c r="P577" s="47">
        <f t="shared" si="121"/>
        <v>0</v>
      </c>
      <c r="Q577" s="47">
        <f t="shared" si="121"/>
        <v>0</v>
      </c>
      <c r="R577" s="47">
        <f t="shared" si="121"/>
        <v>0</v>
      </c>
      <c r="S577" s="47"/>
      <c r="T577" s="47"/>
    </row>
    <row r="578" spans="2:20" s="40" customFormat="1" x14ac:dyDescent="0.25">
      <c r="D578" s="47"/>
      <c r="E578" s="47"/>
      <c r="F578" s="47"/>
      <c r="G578" s="47"/>
      <c r="H578" s="47"/>
      <c r="I578" s="47"/>
      <c r="J578" s="47"/>
      <c r="K578" s="47"/>
      <c r="L578" s="47"/>
      <c r="M578" s="47"/>
      <c r="N578" s="47"/>
      <c r="O578" s="47"/>
      <c r="P578" s="47"/>
      <c r="Q578" s="47"/>
      <c r="R578" s="47"/>
      <c r="S578" s="47"/>
      <c r="T578" s="47"/>
    </row>
    <row r="579" spans="2:20" s="40" customFormat="1" x14ac:dyDescent="0.25">
      <c r="B579" t="s">
        <v>525</v>
      </c>
      <c r="C579"/>
      <c r="D579" s="47">
        <f>SUM(D489,D506,D522,D540)</f>
        <v>-43221</v>
      </c>
      <c r="E579" s="47">
        <f>SUM(E489,E506,E522,E540)</f>
        <v>-33123</v>
      </c>
      <c r="F579" s="47">
        <f>SUM(F489,F506,F522,F540)</f>
        <v>-30949</v>
      </c>
      <c r="G579" s="47"/>
      <c r="H579" s="47"/>
      <c r="I579" s="47"/>
      <c r="J579" s="47"/>
      <c r="K579" s="47"/>
      <c r="L579" s="47"/>
      <c r="M579" s="47">
        <f>SUM(M489,M506,M522,M540)</f>
        <v>-48450</v>
      </c>
      <c r="N579" s="47">
        <f>SUM(N489,N506,N522,N540)</f>
        <v>-43222</v>
      </c>
      <c r="O579" s="47"/>
      <c r="P579" s="47"/>
      <c r="Q579" s="47"/>
      <c r="R579" s="47"/>
      <c r="S579" s="47"/>
      <c r="T579" s="47"/>
    </row>
    <row r="580" spans="2:20" s="40" customFormat="1" x14ac:dyDescent="0.25">
      <c r="B580" t="s">
        <v>524</v>
      </c>
      <c r="C580"/>
      <c r="D580" s="47">
        <f t="shared" ref="D580:J580" si="122">SUM(D523,D541)</f>
        <v>0</v>
      </c>
      <c r="E580" s="47">
        <f t="shared" si="122"/>
        <v>317</v>
      </c>
      <c r="F580" s="47">
        <f t="shared" si="122"/>
        <v>0</v>
      </c>
      <c r="G580" s="47">
        <f t="shared" si="122"/>
        <v>0</v>
      </c>
      <c r="H580" s="47">
        <f t="shared" si="122"/>
        <v>0</v>
      </c>
      <c r="I580" s="47">
        <f t="shared" si="122"/>
        <v>0</v>
      </c>
      <c r="J580" s="47">
        <f t="shared" si="122"/>
        <v>0</v>
      </c>
      <c r="K580" s="47"/>
      <c r="L580" s="47">
        <f t="shared" ref="L580:R580" si="123">SUM(L523,L541)</f>
        <v>0</v>
      </c>
      <c r="M580" s="47">
        <f t="shared" si="123"/>
        <v>0</v>
      </c>
      <c r="N580" s="47">
        <f t="shared" si="123"/>
        <v>0</v>
      </c>
      <c r="O580" s="47">
        <f t="shared" si="123"/>
        <v>0</v>
      </c>
      <c r="P580" s="47">
        <f t="shared" si="123"/>
        <v>0</v>
      </c>
      <c r="Q580" s="47">
        <f t="shared" si="123"/>
        <v>0</v>
      </c>
      <c r="R580" s="47">
        <f t="shared" si="123"/>
        <v>0</v>
      </c>
      <c r="S580" s="47"/>
      <c r="T580" s="47"/>
    </row>
    <row r="581" spans="2:20" s="40" customFormat="1" x14ac:dyDescent="0.25">
      <c r="B581" t="s">
        <v>523</v>
      </c>
      <c r="C581"/>
      <c r="D581" s="47">
        <f t="shared" ref="D581:J582" si="124">SUM(D490,D507,D524,D542)</f>
        <v>-5543</v>
      </c>
      <c r="E581" s="47">
        <f t="shared" si="124"/>
        <v>-5781</v>
      </c>
      <c r="F581" s="47">
        <f t="shared" si="124"/>
        <v>-4941</v>
      </c>
      <c r="G581" s="47">
        <f t="shared" si="124"/>
        <v>0</v>
      </c>
      <c r="H581" s="47">
        <f t="shared" si="124"/>
        <v>0</v>
      </c>
      <c r="I581" s="47">
        <f t="shared" si="124"/>
        <v>0</v>
      </c>
      <c r="J581" s="47">
        <f t="shared" si="124"/>
        <v>0</v>
      </c>
      <c r="K581" s="47"/>
      <c r="L581" s="47">
        <f t="shared" ref="L581:R582" si="125">SUM(L490,L507,L524,L542)</f>
        <v>0</v>
      </c>
      <c r="M581" s="47">
        <f t="shared" si="125"/>
        <v>-2702</v>
      </c>
      <c r="N581" s="47">
        <f t="shared" si="125"/>
        <v>-2749</v>
      </c>
      <c r="O581" s="47">
        <f t="shared" si="125"/>
        <v>0</v>
      </c>
      <c r="P581" s="47">
        <f t="shared" si="125"/>
        <v>0</v>
      </c>
      <c r="Q581" s="47">
        <f t="shared" si="125"/>
        <v>0</v>
      </c>
      <c r="R581" s="47">
        <f t="shared" si="125"/>
        <v>0</v>
      </c>
      <c r="S581" s="47"/>
      <c r="T581" s="47"/>
    </row>
    <row r="582" spans="2:20" s="40" customFormat="1" x14ac:dyDescent="0.25">
      <c r="B582" t="s">
        <v>514</v>
      </c>
      <c r="C582"/>
      <c r="D582" s="47">
        <f t="shared" si="124"/>
        <v>408</v>
      </c>
      <c r="E582" s="47">
        <f t="shared" si="124"/>
        <v>401</v>
      </c>
      <c r="F582" s="47">
        <f t="shared" si="124"/>
        <v>2783</v>
      </c>
      <c r="G582" s="47">
        <f t="shared" si="124"/>
        <v>0</v>
      </c>
      <c r="H582" s="47">
        <f t="shared" si="124"/>
        <v>0</v>
      </c>
      <c r="I582" s="47">
        <f t="shared" si="124"/>
        <v>0</v>
      </c>
      <c r="J582" s="47">
        <f t="shared" si="124"/>
        <v>0</v>
      </c>
      <c r="K582" s="47"/>
      <c r="L582" s="47">
        <f t="shared" si="125"/>
        <v>0</v>
      </c>
      <c r="M582" s="47">
        <f t="shared" si="125"/>
        <v>0</v>
      </c>
      <c r="N582" s="47">
        <f t="shared" si="125"/>
        <v>142</v>
      </c>
      <c r="O582" s="47">
        <f t="shared" si="125"/>
        <v>0</v>
      </c>
      <c r="P582" s="47">
        <f t="shared" si="125"/>
        <v>0</v>
      </c>
      <c r="Q582" s="47">
        <f t="shared" si="125"/>
        <v>0</v>
      </c>
      <c r="R582" s="47">
        <f t="shared" si="125"/>
        <v>0</v>
      </c>
      <c r="S582" s="47"/>
      <c r="T582" s="47"/>
    </row>
    <row r="583" spans="2:20" s="40" customFormat="1" x14ac:dyDescent="0.25">
      <c r="B583" t="s">
        <v>522</v>
      </c>
      <c r="C583"/>
      <c r="D583" s="47">
        <f t="shared" ref="D583:F584" si="126">SUM(D492,D508,D526,D544)</f>
        <v>-635</v>
      </c>
      <c r="E583" s="47">
        <f t="shared" si="126"/>
        <v>-4987</v>
      </c>
      <c r="F583" s="47">
        <f t="shared" si="126"/>
        <v>0</v>
      </c>
      <c r="G583" s="47"/>
      <c r="H583" s="47"/>
      <c r="I583" s="47"/>
      <c r="J583" s="47"/>
      <c r="K583" s="47"/>
      <c r="L583" s="47"/>
      <c r="M583" s="47">
        <f>SUM(M492,M508,M526,M544)</f>
        <v>0</v>
      </c>
      <c r="N583" s="47">
        <f>SUM(N492,N508,N526,N544)</f>
        <v>0</v>
      </c>
      <c r="O583" s="47"/>
      <c r="P583" s="47"/>
      <c r="Q583" s="47"/>
      <c r="R583" s="47"/>
      <c r="S583" s="47"/>
      <c r="T583" s="47"/>
    </row>
    <row r="584" spans="2:20" s="40" customFormat="1" x14ac:dyDescent="0.25">
      <c r="B584" t="s">
        <v>521</v>
      </c>
      <c r="C584"/>
      <c r="D584" s="47">
        <f t="shared" si="126"/>
        <v>541</v>
      </c>
      <c r="E584" s="47">
        <f t="shared" si="126"/>
        <v>-48</v>
      </c>
      <c r="F584" s="47">
        <f t="shared" si="126"/>
        <v>16</v>
      </c>
      <c r="G584" s="47"/>
      <c r="H584" s="47"/>
      <c r="I584" s="47"/>
      <c r="J584" s="47"/>
      <c r="K584" s="47"/>
      <c r="L584" s="47"/>
      <c r="M584" s="47">
        <f>SUM(M493,M509,M527,M545)</f>
        <v>-478</v>
      </c>
      <c r="N584" s="47">
        <f>SUM(N493,N509,N527,N545)</f>
        <v>185</v>
      </c>
      <c r="O584" s="47"/>
      <c r="P584" s="47"/>
      <c r="Q584" s="47"/>
      <c r="R584" s="47"/>
      <c r="S584" s="47"/>
      <c r="T584" s="47"/>
    </row>
    <row r="585" spans="2:20" s="40" customFormat="1" x14ac:dyDescent="0.25">
      <c r="B585" t="s">
        <v>520</v>
      </c>
      <c r="C585"/>
      <c r="D585" s="47">
        <f t="shared" ref="D585:J585" si="127">SUM(D579:D584)</f>
        <v>-48450</v>
      </c>
      <c r="E585" s="47">
        <f t="shared" si="127"/>
        <v>-43221</v>
      </c>
      <c r="F585" s="47">
        <f t="shared" si="127"/>
        <v>-33091</v>
      </c>
      <c r="G585" s="47">
        <f t="shared" si="127"/>
        <v>0</v>
      </c>
      <c r="H585" s="47">
        <f t="shared" si="127"/>
        <v>0</v>
      </c>
      <c r="I585" s="47">
        <f t="shared" si="127"/>
        <v>0</v>
      </c>
      <c r="J585" s="47">
        <f t="shared" si="127"/>
        <v>0</v>
      </c>
      <c r="K585" s="47"/>
      <c r="L585" s="47"/>
      <c r="M585" s="47">
        <f t="shared" ref="M585:R585" si="128">SUM(M579:M584)</f>
        <v>-51630</v>
      </c>
      <c r="N585" s="47">
        <f t="shared" si="128"/>
        <v>-45644</v>
      </c>
      <c r="O585" s="47">
        <f t="shared" si="128"/>
        <v>0</v>
      </c>
      <c r="P585" s="47">
        <f t="shared" si="128"/>
        <v>0</v>
      </c>
      <c r="Q585" s="47">
        <f t="shared" si="128"/>
        <v>0</v>
      </c>
      <c r="R585" s="47">
        <f t="shared" si="128"/>
        <v>0</v>
      </c>
      <c r="S585" s="47"/>
      <c r="T585" s="47"/>
    </row>
    <row r="586" spans="2:20" s="40" customFormat="1" x14ac:dyDescent="0.25">
      <c r="B586" s="40" t="s">
        <v>519</v>
      </c>
      <c r="D586" s="47">
        <f t="shared" ref="D586:J586" si="129">SUM(D577+D585)</f>
        <v>53496</v>
      </c>
      <c r="E586" s="47">
        <f t="shared" si="129"/>
        <v>41868</v>
      </c>
      <c r="F586" s="47">
        <f t="shared" si="129"/>
        <v>40147</v>
      </c>
      <c r="G586" s="47">
        <f t="shared" si="129"/>
        <v>0</v>
      </c>
      <c r="H586" s="47">
        <f t="shared" si="129"/>
        <v>0</v>
      </c>
      <c r="I586" s="47">
        <f t="shared" si="129"/>
        <v>0</v>
      </c>
      <c r="J586" s="47">
        <f t="shared" si="129"/>
        <v>0</v>
      </c>
      <c r="K586" s="47"/>
      <c r="L586" s="47"/>
      <c r="M586" s="47">
        <f t="shared" ref="M586:R586" si="130">SUM(M577+M585)</f>
        <v>65005</v>
      </c>
      <c r="N586" s="47">
        <f t="shared" si="130"/>
        <v>44159</v>
      </c>
      <c r="O586" s="47">
        <f t="shared" si="130"/>
        <v>0</v>
      </c>
      <c r="P586" s="47">
        <f t="shared" si="130"/>
        <v>0</v>
      </c>
      <c r="Q586" s="47">
        <f t="shared" si="130"/>
        <v>0</v>
      </c>
      <c r="R586" s="47">
        <f t="shared" si="130"/>
        <v>0</v>
      </c>
      <c r="S586" s="47"/>
      <c r="T586" s="47"/>
    </row>
    <row r="587" spans="2:20" s="40" customFormat="1" x14ac:dyDescent="0.25">
      <c r="D587" s="49"/>
      <c r="E587" s="49"/>
      <c r="L587" s="49"/>
      <c r="M587" s="49"/>
      <c r="P587" s="49"/>
    </row>
    <row r="588" spans="2:20" s="40" customFormat="1" x14ac:dyDescent="0.25">
      <c r="B588" s="102" t="s">
        <v>518</v>
      </c>
      <c r="C588" s="102"/>
      <c r="D588" s="102"/>
      <c r="E588" s="102"/>
      <c r="F588" s="102"/>
      <c r="G588" s="102"/>
      <c r="H588" s="102"/>
      <c r="I588" s="102"/>
      <c r="J588" s="102"/>
      <c r="K588" s="102"/>
      <c r="L588" s="102"/>
      <c r="M588" s="102"/>
      <c r="N588" s="102"/>
      <c r="O588" s="102"/>
      <c r="P588" s="102"/>
      <c r="Q588" s="102"/>
      <c r="R588" s="102"/>
    </row>
    <row r="589" spans="2:20" s="40" customFormat="1" x14ac:dyDescent="0.25">
      <c r="D589" s="49"/>
      <c r="E589" s="49"/>
      <c r="L589" s="49"/>
      <c r="M589" s="49"/>
      <c r="P589" s="49"/>
    </row>
    <row r="590" spans="2:20" s="40" customFormat="1" ht="15.75" thickBot="1" x14ac:dyDescent="0.3">
      <c r="D590" s="56">
        <v>44374</v>
      </c>
      <c r="E590" s="56">
        <v>44010</v>
      </c>
      <c r="F590" s="56">
        <v>43646</v>
      </c>
      <c r="G590" s="56">
        <v>43282</v>
      </c>
      <c r="H590" s="56">
        <v>42918</v>
      </c>
      <c r="I590" s="56">
        <v>42577</v>
      </c>
      <c r="J590" s="56">
        <v>42213</v>
      </c>
      <c r="K590" s="57"/>
      <c r="L590" s="43"/>
      <c r="M590" s="56">
        <v>44556</v>
      </c>
      <c r="N590" s="56">
        <v>44192</v>
      </c>
      <c r="O590" s="56">
        <v>43828</v>
      </c>
      <c r="P590" s="56">
        <v>43464</v>
      </c>
      <c r="Q590" s="56">
        <v>43100</v>
      </c>
      <c r="R590" s="56">
        <v>42729</v>
      </c>
    </row>
    <row r="591" spans="2:20" s="40" customFormat="1" x14ac:dyDescent="0.25">
      <c r="B591" t="s">
        <v>472</v>
      </c>
      <c r="C591"/>
      <c r="D591" s="47">
        <f>E595</f>
        <v>5112</v>
      </c>
      <c r="E591" s="47">
        <v>3584</v>
      </c>
      <c r="F591" s="47">
        <v>2958</v>
      </c>
      <c r="G591" s="47"/>
      <c r="H591" s="47"/>
      <c r="I591" s="47"/>
      <c r="J591" s="47"/>
      <c r="K591" s="47"/>
      <c r="L591" s="47"/>
      <c r="M591" s="47"/>
      <c r="N591" s="47"/>
      <c r="O591" s="47"/>
      <c r="P591" s="47"/>
      <c r="Q591" s="47"/>
      <c r="R591" s="47"/>
    </row>
    <row r="592" spans="2:20" s="40" customFormat="1" x14ac:dyDescent="0.25">
      <c r="B592" t="s">
        <v>517</v>
      </c>
      <c r="C592"/>
      <c r="D592" s="47">
        <v>1627</v>
      </c>
      <c r="E592" s="47">
        <v>1527</v>
      </c>
      <c r="F592" s="47">
        <v>625</v>
      </c>
      <c r="G592" s="47"/>
      <c r="H592" s="47"/>
      <c r="I592" s="47"/>
      <c r="J592" s="47"/>
      <c r="K592" s="47"/>
      <c r="L592" s="47"/>
      <c r="M592" s="47"/>
      <c r="N592" s="47"/>
      <c r="O592" s="47"/>
      <c r="P592" s="47"/>
      <c r="Q592" s="47"/>
      <c r="R592" s="47"/>
    </row>
    <row r="593" spans="2:19" s="40" customFormat="1" x14ac:dyDescent="0.25">
      <c r="B593" t="s">
        <v>514</v>
      </c>
      <c r="C593"/>
      <c r="D593" s="47">
        <v>-118</v>
      </c>
      <c r="E593" s="47"/>
      <c r="F593" s="47"/>
      <c r="G593" s="47"/>
      <c r="H593" s="47"/>
      <c r="I593" s="47"/>
      <c r="J593" s="47"/>
      <c r="K593" s="47"/>
      <c r="L593" s="47"/>
      <c r="M593" s="47"/>
      <c r="N593" s="47"/>
      <c r="O593" s="47"/>
      <c r="P593" s="47"/>
      <c r="Q593" s="47"/>
      <c r="R593" s="47"/>
    </row>
    <row r="594" spans="2:19" s="40" customFormat="1" ht="15.75" thickBot="1" x14ac:dyDescent="0.3">
      <c r="B594" t="s">
        <v>469</v>
      </c>
      <c r="C594"/>
      <c r="D594" s="50">
        <v>-15</v>
      </c>
      <c r="E594" s="50">
        <v>1</v>
      </c>
      <c r="F594" s="50">
        <v>1</v>
      </c>
      <c r="G594" s="50"/>
      <c r="H594" s="50"/>
      <c r="I594" s="50"/>
      <c r="J594" s="50"/>
      <c r="K594" s="47"/>
      <c r="L594" s="47"/>
      <c r="M594" s="47"/>
      <c r="N594" s="47"/>
      <c r="O594" s="47"/>
      <c r="P594" s="47"/>
      <c r="Q594" s="47"/>
      <c r="R594" s="47"/>
    </row>
    <row r="595" spans="2:19" s="40" customFormat="1" x14ac:dyDescent="0.25">
      <c r="B595" s="40" t="s">
        <v>468</v>
      </c>
      <c r="D595" s="49">
        <f t="shared" ref="D595:J595" si="131">SUM(D591:D594)</f>
        <v>6606</v>
      </c>
      <c r="E595" s="49">
        <f t="shared" si="131"/>
        <v>5112</v>
      </c>
      <c r="F595" s="49">
        <f t="shared" si="131"/>
        <v>3584</v>
      </c>
      <c r="G595" s="49">
        <f t="shared" si="131"/>
        <v>0</v>
      </c>
      <c r="H595" s="49">
        <f t="shared" si="131"/>
        <v>0</v>
      </c>
      <c r="I595" s="49">
        <f t="shared" si="131"/>
        <v>0</v>
      </c>
      <c r="J595" s="49">
        <f t="shared" si="131"/>
        <v>0</v>
      </c>
      <c r="K595" s="49"/>
      <c r="L595" s="47"/>
      <c r="M595" s="47"/>
      <c r="N595" s="47"/>
      <c r="O595" s="47"/>
      <c r="P595" s="47"/>
      <c r="Q595" s="47"/>
      <c r="R595" s="47"/>
    </row>
    <row r="596" spans="2:19" s="40" customFormat="1" x14ac:dyDescent="0.25">
      <c r="B596"/>
      <c r="C596"/>
      <c r="D596" s="47"/>
      <c r="E596" s="47"/>
      <c r="F596" s="47"/>
      <c r="G596" s="47"/>
      <c r="H596" s="47"/>
      <c r="I596" s="47"/>
      <c r="J596" s="47"/>
      <c r="K596" s="47"/>
      <c r="L596" s="47"/>
      <c r="M596" s="47"/>
      <c r="N596" s="47"/>
      <c r="O596" s="47"/>
      <c r="P596" s="47"/>
      <c r="Q596" s="47"/>
      <c r="R596" s="47"/>
    </row>
    <row r="597" spans="2:19" s="40" customFormat="1" x14ac:dyDescent="0.25">
      <c r="B597" t="s">
        <v>516</v>
      </c>
      <c r="C597"/>
      <c r="D597" s="47"/>
      <c r="E597" s="47"/>
      <c r="F597" s="47"/>
      <c r="G597" s="47"/>
      <c r="H597" s="47"/>
      <c r="I597" s="47"/>
      <c r="J597" s="47"/>
      <c r="K597" s="47"/>
      <c r="L597" s="47"/>
      <c r="M597" s="47"/>
      <c r="N597" s="47"/>
      <c r="O597" s="47"/>
      <c r="P597" s="47"/>
      <c r="Q597" s="47"/>
      <c r="R597" s="47"/>
    </row>
    <row r="598" spans="2:19" s="40" customFormat="1" x14ac:dyDescent="0.25">
      <c r="B598" t="s">
        <v>472</v>
      </c>
      <c r="C598"/>
      <c r="D598" s="47">
        <f>E602</f>
        <v>2215</v>
      </c>
      <c r="E598" s="47">
        <v>1617</v>
      </c>
      <c r="F598" s="47">
        <v>1104</v>
      </c>
      <c r="G598" s="47"/>
      <c r="H598" s="47"/>
      <c r="I598" s="47"/>
      <c r="J598" s="47"/>
      <c r="K598" s="47"/>
      <c r="L598" s="47"/>
      <c r="M598" s="47"/>
      <c r="N598" s="47"/>
      <c r="O598" s="47"/>
      <c r="P598" s="47"/>
      <c r="Q598" s="47"/>
      <c r="R598" s="47"/>
    </row>
    <row r="599" spans="2:19" s="40" customFormat="1" x14ac:dyDescent="0.25">
      <c r="B599" t="s">
        <v>515</v>
      </c>
      <c r="C599"/>
      <c r="D599" s="47">
        <v>965</v>
      </c>
      <c r="E599" s="47">
        <v>598</v>
      </c>
      <c r="F599" s="47">
        <v>513</v>
      </c>
      <c r="G599" s="47"/>
      <c r="H599" s="47"/>
      <c r="I599" s="47"/>
      <c r="J599" s="47"/>
      <c r="K599" s="47"/>
      <c r="L599" s="47"/>
      <c r="M599" s="47"/>
      <c r="N599" s="47"/>
      <c r="O599" s="47"/>
      <c r="P599" s="47"/>
      <c r="Q599" s="47"/>
      <c r="R599" s="47"/>
    </row>
    <row r="600" spans="2:19" s="40" customFormat="1" x14ac:dyDescent="0.25">
      <c r="B600" t="s">
        <v>514</v>
      </c>
      <c r="C600"/>
      <c r="D600" s="47">
        <v>-118</v>
      </c>
      <c r="E600" s="47"/>
      <c r="F600" s="47"/>
      <c r="G600" s="47"/>
      <c r="H600" s="47"/>
      <c r="I600" s="47"/>
      <c r="J600" s="47"/>
      <c r="K600" s="47"/>
      <c r="L600" s="47"/>
      <c r="M600" s="47"/>
      <c r="N600" s="47"/>
      <c r="O600" s="47"/>
      <c r="P600" s="47"/>
      <c r="Q600" s="47"/>
      <c r="R600" s="47"/>
    </row>
    <row r="601" spans="2:19" s="40" customFormat="1" ht="15.75" thickBot="1" x14ac:dyDescent="0.3">
      <c r="B601" t="s">
        <v>469</v>
      </c>
      <c r="C601"/>
      <c r="D601" s="50">
        <v>-7</v>
      </c>
      <c r="E601" s="50"/>
      <c r="F601" s="50"/>
      <c r="G601" s="50"/>
      <c r="H601" s="50"/>
      <c r="I601" s="50"/>
      <c r="J601" s="50"/>
      <c r="K601" s="47"/>
      <c r="L601" s="47"/>
      <c r="M601" s="47"/>
      <c r="N601" s="47"/>
      <c r="O601" s="47"/>
      <c r="P601" s="47"/>
      <c r="Q601" s="47"/>
      <c r="R601" s="47"/>
    </row>
    <row r="602" spans="2:19" s="40" customFormat="1" x14ac:dyDescent="0.25">
      <c r="B602" s="40" t="s">
        <v>468</v>
      </c>
      <c r="D602" s="49">
        <f t="shared" ref="D602:J602" si="132">SUM(D598:D601)</f>
        <v>3055</v>
      </c>
      <c r="E602" s="49">
        <f t="shared" si="132"/>
        <v>2215</v>
      </c>
      <c r="F602" s="49">
        <f t="shared" si="132"/>
        <v>1617</v>
      </c>
      <c r="G602" s="49">
        <f t="shared" si="132"/>
        <v>0</v>
      </c>
      <c r="H602" s="49">
        <f t="shared" si="132"/>
        <v>0</v>
      </c>
      <c r="I602" s="49">
        <f t="shared" si="132"/>
        <v>0</v>
      </c>
      <c r="J602" s="49">
        <f t="shared" si="132"/>
        <v>0</v>
      </c>
      <c r="K602" s="49"/>
      <c r="L602" s="47"/>
      <c r="M602" s="47"/>
      <c r="N602" s="47"/>
      <c r="O602" s="47"/>
      <c r="P602" s="47"/>
      <c r="Q602" s="47"/>
      <c r="R602" s="47"/>
    </row>
    <row r="603" spans="2:19" s="40" customFormat="1" ht="15.75" thickBot="1" x14ac:dyDescent="0.3">
      <c r="B603"/>
      <c r="C603"/>
      <c r="D603" s="50"/>
      <c r="E603" s="50"/>
      <c r="F603" s="50"/>
      <c r="G603" s="50"/>
      <c r="H603" s="50"/>
      <c r="I603" s="50"/>
      <c r="J603" s="50"/>
      <c r="K603" s="47"/>
      <c r="L603" s="47"/>
      <c r="M603" s="47"/>
      <c r="N603" s="47"/>
      <c r="O603" s="47"/>
      <c r="P603" s="47"/>
      <c r="Q603" s="47"/>
      <c r="R603" s="47"/>
    </row>
    <row r="604" spans="2:19" s="40" customFormat="1" x14ac:dyDescent="0.25">
      <c r="B604" s="40" t="s">
        <v>513</v>
      </c>
      <c r="D604" s="49">
        <f t="shared" ref="D604:J604" si="133">SUM(D595-D602)</f>
        <v>3551</v>
      </c>
      <c r="E604" s="49">
        <f t="shared" si="133"/>
        <v>2897</v>
      </c>
      <c r="F604" s="49">
        <f t="shared" si="133"/>
        <v>1967</v>
      </c>
      <c r="G604" s="49">
        <f t="shared" si="133"/>
        <v>0</v>
      </c>
      <c r="H604" s="49">
        <f t="shared" si="133"/>
        <v>0</v>
      </c>
      <c r="I604" s="49">
        <f t="shared" si="133"/>
        <v>0</v>
      </c>
      <c r="J604" s="49">
        <f t="shared" si="133"/>
        <v>0</v>
      </c>
      <c r="K604" s="49"/>
      <c r="L604" s="49"/>
      <c r="M604" s="49"/>
      <c r="N604" s="49"/>
      <c r="O604" s="49"/>
      <c r="P604" s="49"/>
      <c r="Q604" s="49"/>
      <c r="R604" s="49"/>
    </row>
    <row r="605" spans="2:19" s="40" customFormat="1" x14ac:dyDescent="0.25">
      <c r="D605" s="47"/>
      <c r="E605" s="47"/>
      <c r="F605" s="47"/>
      <c r="G605" s="47"/>
      <c r="H605" s="47"/>
      <c r="I605" s="47"/>
      <c r="J605" s="47"/>
      <c r="K605" s="47"/>
      <c r="L605" s="47"/>
      <c r="M605" s="47"/>
      <c r="N605" s="47"/>
      <c r="O605" s="47"/>
      <c r="P605" s="47"/>
      <c r="Q605" s="47"/>
      <c r="R605" s="47"/>
      <c r="S605"/>
    </row>
    <row r="606" spans="2:19" x14ac:dyDescent="0.25">
      <c r="L606" s="47"/>
      <c r="M606" s="47"/>
      <c r="P606" s="47"/>
    </row>
    <row r="607" spans="2:19" x14ac:dyDescent="0.25">
      <c r="B607" s="102" t="s">
        <v>512</v>
      </c>
      <c r="C607" s="102"/>
      <c r="D607" s="102"/>
      <c r="E607" s="102"/>
      <c r="F607" s="102"/>
      <c r="G607" s="102"/>
      <c r="H607" s="102"/>
      <c r="I607" s="102"/>
      <c r="J607" s="102"/>
      <c r="K607" s="102"/>
      <c r="L607" s="102"/>
      <c r="M607" s="102"/>
      <c r="N607" s="102"/>
      <c r="O607" s="102"/>
      <c r="P607" s="102"/>
      <c r="Q607" s="102"/>
      <c r="R607" s="102"/>
    </row>
    <row r="608" spans="2:19" x14ac:dyDescent="0.25">
      <c r="L608" s="47"/>
      <c r="M608" s="47"/>
      <c r="P608" s="47"/>
    </row>
    <row r="609" spans="2:21" ht="15.75" thickBot="1" x14ac:dyDescent="0.3">
      <c r="D609" s="56">
        <v>44374</v>
      </c>
      <c r="E609" s="56">
        <v>44010</v>
      </c>
      <c r="F609" s="56">
        <v>43646</v>
      </c>
      <c r="G609" s="56">
        <v>43282</v>
      </c>
      <c r="H609" s="56">
        <v>42918</v>
      </c>
      <c r="I609" s="56">
        <v>42577</v>
      </c>
      <c r="J609" s="56">
        <v>42213</v>
      </c>
      <c r="K609" s="57"/>
      <c r="L609" s="47"/>
      <c r="M609" s="56">
        <v>44556</v>
      </c>
      <c r="N609" s="56">
        <v>44192</v>
      </c>
      <c r="O609" s="56">
        <v>43828</v>
      </c>
      <c r="P609" s="56">
        <v>43464</v>
      </c>
      <c r="Q609" s="56">
        <v>43100</v>
      </c>
      <c r="R609" s="56">
        <v>42729</v>
      </c>
    </row>
    <row r="610" spans="2:21" x14ac:dyDescent="0.25">
      <c r="B610" t="s">
        <v>511</v>
      </c>
      <c r="D610" s="47">
        <v>13962</v>
      </c>
      <c r="E610" s="47">
        <v>8154</v>
      </c>
      <c r="F610" s="47">
        <v>7848.4960000000001</v>
      </c>
      <c r="G610" s="47">
        <v>6800.7470000000003</v>
      </c>
      <c r="H610" s="47">
        <v>6825.9579999999996</v>
      </c>
      <c r="M610" s="47">
        <v>20545</v>
      </c>
      <c r="N610" s="47">
        <v>11329</v>
      </c>
    </row>
    <row r="611" spans="2:21" x14ac:dyDescent="0.25">
      <c r="B611" t="s">
        <v>510</v>
      </c>
      <c r="D611" s="47">
        <v>11250</v>
      </c>
      <c r="E611" s="47">
        <v>9349</v>
      </c>
      <c r="F611" s="47">
        <v>5292.8879999999999</v>
      </c>
      <c r="G611" s="47">
        <v>2574.971</v>
      </c>
      <c r="H611" s="47">
        <v>2988.09</v>
      </c>
      <c r="M611" s="47">
        <v>2454</v>
      </c>
      <c r="N611" s="47">
        <v>8557</v>
      </c>
      <c r="O611" s="43"/>
      <c r="P611" s="43"/>
    </row>
    <row r="612" spans="2:21" x14ac:dyDescent="0.25">
      <c r="B612" t="s">
        <v>509</v>
      </c>
      <c r="D612">
        <v>330</v>
      </c>
      <c r="E612" s="47">
        <v>2500</v>
      </c>
      <c r="F612" s="47">
        <v>2082.3029999999999</v>
      </c>
      <c r="G612" s="47">
        <v>761.54399999999998</v>
      </c>
      <c r="H612" s="47">
        <v>1303.81</v>
      </c>
      <c r="L612" s="47"/>
      <c r="M612" s="47">
        <v>14473</v>
      </c>
      <c r="N612" s="47">
        <v>11880</v>
      </c>
      <c r="P612" s="47"/>
    </row>
    <row r="613" spans="2:21" ht="15.75" thickBot="1" x14ac:dyDescent="0.3">
      <c r="B613" t="s">
        <v>508</v>
      </c>
      <c r="D613" s="59">
        <v>16681</v>
      </c>
      <c r="E613" s="59">
        <v>7248</v>
      </c>
      <c r="F613" s="59">
        <v>4304.0559999999996</v>
      </c>
      <c r="G613" s="59">
        <v>5408.5829999999996</v>
      </c>
      <c r="H613" s="59">
        <v>5514.8590000000004</v>
      </c>
      <c r="I613" s="59"/>
      <c r="J613" s="59"/>
      <c r="K613" s="47"/>
      <c r="L613" s="47"/>
      <c r="M613" s="59">
        <v>26901</v>
      </c>
      <c r="N613" s="59">
        <v>18718</v>
      </c>
      <c r="O613" s="59"/>
      <c r="P613" s="59"/>
      <c r="Q613" s="59"/>
      <c r="R613" s="59"/>
      <c r="U613" s="67"/>
    </row>
    <row r="614" spans="2:21" x14ac:dyDescent="0.25">
      <c r="B614" s="40" t="s">
        <v>422</v>
      </c>
      <c r="C614" s="40"/>
      <c r="D614" s="49">
        <f>SUM(D610:D613)</f>
        <v>42223</v>
      </c>
      <c r="E614" s="49">
        <f>SUM(E610:E613)</f>
        <v>27251</v>
      </c>
      <c r="F614" s="49">
        <f>SUM(F610:F613)</f>
        <v>19527.742999999999</v>
      </c>
      <c r="G614" s="49">
        <f>SUM(G610:G613)</f>
        <v>15545.845000000001</v>
      </c>
      <c r="H614" s="49">
        <f>SUM(H610:H613)</f>
        <v>16632.716999999997</v>
      </c>
      <c r="L614" s="47"/>
      <c r="M614" s="49">
        <f>SUM(M610:M613)</f>
        <v>64373</v>
      </c>
      <c r="N614" s="49">
        <f>SUM(N610:N613)</f>
        <v>50484</v>
      </c>
      <c r="P614" s="47"/>
      <c r="U614" s="43"/>
    </row>
    <row r="615" spans="2:21" x14ac:dyDescent="0.25">
      <c r="L615" s="47"/>
      <c r="M615" s="47"/>
      <c r="P615" s="47"/>
    </row>
    <row r="616" spans="2:21" x14ac:dyDescent="0.25">
      <c r="B616" s="40" t="s">
        <v>475</v>
      </c>
      <c r="C616" s="40"/>
      <c r="L616" s="47"/>
      <c r="M616" s="47"/>
      <c r="P616" s="47"/>
      <c r="U616" s="47"/>
    </row>
    <row r="617" spans="2:21" x14ac:dyDescent="0.25">
      <c r="B617" t="s">
        <v>507</v>
      </c>
      <c r="D617">
        <v>2</v>
      </c>
      <c r="E617">
        <v>31</v>
      </c>
      <c r="F617" s="47">
        <v>2757.1579999999999</v>
      </c>
      <c r="G617" s="47">
        <v>2581.0439999999999</v>
      </c>
      <c r="H617" s="47">
        <v>1934.057</v>
      </c>
      <c r="N617">
        <v>26</v>
      </c>
      <c r="U617" s="47"/>
    </row>
    <row r="618" spans="2:21" x14ac:dyDescent="0.25">
      <c r="L618" s="47"/>
      <c r="M618" s="47"/>
      <c r="P618" s="47"/>
      <c r="U618" s="47"/>
    </row>
    <row r="619" spans="2:21" x14ac:dyDescent="0.25">
      <c r="U619" s="47"/>
    </row>
    <row r="620" spans="2:21" x14ac:dyDescent="0.25">
      <c r="B620" s="102" t="s">
        <v>506</v>
      </c>
      <c r="C620" s="102"/>
      <c r="D620" s="102"/>
      <c r="E620" s="102"/>
      <c r="F620" s="102"/>
      <c r="G620" s="102"/>
      <c r="H620" s="102"/>
      <c r="I620" s="102"/>
      <c r="J620" s="102"/>
      <c r="K620" s="102"/>
      <c r="L620" s="102"/>
      <c r="M620" s="102"/>
      <c r="N620" s="102"/>
      <c r="O620" s="102"/>
      <c r="P620" s="102"/>
      <c r="Q620" s="102"/>
      <c r="R620" s="102"/>
      <c r="U620" s="47"/>
    </row>
    <row r="622" spans="2:21" ht="15.75" thickBot="1" x14ac:dyDescent="0.3">
      <c r="B622" t="s">
        <v>505</v>
      </c>
      <c r="D622" s="56">
        <v>44374</v>
      </c>
      <c r="E622" s="56">
        <v>44010</v>
      </c>
      <c r="F622" s="56">
        <v>43646</v>
      </c>
      <c r="G622" s="56">
        <v>43282</v>
      </c>
      <c r="H622" s="56">
        <v>42918</v>
      </c>
      <c r="I622" s="56">
        <v>42577</v>
      </c>
      <c r="J622" s="56">
        <v>42213</v>
      </c>
      <c r="K622" s="57"/>
      <c r="M622" s="56">
        <v>44556</v>
      </c>
      <c r="N622" s="56">
        <v>44192</v>
      </c>
      <c r="O622" s="56">
        <v>43828</v>
      </c>
      <c r="P622" s="56">
        <v>43464</v>
      </c>
      <c r="Q622" s="56">
        <v>43100</v>
      </c>
      <c r="R622" s="56">
        <v>42729</v>
      </c>
    </row>
    <row r="623" spans="2:21" x14ac:dyDescent="0.25">
      <c r="B623" t="s">
        <v>504</v>
      </c>
      <c r="D623">
        <v>430</v>
      </c>
      <c r="E623" s="47">
        <v>308</v>
      </c>
      <c r="F623" s="47">
        <v>224</v>
      </c>
      <c r="G623">
        <v>242</v>
      </c>
      <c r="H623">
        <v>23</v>
      </c>
    </row>
    <row r="624" spans="2:21" x14ac:dyDescent="0.25">
      <c r="B624" t="s">
        <v>503</v>
      </c>
      <c r="D624">
        <v>595</v>
      </c>
      <c r="E624" s="47">
        <v>706</v>
      </c>
      <c r="F624" s="47"/>
    </row>
    <row r="625" spans="2:11" ht="15.75" thickBot="1" x14ac:dyDescent="0.3">
      <c r="B625" t="s">
        <v>502</v>
      </c>
      <c r="D625" s="59">
        <v>474</v>
      </c>
      <c r="E625" s="59">
        <v>407</v>
      </c>
      <c r="F625" s="59">
        <v>1010</v>
      </c>
      <c r="G625" s="59">
        <v>1006</v>
      </c>
      <c r="H625" s="66">
        <v>823</v>
      </c>
      <c r="I625" s="66"/>
      <c r="J625" s="66"/>
    </row>
    <row r="626" spans="2:11" s="40" customFormat="1" x14ac:dyDescent="0.25">
      <c r="B626" s="40" t="s">
        <v>422</v>
      </c>
      <c r="D626" s="49">
        <f>SUM(D623:D625)</f>
        <v>1499</v>
      </c>
      <c r="E626" s="49">
        <f>SUM(E623:E625)</f>
        <v>1421</v>
      </c>
      <c r="F626" s="49">
        <f>SUM(F623:F625)</f>
        <v>1234</v>
      </c>
      <c r="G626" s="49">
        <f>SUM(G623:G625)</f>
        <v>1248</v>
      </c>
      <c r="H626" s="49">
        <f>SUM(H623:H625)</f>
        <v>846</v>
      </c>
    </row>
    <row r="628" spans="2:11" x14ac:dyDescent="0.25">
      <c r="B628" t="s">
        <v>501</v>
      </c>
    </row>
    <row r="629" spans="2:11" x14ac:dyDescent="0.25">
      <c r="B629" t="s">
        <v>500</v>
      </c>
      <c r="D629">
        <v>45772</v>
      </c>
      <c r="E629" s="47">
        <v>36389</v>
      </c>
      <c r="F629" s="47">
        <v>31785</v>
      </c>
      <c r="G629" s="47">
        <v>27433.753000000001</v>
      </c>
      <c r="H629" s="47">
        <v>25404.249</v>
      </c>
    </row>
    <row r="630" spans="2:11" x14ac:dyDescent="0.25">
      <c r="B630" t="s">
        <v>499</v>
      </c>
      <c r="D630">
        <v>911</v>
      </c>
      <c r="E630" s="47">
        <v>362</v>
      </c>
      <c r="F630" s="47">
        <v>871</v>
      </c>
      <c r="G630">
        <v>726.58500000000004</v>
      </c>
      <c r="H630">
        <v>562.25599999999997</v>
      </c>
    </row>
    <row r="631" spans="2:11" x14ac:dyDescent="0.25">
      <c r="B631" t="s">
        <v>498</v>
      </c>
      <c r="D631">
        <v>3992</v>
      </c>
      <c r="E631" s="47">
        <v>2804</v>
      </c>
      <c r="F631" s="47">
        <v>2673</v>
      </c>
      <c r="G631" s="47">
        <v>2209.489</v>
      </c>
      <c r="H631" s="47">
        <v>2153.23</v>
      </c>
    </row>
    <row r="632" spans="2:11" x14ac:dyDescent="0.25">
      <c r="B632" t="s">
        <v>497</v>
      </c>
      <c r="D632">
        <v>916</v>
      </c>
      <c r="E632" s="47">
        <v>752</v>
      </c>
      <c r="F632" s="47">
        <v>512</v>
      </c>
      <c r="G632" s="47">
        <v>288.60599999999999</v>
      </c>
      <c r="H632" s="47">
        <v>190.4</v>
      </c>
    </row>
    <row r="633" spans="2:11" ht="15.75" thickBot="1" x14ac:dyDescent="0.3">
      <c r="B633" t="s">
        <v>496</v>
      </c>
      <c r="D633" s="59"/>
      <c r="E633" s="59">
        <v>-2666</v>
      </c>
      <c r="F633" s="59"/>
      <c r="G633" s="59"/>
      <c r="H633" s="59"/>
      <c r="I633" s="59"/>
      <c r="J633" s="59"/>
      <c r="K633" s="47"/>
    </row>
    <row r="634" spans="2:11" s="40" customFormat="1" x14ac:dyDescent="0.25">
      <c r="B634" s="40" t="s">
        <v>422</v>
      </c>
      <c r="D634" s="49">
        <f>SUM(D629:D633)</f>
        <v>51591</v>
      </c>
      <c r="E634" s="49">
        <f>SUM(E629:E633)</f>
        <v>37641</v>
      </c>
      <c r="F634" s="49">
        <f>SUM(F629:F633)</f>
        <v>35841</v>
      </c>
      <c r="G634" s="49">
        <f>SUM(G629:G633)</f>
        <v>30658.433000000001</v>
      </c>
      <c r="H634" s="49">
        <f>SUM(H629:H633)</f>
        <v>28310.135000000002</v>
      </c>
    </row>
    <row r="636" spans="2:11" x14ac:dyDescent="0.25">
      <c r="B636" s="40" t="s">
        <v>495</v>
      </c>
    </row>
    <row r="637" spans="2:11" x14ac:dyDescent="0.25">
      <c r="B637" t="s">
        <v>494</v>
      </c>
      <c r="D637">
        <v>10</v>
      </c>
      <c r="E637">
        <v>10</v>
      </c>
      <c r="F637">
        <v>9</v>
      </c>
      <c r="G637">
        <v>8</v>
      </c>
    </row>
    <row r="639" spans="2:11" x14ac:dyDescent="0.25">
      <c r="B639" t="s">
        <v>493</v>
      </c>
      <c r="D639" s="47">
        <v>1811</v>
      </c>
      <c r="E639" s="47">
        <v>1585</v>
      </c>
      <c r="F639" s="47">
        <v>1495</v>
      </c>
      <c r="G639" s="47">
        <v>1114.577</v>
      </c>
      <c r="H639" s="47">
        <v>1279.278</v>
      </c>
    </row>
    <row r="640" spans="2:11" x14ac:dyDescent="0.25">
      <c r="B640" t="s">
        <v>492</v>
      </c>
      <c r="D640" s="47">
        <v>169</v>
      </c>
      <c r="E640" s="47">
        <v>157</v>
      </c>
      <c r="F640" s="47">
        <v>544</v>
      </c>
      <c r="G640" s="47">
        <v>344.98399999999998</v>
      </c>
      <c r="H640" s="47">
        <v>277.685</v>
      </c>
    </row>
    <row r="641" spans="2:18" x14ac:dyDescent="0.25">
      <c r="B641" t="s">
        <v>491</v>
      </c>
      <c r="D641" s="47">
        <v>172</v>
      </c>
      <c r="E641" s="47">
        <v>686</v>
      </c>
      <c r="F641" s="47">
        <v>186</v>
      </c>
      <c r="G641" s="47">
        <v>185.25800000000001</v>
      </c>
      <c r="H641" s="47">
        <v>168.48099999999999</v>
      </c>
    </row>
    <row r="642" spans="2:18" ht="15.75" thickBot="1" x14ac:dyDescent="0.3">
      <c r="B642" t="s">
        <v>490</v>
      </c>
      <c r="D642" s="58">
        <v>44</v>
      </c>
      <c r="E642" s="58">
        <v>39</v>
      </c>
      <c r="F642" s="58">
        <v>29</v>
      </c>
      <c r="G642" s="58">
        <v>17</v>
      </c>
      <c r="H642" s="58">
        <v>14.054</v>
      </c>
      <c r="I642" s="58"/>
      <c r="J642" s="58"/>
    </row>
    <row r="643" spans="2:18" s="40" customFormat="1" x14ac:dyDescent="0.25">
      <c r="B643" s="40" t="s">
        <v>422</v>
      </c>
      <c r="D643" s="49">
        <f>SUM(D639:D642)</f>
        <v>2196</v>
      </c>
      <c r="E643" s="49">
        <f>SUM(E639:E642)</f>
        <v>2467</v>
      </c>
      <c r="F643" s="49">
        <f>SUM(F639:F642)</f>
        <v>2254</v>
      </c>
      <c r="G643" s="49">
        <f>SUM(G639:G642)</f>
        <v>1661.819</v>
      </c>
      <c r="H643" s="49">
        <f>SUM(H639:H642)</f>
        <v>1739.498</v>
      </c>
    </row>
    <row r="647" spans="2:18" x14ac:dyDescent="0.25">
      <c r="B647" s="102" t="s">
        <v>489</v>
      </c>
      <c r="C647" s="102"/>
      <c r="D647" s="102"/>
      <c r="E647" s="102"/>
      <c r="F647" s="102"/>
      <c r="G647" s="102"/>
      <c r="H647" s="102"/>
      <c r="I647" s="102"/>
      <c r="J647" s="102"/>
      <c r="K647" s="102"/>
      <c r="L647" s="102"/>
      <c r="M647" s="102"/>
      <c r="N647" s="102"/>
      <c r="O647" s="102"/>
      <c r="P647" s="102"/>
      <c r="Q647" s="102"/>
      <c r="R647" s="102"/>
    </row>
    <row r="649" spans="2:18" ht="15.75" thickBot="1" x14ac:dyDescent="0.3">
      <c r="D649" s="56">
        <v>44374</v>
      </c>
      <c r="E649" s="56">
        <v>44010</v>
      </c>
      <c r="F649" s="56">
        <v>43646</v>
      </c>
      <c r="G649" s="56">
        <v>43282</v>
      </c>
      <c r="H649" s="56">
        <v>42918</v>
      </c>
      <c r="I649" s="56">
        <v>42577</v>
      </c>
      <c r="J649" s="56">
        <v>42213</v>
      </c>
      <c r="K649" s="57"/>
      <c r="M649" s="56">
        <v>44556</v>
      </c>
      <c r="N649" s="56">
        <v>44192</v>
      </c>
      <c r="O649" s="56">
        <v>43828</v>
      </c>
      <c r="P649" s="56">
        <v>43464</v>
      </c>
      <c r="Q649" s="56">
        <v>43100</v>
      </c>
      <c r="R649" s="56">
        <v>42729</v>
      </c>
    </row>
    <row r="650" spans="2:18" x14ac:dyDescent="0.25">
      <c r="B650" t="s">
        <v>488</v>
      </c>
      <c r="D650" s="47">
        <v>2650</v>
      </c>
      <c r="E650" s="47">
        <v>1886</v>
      </c>
      <c r="F650" s="47">
        <v>918</v>
      </c>
      <c r="G650" s="47">
        <v>1053.758</v>
      </c>
      <c r="H650" s="47">
        <v>542.673</v>
      </c>
      <c r="M650" s="47">
        <v>13186</v>
      </c>
      <c r="N650" s="47">
        <v>11054</v>
      </c>
    </row>
    <row r="651" spans="2:18" x14ac:dyDescent="0.25">
      <c r="B651" t="s">
        <v>487</v>
      </c>
      <c r="D651" s="47">
        <v>7122</v>
      </c>
      <c r="E651" s="47">
        <v>2176</v>
      </c>
      <c r="F651" s="47">
        <v>384</v>
      </c>
      <c r="G651" s="47">
        <v>419.54399999999998</v>
      </c>
      <c r="H651" s="47">
        <v>352.38099999999997</v>
      </c>
      <c r="M651" s="47">
        <v>8822</v>
      </c>
      <c r="N651" s="47">
        <v>7181</v>
      </c>
    </row>
    <row r="652" spans="2:18" ht="15.75" thickBot="1" x14ac:dyDescent="0.3">
      <c r="B652" t="s">
        <v>486</v>
      </c>
      <c r="D652" s="59">
        <v>2649</v>
      </c>
      <c r="E652" s="59">
        <v>2880</v>
      </c>
      <c r="F652" s="59">
        <v>8058</v>
      </c>
      <c r="G652" s="59">
        <v>6013.5919999999996</v>
      </c>
      <c r="H652" s="59">
        <v>5125.8999999999996</v>
      </c>
      <c r="I652" s="66"/>
      <c r="J652" s="66"/>
      <c r="M652" s="59">
        <v>3620</v>
      </c>
      <c r="N652" s="59">
        <v>1514</v>
      </c>
      <c r="O652" s="59"/>
      <c r="P652" s="66"/>
      <c r="Q652" s="66"/>
      <c r="R652" s="66"/>
    </row>
    <row r="653" spans="2:18" x14ac:dyDescent="0.25">
      <c r="B653" t="s">
        <v>422</v>
      </c>
      <c r="D653" s="49">
        <f>SUM(D650:D652)</f>
        <v>12421</v>
      </c>
      <c r="E653" s="49">
        <f>SUM(E650:E652)</f>
        <v>6942</v>
      </c>
      <c r="F653" s="49">
        <f>SUM(F650:F652)</f>
        <v>9360</v>
      </c>
      <c r="G653" s="49">
        <f>SUM(G650:G652)</f>
        <v>7486.8940000000002</v>
      </c>
      <c r="H653" s="49">
        <f>SUM(H650:H652)</f>
        <v>6020.9539999999997</v>
      </c>
      <c r="I653" s="40"/>
      <c r="J653" s="40"/>
      <c r="K653" s="40"/>
      <c r="M653" s="49">
        <f>SUM(M650:M652)</f>
        <v>25628</v>
      </c>
      <c r="N653" s="49">
        <f>SUM(N650:N652)</f>
        <v>19749</v>
      </c>
    </row>
    <row r="654" spans="2:18" x14ac:dyDescent="0.25">
      <c r="D654" s="49"/>
      <c r="E654" s="49"/>
      <c r="F654" s="49"/>
      <c r="G654" s="49"/>
      <c r="H654" s="49"/>
      <c r="I654" s="40"/>
      <c r="J654" s="40"/>
      <c r="K654" s="40"/>
      <c r="M654" s="49"/>
      <c r="N654" s="49"/>
    </row>
    <row r="655" spans="2:18" x14ac:dyDescent="0.25">
      <c r="B655" t="s">
        <v>475</v>
      </c>
      <c r="D655" s="49"/>
      <c r="E655" s="49"/>
      <c r="F655" s="49"/>
      <c r="G655" s="49"/>
      <c r="H655" s="49"/>
      <c r="I655" s="40"/>
      <c r="J655" s="40"/>
      <c r="K655" s="40"/>
      <c r="M655" s="49"/>
      <c r="N655" s="49"/>
    </row>
    <row r="656" spans="2:18" x14ac:dyDescent="0.25">
      <c r="B656" t="s">
        <v>486</v>
      </c>
      <c r="D656" s="49"/>
      <c r="E656" s="49"/>
      <c r="F656" s="49"/>
      <c r="G656" s="47">
        <v>1643</v>
      </c>
      <c r="H656" s="47">
        <v>7250</v>
      </c>
      <c r="I656" s="40"/>
      <c r="J656" s="40"/>
      <c r="K656" s="40"/>
      <c r="M656" s="49"/>
      <c r="N656" s="49"/>
    </row>
    <row r="657" spans="2:18" x14ac:dyDescent="0.25">
      <c r="D657" s="49"/>
      <c r="E657" s="49"/>
      <c r="F657" s="49"/>
      <c r="G657" s="49"/>
      <c r="H657" s="49"/>
      <c r="I657" s="40"/>
      <c r="J657" s="40"/>
      <c r="K657" s="40"/>
      <c r="M657" s="49"/>
      <c r="N657" s="49"/>
    </row>
    <row r="659" spans="2:18" x14ac:dyDescent="0.25">
      <c r="B659" s="102" t="s">
        <v>485</v>
      </c>
      <c r="C659" s="102"/>
      <c r="D659" s="102"/>
      <c r="E659" s="102"/>
      <c r="F659" s="102"/>
      <c r="G659" s="102"/>
      <c r="H659" s="102"/>
      <c r="I659" s="102"/>
      <c r="J659" s="102"/>
      <c r="K659" s="102"/>
      <c r="L659" s="102"/>
      <c r="M659" s="102"/>
      <c r="N659" s="102"/>
      <c r="O659" s="102"/>
      <c r="P659" s="102"/>
      <c r="Q659" s="102"/>
      <c r="R659" s="102"/>
    </row>
    <row r="661" spans="2:18" ht="15.75" thickBot="1" x14ac:dyDescent="0.3">
      <c r="D661" s="56">
        <v>44374</v>
      </c>
      <c r="E661" s="56">
        <v>44010</v>
      </c>
      <c r="F661" s="56">
        <v>43646</v>
      </c>
      <c r="G661" s="56">
        <v>43282</v>
      </c>
      <c r="H661" s="56">
        <v>42918</v>
      </c>
      <c r="I661" s="56">
        <v>42577</v>
      </c>
      <c r="J661" s="56">
        <v>42213</v>
      </c>
      <c r="K661" s="57"/>
      <c r="M661" s="56">
        <v>44556</v>
      </c>
      <c r="N661" s="56">
        <v>44192</v>
      </c>
      <c r="O661" s="56">
        <v>43828</v>
      </c>
      <c r="P661" s="56">
        <v>43464</v>
      </c>
      <c r="Q661" s="56">
        <v>43100</v>
      </c>
      <c r="R661" s="56">
        <v>42729</v>
      </c>
    </row>
    <row r="662" spans="2:18" x14ac:dyDescent="0.25">
      <c r="B662" t="s">
        <v>484</v>
      </c>
      <c r="D662" s="47">
        <v>9499</v>
      </c>
      <c r="E662" s="47">
        <v>6915</v>
      </c>
      <c r="F662" s="47">
        <v>2675</v>
      </c>
      <c r="G662" s="47">
        <v>3592.96</v>
      </c>
      <c r="H662" s="47">
        <v>3320.248</v>
      </c>
      <c r="I662" s="47">
        <v>1906.7059999999999</v>
      </c>
      <c r="J662" s="47">
        <v>1025.1089999999999</v>
      </c>
      <c r="K662" s="47"/>
      <c r="L662" s="47"/>
      <c r="M662" s="47"/>
      <c r="N662" s="47"/>
      <c r="O662" s="47"/>
    </row>
    <row r="663" spans="2:18" x14ac:dyDescent="0.25">
      <c r="B663" t="s">
        <v>483</v>
      </c>
      <c r="D663" s="47">
        <v>241</v>
      </c>
      <c r="E663" s="47"/>
      <c r="F663" s="47"/>
      <c r="G663" s="47"/>
      <c r="H663" s="47"/>
      <c r="I663" s="47"/>
      <c r="J663" s="47"/>
      <c r="K663" s="47"/>
      <c r="L663" s="47"/>
      <c r="M663" s="47"/>
      <c r="N663" s="47"/>
      <c r="O663" s="47"/>
    </row>
    <row r="664" spans="2:18" ht="15.75" thickBot="1" x14ac:dyDescent="0.3">
      <c r="B664" t="s">
        <v>482</v>
      </c>
      <c r="D664" s="59">
        <v>22298</v>
      </c>
      <c r="E664" s="59">
        <v>7001</v>
      </c>
      <c r="F664" s="59">
        <v>10135</v>
      </c>
      <c r="G664" s="59">
        <v>8962.5570000000007</v>
      </c>
      <c r="H664" s="59">
        <v>6557.8739999999998</v>
      </c>
      <c r="I664" s="59">
        <v>4697.3980000000001</v>
      </c>
      <c r="J664" s="59">
        <v>3468.732</v>
      </c>
      <c r="K664" s="47"/>
      <c r="L664" s="47"/>
      <c r="M664" s="47"/>
      <c r="N664" s="47"/>
      <c r="O664" s="47"/>
    </row>
    <row r="665" spans="2:18" s="40" customFormat="1" x14ac:dyDescent="0.25">
      <c r="B665" s="40" t="s">
        <v>422</v>
      </c>
      <c r="D665" s="49">
        <f t="shared" ref="D665:J665" si="134">SUM(D662:D664)</f>
        <v>32038</v>
      </c>
      <c r="E665" s="49">
        <f t="shared" si="134"/>
        <v>13916</v>
      </c>
      <c r="F665" s="49">
        <f t="shared" si="134"/>
        <v>12810</v>
      </c>
      <c r="G665" s="49">
        <f t="shared" si="134"/>
        <v>12555.517</v>
      </c>
      <c r="H665" s="49">
        <f t="shared" si="134"/>
        <v>9878.1219999999994</v>
      </c>
      <c r="I665" s="49">
        <f t="shared" si="134"/>
        <v>6604.1040000000003</v>
      </c>
      <c r="J665" s="49">
        <f t="shared" si="134"/>
        <v>4493.8410000000003</v>
      </c>
      <c r="K665" s="49"/>
      <c r="L665" s="49"/>
      <c r="M665" s="49"/>
      <c r="N665" s="49"/>
      <c r="O665" s="49"/>
    </row>
    <row r="666" spans="2:18" x14ac:dyDescent="0.25">
      <c r="D666" s="47"/>
      <c r="E666" s="47"/>
      <c r="F666" s="47"/>
      <c r="G666" s="47"/>
      <c r="H666" s="47"/>
      <c r="I666" s="47"/>
      <c r="J666" s="47"/>
      <c r="K666" s="47"/>
      <c r="L666" s="47"/>
      <c r="M666" s="47"/>
      <c r="N666" s="47"/>
      <c r="O666" s="47"/>
    </row>
    <row r="667" spans="2:18" x14ac:dyDescent="0.25">
      <c r="B667" t="s">
        <v>481</v>
      </c>
      <c r="D667" s="47">
        <v>62558</v>
      </c>
      <c r="E667" s="47">
        <v>53358</v>
      </c>
      <c r="F667" s="47">
        <v>44574</v>
      </c>
      <c r="G667" s="47">
        <v>36341.317999999999</v>
      </c>
      <c r="H667" s="47">
        <v>32540.620999999999</v>
      </c>
      <c r="I667" s="47"/>
      <c r="J667" s="47"/>
      <c r="K667" s="47"/>
      <c r="L667" s="47"/>
      <c r="M667" s="47"/>
      <c r="N667" s="47"/>
      <c r="O667" s="47"/>
    </row>
    <row r="668" spans="2:18" x14ac:dyDescent="0.25">
      <c r="D668" s="47"/>
      <c r="E668" s="47"/>
      <c r="F668" s="47"/>
      <c r="G668" s="47"/>
      <c r="H668" s="47"/>
      <c r="I668" s="47"/>
      <c r="J668" s="47"/>
      <c r="K668" s="47"/>
      <c r="L668" s="47"/>
      <c r="M668" s="47"/>
      <c r="N668" s="47"/>
      <c r="O668" s="47"/>
    </row>
    <row r="670" spans="2:18" x14ac:dyDescent="0.25">
      <c r="B670" s="102" t="s">
        <v>480</v>
      </c>
      <c r="C670" s="102"/>
      <c r="D670" s="102"/>
      <c r="E670" s="102"/>
      <c r="F670" s="102"/>
      <c r="G670" s="102"/>
      <c r="H670" s="102"/>
      <c r="I670" s="102"/>
      <c r="J670" s="102"/>
      <c r="K670" s="102"/>
      <c r="L670" s="102"/>
      <c r="M670" s="102"/>
      <c r="N670" s="102"/>
      <c r="O670" s="102"/>
      <c r="P670" s="102"/>
      <c r="Q670" s="102"/>
      <c r="R670" s="102"/>
    </row>
    <row r="672" spans="2:18" ht="15.75" thickBot="1" x14ac:dyDescent="0.3">
      <c r="D672" s="56">
        <v>44374</v>
      </c>
      <c r="E672" s="56">
        <v>44010</v>
      </c>
      <c r="F672" s="56">
        <v>43646</v>
      </c>
      <c r="G672" s="56">
        <v>43282</v>
      </c>
      <c r="H672" s="56">
        <v>42918</v>
      </c>
      <c r="I672" s="56">
        <v>42577</v>
      </c>
      <c r="J672" s="56">
        <v>42213</v>
      </c>
      <c r="K672" s="57"/>
      <c r="M672" s="56">
        <v>44556</v>
      </c>
      <c r="N672" s="56">
        <v>44192</v>
      </c>
      <c r="O672" s="56">
        <v>43828</v>
      </c>
      <c r="P672" s="56">
        <v>43464</v>
      </c>
      <c r="Q672" s="56">
        <v>43100</v>
      </c>
      <c r="R672" s="56">
        <v>42729</v>
      </c>
    </row>
    <row r="673" spans="2:18" x14ac:dyDescent="0.25">
      <c r="B673" t="s">
        <v>479</v>
      </c>
      <c r="D673" s="47">
        <v>2095</v>
      </c>
      <c r="E673" s="47">
        <v>6606</v>
      </c>
    </row>
    <row r="674" spans="2:18" x14ac:dyDescent="0.25">
      <c r="B674" t="s">
        <v>478</v>
      </c>
      <c r="D674">
        <v>216</v>
      </c>
      <c r="E674" s="47">
        <v>2678</v>
      </c>
    </row>
    <row r="675" spans="2:18" ht="15.75" thickBot="1" x14ac:dyDescent="0.3">
      <c r="B675" t="s">
        <v>477</v>
      </c>
      <c r="D675" s="59"/>
      <c r="E675" s="59">
        <v>684</v>
      </c>
      <c r="F675" s="59"/>
      <c r="G675" s="59"/>
      <c r="H675" s="59"/>
      <c r="I675" s="59"/>
      <c r="J675" s="59"/>
      <c r="K675" s="47"/>
    </row>
    <row r="676" spans="2:18" s="40" customFormat="1" x14ac:dyDescent="0.25">
      <c r="B676" s="40" t="s">
        <v>422</v>
      </c>
      <c r="D676" s="49">
        <f>SUM(D673:D675)</f>
        <v>2311</v>
      </c>
      <c r="E676" s="49">
        <f>SUM(E673:E675)</f>
        <v>9968</v>
      </c>
    </row>
    <row r="677" spans="2:18" s="40" customFormat="1" x14ac:dyDescent="0.25">
      <c r="D677" s="49"/>
      <c r="E677" s="49"/>
    </row>
    <row r="678" spans="2:18" s="40" customFormat="1" x14ac:dyDescent="0.25">
      <c r="B678" s="102" t="s">
        <v>476</v>
      </c>
      <c r="C678" s="102"/>
      <c r="D678" s="102"/>
      <c r="E678" s="102"/>
      <c r="F678" s="102"/>
      <c r="G678" s="102"/>
      <c r="H678" s="102"/>
      <c r="I678" s="102"/>
      <c r="J678" s="102"/>
      <c r="K678" s="102"/>
      <c r="L678" s="102"/>
      <c r="M678" s="102"/>
      <c r="N678" s="102"/>
      <c r="O678" s="102"/>
      <c r="P678" s="102"/>
      <c r="Q678" s="102"/>
      <c r="R678" s="102"/>
    </row>
    <row r="679" spans="2:18" s="40" customFormat="1" x14ac:dyDescent="0.25">
      <c r="D679" s="49"/>
      <c r="E679" s="49"/>
    </row>
    <row r="680" spans="2:18" s="40" customFormat="1" ht="15.75" thickBot="1" x14ac:dyDescent="0.3">
      <c r="B680" s="40" t="s">
        <v>475</v>
      </c>
      <c r="D680" s="56">
        <v>44374</v>
      </c>
      <c r="E680" s="56">
        <v>44010</v>
      </c>
      <c r="F680" s="56">
        <v>43646</v>
      </c>
      <c r="G680" s="56">
        <v>43282</v>
      </c>
      <c r="H680" s="56">
        <v>42918</v>
      </c>
      <c r="I680" s="56">
        <v>42577</v>
      </c>
      <c r="J680" s="56">
        <v>42213</v>
      </c>
      <c r="K680" s="57"/>
      <c r="L680"/>
      <c r="M680" s="56">
        <v>44556</v>
      </c>
      <c r="N680" s="56">
        <v>44192</v>
      </c>
      <c r="O680" s="56">
        <v>43828</v>
      </c>
      <c r="P680" s="56">
        <v>43464</v>
      </c>
      <c r="Q680" s="56">
        <v>43100</v>
      </c>
      <c r="R680" s="56">
        <v>42729</v>
      </c>
    </row>
    <row r="681" spans="2:18" s="40" customFormat="1" x14ac:dyDescent="0.25">
      <c r="B681" t="s">
        <v>474</v>
      </c>
      <c r="C681"/>
      <c r="D681" s="47">
        <v>1585</v>
      </c>
      <c r="E681" s="47">
        <v>959</v>
      </c>
      <c r="F681">
        <v>944</v>
      </c>
      <c r="G681" s="47">
        <v>879.80799999999999</v>
      </c>
      <c r="H681" s="47">
        <v>750.62900000000002</v>
      </c>
      <c r="I681" s="47"/>
    </row>
    <row r="682" spans="2:18" s="40" customFormat="1" x14ac:dyDescent="0.25">
      <c r="D682" s="49"/>
      <c r="E682" s="49"/>
    </row>
    <row r="683" spans="2:18" s="40" customFormat="1" x14ac:dyDescent="0.25">
      <c r="B683" s="40" t="s">
        <v>473</v>
      </c>
      <c r="D683" s="49"/>
      <c r="E683" s="49"/>
    </row>
    <row r="684" spans="2:18" s="40" customFormat="1" x14ac:dyDescent="0.25">
      <c r="B684" t="s">
        <v>472</v>
      </c>
      <c r="C684"/>
      <c r="D684" s="47">
        <f>E688</f>
        <v>959</v>
      </c>
      <c r="E684" s="47">
        <v>944</v>
      </c>
      <c r="F684" s="47">
        <f>G688</f>
        <v>879.80799999999999</v>
      </c>
      <c r="G684" s="47">
        <f>H688</f>
        <v>750.62900000000002</v>
      </c>
      <c r="H684" s="47">
        <v>464.48599999999999</v>
      </c>
      <c r="I684" s="47"/>
      <c r="J684" s="47"/>
      <c r="K684" s="47"/>
      <c r="L684" s="47"/>
      <c r="M684" s="47"/>
      <c r="N684" s="47"/>
      <c r="O684" s="47"/>
      <c r="P684" s="47"/>
      <c r="Q684" s="47"/>
      <c r="R684" s="47"/>
    </row>
    <row r="685" spans="2:18" s="40" customFormat="1" x14ac:dyDescent="0.25">
      <c r="B685" t="s">
        <v>471</v>
      </c>
      <c r="C685"/>
      <c r="D685" s="47"/>
      <c r="E685" s="47">
        <v>-15</v>
      </c>
      <c r="F685" s="47">
        <v>-25</v>
      </c>
      <c r="G685" s="47">
        <v>-20.056999999999999</v>
      </c>
      <c r="H685" s="47">
        <v>-8.8569999999999993</v>
      </c>
      <c r="I685" s="47"/>
      <c r="J685" s="47"/>
      <c r="K685" s="47"/>
      <c r="L685" s="47"/>
      <c r="M685" s="47"/>
      <c r="N685" s="47"/>
      <c r="O685" s="47"/>
      <c r="P685" s="47"/>
      <c r="Q685" s="47"/>
      <c r="R685" s="47"/>
    </row>
    <row r="686" spans="2:18" s="40" customFormat="1" x14ac:dyDescent="0.25">
      <c r="B686" t="s">
        <v>470</v>
      </c>
      <c r="C686"/>
      <c r="D686" s="47">
        <v>630</v>
      </c>
      <c r="E686" s="47">
        <v>30</v>
      </c>
      <c r="F686" s="47">
        <v>88</v>
      </c>
      <c r="G686" s="47">
        <v>149.23599999999999</v>
      </c>
      <c r="H686" s="47">
        <v>295</v>
      </c>
      <c r="I686" s="47"/>
      <c r="J686" s="47"/>
      <c r="K686" s="47"/>
      <c r="L686" s="47"/>
      <c r="M686" s="47"/>
      <c r="N686" s="47"/>
      <c r="O686" s="47"/>
      <c r="P686" s="47"/>
      <c r="Q686" s="47"/>
      <c r="R686" s="47"/>
    </row>
    <row r="687" spans="2:18" s="40" customFormat="1" ht="15.75" thickBot="1" x14ac:dyDescent="0.3">
      <c r="B687" t="s">
        <v>469</v>
      </c>
      <c r="C687"/>
      <c r="D687" s="59">
        <v>-4</v>
      </c>
      <c r="E687" s="59"/>
      <c r="F687" s="59">
        <v>1</v>
      </c>
      <c r="G687" s="59"/>
      <c r="H687" s="59"/>
      <c r="I687" s="59"/>
      <c r="J687" s="59"/>
      <c r="K687" s="47"/>
      <c r="L687" s="47"/>
      <c r="M687" s="47"/>
      <c r="N687" s="47"/>
      <c r="O687" s="47"/>
      <c r="P687" s="47"/>
      <c r="Q687" s="47"/>
      <c r="R687" s="47"/>
    </row>
    <row r="688" spans="2:18" s="40" customFormat="1" x14ac:dyDescent="0.25">
      <c r="B688" t="s">
        <v>468</v>
      </c>
      <c r="C688"/>
      <c r="D688" s="47">
        <f>SUM(D684:D687)</f>
        <v>1585</v>
      </c>
      <c r="E688" s="47">
        <f>SUM(E684:E687)</f>
        <v>959</v>
      </c>
      <c r="F688" s="47">
        <f>SUM(F684:F687)</f>
        <v>943.80799999999999</v>
      </c>
      <c r="G688" s="47">
        <f>SUM(G684:G687)</f>
        <v>879.80799999999999</v>
      </c>
      <c r="H688" s="47">
        <f>SUM(H684:H687)</f>
        <v>750.62900000000002</v>
      </c>
      <c r="I688" s="47"/>
      <c r="J688" s="47"/>
      <c r="K688" s="47"/>
      <c r="L688" s="47"/>
      <c r="M688" s="47"/>
      <c r="N688" s="47"/>
      <c r="O688" s="47"/>
      <c r="P688" s="47"/>
      <c r="Q688" s="47"/>
      <c r="R688" s="47"/>
    </row>
    <row r="689" spans="2:18" s="40" customFormat="1" x14ac:dyDescent="0.25">
      <c r="B689"/>
      <c r="C689"/>
      <c r="D689" s="47"/>
      <c r="E689" s="47"/>
      <c r="F689" s="47"/>
      <c r="G689" s="47"/>
      <c r="H689" s="47"/>
      <c r="I689" s="47"/>
      <c r="J689" s="47"/>
      <c r="K689" s="47"/>
      <c r="L689" s="47"/>
      <c r="M689" s="47"/>
      <c r="N689" s="47"/>
      <c r="O689" s="47"/>
      <c r="P689" s="47"/>
      <c r="Q689" s="47"/>
      <c r="R689" s="47"/>
    </row>
    <row r="690" spans="2:18" s="40" customFormat="1" x14ac:dyDescent="0.25">
      <c r="B690" s="102" t="s">
        <v>467</v>
      </c>
      <c r="C690" s="102"/>
      <c r="D690" s="102"/>
      <c r="E690" s="102"/>
      <c r="F690" s="102"/>
      <c r="G690" s="102"/>
      <c r="H690" s="102"/>
      <c r="I690" s="102"/>
      <c r="J690" s="102"/>
      <c r="K690" s="102"/>
      <c r="L690" s="102"/>
      <c r="M690" s="102"/>
      <c r="N690" s="102"/>
      <c r="O690" s="102"/>
      <c r="P690" s="102"/>
      <c r="Q690" s="102"/>
      <c r="R690" s="102"/>
    </row>
    <row r="691" spans="2:18" s="40" customFormat="1" x14ac:dyDescent="0.25">
      <c r="B691"/>
      <c r="C691"/>
      <c r="D691" s="47"/>
      <c r="E691" s="47"/>
      <c r="F691" s="47"/>
      <c r="G691" s="47"/>
      <c r="H691" s="47"/>
      <c r="I691" s="47"/>
      <c r="J691" s="47"/>
      <c r="K691" s="47"/>
      <c r="L691" s="47"/>
      <c r="M691" s="47"/>
      <c r="N691" s="47"/>
      <c r="O691" s="47"/>
      <c r="P691" s="47"/>
      <c r="Q691" s="47"/>
      <c r="R691" s="47"/>
    </row>
    <row r="692" spans="2:18" s="40" customFormat="1" ht="15.75" thickBot="1" x14ac:dyDescent="0.3">
      <c r="B692"/>
      <c r="C692"/>
      <c r="D692" s="56">
        <v>44374</v>
      </c>
      <c r="E692" s="56">
        <v>44010</v>
      </c>
      <c r="F692" s="56">
        <v>43646</v>
      </c>
      <c r="G692" s="56">
        <v>43282</v>
      </c>
      <c r="H692" s="56">
        <v>42918</v>
      </c>
      <c r="I692" s="56">
        <v>42577</v>
      </c>
      <c r="J692" s="56">
        <v>42213</v>
      </c>
      <c r="K692" s="57"/>
      <c r="L692"/>
      <c r="M692" s="56">
        <v>44556</v>
      </c>
      <c r="N692" s="56">
        <v>44192</v>
      </c>
      <c r="O692" s="56">
        <v>43828</v>
      </c>
      <c r="P692" s="56">
        <v>43464</v>
      </c>
      <c r="Q692" s="56">
        <v>43100</v>
      </c>
      <c r="R692" s="56">
        <v>42729</v>
      </c>
    </row>
    <row r="693" spans="2:18" s="40" customFormat="1" x14ac:dyDescent="0.25">
      <c r="B693" t="s">
        <v>466</v>
      </c>
      <c r="C693"/>
      <c r="D693" s="47">
        <v>232</v>
      </c>
      <c r="E693" s="47">
        <v>151</v>
      </c>
      <c r="F693">
        <v>202</v>
      </c>
      <c r="G693" s="47">
        <v>182.92</v>
      </c>
      <c r="H693" s="47">
        <v>183.91399999999999</v>
      </c>
      <c r="I693" s="47"/>
      <c r="J693" s="47"/>
      <c r="K693" s="47"/>
      <c r="L693" s="47"/>
      <c r="M693" s="47"/>
      <c r="N693" s="47"/>
      <c r="O693" s="47"/>
      <c r="P693" s="47"/>
      <c r="Q693" s="47"/>
      <c r="R693" s="47"/>
    </row>
    <row r="694" spans="2:18" s="40" customFormat="1" x14ac:dyDescent="0.25">
      <c r="B694" t="s">
        <v>465</v>
      </c>
      <c r="C694"/>
      <c r="D694" s="65">
        <v>2</v>
      </c>
      <c r="E694" s="65">
        <v>2</v>
      </c>
      <c r="F694" s="65">
        <v>9</v>
      </c>
      <c r="G694" s="65">
        <v>16.2</v>
      </c>
      <c r="H694" s="65">
        <v>16</v>
      </c>
      <c r="I694" s="47"/>
      <c r="J694" s="47"/>
      <c r="K694" s="47"/>
      <c r="L694" s="47"/>
      <c r="M694" s="47"/>
      <c r="N694" s="47"/>
      <c r="O694" s="47"/>
      <c r="P694" s="47"/>
      <c r="Q694" s="47"/>
      <c r="R694" s="47"/>
    </row>
    <row r="695" spans="2:18" s="40" customFormat="1" x14ac:dyDescent="0.25">
      <c r="B695"/>
      <c r="C695"/>
      <c r="D695" s="47"/>
      <c r="E695" s="47"/>
      <c r="F695" s="47"/>
      <c r="G695" s="47"/>
      <c r="H695" s="47"/>
      <c r="I695" s="47"/>
      <c r="J695" s="47"/>
      <c r="K695" s="47"/>
      <c r="L695" s="47"/>
      <c r="M695" s="47"/>
      <c r="N695" s="47"/>
      <c r="O695" s="47"/>
      <c r="P695" s="47"/>
      <c r="Q695" s="47"/>
      <c r="R695" s="47"/>
    </row>
    <row r="696" spans="2:18" x14ac:dyDescent="0.25">
      <c r="E696" s="47"/>
    </row>
    <row r="697" spans="2:18" x14ac:dyDescent="0.25">
      <c r="B697" s="102" t="s">
        <v>464</v>
      </c>
      <c r="C697" s="102"/>
      <c r="D697" s="102"/>
      <c r="E697" s="102"/>
      <c r="F697" s="102"/>
      <c r="G697" s="102"/>
      <c r="H697" s="102"/>
      <c r="I697" s="102"/>
      <c r="J697" s="102"/>
      <c r="K697" s="102"/>
      <c r="L697" s="102"/>
      <c r="M697" s="102"/>
      <c r="N697" s="102"/>
      <c r="O697" s="102"/>
      <c r="P697" s="102"/>
      <c r="Q697" s="102"/>
      <c r="R697" s="102"/>
    </row>
    <row r="698" spans="2:18" x14ac:dyDescent="0.25">
      <c r="E698" s="47"/>
    </row>
    <row r="699" spans="2:18" ht="15.75" thickBot="1" x14ac:dyDescent="0.3">
      <c r="D699" s="56">
        <v>44374</v>
      </c>
    </row>
    <row r="700" spans="2:18" x14ac:dyDescent="0.25">
      <c r="B700" t="s">
        <v>463</v>
      </c>
      <c r="D700" s="63">
        <v>0.3</v>
      </c>
      <c r="E700" s="47"/>
    </row>
    <row r="701" spans="2:18" x14ac:dyDescent="0.25">
      <c r="B701" t="s">
        <v>462</v>
      </c>
      <c r="D701" s="55">
        <v>0.34499999999999997</v>
      </c>
      <c r="E701" s="47"/>
    </row>
    <row r="702" spans="2:18" x14ac:dyDescent="0.25">
      <c r="B702" t="s">
        <v>461</v>
      </c>
      <c r="D702" s="63">
        <v>0.32</v>
      </c>
      <c r="E702" s="47"/>
    </row>
    <row r="703" spans="2:18" x14ac:dyDescent="0.25">
      <c r="B703" t="s">
        <v>460</v>
      </c>
      <c r="D703" s="55">
        <v>0.46989999999999998</v>
      </c>
      <c r="E703" s="47"/>
    </row>
    <row r="704" spans="2:18" x14ac:dyDescent="0.25">
      <c r="B704" s="64">
        <v>44364</v>
      </c>
      <c r="C704" s="64"/>
      <c r="D704" s="63">
        <v>1</v>
      </c>
      <c r="E704" s="47"/>
    </row>
    <row r="705" spans="2:11" x14ac:dyDescent="0.25">
      <c r="E705" s="47"/>
    </row>
    <row r="706" spans="2:11" x14ac:dyDescent="0.25">
      <c r="B706" s="64">
        <v>44011</v>
      </c>
      <c r="C706" s="64"/>
      <c r="E706" s="47"/>
    </row>
    <row r="707" spans="2:11" x14ac:dyDescent="0.25">
      <c r="B707" s="64" t="s">
        <v>459</v>
      </c>
      <c r="C707" s="64"/>
      <c r="D707">
        <v>300</v>
      </c>
      <c r="E707" s="47"/>
    </row>
    <row r="708" spans="2:11" ht="15.75" thickBot="1" x14ac:dyDescent="0.3">
      <c r="B708" t="s">
        <v>458</v>
      </c>
      <c r="D708" s="58">
        <v>-46</v>
      </c>
      <c r="E708" s="47"/>
    </row>
    <row r="709" spans="2:11" x14ac:dyDescent="0.25">
      <c r="B709" t="s">
        <v>457</v>
      </c>
      <c r="D709" s="40">
        <f>SUM(D707:D708)</f>
        <v>254</v>
      </c>
      <c r="E709" s="47"/>
    </row>
    <row r="710" spans="2:11" x14ac:dyDescent="0.25">
      <c r="B710" s="64">
        <v>44374</v>
      </c>
      <c r="C710" s="64"/>
      <c r="E710" s="47"/>
    </row>
    <row r="711" spans="2:11" x14ac:dyDescent="0.25">
      <c r="E711" s="47"/>
    </row>
    <row r="712" spans="2:11" x14ac:dyDescent="0.25">
      <c r="B712" s="40" t="s">
        <v>456</v>
      </c>
      <c r="E712" s="47"/>
    </row>
    <row r="713" spans="2:11" x14ac:dyDescent="0.25">
      <c r="B713" t="s">
        <v>455</v>
      </c>
      <c r="D713" s="63">
        <v>0.2</v>
      </c>
      <c r="E713" s="47"/>
    </row>
    <row r="714" spans="2:11" x14ac:dyDescent="0.25">
      <c r="D714" s="63"/>
      <c r="E714" s="47"/>
    </row>
    <row r="715" spans="2:11" ht="15.75" thickBot="1" x14ac:dyDescent="0.3">
      <c r="B715" s="40" t="s">
        <v>454</v>
      </c>
      <c r="C715" s="40"/>
      <c r="D715" s="62" t="s">
        <v>453</v>
      </c>
      <c r="E715" s="61" t="s">
        <v>452</v>
      </c>
    </row>
    <row r="716" spans="2:11" x14ac:dyDescent="0.25">
      <c r="B716" t="s">
        <v>439</v>
      </c>
      <c r="D716" s="47">
        <v>14</v>
      </c>
      <c r="E716" s="47">
        <v>14</v>
      </c>
      <c r="F716" s="47"/>
      <c r="G716" s="47"/>
      <c r="H716" s="47"/>
      <c r="I716" s="47"/>
      <c r="J716" s="47"/>
      <c r="K716" s="47"/>
    </row>
    <row r="717" spans="2:11" x14ac:dyDescent="0.25">
      <c r="B717" t="s">
        <v>451</v>
      </c>
      <c r="D717" s="47">
        <v>206</v>
      </c>
      <c r="E717" s="47">
        <v>204</v>
      </c>
      <c r="F717" s="47"/>
      <c r="G717" s="47"/>
      <c r="H717" s="47"/>
      <c r="I717" s="47"/>
      <c r="J717" s="47"/>
      <c r="K717" s="47"/>
    </row>
    <row r="718" spans="2:11" ht="15.75" thickBot="1" x14ac:dyDescent="0.3">
      <c r="B718" t="s">
        <v>450</v>
      </c>
      <c r="D718" s="50">
        <v>563</v>
      </c>
      <c r="E718" s="50">
        <v>544</v>
      </c>
      <c r="F718" s="47"/>
      <c r="G718" s="47"/>
      <c r="H718" s="47"/>
      <c r="I718" s="47"/>
      <c r="J718" s="47"/>
      <c r="K718" s="47"/>
    </row>
    <row r="719" spans="2:11" x14ac:dyDescent="0.25">
      <c r="B719" t="s">
        <v>449</v>
      </c>
      <c r="D719" s="47">
        <f>SUM(D716:D718)</f>
        <v>783</v>
      </c>
      <c r="E719" s="47">
        <f>SUM(E716:E718)</f>
        <v>762</v>
      </c>
      <c r="F719" s="47"/>
      <c r="G719" s="47"/>
      <c r="H719" s="47"/>
      <c r="I719" s="47"/>
      <c r="J719" s="47"/>
      <c r="K719" s="47"/>
    </row>
    <row r="720" spans="2:11" x14ac:dyDescent="0.25">
      <c r="D720" s="47"/>
      <c r="E720" s="47"/>
      <c r="F720" s="47"/>
      <c r="G720" s="47"/>
      <c r="H720" s="47"/>
      <c r="I720" s="47"/>
      <c r="J720" s="47"/>
      <c r="K720" s="47"/>
    </row>
    <row r="721" spans="2:18" x14ac:dyDescent="0.25">
      <c r="B721" t="s">
        <v>448</v>
      </c>
      <c r="D721" s="47">
        <v>839</v>
      </c>
      <c r="E721" s="47">
        <v>839</v>
      </c>
      <c r="F721" s="47"/>
      <c r="G721" s="47"/>
      <c r="H721" s="47"/>
      <c r="I721" s="47"/>
      <c r="J721" s="47"/>
      <c r="K721" s="47"/>
    </row>
    <row r="722" spans="2:18" ht="15.75" thickBot="1" x14ac:dyDescent="0.3">
      <c r="B722" t="s">
        <v>447</v>
      </c>
      <c r="D722" s="50">
        <v>329</v>
      </c>
      <c r="E722" s="50">
        <v>348</v>
      </c>
      <c r="F722" s="47"/>
      <c r="G722" s="47"/>
      <c r="H722" s="47"/>
      <c r="I722" s="47"/>
      <c r="J722" s="47"/>
      <c r="K722" s="47"/>
    </row>
    <row r="723" spans="2:18" x14ac:dyDescent="0.25">
      <c r="B723" t="s">
        <v>446</v>
      </c>
      <c r="D723" s="47">
        <f>SUM(D721:D722)</f>
        <v>1168</v>
      </c>
      <c r="E723" s="47">
        <f>SUM(E721:E722)</f>
        <v>1187</v>
      </c>
      <c r="F723" s="47"/>
      <c r="G723" s="47"/>
      <c r="H723" s="47"/>
      <c r="I723" s="47"/>
      <c r="J723" s="47"/>
      <c r="K723" s="47"/>
    </row>
    <row r="724" spans="2:18" ht="15.75" thickBot="1" x14ac:dyDescent="0.3">
      <c r="D724" s="50"/>
      <c r="E724" s="50"/>
      <c r="F724" s="47"/>
      <c r="G724" s="47"/>
      <c r="H724" s="47"/>
      <c r="I724" s="47"/>
      <c r="J724" s="47"/>
      <c r="K724" s="47"/>
    </row>
    <row r="725" spans="2:18" s="40" customFormat="1" x14ac:dyDescent="0.25">
      <c r="B725" s="40" t="s">
        <v>445</v>
      </c>
      <c r="D725" s="49"/>
      <c r="E725" s="49">
        <f>E723-E719</f>
        <v>425</v>
      </c>
      <c r="F725" s="49"/>
      <c r="G725" s="49"/>
      <c r="H725" s="49"/>
      <c r="I725" s="49"/>
      <c r="J725" s="49"/>
      <c r="K725" s="49"/>
    </row>
    <row r="726" spans="2:18" s="40" customFormat="1" x14ac:dyDescent="0.25">
      <c r="D726" s="49"/>
      <c r="E726" s="49"/>
      <c r="F726" s="49"/>
      <c r="G726" s="49"/>
      <c r="H726" s="49"/>
      <c r="I726" s="49"/>
      <c r="J726" s="49"/>
      <c r="K726" s="49"/>
    </row>
    <row r="727" spans="2:18" s="40" customFormat="1" x14ac:dyDescent="0.25">
      <c r="B727" s="102" t="s">
        <v>444</v>
      </c>
      <c r="C727" s="102"/>
      <c r="D727" s="102"/>
      <c r="E727" s="102"/>
      <c r="F727" s="102"/>
      <c r="G727" s="102"/>
      <c r="H727" s="102"/>
      <c r="I727" s="102"/>
      <c r="J727" s="102"/>
      <c r="K727" s="102"/>
      <c r="L727" s="102"/>
      <c r="M727" s="102"/>
      <c r="N727" s="102"/>
      <c r="O727" s="102"/>
      <c r="P727" s="102"/>
      <c r="Q727" s="102"/>
      <c r="R727" s="102"/>
    </row>
    <row r="728" spans="2:18" s="40" customFormat="1" x14ac:dyDescent="0.25">
      <c r="D728" s="49"/>
      <c r="E728" s="49"/>
      <c r="F728" s="49"/>
      <c r="G728" s="49"/>
      <c r="H728" s="49"/>
      <c r="I728" s="49"/>
      <c r="J728" s="49"/>
      <c r="K728" s="49"/>
    </row>
    <row r="729" spans="2:18" s="40" customFormat="1" ht="15.75" thickBot="1" x14ac:dyDescent="0.3">
      <c r="D729" s="56">
        <v>44374</v>
      </c>
      <c r="E729" s="56">
        <v>44010</v>
      </c>
      <c r="F729" s="56">
        <v>43646</v>
      </c>
      <c r="G729" s="56">
        <v>43282</v>
      </c>
      <c r="H729" s="56">
        <v>42918</v>
      </c>
      <c r="I729" s="49"/>
      <c r="J729" s="49"/>
      <c r="K729" s="49"/>
    </row>
    <row r="730" spans="2:18" s="40" customFormat="1" x14ac:dyDescent="0.25">
      <c r="B730" t="s">
        <v>443</v>
      </c>
      <c r="C730"/>
      <c r="D730" s="47">
        <v>3655</v>
      </c>
      <c r="E730" s="47">
        <v>1817</v>
      </c>
      <c r="F730" s="47">
        <v>906</v>
      </c>
      <c r="G730" s="47"/>
      <c r="H730" s="47"/>
      <c r="I730" s="49"/>
      <c r="J730" s="49"/>
      <c r="K730" s="49"/>
    </row>
    <row r="731" spans="2:18" s="40" customFormat="1" x14ac:dyDescent="0.25">
      <c r="B731" t="s">
        <v>442</v>
      </c>
      <c r="C731"/>
      <c r="D731" s="47">
        <v>9193</v>
      </c>
      <c r="E731" s="47">
        <v>2781</v>
      </c>
      <c r="F731" s="47">
        <v>963</v>
      </c>
      <c r="G731" s="47"/>
      <c r="H731" s="47"/>
      <c r="I731" s="49"/>
      <c r="J731" s="49"/>
      <c r="K731" s="49"/>
    </row>
    <row r="732" spans="2:18" s="40" customFormat="1" x14ac:dyDescent="0.25">
      <c r="B732" t="s">
        <v>441</v>
      </c>
      <c r="C732"/>
      <c r="D732" s="47">
        <v>-3601</v>
      </c>
      <c r="E732" s="47">
        <v>-2580</v>
      </c>
      <c r="F732" s="47">
        <v>-470</v>
      </c>
      <c r="G732" s="47"/>
      <c r="H732" s="47"/>
      <c r="I732" s="49"/>
      <c r="J732" s="49"/>
      <c r="K732" s="49"/>
    </row>
    <row r="733" spans="2:18" s="40" customFormat="1" x14ac:dyDescent="0.25">
      <c r="B733" t="s">
        <v>440</v>
      </c>
      <c r="C733"/>
      <c r="D733" s="47">
        <v>-16879</v>
      </c>
      <c r="E733" s="47">
        <v>-5414</v>
      </c>
      <c r="F733" s="47">
        <v>-2515</v>
      </c>
      <c r="G733" s="47"/>
      <c r="H733" s="47"/>
      <c r="I733" s="49"/>
      <c r="J733" s="49"/>
      <c r="K733" s="49"/>
    </row>
    <row r="734" spans="2:18" s="40" customFormat="1" x14ac:dyDescent="0.25">
      <c r="D734" s="47"/>
      <c r="E734" s="47"/>
      <c r="F734" s="47"/>
      <c r="G734" s="47"/>
      <c r="H734" s="47"/>
      <c r="I734" s="49"/>
      <c r="J734" s="49"/>
      <c r="K734" s="49"/>
    </row>
    <row r="735" spans="2:18" s="40" customFormat="1" x14ac:dyDescent="0.25">
      <c r="B735" t="s">
        <v>439</v>
      </c>
      <c r="C735"/>
      <c r="D735" s="47">
        <v>318</v>
      </c>
      <c r="E735" s="47">
        <v>75</v>
      </c>
      <c r="F735" s="47">
        <v>200</v>
      </c>
      <c r="G735" s="47"/>
      <c r="H735" s="47"/>
      <c r="I735" s="49"/>
      <c r="J735" s="49"/>
      <c r="K735" s="49"/>
    </row>
    <row r="736" spans="2:18" s="40" customFormat="1" x14ac:dyDescent="0.25">
      <c r="B736" t="s">
        <v>438</v>
      </c>
      <c r="C736"/>
      <c r="D736" s="47">
        <v>8844</v>
      </c>
      <c r="E736" s="47">
        <v>2610</v>
      </c>
      <c r="F736" s="47">
        <v>1435</v>
      </c>
      <c r="G736" s="47"/>
      <c r="H736" s="47"/>
      <c r="I736" s="49"/>
      <c r="J736" s="49"/>
      <c r="K736" s="49"/>
    </row>
    <row r="737" spans="2:18" s="40" customFormat="1" x14ac:dyDescent="0.25">
      <c r="B737" t="s">
        <v>437</v>
      </c>
      <c r="C737"/>
      <c r="D737" s="47">
        <v>-4988</v>
      </c>
      <c r="E737" s="47">
        <v>-2007</v>
      </c>
      <c r="F737" s="47">
        <v>-1069</v>
      </c>
      <c r="G737" s="47"/>
      <c r="H737" s="47"/>
      <c r="I737" s="49"/>
      <c r="J737" s="49"/>
      <c r="K737" s="49"/>
    </row>
    <row r="738" spans="2:18" s="40" customFormat="1" x14ac:dyDescent="0.25">
      <c r="D738" s="47"/>
      <c r="E738" s="47"/>
      <c r="F738" s="47"/>
      <c r="G738" s="47"/>
      <c r="H738" s="47"/>
      <c r="I738" s="49"/>
      <c r="J738" s="49"/>
      <c r="K738" s="49"/>
    </row>
    <row r="739" spans="2:18" s="40" customFormat="1" x14ac:dyDescent="0.25">
      <c r="B739" t="s">
        <v>436</v>
      </c>
      <c r="C739"/>
      <c r="D739" s="47">
        <v>-1147</v>
      </c>
      <c r="E739" s="47"/>
      <c r="F739" s="47">
        <v>-98</v>
      </c>
      <c r="G739" s="47"/>
      <c r="H739" s="47"/>
      <c r="I739" s="49"/>
      <c r="J739" s="49"/>
      <c r="K739" s="49"/>
    </row>
    <row r="740" spans="2:18" s="40" customFormat="1" x14ac:dyDescent="0.25">
      <c r="D740" s="47"/>
      <c r="E740" s="47"/>
      <c r="F740" s="47"/>
      <c r="G740" s="47"/>
      <c r="H740" s="47"/>
      <c r="I740" s="49"/>
      <c r="J740" s="49"/>
      <c r="K740" s="49"/>
    </row>
    <row r="741" spans="2:18" s="40" customFormat="1" x14ac:dyDescent="0.25">
      <c r="B741" t="s">
        <v>435</v>
      </c>
      <c r="C741"/>
      <c r="D741" s="47">
        <v>2</v>
      </c>
      <c r="E741" s="47"/>
      <c r="F741" s="47"/>
      <c r="G741" s="47"/>
      <c r="H741" s="47"/>
      <c r="I741" s="49"/>
      <c r="J741" s="49"/>
      <c r="K741" s="49"/>
    </row>
    <row r="742" spans="2:18" s="40" customFormat="1" x14ac:dyDescent="0.25">
      <c r="B742" t="s">
        <v>434</v>
      </c>
      <c r="C742"/>
      <c r="D742" s="47">
        <v>-272</v>
      </c>
      <c r="E742" s="47">
        <v>-105</v>
      </c>
      <c r="F742" s="47">
        <v>-28</v>
      </c>
      <c r="G742" s="47"/>
      <c r="H742" s="47"/>
      <c r="I742" s="49"/>
      <c r="J742" s="49"/>
      <c r="K742" s="49"/>
    </row>
    <row r="743" spans="2:18" s="40" customFormat="1" x14ac:dyDescent="0.25">
      <c r="B743" t="s">
        <v>433</v>
      </c>
      <c r="C743"/>
      <c r="D743" s="47">
        <v>-294</v>
      </c>
      <c r="E743" s="47"/>
      <c r="F743" s="47"/>
      <c r="G743" s="47"/>
      <c r="H743" s="47"/>
      <c r="I743" s="49"/>
      <c r="J743" s="49"/>
      <c r="K743" s="49"/>
    </row>
    <row r="744" spans="2:18" s="40" customFormat="1" x14ac:dyDescent="0.25">
      <c r="D744" s="47"/>
      <c r="E744" s="47"/>
      <c r="F744" s="47"/>
      <c r="G744" s="47"/>
      <c r="H744" s="47"/>
      <c r="I744" s="49"/>
      <c r="J744" s="49"/>
      <c r="K744" s="49"/>
    </row>
    <row r="745" spans="2:18" x14ac:dyDescent="0.25">
      <c r="B745" s="102" t="s">
        <v>432</v>
      </c>
      <c r="C745" s="102"/>
      <c r="D745" s="102"/>
      <c r="E745" s="102"/>
      <c r="F745" s="102"/>
      <c r="G745" s="102"/>
      <c r="H745" s="102"/>
      <c r="I745" s="102"/>
      <c r="J745" s="102"/>
      <c r="K745" s="102"/>
      <c r="L745" s="102"/>
      <c r="M745" s="102"/>
      <c r="N745" s="102"/>
      <c r="O745" s="102"/>
      <c r="P745" s="102"/>
      <c r="Q745" s="102"/>
      <c r="R745" s="102"/>
    </row>
    <row r="748" spans="2:18" ht="15.75" thickBot="1" x14ac:dyDescent="0.3">
      <c r="B748" t="s">
        <v>420</v>
      </c>
      <c r="D748" s="56">
        <v>44374</v>
      </c>
      <c r="E748" s="56">
        <v>44010</v>
      </c>
      <c r="F748" s="56">
        <v>43646</v>
      </c>
      <c r="G748" s="56">
        <v>43282</v>
      </c>
      <c r="H748" s="56">
        <v>42918</v>
      </c>
      <c r="I748" s="56">
        <v>42577</v>
      </c>
      <c r="J748" s="56">
        <v>42213</v>
      </c>
      <c r="K748" s="57"/>
      <c r="M748" s="56">
        <v>44556</v>
      </c>
      <c r="N748" s="56">
        <v>44192</v>
      </c>
      <c r="O748" s="56">
        <v>43828</v>
      </c>
      <c r="P748" s="56">
        <v>43464</v>
      </c>
      <c r="Q748" s="56">
        <v>43100</v>
      </c>
      <c r="R748" s="56">
        <v>42729</v>
      </c>
    </row>
    <row r="749" spans="2:18" x14ac:dyDescent="0.25">
      <c r="B749" t="s">
        <v>429</v>
      </c>
      <c r="D749" s="47">
        <v>237000</v>
      </c>
      <c r="E749" s="47">
        <v>235000</v>
      </c>
      <c r="F749" s="47">
        <v>235000</v>
      </c>
      <c r="G749" s="47">
        <v>235000</v>
      </c>
      <c r="H749" s="47">
        <v>235000</v>
      </c>
      <c r="I749" s="47"/>
      <c r="J749" s="47"/>
      <c r="K749" s="47"/>
      <c r="L749" s="47"/>
      <c r="M749" s="47"/>
      <c r="N749" s="47"/>
    </row>
    <row r="750" spans="2:18" x14ac:dyDescent="0.25">
      <c r="B750" t="s">
        <v>428</v>
      </c>
      <c r="E750" s="60"/>
      <c r="F750" s="60"/>
      <c r="G750" s="47"/>
      <c r="H750" s="47">
        <v>70500</v>
      </c>
      <c r="I750" s="47"/>
      <c r="J750" s="47"/>
      <c r="K750" s="47"/>
      <c r="L750" s="47"/>
      <c r="M750" s="47"/>
      <c r="N750" s="47"/>
    </row>
    <row r="751" spans="2:18" ht="15.75" thickBot="1" x14ac:dyDescent="0.3">
      <c r="B751" t="s">
        <v>426</v>
      </c>
      <c r="D751" s="59">
        <v>10110</v>
      </c>
      <c r="E751" s="59">
        <v>10095</v>
      </c>
      <c r="F751" s="59">
        <v>8288</v>
      </c>
      <c r="G751" s="59">
        <v>5937</v>
      </c>
      <c r="H751" s="59">
        <v>5350</v>
      </c>
      <c r="I751" s="59"/>
      <c r="J751" s="59"/>
      <c r="K751" s="47"/>
      <c r="L751" s="47"/>
      <c r="M751" s="47"/>
      <c r="N751" s="47"/>
    </row>
    <row r="752" spans="2:18" s="40" customFormat="1" x14ac:dyDescent="0.25">
      <c r="B752" s="40" t="s">
        <v>422</v>
      </c>
      <c r="D752" s="49">
        <f>SUM(D751+D749)</f>
        <v>247110</v>
      </c>
      <c r="E752" s="49">
        <f>SUM(E751+E749)</f>
        <v>245095</v>
      </c>
      <c r="F752" s="49">
        <f>SUM(F751+F749)</f>
        <v>243288</v>
      </c>
      <c r="G752" s="49">
        <f>SUM(G751+G749)</f>
        <v>240937</v>
      </c>
      <c r="H752" s="49">
        <f>SUM(H749:H751)</f>
        <v>310850</v>
      </c>
      <c r="I752" s="49"/>
      <c r="J752" s="49"/>
      <c r="K752" s="49"/>
      <c r="L752" s="49"/>
      <c r="M752" s="49"/>
      <c r="N752" s="49"/>
    </row>
    <row r="753" spans="2:14" x14ac:dyDescent="0.25">
      <c r="E753" s="47"/>
      <c r="F753" s="47"/>
      <c r="G753" s="47"/>
      <c r="H753" s="47"/>
      <c r="I753" s="47"/>
      <c r="J753" s="47"/>
      <c r="K753" s="47"/>
      <c r="L753" s="47"/>
      <c r="M753" s="47"/>
      <c r="N753" s="47"/>
    </row>
    <row r="754" spans="2:14" x14ac:dyDescent="0.25">
      <c r="B754" t="s">
        <v>419</v>
      </c>
      <c r="G754" s="47"/>
      <c r="H754" s="47"/>
      <c r="I754" s="47"/>
      <c r="J754" s="47"/>
      <c r="K754" s="47"/>
      <c r="L754" s="47"/>
      <c r="M754" s="47"/>
      <c r="N754" s="47"/>
    </row>
    <row r="755" spans="2:14" x14ac:dyDescent="0.25">
      <c r="B755" t="s">
        <v>429</v>
      </c>
      <c r="D755" s="47">
        <v>217000</v>
      </c>
      <c r="E755" s="47">
        <v>216500</v>
      </c>
      <c r="F755" s="47">
        <v>215000</v>
      </c>
      <c r="G755" s="47">
        <v>215000</v>
      </c>
      <c r="H755" s="47">
        <v>215000</v>
      </c>
      <c r="I755" s="47"/>
      <c r="J755" s="47"/>
      <c r="K755" s="47"/>
      <c r="L755" s="47"/>
      <c r="M755" s="47"/>
      <c r="N755" s="47"/>
    </row>
    <row r="756" spans="2:14" x14ac:dyDescent="0.25">
      <c r="B756" t="s">
        <v>428</v>
      </c>
      <c r="E756" s="60"/>
      <c r="F756" s="60"/>
      <c r="G756" s="47"/>
      <c r="H756" s="47">
        <v>64500</v>
      </c>
      <c r="I756" s="47"/>
      <c r="J756" s="47"/>
      <c r="K756" s="47"/>
      <c r="L756" s="47"/>
      <c r="M756" s="47"/>
      <c r="N756" s="47"/>
    </row>
    <row r="757" spans="2:14" ht="15.75" thickBot="1" x14ac:dyDescent="0.3">
      <c r="B757" t="s">
        <v>426</v>
      </c>
      <c r="D757" s="59">
        <v>9510</v>
      </c>
      <c r="E757" s="59">
        <v>9495</v>
      </c>
      <c r="F757" s="59">
        <v>7837</v>
      </c>
      <c r="G757" s="59">
        <v>5688</v>
      </c>
      <c r="H757" s="59">
        <v>4792</v>
      </c>
      <c r="I757" s="59"/>
      <c r="J757" s="59"/>
      <c r="K757" s="47"/>
      <c r="L757" s="47"/>
      <c r="M757" s="47"/>
      <c r="N757" s="47"/>
    </row>
    <row r="758" spans="2:14" x14ac:dyDescent="0.25">
      <c r="B758" t="s">
        <v>422</v>
      </c>
      <c r="D758" s="49">
        <f>SUM(D757+D755)</f>
        <v>226510</v>
      </c>
      <c r="E758" s="49">
        <f>SUM(E757+E755)</f>
        <v>225995</v>
      </c>
      <c r="F758" s="49">
        <f>SUM(F757+F755)</f>
        <v>222837</v>
      </c>
      <c r="G758" s="49">
        <f>SUM(G757+G755)</f>
        <v>220688</v>
      </c>
      <c r="H758" s="49">
        <f>SUM(H755:H757)</f>
        <v>284292</v>
      </c>
      <c r="I758" s="47"/>
      <c r="J758" s="47"/>
      <c r="K758" s="47"/>
      <c r="L758" s="47"/>
      <c r="M758" s="47"/>
      <c r="N758" s="47"/>
    </row>
    <row r="759" spans="2:14" x14ac:dyDescent="0.25">
      <c r="E759" s="47"/>
      <c r="F759" s="47"/>
      <c r="G759" s="47"/>
      <c r="H759" s="47"/>
      <c r="I759" s="47"/>
      <c r="J759" s="47"/>
      <c r="K759" s="47"/>
      <c r="L759" s="47"/>
      <c r="M759" s="47"/>
      <c r="N759" s="47"/>
    </row>
    <row r="760" spans="2:14" x14ac:dyDescent="0.25">
      <c r="B760" t="s">
        <v>431</v>
      </c>
      <c r="E760" s="47"/>
      <c r="F760" s="47"/>
      <c r="G760" s="47"/>
      <c r="H760" s="47"/>
      <c r="I760" s="47"/>
      <c r="J760" s="47"/>
      <c r="K760" s="47"/>
      <c r="L760" s="47"/>
      <c r="M760" s="47"/>
      <c r="N760" s="47"/>
    </row>
    <row r="761" spans="2:14" x14ac:dyDescent="0.25">
      <c r="B761" t="s">
        <v>429</v>
      </c>
      <c r="D761" s="47">
        <v>217000</v>
      </c>
      <c r="E761" s="47">
        <v>216500</v>
      </c>
      <c r="F761" s="47">
        <v>215000</v>
      </c>
      <c r="G761" s="47">
        <v>215000</v>
      </c>
      <c r="H761" s="47">
        <v>215000</v>
      </c>
      <c r="I761" s="47"/>
      <c r="J761" s="47"/>
      <c r="K761" s="47"/>
      <c r="L761" s="47"/>
      <c r="M761" s="47"/>
      <c r="N761" s="47"/>
    </row>
    <row r="762" spans="2:14" x14ac:dyDescent="0.25">
      <c r="B762" t="s">
        <v>428</v>
      </c>
      <c r="E762" s="60" t="s">
        <v>427</v>
      </c>
      <c r="F762" s="60">
        <v>86000</v>
      </c>
      <c r="G762" s="47">
        <v>17200</v>
      </c>
      <c r="H762" s="47">
        <v>64500</v>
      </c>
      <c r="I762" s="47"/>
      <c r="J762" s="47"/>
      <c r="K762" s="47"/>
      <c r="L762" s="47"/>
      <c r="M762" s="47"/>
      <c r="N762" s="47"/>
    </row>
    <row r="763" spans="2:14" ht="15.75" thickBot="1" x14ac:dyDescent="0.3">
      <c r="B763" t="s">
        <v>426</v>
      </c>
      <c r="D763" s="59">
        <v>6510</v>
      </c>
      <c r="E763" s="59">
        <v>6495</v>
      </c>
      <c r="F763" s="59">
        <v>4837</v>
      </c>
      <c r="G763" s="59">
        <v>2688</v>
      </c>
      <c r="H763" s="59">
        <v>2150</v>
      </c>
      <c r="I763" s="59"/>
      <c r="J763" s="59"/>
      <c r="K763" s="47"/>
      <c r="L763" s="47"/>
      <c r="M763" s="47"/>
      <c r="N763" s="47"/>
    </row>
    <row r="764" spans="2:14" x14ac:dyDescent="0.25">
      <c r="B764" t="s">
        <v>422</v>
      </c>
      <c r="D764" s="49">
        <f>SUM(D763+D761)</f>
        <v>223510</v>
      </c>
      <c r="E764" s="49">
        <f>SUM(E763+E761)</f>
        <v>222995</v>
      </c>
      <c r="F764" s="49">
        <f>SUM(F761:F763)</f>
        <v>305837</v>
      </c>
      <c r="G764" s="49">
        <f>SUM(G761:G763)</f>
        <v>234888</v>
      </c>
      <c r="H764" s="49">
        <f>SUM(H761:H763)</f>
        <v>281650</v>
      </c>
      <c r="I764" s="47"/>
      <c r="J764" s="47"/>
      <c r="K764" s="47"/>
      <c r="L764" s="47"/>
      <c r="M764" s="47"/>
      <c r="N764" s="47"/>
    </row>
    <row r="765" spans="2:14" x14ac:dyDescent="0.25">
      <c r="E765" s="47"/>
      <c r="F765" s="47"/>
      <c r="G765" s="47"/>
      <c r="H765" s="47"/>
      <c r="I765" s="47"/>
      <c r="J765" s="47"/>
      <c r="K765" s="47"/>
      <c r="L765" s="47"/>
      <c r="M765" s="47"/>
      <c r="N765" s="47"/>
    </row>
    <row r="766" spans="2:14" x14ac:dyDescent="0.25">
      <c r="B766" t="s">
        <v>430</v>
      </c>
      <c r="E766" s="47"/>
      <c r="F766" s="47"/>
      <c r="G766" s="47"/>
      <c r="H766" s="47"/>
      <c r="I766" s="47"/>
      <c r="J766" s="47"/>
      <c r="K766" s="47"/>
      <c r="L766" s="47"/>
      <c r="M766" s="47"/>
      <c r="N766" s="47"/>
    </row>
    <row r="767" spans="2:14" x14ac:dyDescent="0.25">
      <c r="B767" t="s">
        <v>429</v>
      </c>
      <c r="D767" s="47">
        <v>54846</v>
      </c>
      <c r="E767" s="47">
        <v>216500</v>
      </c>
      <c r="F767" s="47">
        <v>215000</v>
      </c>
      <c r="G767" s="47">
        <v>215000</v>
      </c>
      <c r="H767" s="47">
        <v>215000</v>
      </c>
    </row>
    <row r="768" spans="2:14" x14ac:dyDescent="0.25">
      <c r="B768" t="s">
        <v>428</v>
      </c>
      <c r="E768" s="60" t="s">
        <v>427</v>
      </c>
      <c r="F768" s="60">
        <v>86000</v>
      </c>
      <c r="G768" s="47">
        <v>17200</v>
      </c>
      <c r="H768" s="47">
        <v>64500</v>
      </c>
    </row>
    <row r="769" spans="2:18" ht="15.75" thickBot="1" x14ac:dyDescent="0.3">
      <c r="B769" t="s">
        <v>426</v>
      </c>
      <c r="D769" s="59">
        <v>1645</v>
      </c>
      <c r="E769" s="59">
        <v>6495</v>
      </c>
      <c r="F769" s="59">
        <v>4837</v>
      </c>
      <c r="G769" s="59">
        <v>2688</v>
      </c>
      <c r="H769" s="59">
        <v>1792</v>
      </c>
      <c r="I769" s="59"/>
      <c r="J769" s="59"/>
      <c r="K769" s="47"/>
    </row>
    <row r="770" spans="2:18" x14ac:dyDescent="0.25">
      <c r="B770" t="s">
        <v>422</v>
      </c>
      <c r="D770" s="49">
        <f>SUM(D769+D767)</f>
        <v>56491</v>
      </c>
      <c r="E770" s="49">
        <f>SUM(E769+E767)</f>
        <v>222995</v>
      </c>
      <c r="F770" s="49">
        <f ca="1">SUM(F768:F770)</f>
        <v>310674</v>
      </c>
      <c r="G770" s="49">
        <f>SUM(G767:G769)</f>
        <v>234888</v>
      </c>
      <c r="H770" s="49">
        <f>SUM(H767:H769)</f>
        <v>281292</v>
      </c>
    </row>
    <row r="772" spans="2:18" x14ac:dyDescent="0.25">
      <c r="B772" t="s">
        <v>425</v>
      </c>
      <c r="D772" s="47">
        <v>50000</v>
      </c>
      <c r="E772" s="47">
        <v>50000</v>
      </c>
      <c r="F772" s="47">
        <v>50000</v>
      </c>
      <c r="G772" s="47">
        <v>50000</v>
      </c>
      <c r="H772" s="47">
        <v>50000</v>
      </c>
      <c r="I772" s="47"/>
      <c r="J772" s="47"/>
      <c r="K772" s="47"/>
      <c r="L772" s="47"/>
      <c r="M772" s="47"/>
      <c r="N772" s="47"/>
    </row>
    <row r="773" spans="2:18" x14ac:dyDescent="0.25">
      <c r="B773" t="s">
        <v>424</v>
      </c>
      <c r="D773" s="47">
        <v>40000</v>
      </c>
      <c r="E773" s="47">
        <v>40000</v>
      </c>
      <c r="F773" s="47">
        <v>40000</v>
      </c>
      <c r="G773" s="47">
        <v>40000</v>
      </c>
      <c r="H773" s="47">
        <v>35804</v>
      </c>
      <c r="I773" s="47"/>
      <c r="J773" s="47"/>
      <c r="K773" s="47"/>
      <c r="L773" s="47"/>
      <c r="M773" s="47"/>
      <c r="N773" s="47"/>
    </row>
    <row r="774" spans="2:18" ht="15.75" thickBot="1" x14ac:dyDescent="0.3">
      <c r="B774" t="s">
        <v>423</v>
      </c>
      <c r="D774" s="59">
        <v>40000</v>
      </c>
      <c r="E774" s="59">
        <v>76400</v>
      </c>
      <c r="F774" s="59">
        <v>115000</v>
      </c>
      <c r="G774" s="59">
        <v>40000</v>
      </c>
      <c r="H774" s="59">
        <v>6667</v>
      </c>
      <c r="I774" s="59"/>
      <c r="J774" s="59"/>
      <c r="K774" s="47"/>
      <c r="L774" s="47"/>
      <c r="M774" s="47"/>
      <c r="N774" s="47"/>
    </row>
    <row r="775" spans="2:18" s="40" customFormat="1" x14ac:dyDescent="0.25">
      <c r="B775" s="40" t="s">
        <v>422</v>
      </c>
      <c r="D775" s="49">
        <f>SUM(D772:D774)</f>
        <v>130000</v>
      </c>
      <c r="E775" s="49">
        <f>SUM(E772:E774)</f>
        <v>166400</v>
      </c>
      <c r="F775" s="49">
        <f>SUM(F772:F774)</f>
        <v>205000</v>
      </c>
      <c r="G775" s="49">
        <f>SUM(G772:G774)</f>
        <v>130000</v>
      </c>
      <c r="H775" s="49">
        <f>SUM(H772:H774)</f>
        <v>92471</v>
      </c>
      <c r="I775" s="49"/>
      <c r="J775" s="49"/>
      <c r="K775" s="49"/>
      <c r="L775" s="49"/>
      <c r="M775" s="49"/>
      <c r="N775" s="49"/>
    </row>
    <row r="776" spans="2:18" ht="15.75" thickBot="1" x14ac:dyDescent="0.3">
      <c r="D776" s="58"/>
      <c r="E776" s="50"/>
      <c r="F776" s="50"/>
      <c r="G776" s="50"/>
      <c r="H776" s="50"/>
      <c r="I776" s="50"/>
      <c r="J776" s="50"/>
      <c r="K776" s="47"/>
      <c r="L776" s="47"/>
      <c r="M776" s="47"/>
      <c r="N776" s="47"/>
    </row>
    <row r="777" spans="2:18" s="40" customFormat="1" x14ac:dyDescent="0.25">
      <c r="B777" s="40" t="s">
        <v>422</v>
      </c>
      <c r="D777" s="49">
        <f>SUM(D775+D770+D764+D758+D752)</f>
        <v>883621</v>
      </c>
      <c r="E777" s="49">
        <f>SUM(E775+E770+E764+E758+E752)</f>
        <v>1083480</v>
      </c>
      <c r="F777" s="49">
        <v>1287636</v>
      </c>
      <c r="G777" s="49">
        <f>SUM(G775+G770+G764+G758+G752)</f>
        <v>1061401</v>
      </c>
      <c r="H777" s="49">
        <f>SUM(H775+H770+H764+H758+H752)</f>
        <v>1250555</v>
      </c>
      <c r="I777" s="49"/>
      <c r="J777" s="49"/>
      <c r="K777" s="49"/>
      <c r="L777" s="49"/>
      <c r="M777" s="49"/>
      <c r="N777" s="49"/>
    </row>
    <row r="778" spans="2:18" x14ac:dyDescent="0.25">
      <c r="E778" s="47"/>
      <c r="F778" s="49"/>
      <c r="G778" s="47"/>
      <c r="H778" s="47"/>
      <c r="I778" s="47"/>
      <c r="J778" s="47"/>
      <c r="K778" s="47"/>
      <c r="L778" s="47"/>
      <c r="M778" s="47"/>
      <c r="N778" s="47"/>
    </row>
    <row r="779" spans="2:18" x14ac:dyDescent="0.25">
      <c r="E779" s="47"/>
      <c r="F779" s="47"/>
      <c r="G779" s="47"/>
      <c r="H779" s="47"/>
      <c r="I779" s="47"/>
      <c r="J779" s="47"/>
      <c r="K779" s="47"/>
      <c r="L779" s="47"/>
      <c r="M779" s="47"/>
      <c r="N779" s="47"/>
    </row>
    <row r="780" spans="2:18" x14ac:dyDescent="0.25">
      <c r="B780" s="102" t="s">
        <v>421</v>
      </c>
      <c r="C780" s="102"/>
      <c r="D780" s="102"/>
      <c r="E780" s="102"/>
      <c r="F780" s="102"/>
      <c r="G780" s="102"/>
      <c r="H780" s="102"/>
      <c r="I780" s="102"/>
      <c r="J780" s="102"/>
      <c r="K780" s="102"/>
      <c r="L780" s="102"/>
      <c r="M780" s="102"/>
      <c r="N780" s="102"/>
      <c r="O780" s="102"/>
      <c r="P780" s="102"/>
      <c r="Q780" s="102"/>
      <c r="R780" s="102"/>
    </row>
    <row r="781" spans="2:18" x14ac:dyDescent="0.25">
      <c r="E781" s="47"/>
      <c r="F781" s="47"/>
      <c r="G781" s="47"/>
      <c r="H781" s="47"/>
      <c r="I781" s="47"/>
      <c r="J781" s="47"/>
      <c r="K781" s="47"/>
      <c r="L781" s="47"/>
      <c r="M781" s="47"/>
      <c r="N781" s="47"/>
    </row>
    <row r="782" spans="2:18" ht="15.75" thickBot="1" x14ac:dyDescent="0.3">
      <c r="D782" s="56">
        <v>44374</v>
      </c>
      <c r="E782" s="56">
        <v>44010</v>
      </c>
      <c r="F782" s="56">
        <v>43646</v>
      </c>
      <c r="G782" s="56">
        <v>43282</v>
      </c>
      <c r="H782" s="56">
        <v>42918</v>
      </c>
      <c r="I782" s="56">
        <v>42577</v>
      </c>
      <c r="J782" s="56">
        <v>42213</v>
      </c>
      <c r="K782" s="57"/>
      <c r="L782" s="47"/>
      <c r="M782" s="56">
        <v>44556</v>
      </c>
      <c r="N782" s="56">
        <v>44192</v>
      </c>
      <c r="O782" s="56">
        <v>43828</v>
      </c>
      <c r="P782" s="56">
        <v>43464</v>
      </c>
      <c r="Q782" s="56">
        <v>43100</v>
      </c>
      <c r="R782" s="56">
        <v>42729</v>
      </c>
    </row>
    <row r="783" spans="2:18" x14ac:dyDescent="0.25">
      <c r="B783" t="s">
        <v>420</v>
      </c>
      <c r="D783" s="55">
        <v>0.29599999999999999</v>
      </c>
      <c r="E783" s="55">
        <v>0.29699999999999999</v>
      </c>
    </row>
    <row r="784" spans="2:18" x14ac:dyDescent="0.25">
      <c r="B784" t="s">
        <v>419</v>
      </c>
      <c r="D784" s="55">
        <v>0.29599999999999999</v>
      </c>
      <c r="E784" s="55">
        <v>0.29699999999999999</v>
      </c>
    </row>
    <row r="785" spans="2:18" x14ac:dyDescent="0.25">
      <c r="B785" t="s">
        <v>418</v>
      </c>
      <c r="E785" s="55">
        <v>7.0000000000000007E-2</v>
      </c>
    </row>
    <row r="786" spans="2:18" x14ac:dyDescent="0.25">
      <c r="B786" t="s">
        <v>417</v>
      </c>
      <c r="E786" s="55">
        <v>5.8999999999999997E-2</v>
      </c>
    </row>
    <row r="787" spans="2:18" x14ac:dyDescent="0.25">
      <c r="B787" t="s">
        <v>416</v>
      </c>
      <c r="E787" s="55">
        <v>0.04</v>
      </c>
    </row>
    <row r="788" spans="2:18" x14ac:dyDescent="0.25">
      <c r="B788" t="s">
        <v>415</v>
      </c>
      <c r="E788" s="55">
        <v>0.04</v>
      </c>
    </row>
    <row r="791" spans="2:18" x14ac:dyDescent="0.25">
      <c r="B791" s="102" t="s">
        <v>414</v>
      </c>
      <c r="C791" s="102"/>
      <c r="D791" s="102"/>
      <c r="E791" s="102"/>
      <c r="F791" s="102"/>
      <c r="G791" s="102"/>
      <c r="H791" s="102"/>
      <c r="I791" s="102"/>
      <c r="J791" s="102"/>
      <c r="K791" s="102"/>
      <c r="L791" s="102"/>
      <c r="M791" s="102"/>
      <c r="N791" s="102"/>
      <c r="O791" s="102"/>
      <c r="P791" s="102"/>
      <c r="Q791" s="102"/>
      <c r="R791" s="102"/>
    </row>
    <row r="793" spans="2:18" ht="15.75" thickBot="1" x14ac:dyDescent="0.3">
      <c r="D793" s="56">
        <v>44374</v>
      </c>
      <c r="E793" s="56">
        <v>44010</v>
      </c>
      <c r="F793" s="56">
        <v>43646</v>
      </c>
      <c r="G793" s="56">
        <v>43282</v>
      </c>
      <c r="H793" s="56">
        <v>42918</v>
      </c>
      <c r="I793" s="56">
        <v>42577</v>
      </c>
      <c r="J793" s="56">
        <v>42213</v>
      </c>
      <c r="K793" s="57"/>
      <c r="L793" s="47"/>
      <c r="M793" s="56">
        <v>44556</v>
      </c>
      <c r="N793" s="56">
        <v>44192</v>
      </c>
      <c r="O793" s="56">
        <v>43828</v>
      </c>
      <c r="P793" s="56">
        <v>43464</v>
      </c>
      <c r="Q793" s="56">
        <v>43100</v>
      </c>
      <c r="R793" s="56">
        <v>42729</v>
      </c>
    </row>
    <row r="794" spans="2:18" x14ac:dyDescent="0.25">
      <c r="B794" t="s">
        <v>413</v>
      </c>
      <c r="D794" s="47">
        <v>10046</v>
      </c>
      <c r="E794" s="47">
        <v>27503</v>
      </c>
    </row>
    <row r="795" spans="2:18" x14ac:dyDescent="0.25">
      <c r="B795" t="s">
        <v>412</v>
      </c>
      <c r="D795" s="47">
        <v>10046</v>
      </c>
      <c r="E795" s="47">
        <v>27503</v>
      </c>
    </row>
    <row r="796" spans="2:18" x14ac:dyDescent="0.25">
      <c r="B796" t="s">
        <v>411</v>
      </c>
      <c r="D796" s="47"/>
      <c r="E796" s="47"/>
    </row>
    <row r="797" spans="2:18" x14ac:dyDescent="0.25">
      <c r="B797" t="s">
        <v>410</v>
      </c>
      <c r="D797" s="47">
        <v>10046</v>
      </c>
      <c r="E797" s="47">
        <v>27503</v>
      </c>
    </row>
    <row r="798" spans="2:18" x14ac:dyDescent="0.25">
      <c r="B798" t="s">
        <v>409</v>
      </c>
      <c r="D798" s="47">
        <v>-34554</v>
      </c>
      <c r="E798" s="47">
        <v>-46953</v>
      </c>
    </row>
    <row r="799" spans="2:18" x14ac:dyDescent="0.25">
      <c r="B799" t="s">
        <v>408</v>
      </c>
      <c r="D799" s="47">
        <v>-24508</v>
      </c>
      <c r="E799" s="47">
        <v>-19450</v>
      </c>
    </row>
    <row r="800" spans="2:18" x14ac:dyDescent="0.25">
      <c r="D800" s="55"/>
      <c r="E800" s="55"/>
      <c r="F800" s="55"/>
      <c r="G800" s="55"/>
      <c r="H800" s="55"/>
      <c r="I800" s="55"/>
      <c r="J800" s="55"/>
      <c r="K800" s="55"/>
    </row>
    <row r="802" spans="2:18" x14ac:dyDescent="0.25">
      <c r="B802" s="102" t="s">
        <v>407</v>
      </c>
      <c r="C802" s="102"/>
      <c r="D802" s="102"/>
      <c r="E802" s="102"/>
      <c r="F802" s="102"/>
      <c r="G802" s="102"/>
      <c r="H802" s="102"/>
      <c r="I802" s="102"/>
      <c r="J802" s="102"/>
      <c r="K802" s="102"/>
      <c r="L802" s="102"/>
      <c r="M802" s="102"/>
      <c r="N802" s="102"/>
      <c r="O802" s="102"/>
      <c r="P802" s="102"/>
      <c r="Q802" s="102"/>
      <c r="R802" s="102"/>
    </row>
    <row r="804" spans="2:18" ht="15.75" thickBot="1" x14ac:dyDescent="0.3">
      <c r="D804" s="56">
        <v>44765</v>
      </c>
      <c r="E804" s="56">
        <v>44549</v>
      </c>
      <c r="F804" s="55"/>
      <c r="G804" s="55"/>
      <c r="H804" s="55"/>
      <c r="I804" s="55"/>
      <c r="J804" s="55"/>
      <c r="K804" s="55"/>
      <c r="L804" s="55"/>
    </row>
    <row r="805" spans="2:18" x14ac:dyDescent="0.25">
      <c r="B805" t="s">
        <v>406</v>
      </c>
      <c r="D805" s="54" t="s">
        <v>405</v>
      </c>
      <c r="E805" s="54" t="s">
        <v>404</v>
      </c>
    </row>
    <row r="809" spans="2:18" x14ac:dyDescent="0.25">
      <c r="B809" s="102" t="s">
        <v>403</v>
      </c>
      <c r="C809" s="102"/>
      <c r="D809" s="102"/>
      <c r="E809" s="102"/>
      <c r="F809" s="102"/>
      <c r="G809" s="102"/>
      <c r="H809" s="102"/>
      <c r="I809" s="102"/>
      <c r="J809" s="102"/>
      <c r="K809" s="102"/>
      <c r="L809" s="102"/>
      <c r="M809" s="102"/>
      <c r="N809" s="102"/>
      <c r="O809" s="102"/>
      <c r="P809" s="102"/>
      <c r="Q809" s="102"/>
      <c r="R809" s="102"/>
    </row>
    <row r="811" spans="2:18" ht="15.75" thickBot="1" x14ac:dyDescent="0.3">
      <c r="B811" s="40" t="s">
        <v>402</v>
      </c>
      <c r="C811" s="53" t="s">
        <v>40</v>
      </c>
      <c r="D811" s="53" t="s">
        <v>11</v>
      </c>
      <c r="E811" s="53" t="s">
        <v>401</v>
      </c>
      <c r="F811" s="53" t="s">
        <v>55</v>
      </c>
      <c r="G811" s="53" t="s">
        <v>400</v>
      </c>
      <c r="H811" s="53" t="s">
        <v>399</v>
      </c>
    </row>
    <row r="812" spans="2:18" x14ac:dyDescent="0.25">
      <c r="B812" t="s">
        <v>398</v>
      </c>
      <c r="C812" s="47">
        <v>255437</v>
      </c>
      <c r="D812" s="47">
        <v>113800</v>
      </c>
      <c r="E812" s="52">
        <v>3077000</v>
      </c>
      <c r="F812" s="47">
        <v>155100</v>
      </c>
      <c r="G812" s="47">
        <f t="shared" ref="G812:G831" si="135">SUM(E812:F812)</f>
        <v>3232100</v>
      </c>
      <c r="H812" s="47">
        <f t="shared" ref="H812:H830" si="136">SUM(G812,C812,D812)</f>
        <v>3601337</v>
      </c>
    </row>
    <row r="813" spans="2:18" x14ac:dyDescent="0.25">
      <c r="B813" t="s">
        <v>397</v>
      </c>
      <c r="C813" s="47">
        <v>293727</v>
      </c>
      <c r="D813" s="47">
        <v>124500</v>
      </c>
      <c r="E813" s="52">
        <v>3348600</v>
      </c>
      <c r="F813" s="47">
        <v>175900</v>
      </c>
      <c r="G813" s="47">
        <f t="shared" si="135"/>
        <v>3524500</v>
      </c>
      <c r="H813" s="47">
        <f t="shared" si="136"/>
        <v>3942727</v>
      </c>
    </row>
    <row r="814" spans="2:18" x14ac:dyDescent="0.25">
      <c r="B814" t="s">
        <v>396</v>
      </c>
      <c r="C814" s="47">
        <v>304566</v>
      </c>
      <c r="D814" s="47">
        <v>126900</v>
      </c>
      <c r="E814" s="52">
        <v>3413100</v>
      </c>
      <c r="F814" s="47">
        <v>182800</v>
      </c>
      <c r="G814" s="47">
        <f t="shared" si="135"/>
        <v>3595900</v>
      </c>
      <c r="H814" s="47">
        <f t="shared" si="136"/>
        <v>4027366</v>
      </c>
    </row>
    <row r="815" spans="2:18" x14ac:dyDescent="0.25">
      <c r="B815" t="s">
        <v>395</v>
      </c>
      <c r="C815" s="47">
        <v>283630</v>
      </c>
      <c r="D815" s="47">
        <v>113200</v>
      </c>
      <c r="E815" s="52">
        <v>3218900</v>
      </c>
      <c r="F815" s="47">
        <v>175700</v>
      </c>
      <c r="G815" s="47">
        <f t="shared" si="135"/>
        <v>3394600</v>
      </c>
      <c r="H815" s="47">
        <f t="shared" si="136"/>
        <v>3791430</v>
      </c>
    </row>
    <row r="816" spans="2:18" x14ac:dyDescent="0.25">
      <c r="B816" t="s">
        <v>394</v>
      </c>
      <c r="C816" s="47">
        <v>331978</v>
      </c>
      <c r="D816" s="47">
        <v>111400</v>
      </c>
      <c r="E816" s="52">
        <v>3414400</v>
      </c>
      <c r="F816" s="47">
        <v>187700</v>
      </c>
      <c r="G816" s="47">
        <f t="shared" si="135"/>
        <v>3602100</v>
      </c>
      <c r="H816" s="47">
        <f t="shared" si="136"/>
        <v>4045478</v>
      </c>
    </row>
    <row r="817" spans="2:8" x14ac:dyDescent="0.25">
      <c r="B817" t="s">
        <v>393</v>
      </c>
      <c r="C817" s="47">
        <v>370718</v>
      </c>
      <c r="D817" s="47">
        <v>116400</v>
      </c>
      <c r="E817" s="52">
        <v>3715400</v>
      </c>
      <c r="F817" s="47">
        <v>186500</v>
      </c>
      <c r="G817" s="47">
        <f t="shared" si="135"/>
        <v>3901900</v>
      </c>
      <c r="H817" s="47">
        <f t="shared" si="136"/>
        <v>4389018</v>
      </c>
    </row>
    <row r="818" spans="2:8" x14ac:dyDescent="0.25">
      <c r="B818" t="s">
        <v>392</v>
      </c>
      <c r="C818" s="47">
        <v>383333</v>
      </c>
      <c r="D818" s="47">
        <v>126000</v>
      </c>
      <c r="E818" s="52">
        <v>3952600</v>
      </c>
      <c r="F818" s="47">
        <v>196200</v>
      </c>
      <c r="G818" s="47">
        <f t="shared" si="135"/>
        <v>4148800</v>
      </c>
      <c r="H818" s="47">
        <f t="shared" si="136"/>
        <v>4658133</v>
      </c>
    </row>
    <row r="819" spans="2:8" x14ac:dyDescent="0.25">
      <c r="B819" t="s">
        <v>391</v>
      </c>
      <c r="C819" s="47">
        <v>359974</v>
      </c>
      <c r="D819" s="47">
        <v>127300</v>
      </c>
      <c r="E819" s="52">
        <v>3795400</v>
      </c>
      <c r="F819" s="47">
        <v>186200</v>
      </c>
      <c r="G819" s="47">
        <f t="shared" si="135"/>
        <v>3981600</v>
      </c>
      <c r="H819" s="47">
        <f t="shared" si="136"/>
        <v>4468874</v>
      </c>
    </row>
    <row r="820" spans="2:8" x14ac:dyDescent="0.25">
      <c r="B820" t="s">
        <v>390</v>
      </c>
      <c r="C820" s="47">
        <v>332551</v>
      </c>
      <c r="D820" s="47">
        <v>122200</v>
      </c>
      <c r="E820" s="52">
        <v>3580400</v>
      </c>
      <c r="F820" s="47">
        <v>175400</v>
      </c>
      <c r="G820" s="47">
        <f t="shared" si="135"/>
        <v>3755800</v>
      </c>
      <c r="H820" s="47">
        <f t="shared" si="136"/>
        <v>4210551</v>
      </c>
    </row>
    <row r="821" spans="2:8" x14ac:dyDescent="0.25">
      <c r="B821" t="s">
        <v>389</v>
      </c>
      <c r="C821" s="47">
        <v>338298</v>
      </c>
      <c r="D821" s="47">
        <v>121700</v>
      </c>
      <c r="E821" s="52">
        <v>3602600</v>
      </c>
      <c r="F821" s="47">
        <v>186100</v>
      </c>
      <c r="G821" s="47">
        <f t="shared" si="135"/>
        <v>3788700</v>
      </c>
      <c r="H821" s="47">
        <f t="shared" si="136"/>
        <v>4248698</v>
      </c>
    </row>
    <row r="822" spans="2:8" x14ac:dyDescent="0.25">
      <c r="B822" t="s">
        <v>388</v>
      </c>
      <c r="C822" s="47">
        <v>389791</v>
      </c>
      <c r="D822" s="47">
        <v>131000</v>
      </c>
      <c r="E822" s="52">
        <v>3907700</v>
      </c>
      <c r="F822" s="47">
        <v>215700</v>
      </c>
      <c r="G822" s="47">
        <f t="shared" si="135"/>
        <v>4123400</v>
      </c>
      <c r="H822" s="47">
        <f t="shared" si="136"/>
        <v>4644191</v>
      </c>
    </row>
    <row r="823" spans="2:8" x14ac:dyDescent="0.25">
      <c r="B823" t="s">
        <v>387</v>
      </c>
      <c r="C823" s="47">
        <v>401410</v>
      </c>
      <c r="D823" s="47">
        <v>129200</v>
      </c>
      <c r="E823" s="52">
        <v>3806300</v>
      </c>
      <c r="F823" s="47">
        <v>222700</v>
      </c>
      <c r="G823" s="47">
        <f t="shared" si="135"/>
        <v>4029000</v>
      </c>
      <c r="H823" s="47">
        <f t="shared" si="136"/>
        <v>4559610</v>
      </c>
    </row>
    <row r="824" spans="2:8" x14ac:dyDescent="0.25">
      <c r="B824" t="s">
        <v>386</v>
      </c>
      <c r="C824" s="47">
        <v>360626</v>
      </c>
      <c r="D824" s="47">
        <v>113000</v>
      </c>
      <c r="E824" s="52">
        <v>3256100</v>
      </c>
      <c r="F824" s="47">
        <v>199600</v>
      </c>
      <c r="G824" s="47">
        <f t="shared" si="135"/>
        <v>3455700</v>
      </c>
      <c r="H824" s="47">
        <f t="shared" si="136"/>
        <v>3929326</v>
      </c>
    </row>
    <row r="825" spans="2:8" x14ac:dyDescent="0.25">
      <c r="B825" t="s">
        <v>385</v>
      </c>
      <c r="C825" s="47">
        <v>305424</v>
      </c>
      <c r="D825" s="47">
        <v>93500</v>
      </c>
      <c r="E825" s="52">
        <v>2767500</v>
      </c>
      <c r="F825" s="47">
        <v>177600</v>
      </c>
      <c r="G825" s="47">
        <f t="shared" si="135"/>
        <v>2945100</v>
      </c>
      <c r="H825" s="47">
        <f t="shared" si="136"/>
        <v>3344024</v>
      </c>
    </row>
    <row r="826" spans="2:8" x14ac:dyDescent="0.25">
      <c r="B826" t="s">
        <v>384</v>
      </c>
      <c r="C826" s="47">
        <v>290154</v>
      </c>
      <c r="D826" s="47">
        <v>83500</v>
      </c>
      <c r="E826" s="52">
        <v>2796600</v>
      </c>
      <c r="F826" s="47">
        <v>181300</v>
      </c>
      <c r="G826" s="47">
        <f t="shared" si="135"/>
        <v>2977900</v>
      </c>
      <c r="H826" s="47">
        <f t="shared" si="136"/>
        <v>3351554</v>
      </c>
    </row>
    <row r="827" spans="2:8" x14ac:dyDescent="0.25">
      <c r="B827" t="s">
        <v>383</v>
      </c>
      <c r="C827" s="47">
        <v>204299</v>
      </c>
      <c r="D827" s="47">
        <v>66400</v>
      </c>
      <c r="E827" s="52">
        <v>2038800</v>
      </c>
      <c r="F827" s="47">
        <v>131500</v>
      </c>
      <c r="G827" s="47">
        <f t="shared" si="135"/>
        <v>2170300</v>
      </c>
      <c r="H827" s="47">
        <f t="shared" si="136"/>
        <v>2440999</v>
      </c>
    </row>
    <row r="828" spans="2:8" x14ac:dyDescent="0.25">
      <c r="B828" t="s">
        <v>382</v>
      </c>
      <c r="C828" s="47">
        <v>142675</v>
      </c>
      <c r="D828" s="47">
        <v>43800</v>
      </c>
      <c r="E828" s="52">
        <v>1427900</v>
      </c>
      <c r="F828" s="47">
        <v>89100</v>
      </c>
      <c r="G828" s="47">
        <f t="shared" si="135"/>
        <v>1517000</v>
      </c>
      <c r="H828" s="47">
        <f t="shared" si="136"/>
        <v>1703475</v>
      </c>
    </row>
    <row r="829" spans="2:8" x14ac:dyDescent="0.25">
      <c r="B829" t="s">
        <v>381</v>
      </c>
      <c r="C829" s="47">
        <v>85988</v>
      </c>
      <c r="D829" s="47">
        <v>25900</v>
      </c>
      <c r="E829" s="52">
        <v>872200</v>
      </c>
      <c r="F829" s="47">
        <v>52800</v>
      </c>
      <c r="G829" s="47">
        <f t="shared" si="135"/>
        <v>925000</v>
      </c>
      <c r="H829" s="47">
        <f t="shared" si="136"/>
        <v>1036888</v>
      </c>
    </row>
    <row r="830" spans="2:8" ht="15.75" thickBot="1" x14ac:dyDescent="0.3">
      <c r="B830" t="s">
        <v>380</v>
      </c>
      <c r="C830" s="50">
        <v>45321</v>
      </c>
      <c r="D830" s="50">
        <v>13500</v>
      </c>
      <c r="E830" s="51">
        <v>498200</v>
      </c>
      <c r="F830" s="50">
        <v>29700</v>
      </c>
      <c r="G830" s="50">
        <f t="shared" si="135"/>
        <v>527900</v>
      </c>
      <c r="H830" s="50">
        <f t="shared" si="136"/>
        <v>586721</v>
      </c>
    </row>
    <row r="831" spans="2:8" x14ac:dyDescent="0.25">
      <c r="B831" s="40" t="s">
        <v>379</v>
      </c>
      <c r="C831" s="49">
        <f>SUM(C812:C830)</f>
        <v>5479900</v>
      </c>
      <c r="D831" s="49">
        <f>SUM(D812:D830)</f>
        <v>1903200</v>
      </c>
      <c r="E831" s="49">
        <f>SUM(E812:E830)</f>
        <v>56489700</v>
      </c>
      <c r="F831" s="49">
        <f>SUM(F812:F830)</f>
        <v>3107600</v>
      </c>
      <c r="G831" s="49">
        <f t="shared" si="135"/>
        <v>59597300</v>
      </c>
      <c r="H831" s="49">
        <f>SUM(H812:H830)</f>
        <v>66980400</v>
      </c>
    </row>
    <row r="832" spans="2:8" x14ac:dyDescent="0.25">
      <c r="B832" s="40"/>
      <c r="C832" s="49"/>
      <c r="D832" s="49"/>
      <c r="E832" s="49"/>
      <c r="F832" s="49"/>
      <c r="G832" s="49"/>
    </row>
    <row r="833" spans="2:8" x14ac:dyDescent="0.25">
      <c r="B833" s="40" t="s">
        <v>378</v>
      </c>
      <c r="C833" s="47">
        <v>2500000</v>
      </c>
      <c r="D833" s="47">
        <v>768900</v>
      </c>
      <c r="E833" s="49"/>
      <c r="F833" s="49"/>
      <c r="G833" s="47">
        <v>24782800</v>
      </c>
      <c r="H833" s="47">
        <f>SUM(G833,D833,C833)</f>
        <v>28051700</v>
      </c>
    </row>
    <row r="835" spans="2:8" x14ac:dyDescent="0.25">
      <c r="B835" s="40" t="s">
        <v>377</v>
      </c>
    </row>
    <row r="836" spans="2:8" x14ac:dyDescent="0.25">
      <c r="B836" t="s">
        <v>376</v>
      </c>
      <c r="C836" s="47">
        <f>SUM(H815:H829)</f>
        <v>54822249</v>
      </c>
    </row>
    <row r="837" spans="2:8" x14ac:dyDescent="0.25">
      <c r="B837" t="s">
        <v>375</v>
      </c>
      <c r="C837" s="47">
        <f>H833</f>
        <v>28051700</v>
      </c>
    </row>
    <row r="838" spans="2:8" x14ac:dyDescent="0.25">
      <c r="B838" t="s">
        <v>374</v>
      </c>
      <c r="C838" s="47">
        <v>31400</v>
      </c>
    </row>
    <row r="839" spans="2:8" x14ac:dyDescent="0.25">
      <c r="B839" t="s">
        <v>373</v>
      </c>
      <c r="C839" s="47">
        <v>37622</v>
      </c>
    </row>
    <row r="840" spans="2:8" x14ac:dyDescent="0.25">
      <c r="B840" t="s">
        <v>372</v>
      </c>
      <c r="C840" s="47">
        <f>SUM(C841:C845)</f>
        <v>21020</v>
      </c>
    </row>
    <row r="841" spans="2:8" x14ac:dyDescent="0.25">
      <c r="B841" s="48" t="s">
        <v>371</v>
      </c>
      <c r="C841" s="47">
        <f>C869*12</f>
        <v>9360</v>
      </c>
    </row>
    <row r="842" spans="2:8" x14ac:dyDescent="0.25">
      <c r="B842" s="48" t="s">
        <v>370</v>
      </c>
      <c r="C842" s="47">
        <f>85*52</f>
        <v>4420</v>
      </c>
    </row>
    <row r="843" spans="2:8" x14ac:dyDescent="0.25">
      <c r="B843" s="48" t="s">
        <v>369</v>
      </c>
      <c r="C843" s="47">
        <v>2400</v>
      </c>
    </row>
    <row r="844" spans="2:8" x14ac:dyDescent="0.25">
      <c r="B844" s="48" t="s">
        <v>368</v>
      </c>
      <c r="C844" s="47">
        <f>70*52</f>
        <v>3640</v>
      </c>
    </row>
    <row r="845" spans="2:8" x14ac:dyDescent="0.25">
      <c r="B845" s="48" t="s">
        <v>367</v>
      </c>
      <c r="C845" s="47">
        <f>100*12</f>
        <v>1200</v>
      </c>
    </row>
    <row r="846" spans="2:8" x14ac:dyDescent="0.25">
      <c r="B846" t="s">
        <v>366</v>
      </c>
      <c r="C846" s="47">
        <f>SUM(C839-C840)</f>
        <v>16602</v>
      </c>
    </row>
    <row r="847" spans="2:8" x14ac:dyDescent="0.25">
      <c r="B847" t="s">
        <v>365</v>
      </c>
      <c r="C847" s="43">
        <v>600</v>
      </c>
    </row>
    <row r="848" spans="2:8" x14ac:dyDescent="0.25">
      <c r="B848" t="s">
        <v>364</v>
      </c>
      <c r="C848" s="46">
        <f>C847/C846</f>
        <v>3.6140224069389229E-2</v>
      </c>
    </row>
    <row r="849" spans="2:3" s="40" customFormat="1" x14ac:dyDescent="0.25">
      <c r="B849" s="40" t="s">
        <v>363</v>
      </c>
      <c r="C849" s="41">
        <f>SUM(C847*C837)</f>
        <v>16831020000</v>
      </c>
    </row>
    <row r="850" spans="2:3" x14ac:dyDescent="0.25">
      <c r="B850" t="s">
        <v>362</v>
      </c>
      <c r="C850">
        <v>300</v>
      </c>
    </row>
    <row r="851" spans="2:3" x14ac:dyDescent="0.25">
      <c r="B851" s="40" t="s">
        <v>361</v>
      </c>
      <c r="C851" s="41">
        <f>C850*C836</f>
        <v>16446674700</v>
      </c>
    </row>
    <row r="852" spans="2:3" x14ac:dyDescent="0.25">
      <c r="B852" t="s">
        <v>360</v>
      </c>
      <c r="C852" s="45" t="s">
        <v>359</v>
      </c>
    </row>
    <row r="854" spans="2:3" ht="15.75" thickBot="1" x14ac:dyDescent="0.3">
      <c r="B854" s="40" t="s">
        <v>358</v>
      </c>
      <c r="C854" s="44" t="s">
        <v>357</v>
      </c>
    </row>
    <row r="855" spans="2:3" x14ac:dyDescent="0.25">
      <c r="B855" t="s">
        <v>356</v>
      </c>
      <c r="C855" s="43">
        <v>1390</v>
      </c>
    </row>
    <row r="856" spans="2:3" x14ac:dyDescent="0.25">
      <c r="B856" t="s">
        <v>355</v>
      </c>
      <c r="C856" s="43">
        <v>1016</v>
      </c>
    </row>
    <row r="857" spans="2:3" x14ac:dyDescent="0.25">
      <c r="B857" t="s">
        <v>354</v>
      </c>
      <c r="C857" s="43">
        <v>775</v>
      </c>
    </row>
    <row r="858" spans="2:3" x14ac:dyDescent="0.25">
      <c r="B858" t="s">
        <v>143</v>
      </c>
      <c r="C858" s="43">
        <v>739</v>
      </c>
    </row>
    <row r="859" spans="2:3" x14ac:dyDescent="0.25">
      <c r="B859" t="s">
        <v>152</v>
      </c>
      <c r="C859" s="43">
        <v>638</v>
      </c>
    </row>
    <row r="860" spans="2:3" x14ac:dyDescent="0.25">
      <c r="B860" t="s">
        <v>175</v>
      </c>
      <c r="C860" s="43">
        <v>632</v>
      </c>
    </row>
    <row r="861" spans="2:3" x14ac:dyDescent="0.25">
      <c r="B861" t="s">
        <v>353</v>
      </c>
      <c r="C861" s="43">
        <v>584</v>
      </c>
    </row>
    <row r="862" spans="2:3" x14ac:dyDescent="0.25">
      <c r="B862" t="s">
        <v>55</v>
      </c>
      <c r="C862" s="43">
        <v>564</v>
      </c>
    </row>
    <row r="863" spans="2:3" x14ac:dyDescent="0.25">
      <c r="B863" t="s">
        <v>352</v>
      </c>
      <c r="C863" s="43">
        <v>548</v>
      </c>
    </row>
    <row r="864" spans="2:3" x14ac:dyDescent="0.25">
      <c r="B864" t="s">
        <v>40</v>
      </c>
      <c r="C864" s="43">
        <v>515</v>
      </c>
    </row>
    <row r="865" spans="2:18" x14ac:dyDescent="0.25">
      <c r="B865" t="s">
        <v>351</v>
      </c>
      <c r="C865" s="43">
        <v>484</v>
      </c>
    </row>
    <row r="866" spans="2:18" ht="15.75" thickBot="1" x14ac:dyDescent="0.3">
      <c r="B866" t="s">
        <v>11</v>
      </c>
      <c r="C866" s="42">
        <v>457</v>
      </c>
    </row>
    <row r="867" spans="2:18" x14ac:dyDescent="0.25">
      <c r="B867" s="40" t="s">
        <v>350</v>
      </c>
      <c r="C867" s="41">
        <f>MEDIAN(C855:C866)</f>
        <v>608</v>
      </c>
    </row>
    <row r="868" spans="2:18" x14ac:dyDescent="0.25">
      <c r="B868" s="40" t="s">
        <v>349</v>
      </c>
      <c r="C868" s="41">
        <f>AVERAGE(C855:C866)</f>
        <v>695.16666666666663</v>
      </c>
    </row>
    <row r="869" spans="2:18" x14ac:dyDescent="0.25">
      <c r="B869" s="40" t="s">
        <v>348</v>
      </c>
      <c r="C869" s="41">
        <v>780</v>
      </c>
    </row>
    <row r="871" spans="2:18" x14ac:dyDescent="0.25">
      <c r="B871" s="102" t="s">
        <v>347</v>
      </c>
      <c r="C871" s="102"/>
      <c r="D871" s="102"/>
      <c r="E871" s="102"/>
      <c r="F871" s="102"/>
      <c r="G871" s="102"/>
      <c r="H871" s="102"/>
      <c r="I871" s="102"/>
      <c r="J871" s="102"/>
      <c r="K871" s="102"/>
      <c r="L871" s="102"/>
      <c r="M871" s="102"/>
      <c r="N871" s="102"/>
      <c r="O871" s="102"/>
      <c r="P871" s="102"/>
      <c r="Q871" s="102"/>
      <c r="R871" s="102"/>
    </row>
    <row r="873" spans="2:18" ht="15.75" thickBot="1" x14ac:dyDescent="0.3">
      <c r="B873" s="40" t="s">
        <v>346</v>
      </c>
      <c r="C873" s="39" t="s">
        <v>345</v>
      </c>
      <c r="D873" s="38" t="s">
        <v>344</v>
      </c>
    </row>
    <row r="874" spans="2:18" x14ac:dyDescent="0.25">
      <c r="B874" s="37">
        <v>1</v>
      </c>
      <c r="C874" t="s">
        <v>343</v>
      </c>
      <c r="D874" s="37" t="s">
        <v>342</v>
      </c>
    </row>
    <row r="875" spans="2:18" x14ac:dyDescent="0.25">
      <c r="B875" s="37">
        <v>2</v>
      </c>
      <c r="C875" t="s">
        <v>341</v>
      </c>
      <c r="D875" s="37" t="s">
        <v>340</v>
      </c>
    </row>
    <row r="876" spans="2:18" x14ac:dyDescent="0.25">
      <c r="B876" s="37">
        <v>3</v>
      </c>
      <c r="C876" t="s">
        <v>339</v>
      </c>
      <c r="D876" s="37" t="s">
        <v>338</v>
      </c>
    </row>
    <row r="877" spans="2:18" x14ac:dyDescent="0.25">
      <c r="B877" s="37">
        <v>4</v>
      </c>
      <c r="C877" t="s">
        <v>337</v>
      </c>
      <c r="D877" s="37" t="s">
        <v>336</v>
      </c>
    </row>
    <row r="878" spans="2:18" x14ac:dyDescent="0.25">
      <c r="B878" s="37">
        <v>5</v>
      </c>
      <c r="C878" t="s">
        <v>335</v>
      </c>
      <c r="D878" s="37" t="s">
        <v>334</v>
      </c>
    </row>
    <row r="879" spans="2:18" x14ac:dyDescent="0.25">
      <c r="B879" s="37">
        <v>6</v>
      </c>
      <c r="C879" t="s">
        <v>333</v>
      </c>
      <c r="D879" s="37" t="s">
        <v>332</v>
      </c>
    </row>
    <row r="880" spans="2:18" x14ac:dyDescent="0.25">
      <c r="B880" s="37">
        <v>7</v>
      </c>
      <c r="C880" t="s">
        <v>331</v>
      </c>
      <c r="D880" s="37" t="s">
        <v>330</v>
      </c>
    </row>
    <row r="881" spans="1:18" x14ac:dyDescent="0.25">
      <c r="B881" s="37">
        <v>8</v>
      </c>
      <c r="C881" t="s">
        <v>329</v>
      </c>
      <c r="D881" s="37" t="s">
        <v>328</v>
      </c>
    </row>
    <row r="882" spans="1:18" x14ac:dyDescent="0.25">
      <c r="B882" s="37">
        <v>9</v>
      </c>
      <c r="C882" t="s">
        <v>327</v>
      </c>
      <c r="D882" s="37" t="s">
        <v>326</v>
      </c>
    </row>
    <row r="883" spans="1:18" x14ac:dyDescent="0.25">
      <c r="B883" s="37">
        <v>10</v>
      </c>
      <c r="C883" t="s">
        <v>325</v>
      </c>
      <c r="D883" s="37" t="s">
        <v>324</v>
      </c>
    </row>
    <row r="887" spans="1:18" x14ac:dyDescent="0.25">
      <c r="B887" s="102" t="s">
        <v>323</v>
      </c>
      <c r="C887" s="102"/>
      <c r="D887" s="102"/>
      <c r="E887" s="102"/>
      <c r="F887" s="102"/>
      <c r="G887" s="102"/>
      <c r="H887" s="102"/>
      <c r="I887" s="102"/>
      <c r="J887" s="102"/>
      <c r="K887" s="102"/>
      <c r="L887" s="102"/>
      <c r="M887" s="102"/>
      <c r="N887" s="102"/>
      <c r="O887" s="102"/>
      <c r="P887" s="102"/>
      <c r="Q887" s="102"/>
      <c r="R887" s="102"/>
    </row>
    <row r="889" spans="1:18" x14ac:dyDescent="0.25">
      <c r="B889" s="36"/>
      <c r="C889" s="33" t="s">
        <v>313</v>
      </c>
      <c r="D889" s="32" t="s">
        <v>312</v>
      </c>
      <c r="E889" s="32" t="s">
        <v>311</v>
      </c>
      <c r="F889" s="32" t="s">
        <v>310</v>
      </c>
      <c r="G889" s="31" t="s">
        <v>309</v>
      </c>
      <c r="H889" s="31" t="s">
        <v>308</v>
      </c>
    </row>
    <row r="890" spans="1:18" ht="409.6" x14ac:dyDescent="0.25">
      <c r="A890" s="27">
        <v>1</v>
      </c>
      <c r="B890" s="28" t="s">
        <v>322</v>
      </c>
      <c r="C890" s="27">
        <v>185</v>
      </c>
      <c r="D890" s="26">
        <v>13.5</v>
      </c>
      <c r="E890" s="26">
        <f>(D890/C890)*100</f>
        <v>7.2972972972972974</v>
      </c>
      <c r="F890" s="35" t="s">
        <v>321</v>
      </c>
      <c r="G890" s="24" t="s">
        <v>320</v>
      </c>
    </row>
    <row r="891" spans="1:18" ht="409.5" x14ac:dyDescent="0.25">
      <c r="A891" s="27">
        <v>2</v>
      </c>
      <c r="B891" s="28" t="s">
        <v>319</v>
      </c>
      <c r="C891" s="27">
        <v>800</v>
      </c>
      <c r="D891" s="26">
        <v>8</v>
      </c>
      <c r="E891" s="26">
        <f>(D891/C891)*100</f>
        <v>1</v>
      </c>
      <c r="F891" s="34" t="s">
        <v>318</v>
      </c>
      <c r="G891" s="24" t="s">
        <v>317</v>
      </c>
    </row>
    <row r="892" spans="1:18" ht="382.5" x14ac:dyDescent="0.25">
      <c r="A892" s="27">
        <v>3</v>
      </c>
      <c r="B892" s="28" t="s">
        <v>316</v>
      </c>
      <c r="C892" s="27">
        <v>300</v>
      </c>
      <c r="D892" s="26">
        <v>8.5</v>
      </c>
      <c r="E892" s="26">
        <f>(D892/C892)*100</f>
        <v>2.833333333333333</v>
      </c>
      <c r="F892" s="24" t="s">
        <v>315</v>
      </c>
      <c r="G892" s="24" t="s">
        <v>314</v>
      </c>
    </row>
    <row r="893" spans="1:18" x14ac:dyDescent="0.25">
      <c r="A893" s="27"/>
      <c r="B893" s="33" t="s">
        <v>313</v>
      </c>
      <c r="C893" s="32" t="s">
        <v>312</v>
      </c>
      <c r="D893" s="32" t="s">
        <v>311</v>
      </c>
      <c r="E893" s="32" t="s">
        <v>310</v>
      </c>
      <c r="F893" s="31" t="s">
        <v>309</v>
      </c>
      <c r="G893" s="31" t="s">
        <v>308</v>
      </c>
    </row>
    <row r="894" spans="1:18" ht="409.5" x14ac:dyDescent="0.25">
      <c r="A894" s="27">
        <v>4</v>
      </c>
      <c r="B894" s="28" t="s">
        <v>307</v>
      </c>
      <c r="C894" s="27">
        <v>500</v>
      </c>
      <c r="D894" s="26">
        <v>10</v>
      </c>
      <c r="E894" s="26">
        <f t="shared" ref="E894:E900" si="137">(D894/C894)*100</f>
        <v>2</v>
      </c>
      <c r="F894" s="30" t="s">
        <v>306</v>
      </c>
      <c r="G894" s="24" t="s">
        <v>305</v>
      </c>
    </row>
    <row r="895" spans="1:18" ht="409.5" x14ac:dyDescent="0.25">
      <c r="A895" s="27">
        <v>5</v>
      </c>
      <c r="B895" s="28" t="s">
        <v>304</v>
      </c>
      <c r="C895" s="27">
        <v>258</v>
      </c>
      <c r="D895" s="26">
        <v>25.35</v>
      </c>
      <c r="E895" s="26">
        <f t="shared" si="137"/>
        <v>9.8255813953488378</v>
      </c>
      <c r="F895" s="30" t="s">
        <v>303</v>
      </c>
      <c r="G895" s="24" t="s">
        <v>302</v>
      </c>
    </row>
    <row r="896" spans="1:18" ht="409.5" x14ac:dyDescent="0.25">
      <c r="A896" s="27">
        <v>6</v>
      </c>
      <c r="B896" s="28" t="s">
        <v>301</v>
      </c>
      <c r="C896" s="27">
        <v>900</v>
      </c>
      <c r="D896" s="26">
        <v>7</v>
      </c>
      <c r="E896" s="26">
        <f t="shared" si="137"/>
        <v>0.77777777777777779</v>
      </c>
      <c r="F896" s="30" t="s">
        <v>300</v>
      </c>
      <c r="G896" s="24" t="s">
        <v>299</v>
      </c>
    </row>
    <row r="897" spans="1:17" ht="409.5" x14ac:dyDescent="0.25">
      <c r="A897" s="27">
        <v>7</v>
      </c>
      <c r="B897" s="28" t="s">
        <v>298</v>
      </c>
      <c r="C897" s="27">
        <v>395</v>
      </c>
      <c r="D897" s="26">
        <v>11</v>
      </c>
      <c r="E897" s="26">
        <f t="shared" si="137"/>
        <v>2.7848101265822782</v>
      </c>
      <c r="F897" s="25" t="s">
        <v>297</v>
      </c>
      <c r="G897" s="24" t="s">
        <v>296</v>
      </c>
    </row>
    <row r="898" spans="1:17" ht="288" x14ac:dyDescent="0.25">
      <c r="A898" s="27">
        <v>8</v>
      </c>
      <c r="B898" s="28" t="s">
        <v>295</v>
      </c>
      <c r="C898" s="27">
        <v>337</v>
      </c>
      <c r="D898" s="26">
        <v>8</v>
      </c>
      <c r="E898" s="26">
        <f t="shared" si="137"/>
        <v>2.3738872403560833</v>
      </c>
      <c r="F898" s="29" t="s">
        <v>294</v>
      </c>
      <c r="G898" s="24" t="s">
        <v>293</v>
      </c>
    </row>
    <row r="899" spans="1:17" ht="409.5" x14ac:dyDescent="0.25">
      <c r="A899" s="27">
        <v>9</v>
      </c>
      <c r="B899" s="28" t="s">
        <v>292</v>
      </c>
      <c r="C899" s="27">
        <v>320</v>
      </c>
      <c r="D899" s="26">
        <v>13</v>
      </c>
      <c r="E899" s="26">
        <f t="shared" si="137"/>
        <v>4.0625</v>
      </c>
      <c r="F899" s="29" t="s">
        <v>291</v>
      </c>
      <c r="G899" s="24" t="s">
        <v>290</v>
      </c>
    </row>
    <row r="900" spans="1:17" ht="409.5" x14ac:dyDescent="0.25">
      <c r="A900" s="27">
        <v>10</v>
      </c>
      <c r="B900" s="28" t="s">
        <v>289</v>
      </c>
      <c r="C900" s="27">
        <v>449</v>
      </c>
      <c r="D900" s="26">
        <v>8.5</v>
      </c>
      <c r="E900" s="26">
        <f t="shared" si="137"/>
        <v>1.8930957683741649</v>
      </c>
      <c r="F900" s="25" t="s">
        <v>288</v>
      </c>
      <c r="G900" s="24" t="s">
        <v>287</v>
      </c>
    </row>
    <row r="904" spans="1:17" x14ac:dyDescent="0.25">
      <c r="A904" s="102" t="s">
        <v>286</v>
      </c>
      <c r="B904" s="102"/>
      <c r="C904" s="102"/>
      <c r="D904" s="102"/>
      <c r="E904" s="102"/>
      <c r="F904" s="102"/>
      <c r="G904" s="102"/>
      <c r="H904" s="102"/>
      <c r="I904" s="102"/>
      <c r="J904" s="102"/>
      <c r="K904" s="102"/>
      <c r="L904" s="102"/>
      <c r="M904" s="102"/>
      <c r="N904" s="102"/>
      <c r="O904" s="102"/>
      <c r="P904" s="102"/>
      <c r="Q904" s="102"/>
    </row>
    <row r="908" spans="1:17" x14ac:dyDescent="0.25">
      <c r="B908" s="23"/>
    </row>
    <row r="909" spans="1:17" x14ac:dyDescent="0.25">
      <c r="B909" s="23"/>
    </row>
    <row r="910" spans="1:17" x14ac:dyDescent="0.25">
      <c r="B910" s="23" t="s">
        <v>285</v>
      </c>
    </row>
    <row r="911" spans="1:17" x14ac:dyDescent="0.25">
      <c r="B911" s="22" t="s">
        <v>284</v>
      </c>
    </row>
    <row r="912" spans="1:17" x14ac:dyDescent="0.25">
      <c r="B912" s="22" t="s">
        <v>283</v>
      </c>
    </row>
    <row r="913" spans="2:2" x14ac:dyDescent="0.25">
      <c r="B913" s="22" t="s">
        <v>282</v>
      </c>
    </row>
    <row r="914" spans="2:2" x14ac:dyDescent="0.25">
      <c r="B914" s="22" t="s">
        <v>281</v>
      </c>
    </row>
    <row r="915" spans="2:2" x14ac:dyDescent="0.25">
      <c r="B915" s="22" t="s">
        <v>280</v>
      </c>
    </row>
    <row r="916" spans="2:2" x14ac:dyDescent="0.25">
      <c r="B916" s="22" t="s">
        <v>279</v>
      </c>
    </row>
    <row r="917" spans="2:2" x14ac:dyDescent="0.25">
      <c r="B917" s="22" t="s">
        <v>278</v>
      </c>
    </row>
    <row r="918" spans="2:2" x14ac:dyDescent="0.25">
      <c r="B918" s="22" t="s">
        <v>277</v>
      </c>
    </row>
    <row r="919" spans="2:2" x14ac:dyDescent="0.25">
      <c r="B919" s="22" t="s">
        <v>276</v>
      </c>
    </row>
    <row r="920" spans="2:2" x14ac:dyDescent="0.25">
      <c r="B920" s="22" t="s">
        <v>275</v>
      </c>
    </row>
    <row r="921" spans="2:2" x14ac:dyDescent="0.25">
      <c r="B921" s="22" t="s">
        <v>274</v>
      </c>
    </row>
    <row r="922" spans="2:2" x14ac:dyDescent="0.25">
      <c r="B922" s="22" t="s">
        <v>273</v>
      </c>
    </row>
    <row r="923" spans="2:2" x14ac:dyDescent="0.25">
      <c r="B923" s="22" t="s">
        <v>272</v>
      </c>
    </row>
    <row r="924" spans="2:2" x14ac:dyDescent="0.25">
      <c r="B924" s="22" t="s">
        <v>271</v>
      </c>
    </row>
    <row r="925" spans="2:2" x14ac:dyDescent="0.25">
      <c r="B925" s="22" t="s">
        <v>270</v>
      </c>
    </row>
    <row r="926" spans="2:2" x14ac:dyDescent="0.25">
      <c r="B926" s="22" t="s">
        <v>269</v>
      </c>
    </row>
    <row r="927" spans="2:2" x14ac:dyDescent="0.25">
      <c r="B927" s="22" t="s">
        <v>268</v>
      </c>
    </row>
    <row r="928" spans="2:2" x14ac:dyDescent="0.25">
      <c r="B928" s="22" t="s">
        <v>267</v>
      </c>
    </row>
    <row r="929" spans="2:2" x14ac:dyDescent="0.25">
      <c r="B929" s="22" t="s">
        <v>266</v>
      </c>
    </row>
    <row r="930" spans="2:2" x14ac:dyDescent="0.25">
      <c r="B930" s="22" t="s">
        <v>265</v>
      </c>
    </row>
    <row r="931" spans="2:2" x14ac:dyDescent="0.25">
      <c r="B931" s="22" t="s">
        <v>264</v>
      </c>
    </row>
    <row r="932" spans="2:2" x14ac:dyDescent="0.25">
      <c r="B932" s="22" t="s">
        <v>263</v>
      </c>
    </row>
    <row r="933" spans="2:2" x14ac:dyDescent="0.25">
      <c r="B933" s="22" t="s">
        <v>262</v>
      </c>
    </row>
    <row r="934" spans="2:2" x14ac:dyDescent="0.25">
      <c r="B934" s="22" t="s">
        <v>261</v>
      </c>
    </row>
    <row r="935" spans="2:2" x14ac:dyDescent="0.25">
      <c r="B935" s="22" t="s">
        <v>260</v>
      </c>
    </row>
    <row r="936" spans="2:2" x14ac:dyDescent="0.25">
      <c r="B936" s="22" t="s">
        <v>259</v>
      </c>
    </row>
    <row r="937" spans="2:2" x14ac:dyDescent="0.25">
      <c r="B937" s="22" t="s">
        <v>258</v>
      </c>
    </row>
    <row r="938" spans="2:2" x14ac:dyDescent="0.25">
      <c r="B938" s="23"/>
    </row>
    <row r="939" spans="2:2" x14ac:dyDescent="0.25">
      <c r="B939" s="22" t="s">
        <v>257</v>
      </c>
    </row>
    <row r="940" spans="2:2" x14ac:dyDescent="0.25">
      <c r="B940" s="22" t="s">
        <v>256</v>
      </c>
    </row>
    <row r="941" spans="2:2" x14ac:dyDescent="0.25">
      <c r="B941" s="22" t="s">
        <v>255</v>
      </c>
    </row>
    <row r="942" spans="2:2" x14ac:dyDescent="0.25">
      <c r="B942" s="22" t="s">
        <v>254</v>
      </c>
    </row>
    <row r="943" spans="2:2" x14ac:dyDescent="0.25">
      <c r="B943" s="22" t="s">
        <v>253</v>
      </c>
    </row>
    <row r="944" spans="2:2" x14ac:dyDescent="0.25">
      <c r="B944" s="22" t="s">
        <v>252</v>
      </c>
    </row>
    <row r="945" spans="2:2" x14ac:dyDescent="0.25">
      <c r="B945" s="22" t="s">
        <v>251</v>
      </c>
    </row>
    <row r="946" spans="2:2" x14ac:dyDescent="0.25">
      <c r="B946" s="22" t="s">
        <v>250</v>
      </c>
    </row>
    <row r="947" spans="2:2" x14ac:dyDescent="0.25">
      <c r="B947" s="22" t="s">
        <v>249</v>
      </c>
    </row>
    <row r="948" spans="2:2" x14ac:dyDescent="0.25">
      <c r="B948" s="22" t="s">
        <v>248</v>
      </c>
    </row>
    <row r="949" spans="2:2" x14ac:dyDescent="0.25">
      <c r="B949" s="22" t="s">
        <v>247</v>
      </c>
    </row>
    <row r="950" spans="2:2" x14ac:dyDescent="0.25">
      <c r="B950" s="22" t="s">
        <v>246</v>
      </c>
    </row>
    <row r="951" spans="2:2" x14ac:dyDescent="0.25">
      <c r="B951" s="22" t="s">
        <v>245</v>
      </c>
    </row>
    <row r="952" spans="2:2" x14ac:dyDescent="0.25">
      <c r="B952" s="22" t="s">
        <v>244</v>
      </c>
    </row>
    <row r="953" spans="2:2" x14ac:dyDescent="0.25">
      <c r="B953" s="22" t="s">
        <v>243</v>
      </c>
    </row>
    <row r="954" spans="2:2" x14ac:dyDescent="0.25">
      <c r="B954" s="22" t="s">
        <v>242</v>
      </c>
    </row>
    <row r="955" spans="2:2" x14ac:dyDescent="0.25">
      <c r="B955" s="22" t="s">
        <v>241</v>
      </c>
    </row>
    <row r="956" spans="2:2" x14ac:dyDescent="0.25">
      <c r="B956" s="22" t="s">
        <v>240</v>
      </c>
    </row>
    <row r="957" spans="2:2" x14ac:dyDescent="0.25">
      <c r="B957" s="22" t="s">
        <v>239</v>
      </c>
    </row>
    <row r="958" spans="2:2" x14ac:dyDescent="0.25">
      <c r="B958" s="22" t="s">
        <v>238</v>
      </c>
    </row>
    <row r="959" spans="2:2" x14ac:dyDescent="0.25">
      <c r="B959" s="22" t="s">
        <v>237</v>
      </c>
    </row>
    <row r="960" spans="2:2" x14ac:dyDescent="0.25">
      <c r="B960" s="22" t="s">
        <v>236</v>
      </c>
    </row>
    <row r="961" spans="2:2" x14ac:dyDescent="0.25">
      <c r="B961" s="22" t="s">
        <v>235</v>
      </c>
    </row>
    <row r="1016" spans="2:29" ht="26.25" x14ac:dyDescent="0.4">
      <c r="B1016" s="21" t="s">
        <v>234</v>
      </c>
      <c r="C1016" s="21"/>
      <c r="D1016" s="18"/>
      <c r="E1016" s="20"/>
      <c r="F1016" s="19"/>
      <c r="G1016" s="19"/>
      <c r="H1016" s="19"/>
      <c r="I1016" s="19"/>
      <c r="J1016" s="19"/>
      <c r="K1016" s="19"/>
      <c r="L1016" s="19"/>
      <c r="M1016" s="19"/>
      <c r="N1016" s="19"/>
      <c r="O1016" s="19"/>
      <c r="P1016" s="19"/>
      <c r="Q1016" s="19"/>
      <c r="R1016" s="19"/>
      <c r="S1016" s="19"/>
      <c r="T1016" s="19"/>
      <c r="U1016" s="19"/>
      <c r="V1016" s="19"/>
      <c r="W1016" s="19"/>
      <c r="X1016" s="18"/>
      <c r="Y1016" s="17" t="s">
        <v>233</v>
      </c>
      <c r="Z1016" s="17" t="s">
        <v>233</v>
      </c>
      <c r="AA1016" s="17"/>
      <c r="AB1016" s="16"/>
      <c r="AC1016" s="16" t="s">
        <v>232</v>
      </c>
    </row>
    <row r="1017" spans="2:29" ht="31.5" x14ac:dyDescent="0.25">
      <c r="B1017" s="15" t="s">
        <v>231</v>
      </c>
      <c r="C1017" s="15"/>
      <c r="D1017" s="13">
        <v>1997</v>
      </c>
      <c r="E1017" s="13">
        <v>1998</v>
      </c>
      <c r="F1017" s="13">
        <v>1999</v>
      </c>
      <c r="G1017" s="13">
        <v>2000</v>
      </c>
      <c r="H1017" s="13">
        <v>2001</v>
      </c>
      <c r="I1017" s="13">
        <v>2002</v>
      </c>
      <c r="J1017" s="13">
        <v>2003</v>
      </c>
      <c r="K1017" s="13"/>
      <c r="L1017" s="14">
        <v>2004</v>
      </c>
      <c r="M1017" s="14">
        <v>2005</v>
      </c>
      <c r="N1017" s="14">
        <v>2006</v>
      </c>
      <c r="O1017" s="14">
        <v>2007</v>
      </c>
      <c r="P1017" s="14">
        <v>2008</v>
      </c>
      <c r="Q1017" s="13">
        <v>2009</v>
      </c>
      <c r="R1017" s="13">
        <v>2010</v>
      </c>
      <c r="S1017" s="13">
        <v>2011</v>
      </c>
      <c r="T1017" s="13">
        <v>2012</v>
      </c>
      <c r="U1017" s="14">
        <v>2013</v>
      </c>
      <c r="V1017" s="13">
        <v>2014</v>
      </c>
      <c r="W1017" s="13">
        <v>2015</v>
      </c>
      <c r="X1017" s="13">
        <v>2016</v>
      </c>
      <c r="Y1017" s="13">
        <v>2017</v>
      </c>
      <c r="Z1017" s="13">
        <v>2018</v>
      </c>
      <c r="AA1017" s="12" t="s">
        <v>230</v>
      </c>
    </row>
    <row r="1018" spans="2:29" ht="15.75" x14ac:dyDescent="0.25">
      <c r="B1018" s="11" t="s">
        <v>229</v>
      </c>
      <c r="C1018" s="11"/>
      <c r="D1018" s="10">
        <v>10788</v>
      </c>
      <c r="E1018" s="10">
        <v>11019</v>
      </c>
      <c r="F1018" s="10">
        <v>11528</v>
      </c>
      <c r="G1018" s="10">
        <v>12250</v>
      </c>
      <c r="H1018" s="10">
        <v>12654</v>
      </c>
      <c r="I1018" s="10">
        <v>13008</v>
      </c>
      <c r="J1018" s="10">
        <v>13344</v>
      </c>
      <c r="K1018" s="10"/>
      <c r="L1018" s="10">
        <v>13857</v>
      </c>
      <c r="M1018" s="10">
        <v>14392</v>
      </c>
      <c r="N1018" s="10">
        <v>14942</v>
      </c>
      <c r="O1018" s="10">
        <v>15653</v>
      </c>
      <c r="P1018" s="10">
        <v>16077</v>
      </c>
      <c r="Q1018" s="10">
        <v>16306</v>
      </c>
      <c r="R1018" s="10">
        <v>16506</v>
      </c>
      <c r="S1018" s="10">
        <v>16745</v>
      </c>
      <c r="T1018" s="10">
        <v>17382</v>
      </c>
      <c r="U1018" s="10">
        <v>17983</v>
      </c>
      <c r="V1018" s="10">
        <v>18511</v>
      </c>
      <c r="W1018" s="10">
        <v>19511</v>
      </c>
      <c r="X1018" s="10">
        <v>19727</v>
      </c>
      <c r="Y1018" s="10">
        <v>20051</v>
      </c>
      <c r="Z1018" s="10">
        <v>20908</v>
      </c>
      <c r="AA1018" s="10">
        <v>21433</v>
      </c>
    </row>
    <row r="1019" spans="2:29" ht="15.75" x14ac:dyDescent="0.25">
      <c r="B1019" s="9" t="s">
        <v>228</v>
      </c>
      <c r="C1019" s="9"/>
      <c r="D1019" s="8">
        <v>11047</v>
      </c>
      <c r="E1019" s="8">
        <v>11296</v>
      </c>
      <c r="F1019" s="8">
        <v>11826</v>
      </c>
      <c r="G1019" s="8">
        <v>12555</v>
      </c>
      <c r="H1019" s="8">
        <v>12960</v>
      </c>
      <c r="I1019" s="8">
        <v>13295</v>
      </c>
      <c r="J1019" s="8">
        <v>13622</v>
      </c>
      <c r="K1019" s="8"/>
      <c r="L1019" s="8">
        <v>14132</v>
      </c>
      <c r="M1019" s="8">
        <v>14682</v>
      </c>
      <c r="N1019" s="8">
        <v>15239</v>
      </c>
      <c r="O1019" s="8">
        <v>15977</v>
      </c>
      <c r="P1019" s="8">
        <v>16381</v>
      </c>
      <c r="Q1019" s="8">
        <v>16636</v>
      </c>
      <c r="R1019" s="8">
        <v>16823</v>
      </c>
      <c r="S1019" s="8">
        <v>17041</v>
      </c>
      <c r="T1019" s="8">
        <v>17713</v>
      </c>
      <c r="U1019" s="8">
        <v>18344</v>
      </c>
      <c r="V1019" s="8">
        <v>18897</v>
      </c>
      <c r="W1019" s="8">
        <v>19981</v>
      </c>
      <c r="X1019" s="8">
        <v>20216</v>
      </c>
      <c r="Y1019" s="8">
        <v>20541</v>
      </c>
      <c r="Z1019" s="8">
        <v>21433</v>
      </c>
      <c r="AA1019" s="8">
        <v>21978</v>
      </c>
    </row>
    <row r="1020" spans="2:29" ht="15.75" x14ac:dyDescent="0.25">
      <c r="B1020" s="6" t="s">
        <v>227</v>
      </c>
      <c r="C1020" s="6"/>
      <c r="D1020" s="7">
        <v>9287</v>
      </c>
      <c r="E1020" s="7">
        <v>9354</v>
      </c>
      <c r="F1020" s="7">
        <v>9716</v>
      </c>
      <c r="G1020" s="7">
        <v>10324</v>
      </c>
      <c r="H1020" s="7">
        <v>10726</v>
      </c>
      <c r="I1020" s="7">
        <v>10950</v>
      </c>
      <c r="J1020" s="7">
        <v>11241</v>
      </c>
      <c r="K1020" s="7"/>
      <c r="L1020" s="7">
        <v>11730</v>
      </c>
      <c r="M1020" s="7">
        <v>11994</v>
      </c>
      <c r="N1020" s="7">
        <v>12414</v>
      </c>
      <c r="O1020" s="7">
        <v>12758</v>
      </c>
      <c r="P1020" s="7">
        <v>13050</v>
      </c>
      <c r="Q1020" s="7">
        <v>13591</v>
      </c>
      <c r="R1020" s="7">
        <v>13859</v>
      </c>
      <c r="S1020" s="7">
        <v>14064</v>
      </c>
      <c r="T1020" s="7">
        <v>14655</v>
      </c>
      <c r="U1020" s="7">
        <v>14928</v>
      </c>
      <c r="V1020" s="7">
        <v>15271</v>
      </c>
      <c r="W1020" s="7">
        <v>15848</v>
      </c>
      <c r="X1020" s="7">
        <v>15992</v>
      </c>
      <c r="Y1020" s="7">
        <v>16256</v>
      </c>
      <c r="Z1020" s="7">
        <v>16728</v>
      </c>
      <c r="AA1020" s="7">
        <v>17096</v>
      </c>
    </row>
    <row r="1021" spans="2:29" ht="15.75" x14ac:dyDescent="0.25">
      <c r="B1021" s="4" t="s">
        <v>226</v>
      </c>
      <c r="C1021" s="4"/>
      <c r="D1021" s="3">
        <v>9236</v>
      </c>
      <c r="E1021" s="3">
        <v>9206</v>
      </c>
      <c r="F1021" s="3">
        <v>9634</v>
      </c>
      <c r="G1021" s="3">
        <v>10217</v>
      </c>
      <c r="H1021" s="3">
        <v>10627</v>
      </c>
      <c r="I1021" s="3">
        <v>10805</v>
      </c>
      <c r="J1021" s="3">
        <v>11023</v>
      </c>
      <c r="K1021" s="3"/>
      <c r="L1021" s="3">
        <v>11524</v>
      </c>
      <c r="M1021" s="3">
        <v>11878</v>
      </c>
      <c r="N1021" s="3">
        <v>12252</v>
      </c>
      <c r="O1021" s="3">
        <v>12554</v>
      </c>
      <c r="P1021" s="3">
        <v>12803</v>
      </c>
      <c r="Q1021" s="3">
        <v>13289</v>
      </c>
      <c r="R1021" s="3">
        <v>13567</v>
      </c>
      <c r="S1021" s="3">
        <v>13790</v>
      </c>
      <c r="T1021" s="3">
        <v>14323</v>
      </c>
      <c r="U1021" s="3">
        <v>14559</v>
      </c>
      <c r="V1021" s="3">
        <v>14999</v>
      </c>
      <c r="W1021" s="3">
        <v>15506</v>
      </c>
      <c r="X1021" s="3">
        <v>15613</v>
      </c>
      <c r="Y1021" s="3">
        <v>15891</v>
      </c>
      <c r="Z1021" s="3">
        <v>16378</v>
      </c>
      <c r="AA1021" s="3">
        <v>16721</v>
      </c>
    </row>
    <row r="1022" spans="2:29" ht="15.75" x14ac:dyDescent="0.25">
      <c r="B1022" s="2" t="s">
        <v>225</v>
      </c>
      <c r="C1022" s="2"/>
      <c r="D1022" s="1">
        <v>9300</v>
      </c>
      <c r="E1022" s="1">
        <v>9238</v>
      </c>
      <c r="F1022" s="1">
        <v>9737</v>
      </c>
      <c r="G1022" s="1">
        <v>10223</v>
      </c>
      <c r="H1022" s="1">
        <v>10608</v>
      </c>
      <c r="I1022" s="1">
        <v>10941</v>
      </c>
      <c r="J1022" s="1">
        <v>11198</v>
      </c>
      <c r="K1022" s="1"/>
      <c r="L1022" s="1">
        <v>11696</v>
      </c>
      <c r="M1022" s="1">
        <v>12183</v>
      </c>
      <c r="N1022" s="1">
        <v>12616</v>
      </c>
      <c r="O1022" s="1">
        <v>12944</v>
      </c>
      <c r="P1022" s="1">
        <v>13272</v>
      </c>
      <c r="Q1022" s="1">
        <v>13684</v>
      </c>
      <c r="R1022" s="1">
        <v>13960</v>
      </c>
      <c r="S1022" s="1">
        <v>14356</v>
      </c>
      <c r="T1022" s="1">
        <v>14778</v>
      </c>
      <c r="U1022" s="1">
        <v>14852</v>
      </c>
      <c r="V1022" s="1">
        <v>15319</v>
      </c>
      <c r="W1022" s="1">
        <v>15730</v>
      </c>
      <c r="X1022" s="1">
        <v>15858</v>
      </c>
      <c r="Y1022" s="1">
        <v>16145</v>
      </c>
      <c r="Z1022" s="1">
        <v>16575</v>
      </c>
      <c r="AA1022" s="1">
        <v>17017</v>
      </c>
    </row>
    <row r="1023" spans="2:29" ht="15.75" x14ac:dyDescent="0.25">
      <c r="B1023" s="2" t="s">
        <v>224</v>
      </c>
      <c r="C1023" s="2"/>
      <c r="D1023" s="1">
        <v>9004</v>
      </c>
      <c r="E1023" s="1">
        <v>8678</v>
      </c>
      <c r="F1023" s="1">
        <v>9158</v>
      </c>
      <c r="G1023" s="1">
        <v>9758</v>
      </c>
      <c r="H1023" s="1">
        <v>10178</v>
      </c>
      <c r="I1023" s="1">
        <v>10247</v>
      </c>
      <c r="J1023" s="1">
        <v>10444</v>
      </c>
      <c r="K1023" s="1"/>
      <c r="L1023" s="1">
        <v>10875</v>
      </c>
      <c r="M1023" s="1">
        <v>11297</v>
      </c>
      <c r="N1023" s="1">
        <v>11751</v>
      </c>
      <c r="O1023" s="1">
        <v>11933</v>
      </c>
      <c r="P1023" s="1">
        <v>12194</v>
      </c>
      <c r="Q1023" s="1">
        <v>12871</v>
      </c>
      <c r="R1023" s="1">
        <v>12972</v>
      </c>
      <c r="S1023" s="1">
        <v>13257</v>
      </c>
      <c r="T1023" s="1">
        <v>14043</v>
      </c>
      <c r="U1023" s="1">
        <v>14226</v>
      </c>
      <c r="V1023" s="1">
        <v>14794</v>
      </c>
      <c r="W1023" s="1">
        <v>15216</v>
      </c>
      <c r="X1023" s="1">
        <v>15220</v>
      </c>
      <c r="Y1023" s="1">
        <v>15404</v>
      </c>
      <c r="Z1023" s="1">
        <v>15937</v>
      </c>
      <c r="AA1023" s="1">
        <v>16351</v>
      </c>
    </row>
    <row r="1024" spans="2:29" ht="15.75" x14ac:dyDescent="0.25">
      <c r="B1024" s="2" t="s">
        <v>223</v>
      </c>
      <c r="C1024" s="2"/>
      <c r="D1024" s="1">
        <v>9638</v>
      </c>
      <c r="E1024" s="1">
        <v>9516</v>
      </c>
      <c r="F1024" s="1">
        <v>9722</v>
      </c>
      <c r="G1024" s="1">
        <v>10611</v>
      </c>
      <c r="H1024" s="1">
        <v>11397</v>
      </c>
      <c r="I1024" s="1">
        <v>11490</v>
      </c>
      <c r="J1024" s="1">
        <v>11785</v>
      </c>
      <c r="K1024" s="1"/>
      <c r="L1024" s="1">
        <v>12108</v>
      </c>
      <c r="M1024" s="1">
        <v>12359</v>
      </c>
      <c r="N1024" s="1">
        <v>12556</v>
      </c>
      <c r="O1024" s="1">
        <v>13210</v>
      </c>
      <c r="P1024" s="1">
        <v>13217</v>
      </c>
      <c r="Q1024" s="1">
        <v>13824</v>
      </c>
      <c r="R1024" s="1">
        <v>13879</v>
      </c>
      <c r="S1024" s="1">
        <v>13799</v>
      </c>
      <c r="T1024" s="1">
        <v>14374</v>
      </c>
      <c r="U1024" s="1">
        <v>14810</v>
      </c>
      <c r="V1024" s="1">
        <v>15016</v>
      </c>
      <c r="W1024" s="1">
        <v>15704</v>
      </c>
      <c r="X1024" s="1">
        <v>16276</v>
      </c>
      <c r="Y1024" s="1">
        <v>16925</v>
      </c>
      <c r="Z1024" s="1">
        <v>17306</v>
      </c>
      <c r="AA1024" s="1">
        <v>17391</v>
      </c>
    </row>
    <row r="1025" spans="2:27" ht="15.75" x14ac:dyDescent="0.25">
      <c r="B1025" s="2" t="s">
        <v>222</v>
      </c>
      <c r="C1025" s="2"/>
      <c r="D1025" s="1">
        <v>9254</v>
      </c>
      <c r="E1025" s="1">
        <v>9429</v>
      </c>
      <c r="F1025" s="1">
        <v>9831</v>
      </c>
      <c r="G1025" s="1">
        <v>10396</v>
      </c>
      <c r="H1025" s="1">
        <v>10741</v>
      </c>
      <c r="I1025" s="1">
        <v>10907</v>
      </c>
      <c r="J1025" s="1">
        <v>11098</v>
      </c>
      <c r="K1025" s="1"/>
      <c r="L1025" s="1">
        <v>11674</v>
      </c>
      <c r="M1025" s="1">
        <v>11934</v>
      </c>
      <c r="N1025" s="1">
        <v>12265</v>
      </c>
      <c r="O1025" s="1">
        <v>12544</v>
      </c>
      <c r="P1025" s="1">
        <v>12788</v>
      </c>
      <c r="Q1025" s="1">
        <v>13185</v>
      </c>
      <c r="R1025" s="1">
        <v>13603</v>
      </c>
      <c r="S1025" s="1">
        <v>13758</v>
      </c>
      <c r="T1025" s="1">
        <v>14209</v>
      </c>
      <c r="U1025" s="1">
        <v>14522</v>
      </c>
      <c r="V1025" s="1">
        <v>14926</v>
      </c>
      <c r="W1025" s="1">
        <v>15496</v>
      </c>
      <c r="X1025" s="1">
        <v>15549</v>
      </c>
      <c r="Y1025" s="1">
        <v>15798</v>
      </c>
      <c r="Z1025" s="1">
        <v>16315</v>
      </c>
      <c r="AA1025" s="1">
        <v>16617</v>
      </c>
    </row>
    <row r="1026" spans="2:27" ht="15.75" x14ac:dyDescent="0.25">
      <c r="B1026" s="4" t="s">
        <v>221</v>
      </c>
      <c r="C1026" s="4"/>
      <c r="D1026" s="3">
        <v>9329</v>
      </c>
      <c r="E1026" s="3">
        <v>9475</v>
      </c>
      <c r="F1026" s="3">
        <v>9784</v>
      </c>
      <c r="G1026" s="3">
        <v>10412</v>
      </c>
      <c r="H1026" s="3">
        <v>10806</v>
      </c>
      <c r="I1026" s="3">
        <v>11069</v>
      </c>
      <c r="J1026" s="3">
        <v>11420</v>
      </c>
      <c r="K1026" s="3"/>
      <c r="L1026" s="3">
        <v>11900</v>
      </c>
      <c r="M1026" s="3">
        <v>12091</v>
      </c>
      <c r="N1026" s="3">
        <v>12548</v>
      </c>
      <c r="O1026" s="3">
        <v>12926</v>
      </c>
      <c r="P1026" s="3">
        <v>13255</v>
      </c>
      <c r="Q1026" s="3">
        <v>13840</v>
      </c>
      <c r="R1026" s="3">
        <v>14101</v>
      </c>
      <c r="S1026" s="3">
        <v>14292</v>
      </c>
      <c r="T1026" s="3">
        <v>14930</v>
      </c>
      <c r="U1026" s="3">
        <v>15233</v>
      </c>
      <c r="V1026" s="3">
        <v>15495</v>
      </c>
      <c r="W1026" s="3">
        <v>16131</v>
      </c>
      <c r="X1026" s="3">
        <v>16305</v>
      </c>
      <c r="Y1026" s="3">
        <v>16558</v>
      </c>
      <c r="Z1026" s="3">
        <v>17016</v>
      </c>
      <c r="AA1026" s="3">
        <v>17405</v>
      </c>
    </row>
    <row r="1027" spans="2:27" ht="15.75" x14ac:dyDescent="0.25">
      <c r="B1027" s="2" t="s">
        <v>220</v>
      </c>
      <c r="C1027" s="2"/>
      <c r="D1027" s="1">
        <v>10299</v>
      </c>
      <c r="E1027" s="1">
        <v>10405</v>
      </c>
      <c r="F1027" s="1">
        <v>10954</v>
      </c>
      <c r="G1027" s="1">
        <v>11704</v>
      </c>
      <c r="H1027" s="1">
        <v>12103</v>
      </c>
      <c r="I1027" s="1">
        <v>12336</v>
      </c>
      <c r="J1027" s="1">
        <v>12864</v>
      </c>
      <c r="K1027" s="1"/>
      <c r="L1027" s="1">
        <v>13282</v>
      </c>
      <c r="M1027" s="1">
        <v>13568</v>
      </c>
      <c r="N1027" s="1">
        <v>14370</v>
      </c>
      <c r="O1027" s="1">
        <v>14712</v>
      </c>
      <c r="P1027" s="1">
        <v>15602</v>
      </c>
      <c r="Q1027" s="1">
        <v>16514</v>
      </c>
      <c r="R1027" s="1">
        <v>16511</v>
      </c>
      <c r="S1027" s="1">
        <v>16673</v>
      </c>
      <c r="T1027" s="1">
        <v>17273</v>
      </c>
      <c r="U1027" s="1">
        <v>17705</v>
      </c>
      <c r="V1027" s="1">
        <v>18000</v>
      </c>
      <c r="W1027" s="1">
        <v>18699</v>
      </c>
      <c r="X1027" s="1">
        <v>19047</v>
      </c>
      <c r="Y1027" s="1">
        <v>19374</v>
      </c>
      <c r="Z1027" s="1">
        <v>19846</v>
      </c>
      <c r="AA1027" s="1">
        <v>20216</v>
      </c>
    </row>
    <row r="1028" spans="2:27" ht="15.75" x14ac:dyDescent="0.25">
      <c r="B1028" s="2" t="s">
        <v>219</v>
      </c>
      <c r="C1028" s="2"/>
      <c r="D1028" s="1">
        <v>9243</v>
      </c>
      <c r="E1028" s="1">
        <v>9473</v>
      </c>
      <c r="F1028" s="1">
        <v>9632</v>
      </c>
      <c r="G1028" s="1">
        <v>10199</v>
      </c>
      <c r="H1028" s="1">
        <v>10619</v>
      </c>
      <c r="I1028" s="1">
        <v>10878</v>
      </c>
      <c r="J1028" s="1">
        <v>11194</v>
      </c>
      <c r="K1028" s="1"/>
      <c r="L1028" s="1">
        <v>11741</v>
      </c>
      <c r="M1028" s="1">
        <v>11804</v>
      </c>
      <c r="N1028" s="1">
        <v>12174</v>
      </c>
      <c r="O1028" s="1">
        <v>12539</v>
      </c>
      <c r="P1028" s="1">
        <v>12702</v>
      </c>
      <c r="Q1028" s="1">
        <v>13230</v>
      </c>
      <c r="R1028" s="1">
        <v>13565</v>
      </c>
      <c r="S1028" s="1">
        <v>13727</v>
      </c>
      <c r="T1028" s="1">
        <v>14400</v>
      </c>
      <c r="U1028" s="1">
        <v>14635</v>
      </c>
      <c r="V1028" s="1">
        <v>14937</v>
      </c>
      <c r="W1028" s="1">
        <v>15615</v>
      </c>
      <c r="X1028" s="1">
        <v>15655</v>
      </c>
      <c r="Y1028" s="1">
        <v>15854</v>
      </c>
      <c r="Z1028" s="1">
        <v>16395</v>
      </c>
      <c r="AA1028" s="1">
        <v>16803</v>
      </c>
    </row>
    <row r="1029" spans="2:27" ht="15.75" x14ac:dyDescent="0.25">
      <c r="B1029" s="2" t="s">
        <v>218</v>
      </c>
      <c r="C1029" s="2"/>
      <c r="D1029" s="1">
        <v>8549</v>
      </c>
      <c r="E1029" s="1">
        <v>8496</v>
      </c>
      <c r="F1029" s="1">
        <v>8961</v>
      </c>
      <c r="G1029" s="1">
        <v>9619</v>
      </c>
      <c r="H1029" s="1">
        <v>9933</v>
      </c>
      <c r="I1029" s="1">
        <v>10234</v>
      </c>
      <c r="J1029" s="1">
        <v>10481</v>
      </c>
      <c r="K1029" s="1"/>
      <c r="L1029" s="1">
        <v>10828</v>
      </c>
      <c r="M1029" s="1">
        <v>11272</v>
      </c>
      <c r="N1029" s="1">
        <v>11598</v>
      </c>
      <c r="O1029" s="1">
        <v>12045</v>
      </c>
      <c r="P1029" s="1">
        <v>12221</v>
      </c>
      <c r="Q1029" s="1">
        <v>12603</v>
      </c>
      <c r="R1029" s="1">
        <v>12944</v>
      </c>
      <c r="S1029" s="1">
        <v>13255</v>
      </c>
      <c r="T1029" s="1">
        <v>13840</v>
      </c>
      <c r="U1029" s="1">
        <v>14214</v>
      </c>
      <c r="V1029" s="1">
        <v>14323</v>
      </c>
      <c r="W1029" s="1">
        <v>14771</v>
      </c>
      <c r="X1029" s="1">
        <v>15156</v>
      </c>
      <c r="Y1029" s="1">
        <v>15481</v>
      </c>
      <c r="Z1029" s="1">
        <v>15669</v>
      </c>
      <c r="AA1029" s="1">
        <v>16011</v>
      </c>
    </row>
    <row r="1030" spans="2:27" ht="15.75" x14ac:dyDescent="0.25">
      <c r="B1030" s="6" t="s">
        <v>217</v>
      </c>
      <c r="C1030" s="6"/>
      <c r="D1030" s="5">
        <v>9782</v>
      </c>
      <c r="E1030" s="5">
        <v>9937</v>
      </c>
      <c r="F1030" s="5">
        <v>10471</v>
      </c>
      <c r="G1030" s="5">
        <v>11046</v>
      </c>
      <c r="H1030" s="5">
        <v>11370</v>
      </c>
      <c r="I1030" s="5">
        <v>11718</v>
      </c>
      <c r="J1030" s="5">
        <v>12060</v>
      </c>
      <c r="K1030" s="5"/>
      <c r="L1030" s="5">
        <v>12477</v>
      </c>
      <c r="M1030" s="5">
        <v>12903</v>
      </c>
      <c r="N1030" s="5">
        <v>13302</v>
      </c>
      <c r="O1030" s="5">
        <v>13848</v>
      </c>
      <c r="P1030" s="5">
        <v>14088</v>
      </c>
      <c r="Q1030" s="5">
        <v>14556</v>
      </c>
      <c r="R1030" s="5">
        <v>14725</v>
      </c>
      <c r="S1030" s="5">
        <v>14921</v>
      </c>
      <c r="T1030" s="5">
        <v>15418</v>
      </c>
      <c r="U1030" s="5">
        <v>15850</v>
      </c>
      <c r="V1030" s="5">
        <v>16242</v>
      </c>
      <c r="W1030" s="5">
        <v>17046</v>
      </c>
      <c r="X1030" s="5">
        <v>17123</v>
      </c>
      <c r="Y1030" s="5">
        <v>17515</v>
      </c>
      <c r="Z1030" s="5">
        <v>18199</v>
      </c>
      <c r="AA1030" s="5">
        <v>18601</v>
      </c>
    </row>
    <row r="1031" spans="2:27" ht="15.75" x14ac:dyDescent="0.25">
      <c r="B1031" s="4" t="s">
        <v>216</v>
      </c>
      <c r="C1031" s="4"/>
      <c r="D1031" s="3">
        <v>9977</v>
      </c>
      <c r="E1031" s="3">
        <v>10372</v>
      </c>
      <c r="F1031" s="3">
        <v>10690</v>
      </c>
      <c r="G1031" s="3">
        <v>11170</v>
      </c>
      <c r="H1031" s="3">
        <v>11852</v>
      </c>
      <c r="I1031" s="3">
        <v>12075</v>
      </c>
      <c r="J1031" s="3">
        <v>12619</v>
      </c>
      <c r="K1031" s="3"/>
      <c r="L1031" s="3">
        <v>13163</v>
      </c>
      <c r="M1031" s="3">
        <v>13627</v>
      </c>
      <c r="N1031" s="3">
        <v>14134</v>
      </c>
      <c r="O1031" s="3">
        <v>14756</v>
      </c>
      <c r="P1031" s="3">
        <v>15028</v>
      </c>
      <c r="Q1031" s="3">
        <v>15629</v>
      </c>
      <c r="R1031" s="3">
        <v>16118</v>
      </c>
      <c r="S1031" s="3">
        <v>16232</v>
      </c>
      <c r="T1031" s="3">
        <v>17015</v>
      </c>
      <c r="U1031" s="3">
        <v>17521</v>
      </c>
      <c r="V1031" s="3">
        <v>17966</v>
      </c>
      <c r="W1031" s="3">
        <v>18806</v>
      </c>
      <c r="X1031" s="3">
        <v>18878</v>
      </c>
      <c r="Y1031" s="3">
        <v>19229</v>
      </c>
      <c r="Z1031" s="3">
        <v>19763</v>
      </c>
      <c r="AA1031" s="3">
        <v>20232</v>
      </c>
    </row>
    <row r="1032" spans="2:27" ht="15.75" x14ac:dyDescent="0.25">
      <c r="B1032" s="2" t="s">
        <v>215</v>
      </c>
      <c r="C1032" s="2"/>
      <c r="D1032" s="1">
        <v>9013</v>
      </c>
      <c r="E1032" s="1">
        <v>9377</v>
      </c>
      <c r="F1032" s="1">
        <v>9647</v>
      </c>
      <c r="G1032" s="1">
        <v>10344</v>
      </c>
      <c r="H1032" s="1">
        <v>10873</v>
      </c>
      <c r="I1032" s="1">
        <v>10877</v>
      </c>
      <c r="J1032" s="1">
        <v>11334</v>
      </c>
      <c r="K1032" s="1"/>
      <c r="L1032" s="1">
        <v>11930</v>
      </c>
      <c r="M1032" s="1">
        <v>12275</v>
      </c>
      <c r="N1032" s="1">
        <v>12841</v>
      </c>
      <c r="O1032" s="1">
        <v>13691</v>
      </c>
      <c r="P1032" s="1">
        <v>13923</v>
      </c>
      <c r="Q1032" s="1">
        <v>14374</v>
      </c>
      <c r="R1032" s="1">
        <v>14824</v>
      </c>
      <c r="S1032" s="1">
        <v>15048</v>
      </c>
      <c r="T1032" s="1">
        <v>15915</v>
      </c>
      <c r="U1032" s="1">
        <v>16218</v>
      </c>
      <c r="V1032" s="1">
        <v>16620</v>
      </c>
      <c r="W1032" s="1">
        <v>17466</v>
      </c>
      <c r="X1032" s="1">
        <v>17619</v>
      </c>
      <c r="Y1032" s="1">
        <v>17944</v>
      </c>
      <c r="Z1032" s="1">
        <v>18329</v>
      </c>
      <c r="AA1032" s="1">
        <v>18634</v>
      </c>
    </row>
    <row r="1033" spans="2:27" ht="15.75" x14ac:dyDescent="0.25">
      <c r="B1033" s="2" t="s">
        <v>214</v>
      </c>
      <c r="C1033" s="2"/>
      <c r="D1033" s="1">
        <v>10888</v>
      </c>
      <c r="E1033" s="1">
        <v>11304</v>
      </c>
      <c r="F1033" s="1">
        <v>11669</v>
      </c>
      <c r="G1033" s="1">
        <v>11938</v>
      </c>
      <c r="H1033" s="1">
        <v>12761</v>
      </c>
      <c r="I1033" s="1">
        <v>13178</v>
      </c>
      <c r="J1033" s="1">
        <v>13795</v>
      </c>
      <c r="K1033" s="1"/>
      <c r="L1033" s="1">
        <v>14283</v>
      </c>
      <c r="M1033" s="1">
        <v>14844</v>
      </c>
      <c r="N1033" s="1">
        <v>15294</v>
      </c>
      <c r="O1033" s="1">
        <v>15710</v>
      </c>
      <c r="P1033" s="1">
        <v>16018</v>
      </c>
      <c r="Q1033" s="1">
        <v>16754</v>
      </c>
      <c r="R1033" s="1">
        <v>17278</v>
      </c>
      <c r="S1033" s="1">
        <v>17291</v>
      </c>
      <c r="T1033" s="1">
        <v>17994</v>
      </c>
      <c r="U1033" s="1">
        <v>18676</v>
      </c>
      <c r="V1033" s="1">
        <v>19159</v>
      </c>
      <c r="W1033" s="1">
        <v>19993</v>
      </c>
      <c r="X1033" s="1">
        <v>19990</v>
      </c>
      <c r="Y1033" s="1">
        <v>20358</v>
      </c>
      <c r="Z1033" s="1">
        <v>21020</v>
      </c>
      <c r="AA1033" s="1">
        <v>21626</v>
      </c>
    </row>
    <row r="1034" spans="2:27" ht="15.75" x14ac:dyDescent="0.25">
      <c r="B1034" s="4" t="s">
        <v>213</v>
      </c>
      <c r="C1034" s="4"/>
      <c r="D1034" s="3">
        <v>9613</v>
      </c>
      <c r="E1034" s="3">
        <v>9742</v>
      </c>
      <c r="F1034" s="3">
        <v>10381</v>
      </c>
      <c r="G1034" s="3">
        <v>10967</v>
      </c>
      <c r="H1034" s="3">
        <v>11230</v>
      </c>
      <c r="I1034" s="3">
        <v>11532</v>
      </c>
      <c r="J1034" s="3">
        <v>11745</v>
      </c>
      <c r="K1034" s="3"/>
      <c r="L1034" s="3">
        <v>12098</v>
      </c>
      <c r="M1034" s="3">
        <v>12489</v>
      </c>
      <c r="N1034" s="3">
        <v>12888</v>
      </c>
      <c r="O1034" s="3">
        <v>13364</v>
      </c>
      <c r="P1034" s="3">
        <v>13525</v>
      </c>
      <c r="Q1034" s="3">
        <v>13884</v>
      </c>
      <c r="R1034" s="3">
        <v>14026</v>
      </c>
      <c r="S1034" s="3">
        <v>14225</v>
      </c>
      <c r="T1034" s="3">
        <v>14705</v>
      </c>
      <c r="U1034" s="3">
        <v>15105</v>
      </c>
      <c r="V1034" s="3">
        <v>15466</v>
      </c>
      <c r="W1034" s="3">
        <v>16214</v>
      </c>
      <c r="X1034" s="3">
        <v>16268</v>
      </c>
      <c r="Y1034" s="3">
        <v>16640</v>
      </c>
      <c r="Z1034" s="3">
        <v>17351</v>
      </c>
      <c r="AA1034" s="3">
        <v>17767</v>
      </c>
    </row>
    <row r="1035" spans="2:27" ht="15.75" x14ac:dyDescent="0.25">
      <c r="B1035" s="2" t="s">
        <v>212</v>
      </c>
      <c r="C1035" s="2"/>
      <c r="D1035" s="1">
        <v>7153</v>
      </c>
      <c r="E1035" s="1">
        <v>7450</v>
      </c>
      <c r="F1035" s="1">
        <v>8122</v>
      </c>
      <c r="G1035" s="1">
        <v>8553</v>
      </c>
      <c r="H1035" s="1">
        <v>8885</v>
      </c>
      <c r="I1035" s="1">
        <v>9310</v>
      </c>
      <c r="J1035" s="1">
        <v>9381</v>
      </c>
      <c r="K1035" s="1"/>
      <c r="L1035" s="1">
        <v>9636</v>
      </c>
      <c r="M1035" s="1">
        <v>10064</v>
      </c>
      <c r="N1035" s="1">
        <v>10355</v>
      </c>
      <c r="O1035" s="1">
        <v>10686</v>
      </c>
      <c r="P1035" s="1">
        <v>10892</v>
      </c>
      <c r="Q1035" s="1">
        <v>11363</v>
      </c>
      <c r="R1035" s="1">
        <v>11466</v>
      </c>
      <c r="S1035" s="1">
        <v>11699</v>
      </c>
      <c r="T1035" s="1">
        <v>11996</v>
      </c>
      <c r="U1035" s="1">
        <v>12424</v>
      </c>
      <c r="V1035" s="1">
        <v>12724</v>
      </c>
      <c r="W1035" s="1">
        <v>13444</v>
      </c>
      <c r="X1035" s="1">
        <v>13549</v>
      </c>
      <c r="Y1035" s="1">
        <v>14170</v>
      </c>
      <c r="Z1035" s="1">
        <v>14930</v>
      </c>
      <c r="AA1035" s="1">
        <v>15322</v>
      </c>
    </row>
    <row r="1036" spans="2:27" ht="15.75" x14ac:dyDescent="0.25">
      <c r="B1036" s="2" t="s">
        <v>211</v>
      </c>
      <c r="C1036" s="2"/>
      <c r="D1036" s="1">
        <v>11948</v>
      </c>
      <c r="E1036" s="1">
        <v>12059</v>
      </c>
      <c r="F1036" s="1">
        <v>12732</v>
      </c>
      <c r="G1036" s="1">
        <v>13483</v>
      </c>
      <c r="H1036" s="1">
        <v>13706</v>
      </c>
      <c r="I1036" s="1">
        <v>14063</v>
      </c>
      <c r="J1036" s="1">
        <v>14317</v>
      </c>
      <c r="K1036" s="1"/>
      <c r="L1036" s="1">
        <v>14755</v>
      </c>
      <c r="M1036" s="1">
        <v>15202</v>
      </c>
      <c r="N1036" s="1">
        <v>15570</v>
      </c>
      <c r="O1036" s="1">
        <v>16091</v>
      </c>
      <c r="P1036" s="1">
        <v>16264</v>
      </c>
      <c r="Q1036" s="1">
        <v>16442</v>
      </c>
      <c r="R1036" s="1">
        <v>16469</v>
      </c>
      <c r="S1036" s="1">
        <v>16671</v>
      </c>
      <c r="T1036" s="1">
        <v>17135</v>
      </c>
      <c r="U1036" s="1">
        <v>17447</v>
      </c>
      <c r="V1036" s="1">
        <v>17771</v>
      </c>
      <c r="W1036" s="1">
        <v>19173</v>
      </c>
      <c r="X1036" s="1">
        <v>19189</v>
      </c>
      <c r="Y1036" s="1">
        <v>19385</v>
      </c>
      <c r="Z1036" s="1">
        <v>20205</v>
      </c>
      <c r="AA1036" s="1">
        <v>20651</v>
      </c>
    </row>
    <row r="1037" spans="2:27" ht="15.75" x14ac:dyDescent="0.25">
      <c r="B1037" s="2" t="s">
        <v>210</v>
      </c>
      <c r="C1037" s="2"/>
      <c r="D1037" s="1">
        <v>9886</v>
      </c>
      <c r="E1037" s="1">
        <v>9987</v>
      </c>
      <c r="F1037" s="1">
        <v>10726</v>
      </c>
      <c r="G1037" s="1">
        <v>11384</v>
      </c>
      <c r="H1037" s="1">
        <v>11553</v>
      </c>
      <c r="I1037" s="1">
        <v>11880</v>
      </c>
      <c r="J1037" s="1">
        <v>12252</v>
      </c>
      <c r="K1037" s="1"/>
      <c r="L1037" s="1">
        <v>12460</v>
      </c>
      <c r="M1037" s="1">
        <v>12942</v>
      </c>
      <c r="N1037" s="1">
        <v>13425</v>
      </c>
      <c r="O1037" s="1">
        <v>13964</v>
      </c>
      <c r="P1037" s="1">
        <v>14182</v>
      </c>
      <c r="Q1037" s="1">
        <v>14743</v>
      </c>
      <c r="R1037" s="1">
        <v>15025</v>
      </c>
      <c r="S1037" s="1">
        <v>15327</v>
      </c>
      <c r="T1037" s="1">
        <v>15828</v>
      </c>
      <c r="U1037" s="1">
        <v>16256</v>
      </c>
      <c r="V1037" s="1">
        <v>16811</v>
      </c>
      <c r="W1037" s="1">
        <v>17697</v>
      </c>
      <c r="X1037" s="1">
        <v>18075</v>
      </c>
      <c r="Y1037" s="1">
        <v>18416</v>
      </c>
      <c r="Z1037" s="1">
        <v>19223</v>
      </c>
      <c r="AA1037" s="1">
        <v>19680</v>
      </c>
    </row>
    <row r="1038" spans="2:27" ht="15.75" x14ac:dyDescent="0.25">
      <c r="B1038" s="2" t="s">
        <v>209</v>
      </c>
      <c r="C1038" s="2"/>
      <c r="D1038" s="1">
        <v>9954</v>
      </c>
      <c r="E1038" s="1">
        <v>10017</v>
      </c>
      <c r="F1038" s="1">
        <v>10588</v>
      </c>
      <c r="G1038" s="1">
        <v>11172</v>
      </c>
      <c r="H1038" s="1">
        <v>11468</v>
      </c>
      <c r="I1038" s="1">
        <v>11688</v>
      </c>
      <c r="J1038" s="1">
        <v>11936</v>
      </c>
      <c r="K1038" s="1"/>
      <c r="L1038" s="1">
        <v>12355</v>
      </c>
      <c r="M1038" s="1">
        <v>12686</v>
      </c>
      <c r="N1038" s="1">
        <v>13116</v>
      </c>
      <c r="O1038" s="1">
        <v>13616</v>
      </c>
      <c r="P1038" s="1">
        <v>13706</v>
      </c>
      <c r="Q1038" s="1">
        <v>13970</v>
      </c>
      <c r="R1038" s="1">
        <v>14129</v>
      </c>
      <c r="S1038" s="1">
        <v>14277</v>
      </c>
      <c r="T1038" s="1">
        <v>14799</v>
      </c>
      <c r="U1038" s="1">
        <v>15148</v>
      </c>
      <c r="V1038" s="1">
        <v>15365</v>
      </c>
      <c r="W1038" s="1">
        <v>15656</v>
      </c>
      <c r="X1038" s="1">
        <v>15550</v>
      </c>
      <c r="Y1038" s="1">
        <v>16090</v>
      </c>
      <c r="Z1038" s="1">
        <v>16608</v>
      </c>
      <c r="AA1038" s="1">
        <v>16910</v>
      </c>
    </row>
    <row r="1039" spans="2:27" ht="15.75" x14ac:dyDescent="0.25">
      <c r="B1039" s="2" t="s">
        <v>208</v>
      </c>
      <c r="C1039" s="2"/>
      <c r="D1039" s="1">
        <v>9078</v>
      </c>
      <c r="E1039" s="1">
        <v>9196</v>
      </c>
      <c r="F1039" s="1">
        <v>9777</v>
      </c>
      <c r="G1039" s="1">
        <v>10327</v>
      </c>
      <c r="H1039" s="1">
        <v>10633</v>
      </c>
      <c r="I1039" s="1">
        <v>10887</v>
      </c>
      <c r="J1039" s="1">
        <v>11030</v>
      </c>
      <c r="K1039" s="1"/>
      <c r="L1039" s="1">
        <v>11474</v>
      </c>
      <c r="M1039" s="1">
        <v>11812</v>
      </c>
      <c r="N1039" s="1">
        <v>12233</v>
      </c>
      <c r="O1039" s="1">
        <v>12725</v>
      </c>
      <c r="P1039" s="1">
        <v>12870</v>
      </c>
      <c r="Q1039" s="1">
        <v>13209</v>
      </c>
      <c r="R1039" s="1">
        <v>13354</v>
      </c>
      <c r="S1039" s="1">
        <v>13513</v>
      </c>
      <c r="T1039" s="1">
        <v>14109</v>
      </c>
      <c r="U1039" s="1">
        <v>14580</v>
      </c>
      <c r="V1039" s="1">
        <v>15003</v>
      </c>
      <c r="W1039" s="1">
        <v>15635</v>
      </c>
      <c r="X1039" s="1">
        <v>15595</v>
      </c>
      <c r="Y1039" s="1">
        <v>15753</v>
      </c>
      <c r="Z1039" s="1">
        <v>16441</v>
      </c>
      <c r="AA1039" s="1">
        <v>16929</v>
      </c>
    </row>
    <row r="1040" spans="2:27" ht="15.75" x14ac:dyDescent="0.25">
      <c r="B1040" s="4" t="s">
        <v>207</v>
      </c>
      <c r="C1040" s="4"/>
      <c r="D1040" s="3">
        <v>9533</v>
      </c>
      <c r="E1040" s="3">
        <v>9644</v>
      </c>
      <c r="F1040" s="3">
        <v>10033</v>
      </c>
      <c r="G1040" s="3">
        <v>10657</v>
      </c>
      <c r="H1040" s="3">
        <v>11019</v>
      </c>
      <c r="I1040" s="3">
        <v>11265</v>
      </c>
      <c r="J1040" s="3">
        <v>11563</v>
      </c>
      <c r="K1040" s="3"/>
      <c r="L1040" s="3">
        <v>11966</v>
      </c>
      <c r="M1040" s="3">
        <v>12457</v>
      </c>
      <c r="N1040" s="3">
        <v>12828</v>
      </c>
      <c r="O1040" s="3">
        <v>13382</v>
      </c>
      <c r="P1040" s="3">
        <v>13721</v>
      </c>
      <c r="Q1040" s="3">
        <v>14242</v>
      </c>
      <c r="R1040" s="3">
        <v>14387</v>
      </c>
      <c r="S1040" s="3">
        <v>14648</v>
      </c>
      <c r="T1040" s="3">
        <v>14938</v>
      </c>
      <c r="U1040" s="3">
        <v>15257</v>
      </c>
      <c r="V1040" s="3">
        <v>15649</v>
      </c>
      <c r="W1040" s="3">
        <v>16410</v>
      </c>
      <c r="X1040" s="3">
        <v>16573</v>
      </c>
      <c r="Y1040" s="3">
        <v>16946</v>
      </c>
      <c r="Z1040" s="3">
        <v>17502</v>
      </c>
      <c r="AA1040" s="3">
        <v>17827</v>
      </c>
    </row>
    <row r="1041" spans="2:27" ht="15.75" x14ac:dyDescent="0.25">
      <c r="B1041" s="2" t="s">
        <v>206</v>
      </c>
      <c r="C1041" s="2"/>
      <c r="D1041" s="1">
        <v>8451</v>
      </c>
      <c r="E1041" s="1">
        <v>8473</v>
      </c>
      <c r="F1041" s="1">
        <v>8987</v>
      </c>
      <c r="G1041" s="1">
        <v>9097</v>
      </c>
      <c r="H1041" s="1">
        <v>9317</v>
      </c>
      <c r="I1041" s="1">
        <v>9275</v>
      </c>
      <c r="J1041" s="1">
        <v>9631</v>
      </c>
      <c r="K1041" s="1"/>
      <c r="L1041" s="1">
        <v>9893</v>
      </c>
      <c r="M1041" s="1">
        <v>10443</v>
      </c>
      <c r="N1041" s="1">
        <v>10760</v>
      </c>
      <c r="O1041" s="1">
        <v>10966</v>
      </c>
      <c r="P1041" s="1">
        <v>10936</v>
      </c>
      <c r="Q1041" s="1">
        <v>11139</v>
      </c>
      <c r="R1041" s="1">
        <v>11554</v>
      </c>
      <c r="S1041" s="1">
        <v>11547</v>
      </c>
      <c r="T1041" s="1">
        <v>11717</v>
      </c>
      <c r="U1041" s="1">
        <v>11840</v>
      </c>
      <c r="V1041" s="1">
        <v>12269</v>
      </c>
      <c r="W1041" s="1">
        <v>12662</v>
      </c>
      <c r="X1041" s="1">
        <v>12777</v>
      </c>
      <c r="Y1041" s="1">
        <v>13297</v>
      </c>
      <c r="Z1041" s="1">
        <v>14077</v>
      </c>
      <c r="AA1041" s="1">
        <v>14484</v>
      </c>
    </row>
    <row r="1042" spans="2:27" ht="15.75" x14ac:dyDescent="0.25">
      <c r="B1042" s="2" t="s">
        <v>205</v>
      </c>
      <c r="C1042" s="2"/>
      <c r="D1042" s="1">
        <v>9569</v>
      </c>
      <c r="E1042" s="1">
        <v>9686</v>
      </c>
      <c r="F1042" s="1">
        <v>9862</v>
      </c>
      <c r="G1042" s="1">
        <v>10694</v>
      </c>
      <c r="H1042" s="1">
        <v>10813</v>
      </c>
      <c r="I1042" s="1">
        <v>10956</v>
      </c>
      <c r="J1042" s="1">
        <v>10759</v>
      </c>
      <c r="K1042" s="1"/>
      <c r="L1042" s="1">
        <v>10929</v>
      </c>
      <c r="M1042" s="1">
        <v>11123</v>
      </c>
      <c r="N1042" s="1">
        <v>11350</v>
      </c>
      <c r="O1042" s="1">
        <v>11908</v>
      </c>
      <c r="P1042" s="1">
        <v>12185</v>
      </c>
      <c r="Q1042" s="1">
        <v>12689</v>
      </c>
      <c r="R1042" s="1">
        <v>12945</v>
      </c>
      <c r="S1042" s="1">
        <v>13425</v>
      </c>
      <c r="T1042" s="1">
        <v>13520</v>
      </c>
      <c r="U1042" s="1">
        <v>13801</v>
      </c>
      <c r="V1042" s="1">
        <v>14197</v>
      </c>
      <c r="W1042" s="1">
        <v>14822</v>
      </c>
      <c r="X1042" s="1">
        <v>15163</v>
      </c>
      <c r="Y1042" s="1">
        <v>15572</v>
      </c>
      <c r="Z1042" s="1">
        <v>15931</v>
      </c>
      <c r="AA1042" s="1">
        <v>16276</v>
      </c>
    </row>
    <row r="1043" spans="2:27" ht="15.75" x14ac:dyDescent="0.25">
      <c r="B1043" s="2" t="s">
        <v>204</v>
      </c>
      <c r="C1043" s="2"/>
      <c r="D1043" s="1">
        <v>9202</v>
      </c>
      <c r="E1043" s="1">
        <v>9395</v>
      </c>
      <c r="F1043" s="1">
        <v>9773</v>
      </c>
      <c r="G1043" s="1">
        <v>10438</v>
      </c>
      <c r="H1043" s="1">
        <v>10848</v>
      </c>
      <c r="I1043" s="1">
        <v>11257</v>
      </c>
      <c r="J1043" s="1">
        <v>11586</v>
      </c>
      <c r="K1043" s="1"/>
      <c r="L1043" s="1">
        <v>11994</v>
      </c>
      <c r="M1043" s="1">
        <v>12432</v>
      </c>
      <c r="N1043" s="1">
        <v>12822</v>
      </c>
      <c r="O1043" s="1">
        <v>13393</v>
      </c>
      <c r="P1043" s="1">
        <v>13765</v>
      </c>
      <c r="Q1043" s="1">
        <v>14483</v>
      </c>
      <c r="R1043" s="1">
        <v>14605</v>
      </c>
      <c r="S1043" s="1">
        <v>14826</v>
      </c>
      <c r="T1043" s="1">
        <v>15153</v>
      </c>
      <c r="U1043" s="1">
        <v>15572</v>
      </c>
      <c r="V1043" s="1">
        <v>15950</v>
      </c>
      <c r="W1043" s="1">
        <v>16442</v>
      </c>
      <c r="X1043" s="1">
        <v>16542</v>
      </c>
      <c r="Y1043" s="1">
        <v>17122</v>
      </c>
      <c r="Z1043" s="1">
        <v>17671</v>
      </c>
      <c r="AA1043" s="1">
        <v>17879</v>
      </c>
    </row>
    <row r="1044" spans="2:27" ht="15.75" x14ac:dyDescent="0.25">
      <c r="B1044" s="2" t="s">
        <v>203</v>
      </c>
      <c r="C1044" s="2"/>
      <c r="D1044" s="1">
        <v>10792</v>
      </c>
      <c r="E1044" s="1">
        <v>10916</v>
      </c>
      <c r="F1044" s="1">
        <v>11295</v>
      </c>
      <c r="G1044" s="1">
        <v>12011</v>
      </c>
      <c r="H1044" s="1">
        <v>12505</v>
      </c>
      <c r="I1044" s="1">
        <v>12757</v>
      </c>
      <c r="J1044" s="1">
        <v>13129</v>
      </c>
      <c r="K1044" s="1"/>
      <c r="L1044" s="1">
        <v>13582</v>
      </c>
      <c r="M1044" s="1">
        <v>14078</v>
      </c>
      <c r="N1044" s="1">
        <v>14494</v>
      </c>
      <c r="O1044" s="1">
        <v>15054</v>
      </c>
      <c r="P1044" s="1">
        <v>15389</v>
      </c>
      <c r="Q1044" s="1">
        <v>15968</v>
      </c>
      <c r="R1044" s="1">
        <v>16041</v>
      </c>
      <c r="S1044" s="1">
        <v>16244</v>
      </c>
      <c r="T1044" s="1">
        <v>16593</v>
      </c>
      <c r="U1044" s="1">
        <v>16866</v>
      </c>
      <c r="V1044" s="1">
        <v>17368</v>
      </c>
      <c r="W1044" s="1">
        <v>18285</v>
      </c>
      <c r="X1044" s="1">
        <v>18525</v>
      </c>
      <c r="Y1044" s="1">
        <v>18882</v>
      </c>
      <c r="Z1044" s="1">
        <v>19513</v>
      </c>
      <c r="AA1044" s="1">
        <v>19849</v>
      </c>
    </row>
    <row r="1045" spans="2:27" ht="15.75" x14ac:dyDescent="0.25">
      <c r="B1045" s="2" t="s">
        <v>202</v>
      </c>
      <c r="C1045" s="2"/>
      <c r="D1045" s="1">
        <v>8300</v>
      </c>
      <c r="E1045" s="1">
        <v>8416</v>
      </c>
      <c r="F1045" s="1">
        <v>8787</v>
      </c>
      <c r="G1045" s="1">
        <v>9310</v>
      </c>
      <c r="H1045" s="1">
        <v>9634</v>
      </c>
      <c r="I1045" s="1">
        <v>9846</v>
      </c>
      <c r="J1045" s="1">
        <v>10165</v>
      </c>
      <c r="K1045" s="1"/>
      <c r="L1045" s="1">
        <v>10621</v>
      </c>
      <c r="M1045" s="1">
        <v>11218</v>
      </c>
      <c r="N1045" s="1">
        <v>11574</v>
      </c>
      <c r="O1045" s="1">
        <v>12218</v>
      </c>
      <c r="P1045" s="1">
        <v>12681</v>
      </c>
      <c r="Q1045" s="1">
        <v>13109</v>
      </c>
      <c r="R1045" s="1">
        <v>13230</v>
      </c>
      <c r="S1045" s="1">
        <v>13483</v>
      </c>
      <c r="T1045" s="1">
        <v>13727</v>
      </c>
      <c r="U1045" s="1">
        <v>14163</v>
      </c>
      <c r="V1045" s="1">
        <v>14322</v>
      </c>
      <c r="W1045" s="1">
        <v>14991</v>
      </c>
      <c r="X1045" s="1">
        <v>15279</v>
      </c>
      <c r="Y1045" s="1">
        <v>15493</v>
      </c>
      <c r="Z1045" s="1">
        <v>15861</v>
      </c>
      <c r="AA1045" s="1">
        <v>16212</v>
      </c>
    </row>
    <row r="1046" spans="2:27" ht="15.75" x14ac:dyDescent="0.25">
      <c r="B1046" s="2" t="s">
        <v>201</v>
      </c>
      <c r="C1046" s="2"/>
      <c r="D1046" s="1">
        <v>10362</v>
      </c>
      <c r="E1046" s="1">
        <v>10409</v>
      </c>
      <c r="F1046" s="1">
        <v>10901</v>
      </c>
      <c r="G1046" s="1">
        <v>11665</v>
      </c>
      <c r="H1046" s="1">
        <v>12072</v>
      </c>
      <c r="I1046" s="1">
        <v>12413</v>
      </c>
      <c r="J1046" s="1">
        <v>12782</v>
      </c>
      <c r="K1046" s="1"/>
      <c r="L1046" s="1">
        <v>13240</v>
      </c>
      <c r="M1046" s="1">
        <v>13772</v>
      </c>
      <c r="N1046" s="1">
        <v>14183</v>
      </c>
      <c r="O1046" s="1">
        <v>14789</v>
      </c>
      <c r="P1046" s="1">
        <v>15192</v>
      </c>
      <c r="Q1046" s="1">
        <v>15772</v>
      </c>
      <c r="R1046" s="1">
        <v>15842</v>
      </c>
      <c r="S1046" s="1">
        <v>16283</v>
      </c>
      <c r="T1046" s="1">
        <v>16684</v>
      </c>
      <c r="U1046" s="1">
        <v>16934</v>
      </c>
      <c r="V1046" s="1">
        <v>17439</v>
      </c>
      <c r="W1046" s="1">
        <v>18666</v>
      </c>
      <c r="X1046" s="1">
        <v>18488</v>
      </c>
      <c r="Y1046" s="1">
        <v>18748</v>
      </c>
      <c r="Z1046" s="1">
        <v>19418</v>
      </c>
      <c r="AA1046" s="1">
        <v>19729</v>
      </c>
    </row>
    <row r="1047" spans="2:27" ht="15.75" x14ac:dyDescent="0.25">
      <c r="B1047" s="4" t="s">
        <v>200</v>
      </c>
      <c r="C1047" s="4"/>
      <c r="D1047" s="3">
        <v>11363</v>
      </c>
      <c r="E1047" s="3">
        <v>11528</v>
      </c>
      <c r="F1047" s="3">
        <v>12161</v>
      </c>
      <c r="G1047" s="3">
        <v>12779</v>
      </c>
      <c r="H1047" s="3">
        <v>13055</v>
      </c>
      <c r="I1047" s="3">
        <v>13756</v>
      </c>
      <c r="J1047" s="3">
        <v>14412</v>
      </c>
      <c r="K1047" s="3"/>
      <c r="L1047" s="3">
        <v>15035</v>
      </c>
      <c r="M1047" s="3">
        <v>15534</v>
      </c>
      <c r="N1047" s="3">
        <v>15980</v>
      </c>
      <c r="O1047" s="3">
        <v>16622</v>
      </c>
      <c r="P1047" s="3">
        <v>16949</v>
      </c>
      <c r="Q1047" s="3">
        <v>17401</v>
      </c>
      <c r="R1047" s="3">
        <v>17484</v>
      </c>
      <c r="S1047" s="3">
        <v>17686</v>
      </c>
      <c r="T1047" s="3">
        <v>18436</v>
      </c>
      <c r="U1047" s="3">
        <v>19101</v>
      </c>
      <c r="V1047" s="3">
        <v>19712</v>
      </c>
      <c r="W1047" s="3">
        <v>21010</v>
      </c>
      <c r="X1047" s="3">
        <v>21005</v>
      </c>
      <c r="Y1047" s="3">
        <v>21677</v>
      </c>
      <c r="Z1047" s="3">
        <v>22797</v>
      </c>
      <c r="AA1047" s="3">
        <v>23303</v>
      </c>
    </row>
    <row r="1048" spans="2:27" ht="15.75" x14ac:dyDescent="0.25">
      <c r="B1048" s="2" t="s">
        <v>199</v>
      </c>
      <c r="C1048" s="2"/>
      <c r="D1048" s="1">
        <v>10409</v>
      </c>
      <c r="E1048" s="1">
        <v>10603</v>
      </c>
      <c r="F1048" s="1">
        <v>11132</v>
      </c>
      <c r="G1048" s="1">
        <v>12110</v>
      </c>
      <c r="H1048" s="1">
        <v>12628</v>
      </c>
      <c r="I1048" s="1">
        <v>12871</v>
      </c>
      <c r="J1048" s="1">
        <v>13197</v>
      </c>
      <c r="K1048" s="1"/>
      <c r="L1048" s="1">
        <v>13974</v>
      </c>
      <c r="M1048" s="1">
        <v>14281</v>
      </c>
      <c r="N1048" s="1">
        <v>14771</v>
      </c>
      <c r="O1048" s="1">
        <v>15548</v>
      </c>
      <c r="P1048" s="1">
        <v>15608</v>
      </c>
      <c r="Q1048" s="1">
        <v>15774</v>
      </c>
      <c r="R1048" s="1">
        <v>15975</v>
      </c>
      <c r="S1048" s="1">
        <v>16346</v>
      </c>
      <c r="T1048" s="1">
        <v>17183</v>
      </c>
      <c r="U1048" s="1">
        <v>17369</v>
      </c>
      <c r="V1048" s="1">
        <v>17976</v>
      </c>
      <c r="W1048" s="1">
        <v>19346</v>
      </c>
      <c r="X1048" s="1">
        <v>19148</v>
      </c>
      <c r="Y1048" s="1">
        <v>19582</v>
      </c>
      <c r="Z1048" s="1">
        <v>20590</v>
      </c>
      <c r="AA1048" s="1">
        <v>20946</v>
      </c>
    </row>
    <row r="1049" spans="2:27" ht="15.75" x14ac:dyDescent="0.25">
      <c r="B1049" s="2" t="s">
        <v>198</v>
      </c>
      <c r="C1049" s="2"/>
      <c r="D1049" s="1">
        <v>12124</v>
      </c>
      <c r="E1049" s="1">
        <v>12316</v>
      </c>
      <c r="F1049" s="1">
        <v>12974</v>
      </c>
      <c r="G1049" s="1">
        <v>13507</v>
      </c>
      <c r="H1049" s="1">
        <v>13704</v>
      </c>
      <c r="I1049" s="1">
        <v>14601</v>
      </c>
      <c r="J1049" s="1">
        <v>15315</v>
      </c>
      <c r="K1049" s="1"/>
      <c r="L1049" s="1">
        <v>15798</v>
      </c>
      <c r="M1049" s="1">
        <v>16373</v>
      </c>
      <c r="N1049" s="1">
        <v>16853</v>
      </c>
      <c r="O1049" s="1">
        <v>17439</v>
      </c>
      <c r="P1049" s="1">
        <v>17774</v>
      </c>
      <c r="Q1049" s="1">
        <v>18317</v>
      </c>
      <c r="R1049" s="1">
        <v>18368</v>
      </c>
      <c r="S1049" s="1">
        <v>18588</v>
      </c>
      <c r="T1049" s="1">
        <v>19254</v>
      </c>
      <c r="U1049" s="1">
        <v>20333</v>
      </c>
      <c r="V1049" s="1">
        <v>21053</v>
      </c>
      <c r="W1049" s="1">
        <v>22717</v>
      </c>
      <c r="X1049" s="1">
        <v>22707</v>
      </c>
      <c r="Y1049" s="1">
        <v>23447</v>
      </c>
      <c r="Z1049" s="1">
        <v>24845</v>
      </c>
      <c r="AA1049" s="1">
        <v>25486</v>
      </c>
    </row>
    <row r="1050" spans="2:27" ht="15.75" x14ac:dyDescent="0.25">
      <c r="B1050" s="2" t="s">
        <v>197</v>
      </c>
      <c r="C1050" s="2"/>
      <c r="D1050" s="1">
        <v>11091</v>
      </c>
      <c r="E1050" s="1">
        <v>11210</v>
      </c>
      <c r="F1050" s="1">
        <v>11882</v>
      </c>
      <c r="G1050" s="1">
        <v>12379</v>
      </c>
      <c r="H1050" s="1">
        <v>12600</v>
      </c>
      <c r="I1050" s="1">
        <v>13357</v>
      </c>
      <c r="J1050" s="1">
        <v>14140</v>
      </c>
      <c r="K1050" s="1"/>
      <c r="L1050" s="1">
        <v>14821</v>
      </c>
      <c r="M1050" s="1">
        <v>15350</v>
      </c>
      <c r="N1050" s="1">
        <v>15733</v>
      </c>
      <c r="O1050" s="1">
        <v>16358</v>
      </c>
      <c r="P1050" s="1">
        <v>16835</v>
      </c>
      <c r="Q1050" s="1">
        <v>17365</v>
      </c>
      <c r="R1050" s="1">
        <v>17417</v>
      </c>
      <c r="S1050" s="1">
        <v>17495</v>
      </c>
      <c r="T1050" s="1">
        <v>18287</v>
      </c>
      <c r="U1050" s="1">
        <v>18788</v>
      </c>
      <c r="V1050" s="1">
        <v>19281</v>
      </c>
      <c r="W1050" s="1">
        <v>20125</v>
      </c>
      <c r="X1050" s="1">
        <v>20247</v>
      </c>
      <c r="Y1050" s="1">
        <v>20993</v>
      </c>
      <c r="Z1050" s="1">
        <v>21864</v>
      </c>
      <c r="AA1050" s="1">
        <v>22301</v>
      </c>
    </row>
    <row r="1051" spans="2:27" ht="15.75" x14ac:dyDescent="0.25">
      <c r="B1051" s="4" t="s">
        <v>196</v>
      </c>
      <c r="C1051" s="4"/>
      <c r="D1051" s="3">
        <v>9334</v>
      </c>
      <c r="E1051" s="3">
        <v>9488</v>
      </c>
      <c r="F1051" s="3">
        <v>9990</v>
      </c>
      <c r="G1051" s="3">
        <v>10507</v>
      </c>
      <c r="H1051" s="3">
        <v>10803</v>
      </c>
      <c r="I1051" s="3">
        <v>11160</v>
      </c>
      <c r="J1051" s="3">
        <v>11513</v>
      </c>
      <c r="K1051" s="3"/>
      <c r="L1051" s="3">
        <v>11888</v>
      </c>
      <c r="M1051" s="3">
        <v>12251</v>
      </c>
      <c r="N1051" s="3">
        <v>12612</v>
      </c>
      <c r="O1051" s="3">
        <v>13180</v>
      </c>
      <c r="P1051" s="3">
        <v>13405</v>
      </c>
      <c r="Q1051" s="3">
        <v>13983</v>
      </c>
      <c r="R1051" s="3">
        <v>14172</v>
      </c>
      <c r="S1051" s="3">
        <v>14333</v>
      </c>
      <c r="T1051" s="3">
        <v>14820</v>
      </c>
      <c r="U1051" s="3">
        <v>15256</v>
      </c>
      <c r="V1051" s="3">
        <v>15561</v>
      </c>
      <c r="W1051" s="3">
        <v>16208</v>
      </c>
      <c r="X1051" s="3">
        <v>16304</v>
      </c>
      <c r="Y1051" s="3">
        <v>16598</v>
      </c>
      <c r="Z1051" s="3">
        <v>17147</v>
      </c>
      <c r="AA1051" s="3">
        <v>17517</v>
      </c>
    </row>
    <row r="1052" spans="2:27" ht="15.75" x14ac:dyDescent="0.25">
      <c r="B1052" s="2" t="s">
        <v>195</v>
      </c>
      <c r="C1052" s="2"/>
      <c r="D1052" s="1">
        <v>8250</v>
      </c>
      <c r="E1052" s="1">
        <v>8380</v>
      </c>
      <c r="F1052" s="1">
        <v>8884</v>
      </c>
      <c r="G1052" s="1">
        <v>9614</v>
      </c>
      <c r="H1052" s="1">
        <v>10056</v>
      </c>
      <c r="I1052" s="1">
        <v>10329</v>
      </c>
      <c r="J1052" s="1">
        <v>10665</v>
      </c>
      <c r="K1052" s="1"/>
      <c r="L1052" s="1">
        <v>11133</v>
      </c>
      <c r="M1052" s="1">
        <v>11631</v>
      </c>
      <c r="N1052" s="1">
        <v>11993</v>
      </c>
      <c r="O1052" s="1">
        <v>12667</v>
      </c>
      <c r="P1052" s="1">
        <v>12955</v>
      </c>
      <c r="Q1052" s="1">
        <v>13417</v>
      </c>
      <c r="R1052" s="1">
        <v>13580</v>
      </c>
      <c r="S1052" s="1">
        <v>13780</v>
      </c>
      <c r="T1052" s="1">
        <v>14201</v>
      </c>
      <c r="U1052" s="1">
        <v>14547</v>
      </c>
      <c r="V1052" s="1">
        <v>14827</v>
      </c>
      <c r="W1052" s="1">
        <v>15530</v>
      </c>
      <c r="X1052" s="1">
        <v>15825</v>
      </c>
      <c r="Y1052" s="1">
        <v>16291</v>
      </c>
      <c r="Z1052" s="1">
        <v>16872</v>
      </c>
      <c r="AA1052" s="1">
        <v>17260</v>
      </c>
    </row>
    <row r="1053" spans="2:27" ht="15.75" x14ac:dyDescent="0.25">
      <c r="B1053" s="2" t="s">
        <v>194</v>
      </c>
      <c r="C1053" s="2"/>
      <c r="D1053" s="1">
        <v>8444</v>
      </c>
      <c r="E1053" s="1">
        <v>8494</v>
      </c>
      <c r="F1053" s="1">
        <v>9066</v>
      </c>
      <c r="G1053" s="1">
        <v>9547</v>
      </c>
      <c r="H1053" s="1">
        <v>9996</v>
      </c>
      <c r="I1053" s="1">
        <v>10225</v>
      </c>
      <c r="J1053" s="1">
        <v>10543</v>
      </c>
      <c r="K1053" s="1"/>
      <c r="L1053" s="1">
        <v>10912</v>
      </c>
      <c r="M1053" s="1">
        <v>11135</v>
      </c>
      <c r="N1053" s="1">
        <v>11665</v>
      </c>
      <c r="O1053" s="1">
        <v>12067</v>
      </c>
      <c r="P1053" s="1">
        <v>12065</v>
      </c>
      <c r="Q1053" s="1">
        <v>12611</v>
      </c>
      <c r="R1053" s="1">
        <v>12818</v>
      </c>
      <c r="S1053" s="1">
        <v>13011</v>
      </c>
      <c r="T1053" s="1">
        <v>13419</v>
      </c>
      <c r="U1053" s="1">
        <v>13836</v>
      </c>
      <c r="V1053" s="1">
        <v>14261</v>
      </c>
      <c r="W1053" s="1">
        <v>14814</v>
      </c>
      <c r="X1053" s="1">
        <v>14730</v>
      </c>
      <c r="Y1053" s="1">
        <v>14928</v>
      </c>
      <c r="Z1053" s="1">
        <v>15373</v>
      </c>
      <c r="AA1053" s="1">
        <v>15673</v>
      </c>
    </row>
    <row r="1054" spans="2:27" ht="15.75" x14ac:dyDescent="0.25">
      <c r="B1054" s="2" t="s">
        <v>193</v>
      </c>
      <c r="C1054" s="2"/>
      <c r="D1054" s="1">
        <v>11406</v>
      </c>
      <c r="E1054" s="1">
        <v>11648</v>
      </c>
      <c r="F1054" s="1">
        <v>11983</v>
      </c>
      <c r="G1054" s="1">
        <v>12005</v>
      </c>
      <c r="H1054" s="1">
        <v>11782</v>
      </c>
      <c r="I1054" s="1">
        <v>12269</v>
      </c>
      <c r="J1054" s="1">
        <v>12635</v>
      </c>
      <c r="K1054" s="1"/>
      <c r="L1054" s="1">
        <v>13049</v>
      </c>
      <c r="M1054" s="1">
        <v>13644</v>
      </c>
      <c r="N1054" s="1">
        <v>13893</v>
      </c>
      <c r="O1054" s="1">
        <v>14347</v>
      </c>
      <c r="P1054" s="1">
        <v>14681</v>
      </c>
      <c r="Q1054" s="1">
        <v>15522</v>
      </c>
      <c r="R1054" s="1">
        <v>15748</v>
      </c>
      <c r="S1054" s="1">
        <v>15883</v>
      </c>
      <c r="T1054" s="1">
        <v>16531</v>
      </c>
      <c r="U1054" s="1">
        <v>17101</v>
      </c>
      <c r="V1054" s="1">
        <v>17163</v>
      </c>
      <c r="W1054" s="1">
        <v>18012</v>
      </c>
      <c r="X1054" s="1">
        <v>18158</v>
      </c>
      <c r="Y1054" s="1">
        <v>18525</v>
      </c>
      <c r="Z1054" s="1">
        <v>18969</v>
      </c>
      <c r="AA1054" s="1">
        <v>19325</v>
      </c>
    </row>
    <row r="1055" spans="2:27" ht="15.75" x14ac:dyDescent="0.25">
      <c r="B1055" s="2" t="s">
        <v>192</v>
      </c>
      <c r="C1055" s="2"/>
      <c r="D1055" s="1">
        <v>10274</v>
      </c>
      <c r="E1055" s="1">
        <v>10531</v>
      </c>
      <c r="F1055" s="1">
        <v>11076</v>
      </c>
      <c r="G1055" s="1">
        <v>11780</v>
      </c>
      <c r="H1055" s="1">
        <v>12115</v>
      </c>
      <c r="I1055" s="1">
        <v>12665</v>
      </c>
      <c r="J1055" s="1">
        <v>13082</v>
      </c>
      <c r="K1055" s="1"/>
      <c r="L1055" s="1">
        <v>13314</v>
      </c>
      <c r="M1055" s="1">
        <v>13505</v>
      </c>
      <c r="N1055" s="1">
        <v>13728</v>
      </c>
      <c r="O1055" s="1">
        <v>14485</v>
      </c>
      <c r="P1055" s="1">
        <v>14856</v>
      </c>
      <c r="Q1055" s="1">
        <v>15426</v>
      </c>
      <c r="R1055" s="1">
        <v>15604</v>
      </c>
      <c r="S1055" s="1">
        <v>15706</v>
      </c>
      <c r="T1055" s="1">
        <v>16277</v>
      </c>
      <c r="U1055" s="1">
        <v>16764</v>
      </c>
      <c r="V1055" s="1">
        <v>17141</v>
      </c>
      <c r="W1055" s="1">
        <v>17703</v>
      </c>
      <c r="X1055" s="1">
        <v>17777</v>
      </c>
      <c r="Y1055" s="1">
        <v>17936</v>
      </c>
      <c r="Z1055" s="1">
        <v>18699</v>
      </c>
      <c r="AA1055" s="1">
        <v>19175</v>
      </c>
    </row>
    <row r="1056" spans="2:27" ht="15.75" x14ac:dyDescent="0.25">
      <c r="B1056" s="6" t="s">
        <v>191</v>
      </c>
      <c r="C1056" s="6"/>
      <c r="D1056" s="5">
        <v>9656</v>
      </c>
      <c r="E1056" s="5">
        <v>9920</v>
      </c>
      <c r="F1056" s="5">
        <v>10414</v>
      </c>
      <c r="G1056" s="5">
        <v>10969</v>
      </c>
      <c r="H1056" s="5">
        <v>11259</v>
      </c>
      <c r="I1056" s="5">
        <v>11593</v>
      </c>
      <c r="J1056" s="5">
        <v>11905</v>
      </c>
      <c r="K1056" s="5"/>
      <c r="L1056" s="5">
        <v>12275</v>
      </c>
      <c r="M1056" s="5">
        <v>12623</v>
      </c>
      <c r="N1056" s="5">
        <v>13028</v>
      </c>
      <c r="O1056" s="5">
        <v>13577</v>
      </c>
      <c r="P1056" s="5">
        <v>13759</v>
      </c>
      <c r="Q1056" s="5">
        <v>14086</v>
      </c>
      <c r="R1056" s="5">
        <v>14195</v>
      </c>
      <c r="S1056" s="5">
        <v>14489</v>
      </c>
      <c r="T1056" s="5">
        <v>14922</v>
      </c>
      <c r="U1056" s="5">
        <v>15294</v>
      </c>
      <c r="V1056" s="5">
        <v>15683</v>
      </c>
      <c r="W1056" s="5">
        <v>16426</v>
      </c>
      <c r="X1056" s="5">
        <v>16473</v>
      </c>
      <c r="Y1056" s="5">
        <v>16853</v>
      </c>
      <c r="Z1056" s="5">
        <v>17579</v>
      </c>
      <c r="AA1056" s="5">
        <v>17959</v>
      </c>
    </row>
    <row r="1057" spans="2:27" ht="15.75" x14ac:dyDescent="0.25">
      <c r="B1057" s="4" t="s">
        <v>190</v>
      </c>
      <c r="C1057" s="4"/>
      <c r="D1057" s="3">
        <v>9222</v>
      </c>
      <c r="E1057" s="3">
        <v>9451</v>
      </c>
      <c r="F1057" s="3">
        <v>10052</v>
      </c>
      <c r="G1057" s="3">
        <v>10527</v>
      </c>
      <c r="H1057" s="3">
        <v>10775</v>
      </c>
      <c r="I1057" s="3">
        <v>11142</v>
      </c>
      <c r="J1057" s="3">
        <v>11484</v>
      </c>
      <c r="K1057" s="3"/>
      <c r="L1057" s="3">
        <v>11898</v>
      </c>
      <c r="M1057" s="3">
        <v>12267</v>
      </c>
      <c r="N1057" s="3">
        <v>12645</v>
      </c>
      <c r="O1057" s="3">
        <v>13167</v>
      </c>
      <c r="P1057" s="3">
        <v>13329</v>
      </c>
      <c r="Q1057" s="3">
        <v>13640</v>
      </c>
      <c r="R1057" s="3">
        <v>13799</v>
      </c>
      <c r="S1057" s="3">
        <v>14248</v>
      </c>
      <c r="T1057" s="3">
        <v>14585</v>
      </c>
      <c r="U1057" s="3">
        <v>14763</v>
      </c>
      <c r="V1057" s="3">
        <v>15122</v>
      </c>
      <c r="W1057" s="3">
        <v>15840</v>
      </c>
      <c r="X1057" s="3">
        <v>15995</v>
      </c>
      <c r="Y1057" s="3">
        <v>16470</v>
      </c>
      <c r="Z1057" s="3">
        <v>17256</v>
      </c>
      <c r="AA1057" s="3">
        <v>17670</v>
      </c>
    </row>
    <row r="1058" spans="2:27" ht="15.75" x14ac:dyDescent="0.25">
      <c r="B1058" s="2" t="s">
        <v>189</v>
      </c>
      <c r="C1058" s="2"/>
      <c r="D1058" s="1">
        <v>7417</v>
      </c>
      <c r="E1058" s="1">
        <v>7669</v>
      </c>
      <c r="F1058" s="1">
        <v>8210</v>
      </c>
      <c r="G1058" s="1">
        <v>8984</v>
      </c>
      <c r="H1058" s="1">
        <v>9444</v>
      </c>
      <c r="I1058" s="1">
        <v>9728</v>
      </c>
      <c r="J1058" s="1">
        <v>9761</v>
      </c>
      <c r="K1058" s="1"/>
      <c r="L1058" s="1">
        <v>9942</v>
      </c>
      <c r="M1058" s="1">
        <v>10201</v>
      </c>
      <c r="N1058" s="1">
        <v>10276</v>
      </c>
      <c r="O1058" s="1">
        <v>10651</v>
      </c>
      <c r="P1058" s="1">
        <v>10951</v>
      </c>
      <c r="Q1058" s="1">
        <v>11428</v>
      </c>
      <c r="R1058" s="1">
        <v>11539</v>
      </c>
      <c r="S1058" s="1">
        <v>11920</v>
      </c>
      <c r="T1058" s="1">
        <v>12244</v>
      </c>
      <c r="U1058" s="1">
        <v>12406</v>
      </c>
      <c r="V1058" s="1">
        <v>12832</v>
      </c>
      <c r="W1058" s="1">
        <v>13237</v>
      </c>
      <c r="X1058" s="1">
        <v>13441</v>
      </c>
      <c r="Y1058" s="1">
        <v>13791</v>
      </c>
      <c r="Z1058" s="1">
        <v>14436</v>
      </c>
      <c r="AA1058" s="1">
        <v>14908</v>
      </c>
    </row>
    <row r="1059" spans="2:27" ht="15.75" x14ac:dyDescent="0.25">
      <c r="B1059" s="2" t="s">
        <v>188</v>
      </c>
      <c r="C1059" s="2"/>
      <c r="D1059" s="1">
        <v>10728</v>
      </c>
      <c r="E1059" s="1">
        <v>10864</v>
      </c>
      <c r="F1059" s="1">
        <v>11782</v>
      </c>
      <c r="G1059" s="1">
        <v>12087</v>
      </c>
      <c r="H1059" s="1">
        <v>12027</v>
      </c>
      <c r="I1059" s="1">
        <v>12526</v>
      </c>
      <c r="J1059" s="1">
        <v>13014</v>
      </c>
      <c r="K1059" s="1"/>
      <c r="L1059" s="1">
        <v>13635</v>
      </c>
      <c r="M1059" s="1">
        <v>14205</v>
      </c>
      <c r="N1059" s="1">
        <v>14795</v>
      </c>
      <c r="O1059" s="1">
        <v>15214</v>
      </c>
      <c r="P1059" s="1">
        <v>15406</v>
      </c>
      <c r="Q1059" s="1">
        <v>15803</v>
      </c>
      <c r="R1059" s="1">
        <v>16036</v>
      </c>
      <c r="S1059" s="1">
        <v>16424</v>
      </c>
      <c r="T1059" s="1">
        <v>16747</v>
      </c>
      <c r="U1059" s="1">
        <v>16983</v>
      </c>
      <c r="V1059" s="1">
        <v>17356</v>
      </c>
      <c r="W1059" s="1">
        <v>18492</v>
      </c>
      <c r="X1059" s="1">
        <v>18537</v>
      </c>
      <c r="Y1059" s="1">
        <v>19081</v>
      </c>
      <c r="Z1059" s="1">
        <v>20085</v>
      </c>
      <c r="AA1059" s="1">
        <v>20516</v>
      </c>
    </row>
    <row r="1060" spans="2:27" ht="15.75" x14ac:dyDescent="0.25">
      <c r="B1060" s="2" t="s">
        <v>187</v>
      </c>
      <c r="C1060" s="2"/>
      <c r="D1060" s="1">
        <v>9264</v>
      </c>
      <c r="E1060" s="1">
        <v>9546</v>
      </c>
      <c r="F1060" s="1">
        <v>9846</v>
      </c>
      <c r="G1060" s="1">
        <v>10214</v>
      </c>
      <c r="H1060" s="1">
        <v>10576</v>
      </c>
      <c r="I1060" s="1">
        <v>10860</v>
      </c>
      <c r="J1060" s="1">
        <v>11290</v>
      </c>
      <c r="K1060" s="1"/>
      <c r="L1060" s="1">
        <v>11677</v>
      </c>
      <c r="M1060" s="1">
        <v>11930</v>
      </c>
      <c r="N1060" s="1">
        <v>12328</v>
      </c>
      <c r="O1060" s="1">
        <v>13061</v>
      </c>
      <c r="P1060" s="1">
        <v>13081</v>
      </c>
      <c r="Q1060" s="1">
        <v>13169</v>
      </c>
      <c r="R1060" s="1">
        <v>13285</v>
      </c>
      <c r="S1060" s="1">
        <v>13844</v>
      </c>
      <c r="T1060" s="1">
        <v>14206</v>
      </c>
      <c r="U1060" s="1">
        <v>14338</v>
      </c>
      <c r="V1060" s="1">
        <v>14623</v>
      </c>
      <c r="W1060" s="1">
        <v>15173</v>
      </c>
      <c r="X1060" s="1">
        <v>15406</v>
      </c>
      <c r="Y1060" s="1">
        <v>15912</v>
      </c>
      <c r="Z1060" s="1">
        <v>16576</v>
      </c>
      <c r="AA1060" s="1">
        <v>16906</v>
      </c>
    </row>
    <row r="1061" spans="2:27" ht="15.75" x14ac:dyDescent="0.25">
      <c r="B1061" s="4" t="s">
        <v>186</v>
      </c>
      <c r="C1061" s="4"/>
      <c r="D1061" s="3">
        <v>11371</v>
      </c>
      <c r="E1061" s="3">
        <v>12003</v>
      </c>
      <c r="F1061" s="3">
        <v>12362</v>
      </c>
      <c r="G1061" s="3">
        <v>12593</v>
      </c>
      <c r="H1061" s="3">
        <v>13002</v>
      </c>
      <c r="I1061" s="3">
        <v>13598</v>
      </c>
      <c r="J1061" s="3">
        <v>13878</v>
      </c>
      <c r="K1061" s="3"/>
      <c r="L1061" s="3">
        <v>14158</v>
      </c>
      <c r="M1061" s="3">
        <v>14863</v>
      </c>
      <c r="N1061" s="3">
        <v>15688</v>
      </c>
      <c r="O1061" s="3">
        <v>16293</v>
      </c>
      <c r="P1061" s="3">
        <v>16607</v>
      </c>
      <c r="Q1061" s="3">
        <v>17243</v>
      </c>
      <c r="R1061" s="3">
        <v>17215</v>
      </c>
      <c r="S1061" s="3">
        <v>17565</v>
      </c>
      <c r="T1061" s="3">
        <v>18240</v>
      </c>
      <c r="U1061" s="3">
        <v>18609</v>
      </c>
      <c r="V1061" s="3">
        <v>18926</v>
      </c>
      <c r="W1061" s="3">
        <v>20079</v>
      </c>
      <c r="X1061" s="3">
        <v>20110</v>
      </c>
      <c r="Y1061" s="3">
        <v>20603</v>
      </c>
      <c r="Z1061" s="3">
        <v>21666</v>
      </c>
      <c r="AA1061" s="3">
        <v>22229</v>
      </c>
    </row>
    <row r="1062" spans="2:27" ht="15.75" x14ac:dyDescent="0.25">
      <c r="B1062" s="2" t="s">
        <v>185</v>
      </c>
      <c r="C1062" s="2"/>
      <c r="D1062" s="1">
        <v>10502</v>
      </c>
      <c r="E1062" s="1">
        <v>11136</v>
      </c>
      <c r="F1062" s="1">
        <v>11972</v>
      </c>
      <c r="G1062" s="1">
        <v>12396</v>
      </c>
      <c r="H1062" s="1">
        <v>12887</v>
      </c>
      <c r="I1062" s="1">
        <v>13453</v>
      </c>
      <c r="J1062" s="1">
        <v>13407</v>
      </c>
      <c r="K1062" s="1"/>
      <c r="L1062" s="1">
        <v>13090</v>
      </c>
      <c r="M1062" s="1">
        <v>13393</v>
      </c>
      <c r="N1062" s="1">
        <v>14066</v>
      </c>
      <c r="O1062" s="1">
        <v>14894</v>
      </c>
      <c r="P1062" s="1">
        <v>14975</v>
      </c>
      <c r="Q1062" s="1">
        <v>15498</v>
      </c>
      <c r="R1062" s="1">
        <v>15636</v>
      </c>
      <c r="S1062" s="1">
        <v>15835</v>
      </c>
      <c r="T1062" s="1">
        <v>16540</v>
      </c>
      <c r="U1062" s="1">
        <v>16865</v>
      </c>
      <c r="V1062" s="1">
        <v>17504</v>
      </c>
      <c r="W1062" s="1">
        <v>18290</v>
      </c>
      <c r="X1062" s="1">
        <v>18314</v>
      </c>
      <c r="Y1062" s="1">
        <v>18744</v>
      </c>
      <c r="Z1062" s="1">
        <v>19765</v>
      </c>
      <c r="AA1062" s="1">
        <v>20216</v>
      </c>
    </row>
    <row r="1063" spans="2:27" ht="15.75" x14ac:dyDescent="0.25">
      <c r="B1063" s="2" t="s">
        <v>184</v>
      </c>
      <c r="C1063" s="2"/>
      <c r="D1063" s="1">
        <v>11645</v>
      </c>
      <c r="E1063" s="1">
        <v>12276</v>
      </c>
      <c r="F1063" s="1">
        <v>12485</v>
      </c>
      <c r="G1063" s="1">
        <v>12655</v>
      </c>
      <c r="H1063" s="1">
        <v>13039</v>
      </c>
      <c r="I1063" s="1">
        <v>13644</v>
      </c>
      <c r="J1063" s="1">
        <v>14028</v>
      </c>
      <c r="K1063" s="1"/>
      <c r="L1063" s="1">
        <v>14502</v>
      </c>
      <c r="M1063" s="1">
        <v>15337</v>
      </c>
      <c r="N1063" s="1">
        <v>16210</v>
      </c>
      <c r="O1063" s="1">
        <v>16742</v>
      </c>
      <c r="P1063" s="1">
        <v>17131</v>
      </c>
      <c r="Q1063" s="1">
        <v>17806</v>
      </c>
      <c r="R1063" s="1">
        <v>17730</v>
      </c>
      <c r="S1063" s="1">
        <v>18134</v>
      </c>
      <c r="T1063" s="1">
        <v>18802</v>
      </c>
      <c r="U1063" s="1">
        <v>19192</v>
      </c>
      <c r="V1063" s="1">
        <v>19405</v>
      </c>
      <c r="W1063" s="1">
        <v>20687</v>
      </c>
      <c r="X1063" s="1">
        <v>20719</v>
      </c>
      <c r="Y1063" s="1">
        <v>21235</v>
      </c>
      <c r="Z1063" s="1">
        <v>22316</v>
      </c>
      <c r="AA1063" s="1">
        <v>22915</v>
      </c>
    </row>
    <row r="1064" spans="2:27" ht="15.75" x14ac:dyDescent="0.25">
      <c r="B1064" s="4" t="s">
        <v>183</v>
      </c>
      <c r="C1064" s="4"/>
      <c r="D1064" s="3">
        <v>8977</v>
      </c>
      <c r="E1064" s="3">
        <v>9166</v>
      </c>
      <c r="F1064" s="3">
        <v>9703</v>
      </c>
      <c r="G1064" s="3">
        <v>10268</v>
      </c>
      <c r="H1064" s="3">
        <v>10676</v>
      </c>
      <c r="I1064" s="3">
        <v>10941</v>
      </c>
      <c r="J1064" s="3">
        <v>11256</v>
      </c>
      <c r="K1064" s="3"/>
      <c r="L1064" s="3">
        <v>11662</v>
      </c>
      <c r="M1064" s="3">
        <v>11910</v>
      </c>
      <c r="N1064" s="3">
        <v>12200</v>
      </c>
      <c r="O1064" s="3">
        <v>12635</v>
      </c>
      <c r="P1064" s="3">
        <v>12806</v>
      </c>
      <c r="Q1064" s="3">
        <v>13153</v>
      </c>
      <c r="R1064" s="3">
        <v>13278</v>
      </c>
      <c r="S1064" s="3">
        <v>13550</v>
      </c>
      <c r="T1064" s="3">
        <v>13981</v>
      </c>
      <c r="U1064" s="3">
        <v>14343</v>
      </c>
      <c r="V1064" s="3">
        <v>14856</v>
      </c>
      <c r="W1064" s="3">
        <v>15368</v>
      </c>
      <c r="X1064" s="3">
        <v>15388</v>
      </c>
      <c r="Y1064" s="3">
        <v>15732</v>
      </c>
      <c r="Z1064" s="3">
        <v>16338</v>
      </c>
      <c r="AA1064" s="3">
        <v>16653</v>
      </c>
    </row>
    <row r="1065" spans="2:27" ht="15.75" x14ac:dyDescent="0.25">
      <c r="B1065" s="2" t="s">
        <v>182</v>
      </c>
      <c r="C1065" s="2"/>
      <c r="D1065" s="1">
        <v>8740</v>
      </c>
      <c r="E1065" s="1">
        <v>8958</v>
      </c>
      <c r="F1065" s="1">
        <v>9517</v>
      </c>
      <c r="G1065" s="1">
        <v>10135</v>
      </c>
      <c r="H1065" s="1">
        <v>10454</v>
      </c>
      <c r="I1065" s="1">
        <v>10694</v>
      </c>
      <c r="J1065" s="1">
        <v>11072</v>
      </c>
      <c r="K1065" s="1"/>
      <c r="L1065" s="1">
        <v>11351</v>
      </c>
      <c r="M1065" s="1">
        <v>11729</v>
      </c>
      <c r="N1065" s="1">
        <v>12093</v>
      </c>
      <c r="O1065" s="1">
        <v>12621</v>
      </c>
      <c r="P1065" s="1">
        <v>12695</v>
      </c>
      <c r="Q1065" s="1">
        <v>12982</v>
      </c>
      <c r="R1065" s="1">
        <v>13245</v>
      </c>
      <c r="S1065" s="1">
        <v>13654</v>
      </c>
      <c r="T1065" s="1">
        <v>14141</v>
      </c>
      <c r="U1065" s="1">
        <v>14579</v>
      </c>
      <c r="V1065" s="1">
        <v>15083</v>
      </c>
      <c r="W1065" s="1">
        <v>15615</v>
      </c>
      <c r="X1065" s="1">
        <v>15691</v>
      </c>
      <c r="Y1065" s="1">
        <v>16158</v>
      </c>
      <c r="Z1065" s="1">
        <v>16727</v>
      </c>
      <c r="AA1065" s="1">
        <v>17023</v>
      </c>
    </row>
    <row r="1066" spans="2:27" ht="15.75" x14ac:dyDescent="0.25">
      <c r="B1066" s="2" t="s">
        <v>181</v>
      </c>
      <c r="C1066" s="2"/>
      <c r="D1066" s="1">
        <v>9325</v>
      </c>
      <c r="E1066" s="1">
        <v>9469</v>
      </c>
      <c r="F1066" s="1">
        <v>9974</v>
      </c>
      <c r="G1066" s="1">
        <v>10462</v>
      </c>
      <c r="H1066" s="1">
        <v>11001</v>
      </c>
      <c r="I1066" s="1">
        <v>11304</v>
      </c>
      <c r="J1066" s="1">
        <v>11527</v>
      </c>
      <c r="K1066" s="1"/>
      <c r="L1066" s="1">
        <v>12120</v>
      </c>
      <c r="M1066" s="1">
        <v>12175</v>
      </c>
      <c r="N1066" s="1">
        <v>12356</v>
      </c>
      <c r="O1066" s="1">
        <v>12657</v>
      </c>
      <c r="P1066" s="1">
        <v>12968</v>
      </c>
      <c r="Q1066" s="1">
        <v>13403</v>
      </c>
      <c r="R1066" s="1">
        <v>13325</v>
      </c>
      <c r="S1066" s="1">
        <v>13401</v>
      </c>
      <c r="T1066" s="1">
        <v>13753</v>
      </c>
      <c r="U1066" s="1">
        <v>14006</v>
      </c>
      <c r="V1066" s="1">
        <v>14531</v>
      </c>
      <c r="W1066" s="1">
        <v>15018</v>
      </c>
      <c r="X1066" s="1">
        <v>14961</v>
      </c>
      <c r="Y1066" s="1">
        <v>15131</v>
      </c>
      <c r="Z1066" s="1">
        <v>15791</v>
      </c>
      <c r="AA1066" s="1">
        <v>16131</v>
      </c>
    </row>
    <row r="1067" spans="2:27" ht="15.75" x14ac:dyDescent="0.25">
      <c r="B1067" s="4" t="s">
        <v>180</v>
      </c>
      <c r="C1067" s="4"/>
      <c r="D1067" s="3">
        <v>9654</v>
      </c>
      <c r="E1067" s="3">
        <v>9844</v>
      </c>
      <c r="F1067" s="3">
        <v>10307</v>
      </c>
      <c r="G1067" s="3">
        <v>11000</v>
      </c>
      <c r="H1067" s="3">
        <v>11189</v>
      </c>
      <c r="I1067" s="3">
        <v>11454</v>
      </c>
      <c r="J1067" s="3">
        <v>11764</v>
      </c>
      <c r="K1067" s="3"/>
      <c r="L1067" s="3">
        <v>12124</v>
      </c>
      <c r="M1067" s="3">
        <v>12395</v>
      </c>
      <c r="N1067" s="3">
        <v>12731</v>
      </c>
      <c r="O1067" s="3">
        <v>13338</v>
      </c>
      <c r="P1067" s="3">
        <v>13487</v>
      </c>
      <c r="Q1067" s="3">
        <v>13700</v>
      </c>
      <c r="R1067" s="3">
        <v>13827</v>
      </c>
      <c r="S1067" s="3">
        <v>14051</v>
      </c>
      <c r="T1067" s="3">
        <v>14440</v>
      </c>
      <c r="U1067" s="3">
        <v>14897</v>
      </c>
      <c r="V1067" s="3">
        <v>15254</v>
      </c>
      <c r="W1067" s="3">
        <v>16000</v>
      </c>
      <c r="X1067" s="3">
        <v>16028</v>
      </c>
      <c r="Y1067" s="3">
        <v>16352</v>
      </c>
      <c r="Z1067" s="3">
        <v>17008</v>
      </c>
      <c r="AA1067" s="3">
        <v>17347</v>
      </c>
    </row>
    <row r="1068" spans="2:27" ht="15.75" x14ac:dyDescent="0.25">
      <c r="B1068" s="2" t="s">
        <v>179</v>
      </c>
      <c r="C1068" s="2"/>
      <c r="D1068" s="1">
        <v>9301</v>
      </c>
      <c r="E1068" s="1">
        <v>9424</v>
      </c>
      <c r="F1068" s="1">
        <v>9913</v>
      </c>
      <c r="G1068" s="1">
        <v>10558</v>
      </c>
      <c r="H1068" s="1">
        <v>10474</v>
      </c>
      <c r="I1068" s="1">
        <v>10692</v>
      </c>
      <c r="J1068" s="1">
        <v>10831</v>
      </c>
      <c r="K1068" s="1"/>
      <c r="L1068" s="1">
        <v>11274</v>
      </c>
      <c r="M1068" s="1">
        <v>11378</v>
      </c>
      <c r="N1068" s="1">
        <v>11615</v>
      </c>
      <c r="O1068" s="1">
        <v>12065</v>
      </c>
      <c r="P1068" s="1">
        <v>12236</v>
      </c>
      <c r="Q1068" s="1">
        <v>12447</v>
      </c>
      <c r="R1068" s="1">
        <v>12431</v>
      </c>
      <c r="S1068" s="1">
        <v>12584</v>
      </c>
      <c r="T1068" s="1">
        <v>12950</v>
      </c>
      <c r="U1068" s="1">
        <v>13423</v>
      </c>
      <c r="V1068" s="1">
        <v>13833</v>
      </c>
      <c r="W1068" s="1">
        <v>14491</v>
      </c>
      <c r="X1068" s="1">
        <v>14474</v>
      </c>
      <c r="Y1068" s="1">
        <v>14664</v>
      </c>
      <c r="Z1068" s="1">
        <v>15020</v>
      </c>
      <c r="AA1068" s="1">
        <v>15308</v>
      </c>
    </row>
    <row r="1069" spans="2:27" ht="15.75" x14ac:dyDescent="0.25">
      <c r="B1069" s="2" t="s">
        <v>178</v>
      </c>
      <c r="C1069" s="2"/>
      <c r="D1069" s="1">
        <v>10159</v>
      </c>
      <c r="E1069" s="1">
        <v>10324</v>
      </c>
      <c r="F1069" s="1">
        <v>10812</v>
      </c>
      <c r="G1069" s="1">
        <v>11629</v>
      </c>
      <c r="H1069" s="1">
        <v>11923</v>
      </c>
      <c r="I1069" s="1">
        <v>12199</v>
      </c>
      <c r="J1069" s="1">
        <v>12479</v>
      </c>
      <c r="K1069" s="1"/>
      <c r="L1069" s="1">
        <v>12663</v>
      </c>
      <c r="M1069" s="1">
        <v>12935</v>
      </c>
      <c r="N1069" s="1">
        <v>13331</v>
      </c>
      <c r="O1069" s="1">
        <v>14024</v>
      </c>
      <c r="P1069" s="1">
        <v>14277</v>
      </c>
      <c r="Q1069" s="1">
        <v>14495</v>
      </c>
      <c r="R1069" s="1">
        <v>14664</v>
      </c>
      <c r="S1069" s="1">
        <v>15033</v>
      </c>
      <c r="T1069" s="1">
        <v>15329</v>
      </c>
      <c r="U1069" s="1">
        <v>15790</v>
      </c>
      <c r="V1069" s="1">
        <v>16109</v>
      </c>
      <c r="W1069" s="1">
        <v>16857</v>
      </c>
      <c r="X1069" s="1">
        <v>16980</v>
      </c>
      <c r="Y1069" s="1">
        <v>17328</v>
      </c>
      <c r="Z1069" s="1">
        <v>18195</v>
      </c>
      <c r="AA1069" s="1">
        <v>18634</v>
      </c>
    </row>
    <row r="1070" spans="2:27" ht="15.75" x14ac:dyDescent="0.25">
      <c r="B1070" s="2" t="s">
        <v>177</v>
      </c>
      <c r="C1070" s="2"/>
      <c r="D1070" s="1">
        <v>9496</v>
      </c>
      <c r="E1070" s="1">
        <v>9735</v>
      </c>
      <c r="F1070" s="1">
        <v>10174</v>
      </c>
      <c r="G1070" s="1">
        <v>10788</v>
      </c>
      <c r="H1070" s="1">
        <v>11019</v>
      </c>
      <c r="I1070" s="1">
        <v>11253</v>
      </c>
      <c r="J1070" s="1">
        <v>11666</v>
      </c>
      <c r="K1070" s="1"/>
      <c r="L1070" s="1">
        <v>12111</v>
      </c>
      <c r="M1070" s="1">
        <v>12443</v>
      </c>
      <c r="N1070" s="1">
        <v>12776</v>
      </c>
      <c r="O1070" s="1">
        <v>13371</v>
      </c>
      <c r="P1070" s="1">
        <v>13452</v>
      </c>
      <c r="Q1070" s="1">
        <v>13670</v>
      </c>
      <c r="R1070" s="1">
        <v>13808</v>
      </c>
      <c r="S1070" s="1">
        <v>14046</v>
      </c>
      <c r="T1070" s="1">
        <v>14543</v>
      </c>
      <c r="U1070" s="1">
        <v>15000</v>
      </c>
      <c r="V1070" s="1">
        <v>15372</v>
      </c>
      <c r="W1070" s="1">
        <v>16164</v>
      </c>
      <c r="X1070" s="1">
        <v>16055</v>
      </c>
      <c r="Y1070" s="1">
        <v>16344</v>
      </c>
      <c r="Z1070" s="1">
        <v>17075</v>
      </c>
      <c r="AA1070" s="1">
        <v>17480</v>
      </c>
    </row>
    <row r="1071" spans="2:27" ht="15.75" x14ac:dyDescent="0.25">
      <c r="B1071" s="2" t="s">
        <v>176</v>
      </c>
      <c r="C1071" s="2"/>
      <c r="D1071" s="1">
        <v>9317</v>
      </c>
      <c r="E1071" s="1">
        <v>9571</v>
      </c>
      <c r="F1071" s="1">
        <v>9987</v>
      </c>
      <c r="G1071" s="1">
        <v>10625</v>
      </c>
      <c r="H1071" s="1">
        <v>10902</v>
      </c>
      <c r="I1071" s="1">
        <v>11286</v>
      </c>
      <c r="J1071" s="1">
        <v>11738</v>
      </c>
      <c r="K1071" s="1"/>
      <c r="L1071" s="1">
        <v>12219</v>
      </c>
      <c r="M1071" s="1">
        <v>12623</v>
      </c>
      <c r="N1071" s="1">
        <v>12992</v>
      </c>
      <c r="O1071" s="1">
        <v>13685</v>
      </c>
      <c r="P1071" s="1">
        <v>13704</v>
      </c>
      <c r="Q1071" s="1">
        <v>13911</v>
      </c>
      <c r="R1071" s="1">
        <v>14160</v>
      </c>
      <c r="S1071" s="1">
        <v>14150</v>
      </c>
      <c r="T1071" s="1">
        <v>14574</v>
      </c>
      <c r="U1071" s="1">
        <v>14987</v>
      </c>
      <c r="V1071" s="1">
        <v>15313</v>
      </c>
      <c r="W1071" s="1">
        <v>16093</v>
      </c>
      <c r="X1071" s="1">
        <v>16223</v>
      </c>
      <c r="Y1071" s="1">
        <v>16770</v>
      </c>
      <c r="Z1071" s="1">
        <v>17260</v>
      </c>
      <c r="AA1071" s="1">
        <v>17329</v>
      </c>
    </row>
    <row r="1072" spans="2:27" ht="15.75" x14ac:dyDescent="0.25">
      <c r="B1072" s="6" t="s">
        <v>175</v>
      </c>
      <c r="C1072" s="6"/>
      <c r="D1072" s="5">
        <v>9852</v>
      </c>
      <c r="E1072" s="5">
        <v>10045</v>
      </c>
      <c r="F1072" s="5">
        <v>10504</v>
      </c>
      <c r="G1072" s="5">
        <v>11014</v>
      </c>
      <c r="H1072" s="5">
        <v>11406</v>
      </c>
      <c r="I1072" s="5">
        <v>11717</v>
      </c>
      <c r="J1072" s="5">
        <v>12152</v>
      </c>
      <c r="K1072" s="5"/>
      <c r="L1072" s="5">
        <v>12594</v>
      </c>
      <c r="M1072" s="5">
        <v>12989</v>
      </c>
      <c r="N1072" s="5">
        <v>13379</v>
      </c>
      <c r="O1072" s="5">
        <v>14160</v>
      </c>
      <c r="P1072" s="5">
        <v>14343</v>
      </c>
      <c r="Q1072" s="5">
        <v>14535</v>
      </c>
      <c r="R1072" s="5">
        <v>14605</v>
      </c>
      <c r="S1072" s="5">
        <v>14955</v>
      </c>
      <c r="T1072" s="5">
        <v>15476</v>
      </c>
      <c r="U1072" s="5">
        <v>15905</v>
      </c>
      <c r="V1072" s="5">
        <v>16346</v>
      </c>
      <c r="W1072" s="5">
        <v>17164</v>
      </c>
      <c r="X1072" s="5">
        <v>17149</v>
      </c>
      <c r="Y1072" s="5">
        <v>17547</v>
      </c>
      <c r="Z1072" s="5">
        <v>18197</v>
      </c>
      <c r="AA1072" s="5">
        <v>18635</v>
      </c>
    </row>
    <row r="1073" spans="2:27" ht="15.75" x14ac:dyDescent="0.25">
      <c r="B1073" s="4" t="s">
        <v>174</v>
      </c>
      <c r="C1073" s="4"/>
      <c r="D1073" s="3">
        <v>9372</v>
      </c>
      <c r="E1073" s="3">
        <v>9645</v>
      </c>
      <c r="F1073" s="3">
        <v>10153</v>
      </c>
      <c r="G1073" s="3">
        <v>10585</v>
      </c>
      <c r="H1073" s="3">
        <v>11042</v>
      </c>
      <c r="I1073" s="3">
        <v>11402</v>
      </c>
      <c r="J1073" s="3">
        <v>11811</v>
      </c>
      <c r="K1073" s="3"/>
      <c r="L1073" s="3">
        <v>12252</v>
      </c>
      <c r="M1073" s="3">
        <v>12565</v>
      </c>
      <c r="N1073" s="3">
        <v>12988</v>
      </c>
      <c r="O1073" s="3">
        <v>13711</v>
      </c>
      <c r="P1073" s="3">
        <v>13928</v>
      </c>
      <c r="Q1073" s="3">
        <v>14146</v>
      </c>
      <c r="R1073" s="3">
        <v>14095</v>
      </c>
      <c r="S1073" s="3">
        <v>14335</v>
      </c>
      <c r="T1073" s="3">
        <v>14861</v>
      </c>
      <c r="U1073" s="3">
        <v>15362</v>
      </c>
      <c r="V1073" s="3">
        <v>15790</v>
      </c>
      <c r="W1073" s="3">
        <v>16642</v>
      </c>
      <c r="X1073" s="3">
        <v>16598</v>
      </c>
      <c r="Y1073" s="3">
        <v>16898</v>
      </c>
      <c r="Z1073" s="3">
        <v>17539</v>
      </c>
      <c r="AA1073" s="3">
        <v>18025</v>
      </c>
    </row>
    <row r="1074" spans="2:27" ht="15.75" x14ac:dyDescent="0.25">
      <c r="B1074" s="2" t="s">
        <v>173</v>
      </c>
      <c r="C1074" s="2"/>
      <c r="D1074" s="1">
        <v>9294</v>
      </c>
      <c r="E1074" s="1">
        <v>9393</v>
      </c>
      <c r="F1074" s="1">
        <v>9849</v>
      </c>
      <c r="G1074" s="1">
        <v>9900</v>
      </c>
      <c r="H1074" s="1">
        <v>10370</v>
      </c>
      <c r="I1074" s="1">
        <v>10785</v>
      </c>
      <c r="J1074" s="1">
        <v>11012</v>
      </c>
      <c r="K1074" s="1"/>
      <c r="L1074" s="1">
        <v>11475</v>
      </c>
      <c r="M1074" s="1">
        <v>11447</v>
      </c>
      <c r="N1074" s="1">
        <v>12167</v>
      </c>
      <c r="O1074" s="1">
        <v>12494</v>
      </c>
      <c r="P1074" s="1">
        <v>12402</v>
      </c>
      <c r="Q1074" s="1">
        <v>13026</v>
      </c>
      <c r="R1074" s="1">
        <v>12654</v>
      </c>
      <c r="S1074" s="1">
        <v>12693</v>
      </c>
      <c r="T1074" s="1">
        <v>13440</v>
      </c>
      <c r="U1074" s="1">
        <v>13886</v>
      </c>
      <c r="V1074" s="1">
        <v>14514</v>
      </c>
      <c r="W1074" s="1">
        <v>15068</v>
      </c>
      <c r="X1074" s="1">
        <v>15068</v>
      </c>
      <c r="Y1074" s="1">
        <v>15561</v>
      </c>
      <c r="Z1074" s="1">
        <v>16219</v>
      </c>
      <c r="AA1074" s="1">
        <v>16793</v>
      </c>
    </row>
    <row r="1075" spans="2:27" ht="15.75" x14ac:dyDescent="0.25">
      <c r="B1075" s="2" t="s">
        <v>172</v>
      </c>
      <c r="C1075" s="2"/>
      <c r="D1075" s="1">
        <v>8610</v>
      </c>
      <c r="E1075" s="1">
        <v>8918</v>
      </c>
      <c r="F1075" s="1">
        <v>9532</v>
      </c>
      <c r="G1075" s="1">
        <v>9938</v>
      </c>
      <c r="H1075" s="1">
        <v>10684</v>
      </c>
      <c r="I1075" s="1">
        <v>10990</v>
      </c>
      <c r="J1075" s="1">
        <v>11198</v>
      </c>
      <c r="K1075" s="1"/>
      <c r="L1075" s="1">
        <v>11553</v>
      </c>
      <c r="M1075" s="1">
        <v>11945</v>
      </c>
      <c r="N1075" s="1">
        <v>12491</v>
      </c>
      <c r="O1075" s="1">
        <v>13187</v>
      </c>
      <c r="P1075" s="1">
        <v>13155</v>
      </c>
      <c r="Q1075" s="1">
        <v>13314</v>
      </c>
      <c r="R1075" s="1">
        <v>13360</v>
      </c>
      <c r="S1075" s="1">
        <v>13677</v>
      </c>
      <c r="T1075" s="1">
        <v>14181</v>
      </c>
      <c r="U1075" s="1">
        <v>14494</v>
      </c>
      <c r="V1075" s="1">
        <v>14852</v>
      </c>
      <c r="W1075" s="1">
        <v>15842</v>
      </c>
      <c r="X1075" s="1">
        <v>15632</v>
      </c>
      <c r="Y1075" s="1">
        <v>16134</v>
      </c>
      <c r="Z1075" s="1">
        <v>16990</v>
      </c>
      <c r="AA1075" s="1">
        <v>17405</v>
      </c>
    </row>
    <row r="1076" spans="2:27" ht="15.75" x14ac:dyDescent="0.25">
      <c r="B1076" s="2" t="s">
        <v>171</v>
      </c>
      <c r="C1076" s="2"/>
      <c r="D1076" s="1">
        <v>9648</v>
      </c>
      <c r="E1076" s="1">
        <v>9890</v>
      </c>
      <c r="F1076" s="1">
        <v>10447</v>
      </c>
      <c r="G1076" s="1">
        <v>10972</v>
      </c>
      <c r="H1076" s="1">
        <v>11377</v>
      </c>
      <c r="I1076" s="1">
        <v>11790</v>
      </c>
      <c r="J1076" s="1">
        <v>12624</v>
      </c>
      <c r="K1076" s="1"/>
      <c r="L1076" s="1">
        <v>13232</v>
      </c>
      <c r="M1076" s="1">
        <v>13750</v>
      </c>
      <c r="N1076" s="1">
        <v>14203</v>
      </c>
      <c r="O1076" s="1">
        <v>14947</v>
      </c>
      <c r="P1076" s="1">
        <v>15228</v>
      </c>
      <c r="Q1076" s="1">
        <v>15346</v>
      </c>
      <c r="R1076" s="1">
        <v>15443</v>
      </c>
      <c r="S1076" s="1">
        <v>16071</v>
      </c>
      <c r="T1076" s="1">
        <v>16596</v>
      </c>
      <c r="U1076" s="1">
        <v>17343</v>
      </c>
      <c r="V1076" s="1">
        <v>17640</v>
      </c>
      <c r="W1076" s="1">
        <v>18884</v>
      </c>
      <c r="X1076" s="1">
        <v>18853</v>
      </c>
      <c r="Y1076" s="1">
        <v>19027</v>
      </c>
      <c r="Z1076" s="1">
        <v>19700</v>
      </c>
      <c r="AA1076" s="1">
        <v>20158</v>
      </c>
    </row>
    <row r="1077" spans="2:27" ht="15.75" x14ac:dyDescent="0.25">
      <c r="B1077" s="2" t="s">
        <v>170</v>
      </c>
      <c r="C1077" s="2"/>
      <c r="D1077" s="1">
        <v>8308</v>
      </c>
      <c r="E1077" s="1">
        <v>8534</v>
      </c>
      <c r="F1077" s="1">
        <v>8991</v>
      </c>
      <c r="G1077" s="1">
        <v>9388</v>
      </c>
      <c r="H1077" s="1">
        <v>9557</v>
      </c>
      <c r="I1077" s="1">
        <v>9760</v>
      </c>
      <c r="J1077" s="1">
        <v>9834</v>
      </c>
      <c r="K1077" s="1"/>
      <c r="L1077" s="1">
        <v>9725</v>
      </c>
      <c r="M1077" s="1">
        <v>9936</v>
      </c>
      <c r="N1077" s="1">
        <v>10128</v>
      </c>
      <c r="O1077" s="1">
        <v>10589</v>
      </c>
      <c r="P1077" s="1">
        <v>10804</v>
      </c>
      <c r="Q1077" s="1">
        <v>10804</v>
      </c>
      <c r="R1077" s="1">
        <v>10809</v>
      </c>
      <c r="S1077" s="1">
        <v>10874</v>
      </c>
      <c r="T1077" s="1">
        <v>11180</v>
      </c>
      <c r="U1077" s="1">
        <v>11777</v>
      </c>
      <c r="V1077" s="1">
        <v>12081</v>
      </c>
      <c r="W1077" s="1">
        <v>12590</v>
      </c>
      <c r="X1077" s="1">
        <v>12658</v>
      </c>
      <c r="Y1077" s="1">
        <v>12723</v>
      </c>
      <c r="Z1077" s="1">
        <v>13021</v>
      </c>
      <c r="AA1077" s="1">
        <v>13381</v>
      </c>
    </row>
    <row r="1078" spans="2:27" ht="15.75" x14ac:dyDescent="0.25">
      <c r="B1078" s="2" t="s">
        <v>169</v>
      </c>
      <c r="C1078" s="2"/>
      <c r="D1078" s="1">
        <v>9038</v>
      </c>
      <c r="E1078" s="1">
        <v>9431</v>
      </c>
      <c r="F1078" s="1">
        <v>9854</v>
      </c>
      <c r="G1078" s="1">
        <v>10482</v>
      </c>
      <c r="H1078" s="1">
        <v>10857</v>
      </c>
      <c r="I1078" s="1">
        <v>11265</v>
      </c>
      <c r="J1078" s="1">
        <v>11598</v>
      </c>
      <c r="K1078" s="1"/>
      <c r="L1078" s="1">
        <v>12232</v>
      </c>
      <c r="M1078" s="1">
        <v>12514</v>
      </c>
      <c r="N1078" s="1">
        <v>12750</v>
      </c>
      <c r="O1078" s="1">
        <v>13638</v>
      </c>
      <c r="P1078" s="1">
        <v>13958</v>
      </c>
      <c r="Q1078" s="1">
        <v>14275</v>
      </c>
      <c r="R1078" s="1">
        <v>14203</v>
      </c>
      <c r="S1078" s="1">
        <v>14334</v>
      </c>
      <c r="T1078" s="1">
        <v>14723</v>
      </c>
      <c r="U1078" s="1">
        <v>15026</v>
      </c>
      <c r="V1078" s="1">
        <v>15545</v>
      </c>
      <c r="W1078" s="1">
        <v>16492</v>
      </c>
      <c r="X1078" s="1">
        <v>16450</v>
      </c>
      <c r="Y1078" s="1">
        <v>16824</v>
      </c>
      <c r="Z1078" s="1">
        <v>17652</v>
      </c>
      <c r="AA1078" s="1">
        <v>18225</v>
      </c>
    </row>
    <row r="1079" spans="2:27" ht="15.75" x14ac:dyDescent="0.25">
      <c r="B1079" s="2" t="s">
        <v>168</v>
      </c>
      <c r="C1079" s="2"/>
      <c r="D1079" s="1">
        <v>11015</v>
      </c>
      <c r="E1079" s="1">
        <v>11303</v>
      </c>
      <c r="F1079" s="1">
        <v>11830</v>
      </c>
      <c r="G1079" s="1">
        <v>12183</v>
      </c>
      <c r="H1079" s="1">
        <v>12804</v>
      </c>
      <c r="I1079" s="1">
        <v>13166</v>
      </c>
      <c r="J1079" s="1">
        <v>13665</v>
      </c>
      <c r="K1079" s="1"/>
      <c r="L1079" s="1">
        <v>14159</v>
      </c>
      <c r="M1079" s="1">
        <v>14520</v>
      </c>
      <c r="N1079" s="1">
        <v>15040</v>
      </c>
      <c r="O1079" s="1">
        <v>16057</v>
      </c>
      <c r="P1079" s="1">
        <v>16493</v>
      </c>
      <c r="Q1079" s="1">
        <v>16697</v>
      </c>
      <c r="R1079" s="1">
        <v>16601</v>
      </c>
      <c r="S1079" s="1">
        <v>16699</v>
      </c>
      <c r="T1079" s="1">
        <v>17499</v>
      </c>
      <c r="U1079" s="1">
        <v>18010</v>
      </c>
      <c r="V1079" s="1">
        <v>18548</v>
      </c>
      <c r="W1079" s="1">
        <v>19163</v>
      </c>
      <c r="X1079" s="1">
        <v>19151</v>
      </c>
      <c r="Y1079" s="1">
        <v>19467</v>
      </c>
      <c r="Z1079" s="1">
        <v>19928</v>
      </c>
      <c r="AA1079" s="1">
        <v>20432</v>
      </c>
    </row>
    <row r="1080" spans="2:27" ht="15.75" x14ac:dyDescent="0.25">
      <c r="B1080" s="4" t="s">
        <v>167</v>
      </c>
      <c r="C1080" s="4"/>
      <c r="D1080" s="3">
        <v>10393</v>
      </c>
      <c r="E1080" s="3">
        <v>10472</v>
      </c>
      <c r="F1080" s="3">
        <v>10910</v>
      </c>
      <c r="G1080" s="3">
        <v>11541</v>
      </c>
      <c r="H1080" s="3">
        <v>11875</v>
      </c>
      <c r="I1080" s="3">
        <v>12136</v>
      </c>
      <c r="J1080" s="3">
        <v>12581</v>
      </c>
      <c r="K1080" s="3"/>
      <c r="L1080" s="3">
        <v>13019</v>
      </c>
      <c r="M1080" s="3">
        <v>13452</v>
      </c>
      <c r="N1080" s="3">
        <v>13861</v>
      </c>
      <c r="O1080" s="3">
        <v>14709</v>
      </c>
      <c r="P1080" s="3">
        <v>14784</v>
      </c>
      <c r="Q1080" s="3">
        <v>14915</v>
      </c>
      <c r="R1080" s="3">
        <v>15049</v>
      </c>
      <c r="S1080" s="3">
        <v>15505</v>
      </c>
      <c r="T1080" s="3">
        <v>16049</v>
      </c>
      <c r="U1080" s="3">
        <v>16443</v>
      </c>
      <c r="V1080" s="3">
        <v>16896</v>
      </c>
      <c r="W1080" s="3">
        <v>17777</v>
      </c>
      <c r="X1080" s="3">
        <v>17782</v>
      </c>
      <c r="Y1080" s="3">
        <v>18287</v>
      </c>
      <c r="Z1080" s="3">
        <v>18934</v>
      </c>
      <c r="AA1080" s="3">
        <v>19305</v>
      </c>
    </row>
    <row r="1081" spans="2:27" ht="15.75" x14ac:dyDescent="0.25">
      <c r="B1081" s="2" t="s">
        <v>166</v>
      </c>
      <c r="C1081" s="2"/>
      <c r="D1081" s="1">
        <v>8375</v>
      </c>
      <c r="E1081" s="1">
        <v>8164</v>
      </c>
      <c r="F1081" s="1">
        <v>8636</v>
      </c>
      <c r="G1081" s="1">
        <v>9173</v>
      </c>
      <c r="H1081" s="1">
        <v>9472</v>
      </c>
      <c r="I1081" s="1">
        <v>9734</v>
      </c>
      <c r="J1081" s="1">
        <v>9917</v>
      </c>
      <c r="K1081" s="1"/>
      <c r="L1081" s="1">
        <v>10161</v>
      </c>
      <c r="M1081" s="1">
        <v>10130</v>
      </c>
      <c r="N1081" s="1">
        <v>10320</v>
      </c>
      <c r="O1081" s="1">
        <v>10816</v>
      </c>
      <c r="P1081" s="1">
        <v>10690</v>
      </c>
      <c r="Q1081" s="1">
        <v>10944</v>
      </c>
      <c r="R1081" s="1">
        <v>11217</v>
      </c>
      <c r="S1081" s="1">
        <v>11308</v>
      </c>
      <c r="T1081" s="1">
        <v>11722</v>
      </c>
      <c r="U1081" s="1">
        <v>11977</v>
      </c>
      <c r="V1081" s="1">
        <v>12231</v>
      </c>
      <c r="W1081" s="1">
        <v>12706</v>
      </c>
      <c r="X1081" s="1">
        <v>12918</v>
      </c>
      <c r="Y1081" s="1">
        <v>13210</v>
      </c>
      <c r="Z1081" s="1">
        <v>13512</v>
      </c>
      <c r="AA1081" s="1">
        <v>13802</v>
      </c>
    </row>
    <row r="1082" spans="2:27" ht="15.75" x14ac:dyDescent="0.25">
      <c r="B1082" s="2" t="s">
        <v>165</v>
      </c>
      <c r="C1082" s="2"/>
      <c r="D1082" s="1">
        <v>11098</v>
      </c>
      <c r="E1082" s="1">
        <v>11279</v>
      </c>
      <c r="F1082" s="1">
        <v>11694</v>
      </c>
      <c r="G1082" s="1">
        <v>12216</v>
      </c>
      <c r="H1082" s="1">
        <v>12542</v>
      </c>
      <c r="I1082" s="1">
        <v>12914</v>
      </c>
      <c r="J1082" s="1">
        <v>13501</v>
      </c>
      <c r="K1082" s="1"/>
      <c r="L1082" s="1">
        <v>14010</v>
      </c>
      <c r="M1082" s="1">
        <v>14490</v>
      </c>
      <c r="N1082" s="1">
        <v>14830</v>
      </c>
      <c r="O1082" s="1">
        <v>15604</v>
      </c>
      <c r="P1082" s="1">
        <v>15713</v>
      </c>
      <c r="Q1082" s="1">
        <v>15994</v>
      </c>
      <c r="R1082" s="1">
        <v>16163</v>
      </c>
      <c r="S1082" s="1">
        <v>16530</v>
      </c>
      <c r="T1082" s="1">
        <v>16995</v>
      </c>
      <c r="U1082" s="1">
        <v>17337</v>
      </c>
      <c r="V1082" s="1">
        <v>17803</v>
      </c>
      <c r="W1082" s="1">
        <v>18659</v>
      </c>
      <c r="X1082" s="1">
        <v>18543</v>
      </c>
      <c r="Y1082" s="1">
        <v>19210</v>
      </c>
      <c r="Z1082" s="1">
        <v>19892</v>
      </c>
      <c r="AA1082" s="1">
        <v>20162</v>
      </c>
    </row>
    <row r="1083" spans="2:27" ht="15.75" x14ac:dyDescent="0.25">
      <c r="B1083" s="2" t="s">
        <v>164</v>
      </c>
      <c r="C1083" s="2"/>
      <c r="D1083" s="1">
        <v>10928</v>
      </c>
      <c r="E1083" s="1">
        <v>11019</v>
      </c>
      <c r="F1083" s="1">
        <v>11468</v>
      </c>
      <c r="G1083" s="1">
        <v>12346</v>
      </c>
      <c r="H1083" s="1">
        <v>12713</v>
      </c>
      <c r="I1083" s="1">
        <v>12838</v>
      </c>
      <c r="J1083" s="1">
        <v>13196</v>
      </c>
      <c r="K1083" s="1"/>
      <c r="L1083" s="1">
        <v>13650</v>
      </c>
      <c r="M1083" s="1">
        <v>14247</v>
      </c>
      <c r="N1083" s="1">
        <v>14853</v>
      </c>
      <c r="O1083" s="1">
        <v>16022</v>
      </c>
      <c r="P1083" s="1">
        <v>16067</v>
      </c>
      <c r="Q1083" s="1">
        <v>15938</v>
      </c>
      <c r="R1083" s="1">
        <v>16072</v>
      </c>
      <c r="S1083" s="1">
        <v>17103</v>
      </c>
      <c r="T1083" s="1">
        <v>17832</v>
      </c>
      <c r="U1083" s="1">
        <v>18287</v>
      </c>
      <c r="V1083" s="1">
        <v>18874</v>
      </c>
      <c r="W1083" s="1">
        <v>20011</v>
      </c>
      <c r="X1083" s="1">
        <v>20146</v>
      </c>
      <c r="Y1083" s="1">
        <v>20683</v>
      </c>
      <c r="Z1083" s="1">
        <v>21748</v>
      </c>
      <c r="AA1083" s="1">
        <v>22227</v>
      </c>
    </row>
    <row r="1084" spans="2:27" ht="15.75" x14ac:dyDescent="0.25">
      <c r="B1084" s="2" t="s">
        <v>163</v>
      </c>
      <c r="C1084" s="2"/>
      <c r="D1084" s="1">
        <v>10253</v>
      </c>
      <c r="E1084" s="1">
        <v>10389</v>
      </c>
      <c r="F1084" s="1">
        <v>10771</v>
      </c>
      <c r="G1084" s="1">
        <v>11413</v>
      </c>
      <c r="H1084" s="1">
        <v>11731</v>
      </c>
      <c r="I1084" s="1">
        <v>11909</v>
      </c>
      <c r="J1084" s="1">
        <v>12413</v>
      </c>
      <c r="K1084" s="1"/>
      <c r="L1084" s="1">
        <v>12902</v>
      </c>
      <c r="M1084" s="1">
        <v>13557</v>
      </c>
      <c r="N1084" s="1">
        <v>14131</v>
      </c>
      <c r="O1084" s="1">
        <v>15132</v>
      </c>
      <c r="P1084" s="1">
        <v>15397</v>
      </c>
      <c r="Q1084" s="1">
        <v>15415</v>
      </c>
      <c r="R1084" s="1">
        <v>15369</v>
      </c>
      <c r="S1084" s="1">
        <v>15745</v>
      </c>
      <c r="T1084" s="1">
        <v>16375</v>
      </c>
      <c r="U1084" s="1">
        <v>16952</v>
      </c>
      <c r="V1084" s="1">
        <v>17439</v>
      </c>
      <c r="W1084" s="1">
        <v>18513</v>
      </c>
      <c r="X1084" s="1">
        <v>18427</v>
      </c>
      <c r="Y1084" s="1">
        <v>18767</v>
      </c>
      <c r="Z1084" s="1">
        <v>19190</v>
      </c>
      <c r="AA1084" s="1">
        <v>19666</v>
      </c>
    </row>
    <row r="1085" spans="2:27" ht="15.75" x14ac:dyDescent="0.25">
      <c r="B1085" s="4" t="s">
        <v>162</v>
      </c>
      <c r="C1085" s="4"/>
      <c r="D1085" s="3">
        <v>10045</v>
      </c>
      <c r="E1085" s="3">
        <v>10260</v>
      </c>
      <c r="F1085" s="3">
        <v>10614</v>
      </c>
      <c r="G1085" s="3">
        <v>11067</v>
      </c>
      <c r="H1085" s="3">
        <v>11394</v>
      </c>
      <c r="I1085" s="3">
        <v>11674</v>
      </c>
      <c r="J1085" s="3">
        <v>12160</v>
      </c>
      <c r="K1085" s="3"/>
      <c r="L1085" s="3">
        <v>12610</v>
      </c>
      <c r="M1085" s="3">
        <v>13160</v>
      </c>
      <c r="N1085" s="3">
        <v>13394</v>
      </c>
      <c r="O1085" s="3">
        <v>14179</v>
      </c>
      <c r="P1085" s="3">
        <v>14514</v>
      </c>
      <c r="Q1085" s="3">
        <v>14778</v>
      </c>
      <c r="R1085" s="3">
        <v>15050</v>
      </c>
      <c r="S1085" s="3">
        <v>15470</v>
      </c>
      <c r="T1085" s="3">
        <v>15919</v>
      </c>
      <c r="U1085" s="3">
        <v>16213</v>
      </c>
      <c r="V1085" s="3">
        <v>16656</v>
      </c>
      <c r="W1085" s="3">
        <v>17215</v>
      </c>
      <c r="X1085" s="3">
        <v>17230</v>
      </c>
      <c r="Y1085" s="3">
        <v>17651</v>
      </c>
      <c r="Z1085" s="3">
        <v>18322</v>
      </c>
      <c r="AA1085" s="3">
        <v>18783</v>
      </c>
    </row>
    <row r="1086" spans="2:27" ht="15.75" x14ac:dyDescent="0.25">
      <c r="B1086" s="2" t="s">
        <v>162</v>
      </c>
      <c r="C1086" s="2"/>
      <c r="D1086" s="1">
        <v>10045</v>
      </c>
      <c r="E1086" s="1">
        <v>10260</v>
      </c>
      <c r="F1086" s="1">
        <v>10614</v>
      </c>
      <c r="G1086" s="1">
        <v>11067</v>
      </c>
      <c r="H1086" s="1">
        <v>11394</v>
      </c>
      <c r="I1086" s="1">
        <v>11674</v>
      </c>
      <c r="J1086" s="1">
        <v>12160</v>
      </c>
      <c r="K1086" s="1"/>
      <c r="L1086" s="1">
        <v>12610</v>
      </c>
      <c r="M1086" s="1">
        <v>13160</v>
      </c>
      <c r="N1086" s="1">
        <v>13394</v>
      </c>
      <c r="O1086" s="1">
        <v>14179</v>
      </c>
      <c r="P1086" s="1">
        <v>14514</v>
      </c>
      <c r="Q1086" s="1">
        <v>14778</v>
      </c>
      <c r="R1086" s="1">
        <v>15050</v>
      </c>
      <c r="S1086" s="1">
        <v>15470</v>
      </c>
      <c r="T1086" s="1">
        <v>15919</v>
      </c>
      <c r="U1086" s="1">
        <v>16213</v>
      </c>
      <c r="V1086" s="1">
        <v>16656</v>
      </c>
      <c r="W1086" s="1">
        <v>17215</v>
      </c>
      <c r="X1086" s="1">
        <v>17230</v>
      </c>
      <c r="Y1086" s="1">
        <v>17651</v>
      </c>
      <c r="Z1086" s="1">
        <v>18322</v>
      </c>
      <c r="AA1086" s="1">
        <v>18783</v>
      </c>
    </row>
    <row r="1087" spans="2:27" ht="15.75" x14ac:dyDescent="0.25">
      <c r="B1087" s="6" t="s">
        <v>152</v>
      </c>
      <c r="C1087" s="6"/>
      <c r="D1087" s="5">
        <v>9858</v>
      </c>
      <c r="E1087" s="5">
        <v>10166</v>
      </c>
      <c r="F1087" s="5">
        <v>10565</v>
      </c>
      <c r="G1087" s="5">
        <v>11140</v>
      </c>
      <c r="H1087" s="5">
        <v>11507</v>
      </c>
      <c r="I1087" s="5">
        <v>11811</v>
      </c>
      <c r="J1087" s="5">
        <v>12065</v>
      </c>
      <c r="K1087" s="5"/>
      <c r="L1087" s="5">
        <v>12466</v>
      </c>
      <c r="M1087" s="5">
        <v>12719</v>
      </c>
      <c r="N1087" s="5">
        <v>13151</v>
      </c>
      <c r="O1087" s="5">
        <v>13534</v>
      </c>
      <c r="P1087" s="5">
        <v>13898</v>
      </c>
      <c r="Q1087" s="5">
        <v>14183</v>
      </c>
      <c r="R1087" s="5">
        <v>14373</v>
      </c>
      <c r="S1087" s="5">
        <v>14616</v>
      </c>
      <c r="T1087" s="5">
        <v>15024</v>
      </c>
      <c r="U1087" s="5">
        <v>15487</v>
      </c>
      <c r="V1087" s="5">
        <v>15993</v>
      </c>
      <c r="W1087" s="5">
        <v>16828</v>
      </c>
      <c r="X1087" s="5">
        <v>17085</v>
      </c>
      <c r="Y1087" s="5">
        <v>17220</v>
      </c>
      <c r="Z1087" s="5">
        <v>17949</v>
      </c>
      <c r="AA1087" s="5">
        <v>18350</v>
      </c>
    </row>
    <row r="1088" spans="2:27" ht="15.75" x14ac:dyDescent="0.25">
      <c r="B1088" s="4" t="s">
        <v>161</v>
      </c>
      <c r="C1088" s="4"/>
      <c r="D1088" s="3">
        <v>11208</v>
      </c>
      <c r="E1088" s="3">
        <v>11662</v>
      </c>
      <c r="F1088" s="3">
        <v>12062</v>
      </c>
      <c r="G1088" s="3">
        <v>12701</v>
      </c>
      <c r="H1088" s="3">
        <v>13166</v>
      </c>
      <c r="I1088" s="3">
        <v>13587</v>
      </c>
      <c r="J1088" s="3">
        <v>13916</v>
      </c>
      <c r="K1088" s="3"/>
      <c r="L1088" s="3">
        <v>14514</v>
      </c>
      <c r="M1088" s="3">
        <v>14973</v>
      </c>
      <c r="N1088" s="3">
        <v>15625</v>
      </c>
      <c r="O1088" s="3">
        <v>15965</v>
      </c>
      <c r="P1088" s="3">
        <v>16455</v>
      </c>
      <c r="Q1088" s="3">
        <v>16743</v>
      </c>
      <c r="R1088" s="3">
        <v>16853</v>
      </c>
      <c r="S1088" s="3">
        <v>17216</v>
      </c>
      <c r="T1088" s="3">
        <v>17748</v>
      </c>
      <c r="U1088" s="3">
        <v>18395</v>
      </c>
      <c r="V1088" s="3">
        <v>19036</v>
      </c>
      <c r="W1088" s="3">
        <v>20305</v>
      </c>
      <c r="X1088" s="3">
        <v>20852</v>
      </c>
      <c r="Y1088" s="3">
        <v>20905</v>
      </c>
      <c r="Z1088" s="3">
        <v>21986</v>
      </c>
      <c r="AA1088" s="3">
        <v>22490</v>
      </c>
    </row>
    <row r="1089" spans="2:27" ht="15.75" x14ac:dyDescent="0.25">
      <c r="B1089" s="2" t="s">
        <v>160</v>
      </c>
      <c r="C1089" s="2"/>
      <c r="D1089" s="1">
        <v>10194</v>
      </c>
      <c r="E1089" s="1">
        <v>10622</v>
      </c>
      <c r="F1089" s="1">
        <v>10891</v>
      </c>
      <c r="G1089" s="1">
        <v>11484</v>
      </c>
      <c r="H1089" s="1">
        <v>12026</v>
      </c>
      <c r="I1089" s="1">
        <v>12489</v>
      </c>
      <c r="J1089" s="1">
        <v>12881</v>
      </c>
      <c r="K1089" s="1"/>
      <c r="L1089" s="1">
        <v>13514</v>
      </c>
      <c r="M1089" s="1">
        <v>13880</v>
      </c>
      <c r="N1089" s="1">
        <v>14661</v>
      </c>
      <c r="O1089" s="1">
        <v>14954</v>
      </c>
      <c r="P1089" s="1">
        <v>15547</v>
      </c>
      <c r="Q1089" s="1">
        <v>15964</v>
      </c>
      <c r="R1089" s="1">
        <v>16456</v>
      </c>
      <c r="S1089" s="1">
        <v>16958</v>
      </c>
      <c r="T1089" s="1">
        <v>17299</v>
      </c>
      <c r="U1089" s="1">
        <v>17901</v>
      </c>
      <c r="V1089" s="1">
        <v>18108</v>
      </c>
      <c r="W1089" s="1">
        <v>19155</v>
      </c>
      <c r="X1089" s="1">
        <v>19332</v>
      </c>
      <c r="Y1089" s="1">
        <v>19280</v>
      </c>
      <c r="Z1089" s="1">
        <v>20109</v>
      </c>
      <c r="AA1089" s="1">
        <v>20631</v>
      </c>
    </row>
    <row r="1090" spans="2:27" ht="15.75" x14ac:dyDescent="0.25">
      <c r="B1090" s="2" t="s">
        <v>159</v>
      </c>
      <c r="C1090" s="2"/>
      <c r="D1090" s="1">
        <v>11157</v>
      </c>
      <c r="E1090" s="1">
        <v>11720</v>
      </c>
      <c r="F1090" s="1">
        <v>12044</v>
      </c>
      <c r="G1090" s="1">
        <v>12490</v>
      </c>
      <c r="H1090" s="1">
        <v>12950</v>
      </c>
      <c r="I1090" s="1">
        <v>13392</v>
      </c>
      <c r="J1090" s="1">
        <v>13607</v>
      </c>
      <c r="K1090" s="1"/>
      <c r="L1090" s="1">
        <v>14311</v>
      </c>
      <c r="M1090" s="1">
        <v>14968</v>
      </c>
      <c r="N1090" s="1">
        <v>15713</v>
      </c>
      <c r="O1090" s="1">
        <v>15860</v>
      </c>
      <c r="P1090" s="1">
        <v>16226</v>
      </c>
      <c r="Q1090" s="1">
        <v>16497</v>
      </c>
      <c r="R1090" s="1">
        <v>16483</v>
      </c>
      <c r="S1090" s="1">
        <v>16810</v>
      </c>
      <c r="T1090" s="1">
        <v>17278</v>
      </c>
      <c r="U1090" s="1">
        <v>17942</v>
      </c>
      <c r="V1090" s="1">
        <v>18583</v>
      </c>
      <c r="W1090" s="1">
        <v>19704</v>
      </c>
      <c r="X1090" s="1">
        <v>20066</v>
      </c>
      <c r="Y1090" s="1">
        <v>20253</v>
      </c>
      <c r="Z1090" s="1">
        <v>21254</v>
      </c>
      <c r="AA1090" s="1">
        <v>21755</v>
      </c>
    </row>
    <row r="1091" spans="2:27" ht="15.75" x14ac:dyDescent="0.25">
      <c r="B1091" s="2" t="s">
        <v>158</v>
      </c>
      <c r="C1091" s="2"/>
      <c r="D1091" s="1">
        <v>11607</v>
      </c>
      <c r="E1091" s="1">
        <v>11955</v>
      </c>
      <c r="F1091" s="1">
        <v>12485</v>
      </c>
      <c r="G1091" s="1">
        <v>13350</v>
      </c>
      <c r="H1091" s="1">
        <v>13790</v>
      </c>
      <c r="I1091" s="1">
        <v>14171</v>
      </c>
      <c r="J1091" s="1">
        <v>14599</v>
      </c>
      <c r="K1091" s="1"/>
      <c r="L1091" s="1">
        <v>15067</v>
      </c>
      <c r="M1091" s="1">
        <v>15347</v>
      </c>
      <c r="N1091" s="1">
        <v>15857</v>
      </c>
      <c r="O1091" s="1">
        <v>16415</v>
      </c>
      <c r="P1091" s="1">
        <v>17000</v>
      </c>
      <c r="Q1091" s="1">
        <v>17260</v>
      </c>
      <c r="R1091" s="1">
        <v>17369</v>
      </c>
      <c r="S1091" s="1">
        <v>17723</v>
      </c>
      <c r="T1091" s="1">
        <v>18387</v>
      </c>
      <c r="U1091" s="1">
        <v>19036</v>
      </c>
      <c r="V1091" s="1">
        <v>19823</v>
      </c>
      <c r="W1091" s="1">
        <v>21323</v>
      </c>
      <c r="X1091" s="1">
        <v>22188</v>
      </c>
      <c r="Y1091" s="1">
        <v>22133</v>
      </c>
      <c r="Z1091" s="1">
        <v>23377</v>
      </c>
      <c r="AA1091" s="1">
        <v>23867</v>
      </c>
    </row>
    <row r="1092" spans="2:27" ht="15.75" x14ac:dyDescent="0.25">
      <c r="B1092" s="4" t="s">
        <v>157</v>
      </c>
      <c r="C1092" s="4"/>
      <c r="D1092" s="3">
        <v>10003</v>
      </c>
      <c r="E1092" s="3">
        <v>10343</v>
      </c>
      <c r="F1092" s="3">
        <v>10739</v>
      </c>
      <c r="G1092" s="3">
        <v>11181</v>
      </c>
      <c r="H1092" s="3">
        <v>11512</v>
      </c>
      <c r="I1092" s="3">
        <v>11847</v>
      </c>
      <c r="J1092" s="3">
        <v>12228</v>
      </c>
      <c r="K1092" s="3"/>
      <c r="L1092" s="3">
        <v>12541</v>
      </c>
      <c r="M1092" s="3">
        <v>12928</v>
      </c>
      <c r="N1092" s="3">
        <v>13464</v>
      </c>
      <c r="O1092" s="3">
        <v>13964</v>
      </c>
      <c r="P1092" s="3">
        <v>14449</v>
      </c>
      <c r="Q1092" s="3">
        <v>14712</v>
      </c>
      <c r="R1092" s="3">
        <v>14873</v>
      </c>
      <c r="S1092" s="3">
        <v>15142</v>
      </c>
      <c r="T1092" s="3">
        <v>15560</v>
      </c>
      <c r="U1092" s="3">
        <v>16035</v>
      </c>
      <c r="V1092" s="3">
        <v>16474</v>
      </c>
      <c r="W1092" s="3">
        <v>17404</v>
      </c>
      <c r="X1092" s="3">
        <v>17514</v>
      </c>
      <c r="Y1092" s="3">
        <v>17778</v>
      </c>
      <c r="Z1092" s="3">
        <v>18550</v>
      </c>
      <c r="AA1092" s="3">
        <v>18966</v>
      </c>
    </row>
    <row r="1093" spans="2:27" ht="15.75" x14ac:dyDescent="0.25">
      <c r="B1093" s="2" t="s">
        <v>156</v>
      </c>
      <c r="C1093" s="2"/>
      <c r="D1093" s="1">
        <v>10115</v>
      </c>
      <c r="E1093" s="1">
        <v>10263</v>
      </c>
      <c r="F1093" s="1">
        <v>10536</v>
      </c>
      <c r="G1093" s="1">
        <v>10446</v>
      </c>
      <c r="H1093" s="1">
        <v>10330</v>
      </c>
      <c r="I1093" s="1">
        <v>10771</v>
      </c>
      <c r="J1093" s="1">
        <v>11343</v>
      </c>
      <c r="K1093" s="1"/>
      <c r="L1093" s="1">
        <v>11877</v>
      </c>
      <c r="M1093" s="1">
        <v>11861</v>
      </c>
      <c r="N1093" s="1">
        <v>12375</v>
      </c>
      <c r="O1093" s="1">
        <v>12902</v>
      </c>
      <c r="P1093" s="1">
        <v>13095</v>
      </c>
      <c r="Q1093" s="1">
        <v>13386</v>
      </c>
      <c r="R1093" s="1">
        <v>13676</v>
      </c>
      <c r="S1093" s="1">
        <v>14216</v>
      </c>
      <c r="T1093" s="1">
        <v>14718</v>
      </c>
      <c r="U1093" s="1">
        <v>15025</v>
      </c>
      <c r="V1093" s="1">
        <v>15409</v>
      </c>
      <c r="W1093" s="1">
        <v>16168</v>
      </c>
      <c r="X1093" s="1">
        <v>16486</v>
      </c>
      <c r="Y1093" s="1">
        <v>16469</v>
      </c>
      <c r="Z1093" s="1">
        <v>16940</v>
      </c>
      <c r="AA1093" s="1">
        <v>17250</v>
      </c>
    </row>
    <row r="1094" spans="2:27" ht="15.75" x14ac:dyDescent="0.25">
      <c r="B1094" s="2" t="s">
        <v>155</v>
      </c>
      <c r="C1094" s="2"/>
      <c r="D1094" s="1">
        <v>10730</v>
      </c>
      <c r="E1094" s="1">
        <v>11270</v>
      </c>
      <c r="F1094" s="1">
        <v>11452</v>
      </c>
      <c r="G1094" s="1">
        <v>11893</v>
      </c>
      <c r="H1094" s="1">
        <v>12098</v>
      </c>
      <c r="I1094" s="1">
        <v>12517</v>
      </c>
      <c r="J1094" s="1">
        <v>12973</v>
      </c>
      <c r="K1094" s="1"/>
      <c r="L1094" s="1">
        <v>13517</v>
      </c>
      <c r="M1094" s="1">
        <v>13792</v>
      </c>
      <c r="N1094" s="1">
        <v>14536</v>
      </c>
      <c r="O1094" s="1">
        <v>14970</v>
      </c>
      <c r="P1094" s="1">
        <v>15801</v>
      </c>
      <c r="Q1094" s="1">
        <v>16259</v>
      </c>
      <c r="R1094" s="1">
        <v>16310</v>
      </c>
      <c r="S1094" s="1">
        <v>16650</v>
      </c>
      <c r="T1094" s="1">
        <v>16951</v>
      </c>
      <c r="U1094" s="1">
        <v>17318</v>
      </c>
      <c r="V1094" s="1">
        <v>17755</v>
      </c>
      <c r="W1094" s="1">
        <v>18898</v>
      </c>
      <c r="X1094" s="1">
        <v>19180</v>
      </c>
      <c r="Y1094" s="1">
        <v>19475</v>
      </c>
      <c r="Z1094" s="1">
        <v>20359</v>
      </c>
      <c r="AA1094" s="1">
        <v>20732</v>
      </c>
    </row>
    <row r="1095" spans="2:27" ht="15.75" x14ac:dyDescent="0.25">
      <c r="B1095" s="2" t="s">
        <v>154</v>
      </c>
      <c r="C1095" s="2"/>
      <c r="D1095" s="1">
        <v>8283</v>
      </c>
      <c r="E1095" s="1">
        <v>8364</v>
      </c>
      <c r="F1095" s="1">
        <v>8974</v>
      </c>
      <c r="G1095" s="1">
        <v>9363</v>
      </c>
      <c r="H1095" s="1">
        <v>9398</v>
      </c>
      <c r="I1095" s="1">
        <v>9548</v>
      </c>
      <c r="J1095" s="1">
        <v>9850</v>
      </c>
      <c r="K1095" s="1"/>
      <c r="L1095" s="1">
        <v>10164</v>
      </c>
      <c r="M1095" s="1">
        <v>10737</v>
      </c>
      <c r="N1095" s="1">
        <v>10851</v>
      </c>
      <c r="O1095" s="1">
        <v>11437</v>
      </c>
      <c r="P1095" s="1">
        <v>11593</v>
      </c>
      <c r="Q1095" s="1">
        <v>11819</v>
      </c>
      <c r="R1095" s="1">
        <v>12004</v>
      </c>
      <c r="S1095" s="1">
        <v>12378</v>
      </c>
      <c r="T1095" s="1">
        <v>12748</v>
      </c>
      <c r="U1095" s="1">
        <v>13209</v>
      </c>
      <c r="V1095" s="1">
        <v>13467</v>
      </c>
      <c r="W1095" s="1">
        <v>14010</v>
      </c>
      <c r="X1095" s="1">
        <v>14070</v>
      </c>
      <c r="Y1095" s="1">
        <v>14274</v>
      </c>
      <c r="Z1095" s="1">
        <v>15063</v>
      </c>
      <c r="AA1095" s="1">
        <v>15455</v>
      </c>
    </row>
    <row r="1096" spans="2:27" ht="15.75" x14ac:dyDescent="0.25">
      <c r="B1096" s="2" t="s">
        <v>153</v>
      </c>
      <c r="C1096" s="2"/>
      <c r="D1096" s="1">
        <v>10264</v>
      </c>
      <c r="E1096" s="1">
        <v>10643</v>
      </c>
      <c r="F1096" s="1">
        <v>11066</v>
      </c>
      <c r="G1096" s="1">
        <v>11621</v>
      </c>
      <c r="H1096" s="1">
        <v>12167</v>
      </c>
      <c r="I1096" s="1">
        <v>12505</v>
      </c>
      <c r="J1096" s="1">
        <v>12839</v>
      </c>
      <c r="K1096" s="1"/>
      <c r="L1096" s="1">
        <v>13026</v>
      </c>
      <c r="M1096" s="1">
        <v>13475</v>
      </c>
      <c r="N1096" s="1">
        <v>14064</v>
      </c>
      <c r="O1096" s="1">
        <v>14553</v>
      </c>
      <c r="P1096" s="1">
        <v>15067</v>
      </c>
      <c r="Q1096" s="1">
        <v>15261</v>
      </c>
      <c r="R1096" s="1">
        <v>15430</v>
      </c>
      <c r="S1096" s="1">
        <v>15588</v>
      </c>
      <c r="T1096" s="1">
        <v>16046</v>
      </c>
      <c r="U1096" s="1">
        <v>16596</v>
      </c>
      <c r="V1096" s="1">
        <v>17099</v>
      </c>
      <c r="W1096" s="1">
        <v>18100</v>
      </c>
      <c r="X1096" s="1">
        <v>18124</v>
      </c>
      <c r="Y1096" s="1">
        <v>18451</v>
      </c>
      <c r="Z1096" s="1">
        <v>19234</v>
      </c>
      <c r="AA1096" s="1">
        <v>19692</v>
      </c>
    </row>
    <row r="1097" spans="2:27" ht="15.75" x14ac:dyDescent="0.25">
      <c r="B1097" s="4" t="s">
        <v>152</v>
      </c>
      <c r="C1097" s="4"/>
      <c r="D1097" s="3">
        <v>9151</v>
      </c>
      <c r="E1097" s="3">
        <v>9369</v>
      </c>
      <c r="F1097" s="3">
        <v>9763</v>
      </c>
      <c r="G1097" s="3">
        <v>10380</v>
      </c>
      <c r="H1097" s="3">
        <v>10715</v>
      </c>
      <c r="I1097" s="3">
        <v>10942</v>
      </c>
      <c r="J1097" s="3">
        <v>11084</v>
      </c>
      <c r="K1097" s="3"/>
      <c r="L1097" s="3">
        <v>11440</v>
      </c>
      <c r="M1097" s="3">
        <v>11518</v>
      </c>
      <c r="N1097" s="3">
        <v>11780</v>
      </c>
      <c r="O1097" s="3">
        <v>12113</v>
      </c>
      <c r="P1097" s="3">
        <v>12348</v>
      </c>
      <c r="Q1097" s="3">
        <v>12652</v>
      </c>
      <c r="R1097" s="3">
        <v>12903</v>
      </c>
      <c r="S1097" s="3">
        <v>13084</v>
      </c>
      <c r="T1097" s="3">
        <v>13433</v>
      </c>
      <c r="U1097" s="3">
        <v>13807</v>
      </c>
      <c r="V1097" s="3">
        <v>14293</v>
      </c>
      <c r="W1097" s="3">
        <v>14881</v>
      </c>
      <c r="X1097" s="3">
        <v>15097</v>
      </c>
      <c r="Y1097" s="3">
        <v>15198</v>
      </c>
      <c r="Z1097" s="3">
        <v>15738</v>
      </c>
      <c r="AA1097" s="3">
        <v>16074</v>
      </c>
    </row>
    <row r="1098" spans="2:27" ht="15.75" x14ac:dyDescent="0.25">
      <c r="B1098" s="2" t="s">
        <v>151</v>
      </c>
      <c r="C1098" s="2"/>
      <c r="D1098" s="1">
        <v>8823</v>
      </c>
      <c r="E1098" s="1">
        <v>9045</v>
      </c>
      <c r="F1098" s="1">
        <v>9413</v>
      </c>
      <c r="G1098" s="1">
        <v>10051</v>
      </c>
      <c r="H1098" s="1">
        <v>10367</v>
      </c>
      <c r="I1098" s="1">
        <v>10555</v>
      </c>
      <c r="J1098" s="1">
        <v>10713</v>
      </c>
      <c r="K1098" s="1"/>
      <c r="L1098" s="1">
        <v>11011</v>
      </c>
      <c r="M1098" s="1">
        <v>11050</v>
      </c>
      <c r="N1098" s="1">
        <v>11394</v>
      </c>
      <c r="O1098" s="1">
        <v>11659</v>
      </c>
      <c r="P1098" s="1">
        <v>11905</v>
      </c>
      <c r="Q1098" s="1">
        <v>12132</v>
      </c>
      <c r="R1098" s="1">
        <v>12425</v>
      </c>
      <c r="S1098" s="1">
        <v>12552</v>
      </c>
      <c r="T1098" s="1">
        <v>12859</v>
      </c>
      <c r="U1098" s="1">
        <v>13148</v>
      </c>
      <c r="V1098" s="1">
        <v>13660</v>
      </c>
      <c r="W1098" s="1">
        <v>14199</v>
      </c>
      <c r="X1098" s="1">
        <v>14389</v>
      </c>
      <c r="Y1098" s="1">
        <v>14430</v>
      </c>
      <c r="Z1098" s="1">
        <v>14979</v>
      </c>
      <c r="AA1098" s="1">
        <v>15368</v>
      </c>
    </row>
    <row r="1099" spans="2:27" ht="15.75" x14ac:dyDescent="0.25">
      <c r="B1099" s="2" t="s">
        <v>150</v>
      </c>
      <c r="C1099" s="2"/>
      <c r="D1099" s="1">
        <v>12151</v>
      </c>
      <c r="E1099" s="1">
        <v>12465</v>
      </c>
      <c r="F1099" s="1">
        <v>13005</v>
      </c>
      <c r="G1099" s="1">
        <v>13961</v>
      </c>
      <c r="H1099" s="1">
        <v>15078</v>
      </c>
      <c r="I1099" s="1">
        <v>15536</v>
      </c>
      <c r="J1099" s="1">
        <v>15753</v>
      </c>
      <c r="K1099" s="1"/>
      <c r="L1099" s="1">
        <v>16113</v>
      </c>
      <c r="M1099" s="1">
        <v>16455</v>
      </c>
      <c r="N1099" s="1">
        <v>16666</v>
      </c>
      <c r="O1099" s="1">
        <v>17163</v>
      </c>
      <c r="P1099" s="1">
        <v>17393</v>
      </c>
      <c r="Q1099" s="1">
        <v>17616</v>
      </c>
      <c r="R1099" s="1">
        <v>17798</v>
      </c>
      <c r="S1099" s="1">
        <v>18220</v>
      </c>
      <c r="T1099" s="1">
        <v>18840</v>
      </c>
      <c r="U1099" s="1">
        <v>19893</v>
      </c>
      <c r="V1099" s="1">
        <v>20580</v>
      </c>
      <c r="W1099" s="1">
        <v>22016</v>
      </c>
      <c r="X1099" s="1">
        <v>22172</v>
      </c>
      <c r="Y1099" s="1">
        <v>22437</v>
      </c>
      <c r="Z1099" s="1">
        <v>23342</v>
      </c>
      <c r="AA1099" s="1">
        <v>23722</v>
      </c>
    </row>
    <row r="1100" spans="2:27" ht="15.75" x14ac:dyDescent="0.25">
      <c r="B1100" s="2" t="s">
        <v>149</v>
      </c>
      <c r="C1100" s="2"/>
      <c r="D1100" s="1">
        <v>9027</v>
      </c>
      <c r="E1100" s="1">
        <v>9054</v>
      </c>
      <c r="F1100" s="1">
        <v>9481</v>
      </c>
      <c r="G1100" s="1">
        <v>10308</v>
      </c>
      <c r="H1100" s="1">
        <v>10695</v>
      </c>
      <c r="I1100" s="1">
        <v>11005</v>
      </c>
      <c r="J1100" s="1">
        <v>11027</v>
      </c>
      <c r="K1100" s="1"/>
      <c r="L1100" s="1">
        <v>11564</v>
      </c>
      <c r="M1100" s="1">
        <v>11485</v>
      </c>
      <c r="N1100" s="1">
        <v>11650</v>
      </c>
      <c r="O1100" s="1">
        <v>12293</v>
      </c>
      <c r="P1100" s="1">
        <v>12548</v>
      </c>
      <c r="Q1100" s="1">
        <v>12889</v>
      </c>
      <c r="R1100" s="1">
        <v>13147</v>
      </c>
      <c r="S1100" s="1">
        <v>13331</v>
      </c>
      <c r="T1100" s="1">
        <v>13541</v>
      </c>
      <c r="U1100" s="1">
        <v>13831</v>
      </c>
      <c r="V1100" s="1">
        <v>14103</v>
      </c>
      <c r="W1100" s="1">
        <v>14451</v>
      </c>
      <c r="X1100" s="1">
        <v>14684</v>
      </c>
      <c r="Y1100" s="1">
        <v>14823</v>
      </c>
      <c r="Z1100" s="1">
        <v>15225</v>
      </c>
      <c r="AA1100" s="1">
        <v>15350</v>
      </c>
    </row>
    <row r="1101" spans="2:27" ht="15.75" x14ac:dyDescent="0.25">
      <c r="B1101" s="2" t="s">
        <v>148</v>
      </c>
      <c r="C1101" s="2"/>
      <c r="D1101" s="1">
        <v>9663</v>
      </c>
      <c r="E1101" s="1">
        <v>9896</v>
      </c>
      <c r="F1101" s="1">
        <v>10293</v>
      </c>
      <c r="G1101" s="1">
        <v>10822</v>
      </c>
      <c r="H1101" s="1">
        <v>10985</v>
      </c>
      <c r="I1101" s="1">
        <v>11111</v>
      </c>
      <c r="J1101" s="1">
        <v>11305</v>
      </c>
      <c r="K1101" s="1"/>
      <c r="L1101" s="1">
        <v>11790</v>
      </c>
      <c r="M1101" s="1">
        <v>11934</v>
      </c>
      <c r="N1101" s="1">
        <v>12262</v>
      </c>
      <c r="O1101" s="1">
        <v>12528</v>
      </c>
      <c r="P1101" s="1">
        <v>12669</v>
      </c>
      <c r="Q1101" s="1">
        <v>13190</v>
      </c>
      <c r="R1101" s="1">
        <v>13539</v>
      </c>
      <c r="S1101" s="1">
        <v>13726</v>
      </c>
      <c r="T1101" s="1">
        <v>14272</v>
      </c>
      <c r="U1101" s="1">
        <v>14692</v>
      </c>
      <c r="V1101" s="1">
        <v>15114</v>
      </c>
      <c r="W1101" s="1">
        <v>15758</v>
      </c>
      <c r="X1101" s="1">
        <v>15929</v>
      </c>
      <c r="Y1101" s="1">
        <v>15845</v>
      </c>
      <c r="Z1101" s="1">
        <v>16424</v>
      </c>
      <c r="AA1101" s="1">
        <v>16735</v>
      </c>
    </row>
    <row r="1102" spans="2:27" ht="15.75" x14ac:dyDescent="0.25">
      <c r="B1102" s="2" t="s">
        <v>147</v>
      </c>
      <c r="C1102" s="2"/>
      <c r="D1102" s="1">
        <v>8207</v>
      </c>
      <c r="E1102" s="1">
        <v>8404</v>
      </c>
      <c r="F1102" s="1">
        <v>8771</v>
      </c>
      <c r="G1102" s="1">
        <v>9283</v>
      </c>
      <c r="H1102" s="1">
        <v>9474</v>
      </c>
      <c r="I1102" s="1">
        <v>9663</v>
      </c>
      <c r="J1102" s="1">
        <v>9844</v>
      </c>
      <c r="K1102" s="1"/>
      <c r="L1102" s="1">
        <v>10190</v>
      </c>
      <c r="M1102" s="1">
        <v>10320</v>
      </c>
      <c r="N1102" s="1">
        <v>10509</v>
      </c>
      <c r="O1102" s="1">
        <v>10731</v>
      </c>
      <c r="P1102" s="1">
        <v>10908</v>
      </c>
      <c r="Q1102" s="1">
        <v>11240</v>
      </c>
      <c r="R1102" s="1">
        <v>11463</v>
      </c>
      <c r="S1102" s="1">
        <v>11688</v>
      </c>
      <c r="T1102" s="1">
        <v>12044</v>
      </c>
      <c r="U1102" s="1">
        <v>12253</v>
      </c>
      <c r="V1102" s="1">
        <v>12793</v>
      </c>
      <c r="W1102" s="1">
        <v>13375</v>
      </c>
      <c r="X1102" s="1">
        <v>13582</v>
      </c>
      <c r="Y1102" s="1">
        <v>13625</v>
      </c>
      <c r="Z1102" s="1">
        <v>14066</v>
      </c>
      <c r="AA1102" s="1">
        <v>14454</v>
      </c>
    </row>
    <row r="1103" spans="2:27" ht="15.75" x14ac:dyDescent="0.25">
      <c r="B1103" s="2" t="s">
        <v>146</v>
      </c>
      <c r="C1103" s="2"/>
      <c r="D1103" s="1">
        <v>8870</v>
      </c>
      <c r="E1103" s="1">
        <v>9181</v>
      </c>
      <c r="F1103" s="1">
        <v>9516</v>
      </c>
      <c r="G1103" s="1">
        <v>9922</v>
      </c>
      <c r="H1103" s="1">
        <v>10071</v>
      </c>
      <c r="I1103" s="1">
        <v>10373</v>
      </c>
      <c r="J1103" s="1">
        <v>10468</v>
      </c>
      <c r="K1103" s="1"/>
      <c r="L1103" s="1">
        <v>10757</v>
      </c>
      <c r="M1103" s="1">
        <v>10817</v>
      </c>
      <c r="N1103" s="1">
        <v>10998</v>
      </c>
      <c r="O1103" s="1">
        <v>11293</v>
      </c>
      <c r="P1103" s="1">
        <v>11574</v>
      </c>
      <c r="Q1103" s="1">
        <v>11953</v>
      </c>
      <c r="R1103" s="1">
        <v>12125</v>
      </c>
      <c r="S1103" s="1">
        <v>12343</v>
      </c>
      <c r="T1103" s="1">
        <v>12680</v>
      </c>
      <c r="U1103" s="1">
        <v>13150</v>
      </c>
      <c r="V1103" s="1">
        <v>13711</v>
      </c>
      <c r="W1103" s="1">
        <v>14217</v>
      </c>
      <c r="X1103" s="1">
        <v>14531</v>
      </c>
      <c r="Y1103" s="1">
        <v>14895</v>
      </c>
      <c r="Z1103" s="1">
        <v>15428</v>
      </c>
      <c r="AA1103" s="1">
        <v>15694</v>
      </c>
    </row>
    <row r="1104" spans="2:27" ht="15.75" x14ac:dyDescent="0.25">
      <c r="B1104" s="2" t="s">
        <v>145</v>
      </c>
      <c r="C1104" s="2"/>
      <c r="D1104" s="1">
        <v>8946</v>
      </c>
      <c r="E1104" s="1">
        <v>9201</v>
      </c>
      <c r="F1104" s="1">
        <v>9640</v>
      </c>
      <c r="G1104" s="1">
        <v>10075</v>
      </c>
      <c r="H1104" s="1">
        <v>10340</v>
      </c>
      <c r="I1104" s="1">
        <v>10534</v>
      </c>
      <c r="J1104" s="1">
        <v>10655</v>
      </c>
      <c r="K1104" s="1"/>
      <c r="L1104" s="1">
        <v>10951</v>
      </c>
      <c r="M1104" s="1">
        <v>11065</v>
      </c>
      <c r="N1104" s="1">
        <v>11250</v>
      </c>
      <c r="O1104" s="1">
        <v>11618</v>
      </c>
      <c r="P1104" s="1">
        <v>11942</v>
      </c>
      <c r="Q1104" s="1">
        <v>12238</v>
      </c>
      <c r="R1104" s="1">
        <v>12388</v>
      </c>
      <c r="S1104" s="1">
        <v>12530</v>
      </c>
      <c r="T1104" s="1">
        <v>12788</v>
      </c>
      <c r="U1104" s="1">
        <v>13126</v>
      </c>
      <c r="V1104" s="1">
        <v>13555</v>
      </c>
      <c r="W1104" s="1">
        <v>14052</v>
      </c>
      <c r="X1104" s="1">
        <v>14422</v>
      </c>
      <c r="Y1104" s="1">
        <v>14622</v>
      </c>
      <c r="Z1104" s="1">
        <v>15113</v>
      </c>
      <c r="AA1104" s="1">
        <v>15500</v>
      </c>
    </row>
    <row r="1105" spans="2:27" ht="15.75" x14ac:dyDescent="0.25">
      <c r="B1105" s="6" t="s">
        <v>144</v>
      </c>
      <c r="C1105" s="6"/>
      <c r="D1105" s="5">
        <v>11365</v>
      </c>
      <c r="E1105" s="5">
        <v>11553</v>
      </c>
      <c r="F1105" s="5">
        <v>12057</v>
      </c>
      <c r="G1105" s="5">
        <v>12819</v>
      </c>
      <c r="H1105" s="5">
        <v>13323</v>
      </c>
      <c r="I1105" s="5">
        <v>13726</v>
      </c>
      <c r="J1105" s="5">
        <v>13944</v>
      </c>
      <c r="K1105" s="5"/>
      <c r="L1105" s="5">
        <v>14356</v>
      </c>
      <c r="M1105" s="5">
        <v>14923</v>
      </c>
      <c r="N1105" s="5">
        <v>15347</v>
      </c>
      <c r="O1105" s="5">
        <v>16007</v>
      </c>
      <c r="P1105" s="5">
        <v>16548</v>
      </c>
      <c r="Q1105" s="5">
        <v>16934</v>
      </c>
      <c r="R1105" s="5">
        <v>17100</v>
      </c>
      <c r="S1105" s="5">
        <v>17304</v>
      </c>
      <c r="T1105" s="5">
        <v>17955</v>
      </c>
      <c r="U1105" s="5">
        <v>18545</v>
      </c>
      <c r="V1105" s="5">
        <v>19085</v>
      </c>
      <c r="W1105" s="5">
        <v>20201</v>
      </c>
      <c r="X1105" s="5">
        <v>20531</v>
      </c>
      <c r="Y1105" s="5">
        <v>20977</v>
      </c>
      <c r="Z1105" s="5">
        <v>21911</v>
      </c>
      <c r="AA1105" s="5">
        <v>22392</v>
      </c>
    </row>
    <row r="1106" spans="2:27" ht="15.75" x14ac:dyDescent="0.25">
      <c r="B1106" s="4" t="s">
        <v>143</v>
      </c>
      <c r="C1106" s="4"/>
      <c r="D1106" s="3">
        <v>10402</v>
      </c>
      <c r="E1106" s="3">
        <v>10580</v>
      </c>
      <c r="F1106" s="3">
        <v>11037</v>
      </c>
      <c r="G1106" s="3">
        <v>11762</v>
      </c>
      <c r="H1106" s="3">
        <v>12191</v>
      </c>
      <c r="I1106" s="3">
        <v>12565</v>
      </c>
      <c r="J1106" s="3">
        <v>12729</v>
      </c>
      <c r="K1106" s="3"/>
      <c r="L1106" s="3">
        <v>13158</v>
      </c>
      <c r="M1106" s="3">
        <v>13763</v>
      </c>
      <c r="N1106" s="3">
        <v>14096</v>
      </c>
      <c r="O1106" s="3">
        <v>14713</v>
      </c>
      <c r="P1106" s="3">
        <v>15301</v>
      </c>
      <c r="Q1106" s="3">
        <v>15637</v>
      </c>
      <c r="R1106" s="3">
        <v>15912</v>
      </c>
      <c r="S1106" s="3">
        <v>16122</v>
      </c>
      <c r="T1106" s="3">
        <v>16758</v>
      </c>
      <c r="U1106" s="3">
        <v>17237</v>
      </c>
      <c r="V1106" s="3">
        <v>17746</v>
      </c>
      <c r="W1106" s="3">
        <v>18684</v>
      </c>
      <c r="X1106" s="3">
        <v>18902</v>
      </c>
      <c r="Y1106" s="3">
        <v>19219</v>
      </c>
      <c r="Z1106" s="3">
        <v>20015</v>
      </c>
      <c r="AA1106" s="3">
        <v>20532</v>
      </c>
    </row>
    <row r="1107" spans="2:27" ht="15.75" x14ac:dyDescent="0.25">
      <c r="B1107" s="2" t="s">
        <v>142</v>
      </c>
      <c r="C1107" s="2"/>
      <c r="D1107" s="1">
        <v>9874</v>
      </c>
      <c r="E1107" s="1">
        <v>10141</v>
      </c>
      <c r="F1107" s="1">
        <v>10949</v>
      </c>
      <c r="G1107" s="1">
        <v>11639</v>
      </c>
      <c r="H1107" s="1">
        <v>11906</v>
      </c>
      <c r="I1107" s="1">
        <v>12130</v>
      </c>
      <c r="J1107" s="1">
        <v>12116</v>
      </c>
      <c r="K1107" s="1"/>
      <c r="L1107" s="1">
        <v>12243</v>
      </c>
      <c r="M1107" s="1">
        <v>12586</v>
      </c>
      <c r="N1107" s="1">
        <v>13246</v>
      </c>
      <c r="O1107" s="1">
        <v>13860</v>
      </c>
      <c r="P1107" s="1">
        <v>14040</v>
      </c>
      <c r="Q1107" s="1">
        <v>14002</v>
      </c>
      <c r="R1107" s="1">
        <v>14271</v>
      </c>
      <c r="S1107" s="1">
        <v>14408</v>
      </c>
      <c r="T1107" s="1">
        <v>14876</v>
      </c>
      <c r="U1107" s="1">
        <v>15330</v>
      </c>
      <c r="V1107" s="1">
        <v>16012</v>
      </c>
      <c r="W1107" s="1">
        <v>16698</v>
      </c>
      <c r="X1107" s="1">
        <v>16918</v>
      </c>
      <c r="Y1107" s="1">
        <v>17103</v>
      </c>
      <c r="Z1107" s="1">
        <v>17686</v>
      </c>
      <c r="AA1107" s="1">
        <v>18124</v>
      </c>
    </row>
    <row r="1108" spans="2:27" ht="15.75" x14ac:dyDescent="0.25">
      <c r="B1108" s="2" t="s">
        <v>141</v>
      </c>
      <c r="C1108" s="2"/>
      <c r="D1108" s="1">
        <v>11468</v>
      </c>
      <c r="E1108" s="1">
        <v>11802</v>
      </c>
      <c r="F1108" s="1">
        <v>12518</v>
      </c>
      <c r="G1108" s="1">
        <v>13156</v>
      </c>
      <c r="H1108" s="1">
        <v>13314</v>
      </c>
      <c r="I1108" s="1">
        <v>13896</v>
      </c>
      <c r="J1108" s="1">
        <v>13893</v>
      </c>
      <c r="K1108" s="1"/>
      <c r="L1108" s="1">
        <v>14546</v>
      </c>
      <c r="M1108" s="1">
        <v>15526</v>
      </c>
      <c r="N1108" s="1">
        <v>16130</v>
      </c>
      <c r="O1108" s="1">
        <v>16690</v>
      </c>
      <c r="P1108" s="1">
        <v>17060</v>
      </c>
      <c r="Q1108" s="1">
        <v>17336</v>
      </c>
      <c r="R1108" s="1">
        <v>17480</v>
      </c>
      <c r="S1108" s="1">
        <v>17581</v>
      </c>
      <c r="T1108" s="1">
        <v>18293</v>
      </c>
      <c r="U1108" s="1">
        <v>19107</v>
      </c>
      <c r="V1108" s="1">
        <v>19960</v>
      </c>
      <c r="W1108" s="1">
        <v>20975</v>
      </c>
      <c r="X1108" s="1">
        <v>21553</v>
      </c>
      <c r="Y1108" s="1">
        <v>21869</v>
      </c>
      <c r="Z1108" s="1">
        <v>22758</v>
      </c>
      <c r="AA1108" s="1">
        <v>23458</v>
      </c>
    </row>
    <row r="1109" spans="2:27" ht="15.75" x14ac:dyDescent="0.25">
      <c r="B1109" s="2" t="s">
        <v>140</v>
      </c>
      <c r="C1109" s="2"/>
      <c r="D1109" s="1">
        <v>10179</v>
      </c>
      <c r="E1109" s="1">
        <v>10249</v>
      </c>
      <c r="F1109" s="1">
        <v>10609</v>
      </c>
      <c r="G1109" s="1">
        <v>11555</v>
      </c>
      <c r="H1109" s="1">
        <v>12084</v>
      </c>
      <c r="I1109" s="1">
        <v>12489</v>
      </c>
      <c r="J1109" s="1">
        <v>12742</v>
      </c>
      <c r="K1109" s="1"/>
      <c r="L1109" s="1">
        <v>13217</v>
      </c>
      <c r="M1109" s="1">
        <v>13723</v>
      </c>
      <c r="N1109" s="1">
        <v>14046</v>
      </c>
      <c r="O1109" s="1">
        <v>14587</v>
      </c>
      <c r="P1109" s="1">
        <v>15427</v>
      </c>
      <c r="Q1109" s="1">
        <v>15899</v>
      </c>
      <c r="R1109" s="1">
        <v>16031</v>
      </c>
      <c r="S1109" s="1">
        <v>16121</v>
      </c>
      <c r="T1109" s="1">
        <v>16783</v>
      </c>
      <c r="U1109" s="1">
        <v>17220</v>
      </c>
      <c r="V1109" s="1">
        <v>17614</v>
      </c>
      <c r="W1109" s="1">
        <v>18629</v>
      </c>
      <c r="X1109" s="1">
        <v>18762</v>
      </c>
      <c r="Y1109" s="1">
        <v>19054</v>
      </c>
      <c r="Z1109" s="1">
        <v>19911</v>
      </c>
      <c r="AA1109" s="1">
        <v>20323</v>
      </c>
    </row>
    <row r="1110" spans="2:27" ht="15.75" x14ac:dyDescent="0.25">
      <c r="B1110" s="2" t="s">
        <v>139</v>
      </c>
      <c r="C1110" s="2"/>
      <c r="D1110" s="1">
        <v>10035</v>
      </c>
      <c r="E1110" s="1">
        <v>10163</v>
      </c>
      <c r="F1110" s="1">
        <v>10454</v>
      </c>
      <c r="G1110" s="1">
        <v>11042</v>
      </c>
      <c r="H1110" s="1">
        <v>11551</v>
      </c>
      <c r="I1110" s="1">
        <v>11777</v>
      </c>
      <c r="J1110" s="1">
        <v>11998</v>
      </c>
      <c r="K1110" s="1"/>
      <c r="L1110" s="1">
        <v>12279</v>
      </c>
      <c r="M1110" s="1">
        <v>12681</v>
      </c>
      <c r="N1110" s="1">
        <v>12727</v>
      </c>
      <c r="O1110" s="1">
        <v>13439</v>
      </c>
      <c r="P1110" s="1">
        <v>14019</v>
      </c>
      <c r="Q1110" s="1">
        <v>14332</v>
      </c>
      <c r="R1110" s="1">
        <v>14761</v>
      </c>
      <c r="S1110" s="1">
        <v>15189</v>
      </c>
      <c r="T1110" s="1">
        <v>15769</v>
      </c>
      <c r="U1110" s="1">
        <v>16124</v>
      </c>
      <c r="V1110" s="1">
        <v>16394</v>
      </c>
      <c r="W1110" s="1">
        <v>17343</v>
      </c>
      <c r="X1110" s="1">
        <v>16946</v>
      </c>
      <c r="Y1110" s="1">
        <v>17152</v>
      </c>
      <c r="Z1110" s="1">
        <v>17788</v>
      </c>
      <c r="AA1110" s="1">
        <v>18294</v>
      </c>
    </row>
    <row r="1111" spans="2:27" ht="15.75" x14ac:dyDescent="0.25">
      <c r="B1111" s="2" t="s">
        <v>138</v>
      </c>
      <c r="C1111" s="2"/>
      <c r="D1111" s="1">
        <v>9501</v>
      </c>
      <c r="E1111" s="1">
        <v>9632</v>
      </c>
      <c r="F1111" s="1">
        <v>9983</v>
      </c>
      <c r="G1111" s="1">
        <v>10593</v>
      </c>
      <c r="H1111" s="1">
        <v>11236</v>
      </c>
      <c r="I1111" s="1">
        <v>11546</v>
      </c>
      <c r="J1111" s="1">
        <v>11790</v>
      </c>
      <c r="K1111" s="1"/>
      <c r="L1111" s="1">
        <v>12052</v>
      </c>
      <c r="M1111" s="1">
        <v>12594</v>
      </c>
      <c r="N1111" s="1">
        <v>12653</v>
      </c>
      <c r="O1111" s="1">
        <v>13364</v>
      </c>
      <c r="P1111" s="1">
        <v>14077</v>
      </c>
      <c r="Q1111" s="1">
        <v>14610</v>
      </c>
      <c r="R1111" s="1">
        <v>15224</v>
      </c>
      <c r="S1111" s="1">
        <v>15635</v>
      </c>
      <c r="T1111" s="1">
        <v>16246</v>
      </c>
      <c r="U1111" s="1">
        <v>16613</v>
      </c>
      <c r="V1111" s="1">
        <v>16908</v>
      </c>
      <c r="W1111" s="1">
        <v>17632</v>
      </c>
      <c r="X1111" s="1">
        <v>17811</v>
      </c>
      <c r="Y1111" s="1">
        <v>18369</v>
      </c>
      <c r="Z1111" s="1">
        <v>19296</v>
      </c>
      <c r="AA1111" s="1">
        <v>19938</v>
      </c>
    </row>
    <row r="1112" spans="2:27" ht="15.75" x14ac:dyDescent="0.25">
      <c r="B1112" s="2" t="s">
        <v>137</v>
      </c>
      <c r="C1112" s="2"/>
      <c r="D1112" s="1">
        <v>10316</v>
      </c>
      <c r="E1112" s="1">
        <v>10479</v>
      </c>
      <c r="F1112" s="1">
        <v>10696</v>
      </c>
      <c r="G1112" s="1">
        <v>11328</v>
      </c>
      <c r="H1112" s="1">
        <v>11884</v>
      </c>
      <c r="I1112" s="1">
        <v>12052</v>
      </c>
      <c r="J1112" s="1">
        <v>12286</v>
      </c>
      <c r="K1112" s="1"/>
      <c r="L1112" s="1">
        <v>12629</v>
      </c>
      <c r="M1112" s="1">
        <v>13129</v>
      </c>
      <c r="N1112" s="1">
        <v>13281</v>
      </c>
      <c r="O1112" s="1">
        <v>14021</v>
      </c>
      <c r="P1112" s="1">
        <v>14585</v>
      </c>
      <c r="Q1112" s="1">
        <v>14773</v>
      </c>
      <c r="R1112" s="1">
        <v>15217</v>
      </c>
      <c r="S1112" s="1">
        <v>15579</v>
      </c>
      <c r="T1112" s="1">
        <v>16188</v>
      </c>
      <c r="U1112" s="1">
        <v>16286</v>
      </c>
      <c r="V1112" s="1">
        <v>16686</v>
      </c>
      <c r="W1112" s="1">
        <v>17601</v>
      </c>
      <c r="X1112" s="1">
        <v>18092</v>
      </c>
      <c r="Y1112" s="1">
        <v>18513</v>
      </c>
      <c r="Z1112" s="1">
        <v>19175</v>
      </c>
      <c r="AA1112" s="1">
        <v>19516</v>
      </c>
    </row>
    <row r="1113" spans="2:27" ht="15.75" x14ac:dyDescent="0.25">
      <c r="B1113" s="4" t="s">
        <v>136</v>
      </c>
      <c r="C1113" s="4"/>
      <c r="D1113" s="3">
        <v>12440</v>
      </c>
      <c r="E1113" s="3">
        <v>12704</v>
      </c>
      <c r="F1113" s="3">
        <v>13088</v>
      </c>
      <c r="G1113" s="3">
        <v>14068</v>
      </c>
      <c r="H1113" s="3">
        <v>14632</v>
      </c>
      <c r="I1113" s="3">
        <v>15018</v>
      </c>
      <c r="J1113" s="3">
        <v>15286</v>
      </c>
      <c r="K1113" s="3"/>
      <c r="L1113" s="3">
        <v>15668</v>
      </c>
      <c r="M1113" s="3">
        <v>16229</v>
      </c>
      <c r="N1113" s="3">
        <v>16844</v>
      </c>
      <c r="O1113" s="3">
        <v>17634</v>
      </c>
      <c r="P1113" s="3">
        <v>18065</v>
      </c>
      <c r="Q1113" s="3">
        <v>18485</v>
      </c>
      <c r="R1113" s="3">
        <v>18630</v>
      </c>
      <c r="S1113" s="3">
        <v>18749</v>
      </c>
      <c r="T1113" s="3">
        <v>19492</v>
      </c>
      <c r="U1113" s="3">
        <v>20354</v>
      </c>
      <c r="V1113" s="3">
        <v>21022</v>
      </c>
      <c r="W1113" s="3">
        <v>22286</v>
      </c>
      <c r="X1113" s="3">
        <v>22598</v>
      </c>
      <c r="Y1113" s="3">
        <v>23147</v>
      </c>
      <c r="Z1113" s="3">
        <v>24104</v>
      </c>
      <c r="AA1113" s="3">
        <v>24565</v>
      </c>
    </row>
    <row r="1114" spans="2:27" ht="15.75" x14ac:dyDescent="0.25">
      <c r="B1114" s="2" t="s">
        <v>135</v>
      </c>
      <c r="C1114" s="2"/>
      <c r="D1114" s="1">
        <v>9252</v>
      </c>
      <c r="E1114" s="1">
        <v>8851</v>
      </c>
      <c r="F1114" s="1">
        <v>9387</v>
      </c>
      <c r="G1114" s="1">
        <v>9991</v>
      </c>
      <c r="H1114" s="1">
        <v>10564</v>
      </c>
      <c r="I1114" s="1">
        <v>10930</v>
      </c>
      <c r="J1114" s="1">
        <v>11211</v>
      </c>
      <c r="K1114" s="1"/>
      <c r="L1114" s="1">
        <v>11485</v>
      </c>
      <c r="M1114" s="1">
        <v>11704</v>
      </c>
      <c r="N1114" s="1">
        <v>11814</v>
      </c>
      <c r="O1114" s="1">
        <v>12179</v>
      </c>
      <c r="P1114" s="1">
        <v>12339</v>
      </c>
      <c r="Q1114" s="1">
        <v>12529</v>
      </c>
      <c r="R1114" s="1">
        <v>12813</v>
      </c>
      <c r="S1114" s="1">
        <v>13005</v>
      </c>
      <c r="T1114" s="1">
        <v>13403</v>
      </c>
      <c r="U1114" s="1">
        <v>13678</v>
      </c>
      <c r="V1114" s="1">
        <v>14165</v>
      </c>
      <c r="W1114" s="1">
        <v>14637</v>
      </c>
      <c r="X1114" s="1">
        <v>15389</v>
      </c>
      <c r="Y1114" s="1">
        <v>16153</v>
      </c>
      <c r="Z1114" s="1">
        <v>16541</v>
      </c>
      <c r="AA1114" s="1">
        <v>16873</v>
      </c>
    </row>
    <row r="1115" spans="2:27" ht="15.75" x14ac:dyDescent="0.25">
      <c r="B1115" s="2" t="s">
        <v>134</v>
      </c>
      <c r="C1115" s="2"/>
      <c r="D1115" s="1">
        <v>13231</v>
      </c>
      <c r="E1115" s="1">
        <v>13708</v>
      </c>
      <c r="F1115" s="1">
        <v>14000</v>
      </c>
      <c r="G1115" s="1">
        <v>15164</v>
      </c>
      <c r="H1115" s="1">
        <v>15892</v>
      </c>
      <c r="I1115" s="1">
        <v>16198</v>
      </c>
      <c r="J1115" s="1">
        <v>16501</v>
      </c>
      <c r="K1115" s="1"/>
      <c r="L1115" s="1">
        <v>16900</v>
      </c>
      <c r="M1115" s="1">
        <v>17484</v>
      </c>
      <c r="N1115" s="1">
        <v>18249</v>
      </c>
      <c r="O1115" s="1">
        <v>19217</v>
      </c>
      <c r="P1115" s="1">
        <v>19649</v>
      </c>
      <c r="Q1115" s="1">
        <v>20128</v>
      </c>
      <c r="R1115" s="1">
        <v>20135</v>
      </c>
      <c r="S1115" s="1">
        <v>20237</v>
      </c>
      <c r="T1115" s="1">
        <v>21124</v>
      </c>
      <c r="U1115" s="1">
        <v>22167</v>
      </c>
      <c r="V1115" s="1">
        <v>22978</v>
      </c>
      <c r="W1115" s="1">
        <v>24463</v>
      </c>
      <c r="X1115" s="1">
        <v>24635</v>
      </c>
      <c r="Y1115" s="1">
        <v>25156</v>
      </c>
      <c r="Z1115" s="1">
        <v>26257</v>
      </c>
      <c r="AA1115" s="1">
        <v>26790</v>
      </c>
    </row>
    <row r="1116" spans="2:27" ht="15.75" x14ac:dyDescent="0.25">
      <c r="B1116" s="2" t="s">
        <v>133</v>
      </c>
      <c r="C1116" s="2"/>
      <c r="D1116" s="1">
        <v>11413</v>
      </c>
      <c r="E1116" s="1">
        <v>11401</v>
      </c>
      <c r="F1116" s="1">
        <v>11907</v>
      </c>
      <c r="G1116" s="1">
        <v>12462</v>
      </c>
      <c r="H1116" s="1">
        <v>12490</v>
      </c>
      <c r="I1116" s="1">
        <v>13059</v>
      </c>
      <c r="J1116" s="1">
        <v>13237</v>
      </c>
      <c r="K1116" s="1"/>
      <c r="L1116" s="1">
        <v>13650</v>
      </c>
      <c r="M1116" s="1">
        <v>14325</v>
      </c>
      <c r="N1116" s="1">
        <v>14825</v>
      </c>
      <c r="O1116" s="1">
        <v>15390</v>
      </c>
      <c r="P1116" s="1">
        <v>15986</v>
      </c>
      <c r="Q1116" s="1">
        <v>16421</v>
      </c>
      <c r="R1116" s="1">
        <v>16814</v>
      </c>
      <c r="S1116" s="1">
        <v>17095</v>
      </c>
      <c r="T1116" s="1">
        <v>17486</v>
      </c>
      <c r="U1116" s="1">
        <v>17947</v>
      </c>
      <c r="V1116" s="1">
        <v>18451</v>
      </c>
      <c r="W1116" s="1">
        <v>19712</v>
      </c>
      <c r="X1116" s="1">
        <v>20271</v>
      </c>
      <c r="Y1116" s="1">
        <v>20912</v>
      </c>
      <c r="Z1116" s="1">
        <v>21875</v>
      </c>
      <c r="AA1116" s="1">
        <v>22321</v>
      </c>
    </row>
    <row r="1117" spans="2:27" ht="15.75" x14ac:dyDescent="0.25">
      <c r="B1117" s="2" t="s">
        <v>132</v>
      </c>
      <c r="C1117" s="2"/>
      <c r="D1117" s="1">
        <v>12114</v>
      </c>
      <c r="E1117" s="1">
        <v>12148</v>
      </c>
      <c r="F1117" s="1">
        <v>12745</v>
      </c>
      <c r="G1117" s="1">
        <v>13475</v>
      </c>
      <c r="H1117" s="1">
        <v>13647</v>
      </c>
      <c r="I1117" s="1">
        <v>14271</v>
      </c>
      <c r="J1117" s="1">
        <v>14417</v>
      </c>
      <c r="K1117" s="1"/>
      <c r="L1117" s="1">
        <v>14765</v>
      </c>
      <c r="M1117" s="1">
        <v>15419</v>
      </c>
      <c r="N1117" s="1">
        <v>15843</v>
      </c>
      <c r="O1117" s="1">
        <v>16337</v>
      </c>
      <c r="P1117" s="1">
        <v>16867</v>
      </c>
      <c r="Q1117" s="1">
        <v>17215</v>
      </c>
      <c r="R1117" s="1">
        <v>17751</v>
      </c>
      <c r="S1117" s="1">
        <v>17832</v>
      </c>
      <c r="T1117" s="1">
        <v>18446</v>
      </c>
      <c r="U1117" s="1">
        <v>19238</v>
      </c>
      <c r="V1117" s="1">
        <v>19545</v>
      </c>
      <c r="W1117" s="1">
        <v>20543</v>
      </c>
      <c r="X1117" s="1">
        <v>20983</v>
      </c>
      <c r="Y1117" s="1">
        <v>21392</v>
      </c>
      <c r="Z1117" s="1">
        <v>22172</v>
      </c>
      <c r="AA1117" s="1">
        <v>22419</v>
      </c>
    </row>
    <row r="1118" spans="2:27" ht="15.75" x14ac:dyDescent="0.25">
      <c r="B1118" s="4" t="s">
        <v>131</v>
      </c>
      <c r="C1118" s="4"/>
      <c r="D1118" s="3">
        <v>11603</v>
      </c>
      <c r="E1118" s="3">
        <v>11729</v>
      </c>
      <c r="F1118" s="3">
        <v>12413</v>
      </c>
      <c r="G1118" s="3">
        <v>13009</v>
      </c>
      <c r="H1118" s="3">
        <v>13551</v>
      </c>
      <c r="I1118" s="3">
        <v>14012</v>
      </c>
      <c r="J1118" s="3">
        <v>14266</v>
      </c>
      <c r="K1118" s="3"/>
      <c r="L1118" s="3">
        <v>14695</v>
      </c>
      <c r="M1118" s="3">
        <v>15225</v>
      </c>
      <c r="N1118" s="3">
        <v>15587</v>
      </c>
      <c r="O1118" s="3">
        <v>16176</v>
      </c>
      <c r="P1118" s="3">
        <v>16761</v>
      </c>
      <c r="Q1118" s="3">
        <v>17178</v>
      </c>
      <c r="R1118" s="3">
        <v>17214</v>
      </c>
      <c r="S1118" s="3">
        <v>17492</v>
      </c>
      <c r="T1118" s="3">
        <v>18065</v>
      </c>
      <c r="U1118" s="3">
        <v>18522</v>
      </c>
      <c r="V1118" s="3">
        <v>18969</v>
      </c>
      <c r="W1118" s="3">
        <v>20176</v>
      </c>
      <c r="X1118" s="3">
        <v>20669</v>
      </c>
      <c r="Y1118" s="3">
        <v>21194</v>
      </c>
      <c r="Z1118" s="3">
        <v>22296</v>
      </c>
      <c r="AA1118" s="3">
        <v>22741</v>
      </c>
    </row>
    <row r="1119" spans="2:27" ht="15.75" x14ac:dyDescent="0.25">
      <c r="B1119" s="2" t="s">
        <v>130</v>
      </c>
      <c r="C1119" s="2"/>
      <c r="D1119" s="1">
        <v>10637</v>
      </c>
      <c r="E1119" s="1">
        <v>10871</v>
      </c>
      <c r="F1119" s="1">
        <v>11535</v>
      </c>
      <c r="G1119" s="1">
        <v>12237</v>
      </c>
      <c r="H1119" s="1">
        <v>12920</v>
      </c>
      <c r="I1119" s="1">
        <v>13446</v>
      </c>
      <c r="J1119" s="1">
        <v>13774</v>
      </c>
      <c r="K1119" s="1"/>
      <c r="L1119" s="1">
        <v>13835</v>
      </c>
      <c r="M1119" s="1">
        <v>14173</v>
      </c>
      <c r="N1119" s="1">
        <v>14531</v>
      </c>
      <c r="O1119" s="1">
        <v>15036</v>
      </c>
      <c r="P1119" s="1">
        <v>15318</v>
      </c>
      <c r="Q1119" s="1">
        <v>15783</v>
      </c>
      <c r="R1119" s="1">
        <v>16088</v>
      </c>
      <c r="S1119" s="1">
        <v>16253</v>
      </c>
      <c r="T1119" s="1">
        <v>16691</v>
      </c>
      <c r="U1119" s="1">
        <v>17294</v>
      </c>
      <c r="V1119" s="1">
        <v>17807</v>
      </c>
      <c r="W1119" s="1">
        <v>18857</v>
      </c>
      <c r="X1119" s="1">
        <v>19200</v>
      </c>
      <c r="Y1119" s="1">
        <v>19662</v>
      </c>
      <c r="Z1119" s="1">
        <v>20543</v>
      </c>
      <c r="AA1119" s="1">
        <v>21187</v>
      </c>
    </row>
    <row r="1120" spans="2:27" ht="15.75" x14ac:dyDescent="0.25">
      <c r="B1120" s="2" t="s">
        <v>129</v>
      </c>
      <c r="C1120" s="2"/>
      <c r="D1120" s="1">
        <v>10129</v>
      </c>
      <c r="E1120" s="1">
        <v>10199</v>
      </c>
      <c r="F1120" s="1">
        <v>10507</v>
      </c>
      <c r="G1120" s="1">
        <v>10739</v>
      </c>
      <c r="H1120" s="1">
        <v>11170</v>
      </c>
      <c r="I1120" s="1">
        <v>11867</v>
      </c>
      <c r="J1120" s="1">
        <v>12298</v>
      </c>
      <c r="K1120" s="1"/>
      <c r="L1120" s="1">
        <v>12613</v>
      </c>
      <c r="M1120" s="1">
        <v>13007</v>
      </c>
      <c r="N1120" s="1">
        <v>13368</v>
      </c>
      <c r="O1120" s="1">
        <v>13976</v>
      </c>
      <c r="P1120" s="1">
        <v>14474</v>
      </c>
      <c r="Q1120" s="1">
        <v>14788</v>
      </c>
      <c r="R1120" s="1">
        <v>15078</v>
      </c>
      <c r="S1120" s="1">
        <v>15191</v>
      </c>
      <c r="T1120" s="1">
        <v>15584</v>
      </c>
      <c r="U1120" s="1">
        <v>15977</v>
      </c>
      <c r="V1120" s="1">
        <v>16658</v>
      </c>
      <c r="W1120" s="1">
        <v>17405</v>
      </c>
      <c r="X1120" s="1">
        <v>17984</v>
      </c>
      <c r="Y1120" s="1">
        <v>18387</v>
      </c>
      <c r="Z1120" s="1">
        <v>19424</v>
      </c>
      <c r="AA1120" s="1">
        <v>19951</v>
      </c>
    </row>
    <row r="1121" spans="2:27" ht="15.75" x14ac:dyDescent="0.25">
      <c r="B1121" s="2" t="s">
        <v>128</v>
      </c>
      <c r="C1121" s="2"/>
      <c r="D1121" s="1">
        <v>10118</v>
      </c>
      <c r="E1121" s="1">
        <v>10309</v>
      </c>
      <c r="F1121" s="1">
        <v>11035</v>
      </c>
      <c r="G1121" s="1">
        <v>11601</v>
      </c>
      <c r="H1121" s="1">
        <v>12131</v>
      </c>
      <c r="I1121" s="1">
        <v>12637</v>
      </c>
      <c r="J1121" s="1">
        <v>12843</v>
      </c>
      <c r="K1121" s="1"/>
      <c r="L1121" s="1">
        <v>13349</v>
      </c>
      <c r="M1121" s="1">
        <v>13858</v>
      </c>
      <c r="N1121" s="1">
        <v>14190</v>
      </c>
      <c r="O1121" s="1">
        <v>14747</v>
      </c>
      <c r="P1121" s="1">
        <v>15328</v>
      </c>
      <c r="Q1121" s="1">
        <v>15861</v>
      </c>
      <c r="R1121" s="1">
        <v>15880</v>
      </c>
      <c r="S1121" s="1">
        <v>16216</v>
      </c>
      <c r="T1121" s="1">
        <v>16782</v>
      </c>
      <c r="U1121" s="1">
        <v>17318</v>
      </c>
      <c r="V1121" s="1">
        <v>17616</v>
      </c>
      <c r="W1121" s="1">
        <v>18481</v>
      </c>
      <c r="X1121" s="1">
        <v>18847</v>
      </c>
      <c r="Y1121" s="1">
        <v>19212</v>
      </c>
      <c r="Z1121" s="1">
        <v>20098</v>
      </c>
      <c r="AA1121" s="1">
        <v>20457</v>
      </c>
    </row>
    <row r="1122" spans="2:27" ht="15.75" x14ac:dyDescent="0.25">
      <c r="B1122" s="2" t="s">
        <v>127</v>
      </c>
      <c r="C1122" s="2"/>
      <c r="D1122" s="1">
        <v>13371</v>
      </c>
      <c r="E1122" s="1">
        <v>13520</v>
      </c>
      <c r="F1122" s="1">
        <v>14188</v>
      </c>
      <c r="G1122" s="1">
        <v>14957</v>
      </c>
      <c r="H1122" s="1">
        <v>15432</v>
      </c>
      <c r="I1122" s="1">
        <v>15796</v>
      </c>
      <c r="J1122" s="1">
        <v>15990</v>
      </c>
      <c r="K1122" s="1"/>
      <c r="L1122" s="1">
        <v>16622</v>
      </c>
      <c r="M1122" s="1">
        <v>17430</v>
      </c>
      <c r="N1122" s="1">
        <v>17780</v>
      </c>
      <c r="O1122" s="1">
        <v>18450</v>
      </c>
      <c r="P1122" s="1">
        <v>19192</v>
      </c>
      <c r="Q1122" s="1">
        <v>19306</v>
      </c>
      <c r="R1122" s="1">
        <v>19199</v>
      </c>
      <c r="S1122" s="1">
        <v>19606</v>
      </c>
      <c r="T1122" s="1">
        <v>20371</v>
      </c>
      <c r="U1122" s="1">
        <v>20816</v>
      </c>
      <c r="V1122" s="1">
        <v>21249</v>
      </c>
      <c r="W1122" s="1">
        <v>23460</v>
      </c>
      <c r="X1122" s="1">
        <v>23760</v>
      </c>
      <c r="Y1122" s="1">
        <v>24715</v>
      </c>
      <c r="Z1122" s="1">
        <v>26311</v>
      </c>
      <c r="AA1122" s="1">
        <v>26626</v>
      </c>
    </row>
    <row r="1123" spans="2:27" ht="15.75" x14ac:dyDescent="0.25">
      <c r="B1123" s="2" t="s">
        <v>126</v>
      </c>
      <c r="C1123" s="2"/>
      <c r="D1123" s="1">
        <v>13605</v>
      </c>
      <c r="E1123" s="1">
        <v>13627</v>
      </c>
      <c r="F1123" s="1">
        <v>14457</v>
      </c>
      <c r="G1123" s="1">
        <v>15139</v>
      </c>
      <c r="H1123" s="1">
        <v>15674</v>
      </c>
      <c r="I1123" s="1">
        <v>16032</v>
      </c>
      <c r="J1123" s="1">
        <v>16270</v>
      </c>
      <c r="K1123" s="1"/>
      <c r="L1123" s="1">
        <v>16659</v>
      </c>
      <c r="M1123" s="1">
        <v>17194</v>
      </c>
      <c r="N1123" s="1">
        <v>17631</v>
      </c>
      <c r="O1123" s="1">
        <v>18261</v>
      </c>
      <c r="P1123" s="1">
        <v>18956</v>
      </c>
      <c r="Q1123" s="1">
        <v>19400</v>
      </c>
      <c r="R1123" s="1">
        <v>19303</v>
      </c>
      <c r="S1123" s="1">
        <v>19559</v>
      </c>
      <c r="T1123" s="1">
        <v>20191</v>
      </c>
      <c r="U1123" s="1">
        <v>20696</v>
      </c>
      <c r="V1123" s="1">
        <v>21449</v>
      </c>
      <c r="W1123" s="1">
        <v>22747</v>
      </c>
      <c r="X1123" s="1">
        <v>23673</v>
      </c>
      <c r="Y1123" s="1">
        <v>24221</v>
      </c>
      <c r="Z1123" s="1">
        <v>25351</v>
      </c>
      <c r="AA1123" s="1">
        <v>25809</v>
      </c>
    </row>
    <row r="1124" spans="2:27" ht="15.75" x14ac:dyDescent="0.25">
      <c r="B1124" s="2" t="s">
        <v>125</v>
      </c>
      <c r="C1124" s="2"/>
      <c r="D1124" s="1">
        <v>11433</v>
      </c>
      <c r="E1124" s="1">
        <v>11536</v>
      </c>
      <c r="F1124" s="1">
        <v>12223</v>
      </c>
      <c r="G1124" s="1">
        <v>12759</v>
      </c>
      <c r="H1124" s="1">
        <v>13366</v>
      </c>
      <c r="I1124" s="1">
        <v>13807</v>
      </c>
      <c r="J1124" s="1">
        <v>14079</v>
      </c>
      <c r="K1124" s="1"/>
      <c r="L1124" s="1">
        <v>14507</v>
      </c>
      <c r="M1124" s="1">
        <v>15002</v>
      </c>
      <c r="N1124" s="1">
        <v>15356</v>
      </c>
      <c r="O1124" s="1">
        <v>15929</v>
      </c>
      <c r="P1124" s="1">
        <v>16496</v>
      </c>
      <c r="Q1124" s="1">
        <v>16997</v>
      </c>
      <c r="R1124" s="1">
        <v>17041</v>
      </c>
      <c r="S1124" s="1">
        <v>17291</v>
      </c>
      <c r="T1124" s="1">
        <v>17813</v>
      </c>
      <c r="U1124" s="1">
        <v>18087</v>
      </c>
      <c r="V1124" s="1">
        <v>18339</v>
      </c>
      <c r="W1124" s="1">
        <v>19387</v>
      </c>
      <c r="X1124" s="1">
        <v>19884</v>
      </c>
      <c r="Y1124" s="1">
        <v>20332</v>
      </c>
      <c r="Z1124" s="1">
        <v>21440</v>
      </c>
      <c r="AA1124" s="1">
        <v>21949</v>
      </c>
    </row>
    <row r="1125" spans="2:27" ht="15.75" x14ac:dyDescent="0.25">
      <c r="B1125" s="6" t="s">
        <v>124</v>
      </c>
      <c r="C1125" s="6"/>
      <c r="D1125" s="5">
        <v>13111</v>
      </c>
      <c r="E1125" s="5">
        <v>13547</v>
      </c>
      <c r="F1125" s="5">
        <v>14417</v>
      </c>
      <c r="G1125" s="5">
        <v>15589</v>
      </c>
      <c r="H1125" s="5">
        <v>16091</v>
      </c>
      <c r="I1125" s="5">
        <v>16375</v>
      </c>
      <c r="J1125" s="5">
        <v>17002</v>
      </c>
      <c r="K1125" s="5"/>
      <c r="L1125" s="5">
        <v>17876</v>
      </c>
      <c r="M1125" s="5">
        <v>18945</v>
      </c>
      <c r="N1125" s="5">
        <v>19774</v>
      </c>
      <c r="O1125" s="5">
        <v>21203</v>
      </c>
      <c r="P1125" s="5">
        <v>21874</v>
      </c>
      <c r="Q1125" s="5">
        <v>21710</v>
      </c>
      <c r="R1125" s="5">
        <v>21930</v>
      </c>
      <c r="S1125" s="5">
        <v>21850</v>
      </c>
      <c r="T1125" s="5">
        <v>23204</v>
      </c>
      <c r="U1125" s="5">
        <v>24412</v>
      </c>
      <c r="V1125" s="5">
        <v>25376</v>
      </c>
      <c r="W1125" s="5">
        <v>27182</v>
      </c>
      <c r="X1125" s="5">
        <v>27669</v>
      </c>
      <c r="Y1125" s="5">
        <v>27835</v>
      </c>
      <c r="Z1125" s="5">
        <v>29258</v>
      </c>
      <c r="AA1125" s="5">
        <v>30256</v>
      </c>
    </row>
    <row r="1126" spans="2:27" ht="15.75" x14ac:dyDescent="0.25">
      <c r="B1126" s="4" t="s">
        <v>123</v>
      </c>
      <c r="C1126" s="4"/>
      <c r="D1126" s="3">
        <v>20609</v>
      </c>
      <c r="E1126" s="3">
        <v>21577</v>
      </c>
      <c r="F1126" s="3">
        <v>23116</v>
      </c>
      <c r="G1126" s="3">
        <v>25349</v>
      </c>
      <c r="H1126" s="3">
        <v>25456</v>
      </c>
      <c r="I1126" s="3">
        <v>25235</v>
      </c>
      <c r="J1126" s="3">
        <v>25754</v>
      </c>
      <c r="K1126" s="3"/>
      <c r="L1126" s="3">
        <v>27612</v>
      </c>
      <c r="M1126" s="3">
        <v>30047</v>
      </c>
      <c r="N1126" s="3">
        <v>32493</v>
      </c>
      <c r="O1126" s="3">
        <v>36191</v>
      </c>
      <c r="P1126" s="3">
        <v>38779</v>
      </c>
      <c r="Q1126" s="3">
        <v>38631</v>
      </c>
      <c r="R1126" s="3">
        <v>37651</v>
      </c>
      <c r="S1126" s="3">
        <v>36431</v>
      </c>
      <c r="T1126" s="3">
        <v>39279</v>
      </c>
      <c r="U1126" s="3">
        <v>43227</v>
      </c>
      <c r="V1126" s="3">
        <v>45570</v>
      </c>
      <c r="W1126" s="3">
        <v>47971</v>
      </c>
      <c r="X1126" s="3">
        <v>48978</v>
      </c>
      <c r="Y1126" s="3">
        <v>49041</v>
      </c>
      <c r="Z1126" s="3">
        <v>51110</v>
      </c>
      <c r="AA1126" s="3">
        <v>51673</v>
      </c>
    </row>
    <row r="1127" spans="2:27" ht="15.75" x14ac:dyDescent="0.25">
      <c r="B1127" s="2" t="s">
        <v>122</v>
      </c>
      <c r="C1127" s="2"/>
      <c r="D1127" s="1">
        <v>18297</v>
      </c>
      <c r="E1127" s="1">
        <v>20277</v>
      </c>
      <c r="F1127" s="1">
        <v>21476</v>
      </c>
      <c r="G1127" s="1">
        <v>23769</v>
      </c>
      <c r="H1127" s="1">
        <v>23632</v>
      </c>
      <c r="I1127" s="1">
        <v>23732</v>
      </c>
      <c r="J1127" s="1">
        <v>24146</v>
      </c>
      <c r="K1127" s="1"/>
      <c r="L1127" s="1">
        <v>26020</v>
      </c>
      <c r="M1127" s="1">
        <v>28794</v>
      </c>
      <c r="N1127" s="1">
        <v>31218</v>
      </c>
      <c r="O1127" s="1">
        <v>34637</v>
      </c>
      <c r="P1127" s="1">
        <v>37993</v>
      </c>
      <c r="Q1127" s="1">
        <v>37723</v>
      </c>
      <c r="R1127" s="1">
        <v>36560</v>
      </c>
      <c r="S1127" s="1">
        <v>35034</v>
      </c>
      <c r="T1127" s="1">
        <v>37603</v>
      </c>
      <c r="U1127" s="1">
        <v>41276</v>
      </c>
      <c r="V1127" s="1">
        <v>42009</v>
      </c>
      <c r="W1127" s="1">
        <v>44622</v>
      </c>
      <c r="X1127" s="1">
        <v>45909</v>
      </c>
      <c r="Y1127" s="1">
        <v>46135</v>
      </c>
      <c r="Z1127" s="1">
        <v>48921</v>
      </c>
      <c r="AA1127" s="1">
        <v>49467</v>
      </c>
    </row>
    <row r="1128" spans="2:27" ht="15.75" x14ac:dyDescent="0.25">
      <c r="B1128" s="2" t="s">
        <v>121</v>
      </c>
      <c r="C1128" s="2"/>
      <c r="D1128" s="1">
        <v>21037</v>
      </c>
      <c r="E1128" s="1">
        <v>21787</v>
      </c>
      <c r="F1128" s="1">
        <v>23802</v>
      </c>
      <c r="G1128" s="1">
        <v>25855</v>
      </c>
      <c r="H1128" s="1">
        <v>26222</v>
      </c>
      <c r="I1128" s="1">
        <v>25956</v>
      </c>
      <c r="J1128" s="1">
        <v>26437</v>
      </c>
      <c r="K1128" s="1"/>
      <c r="L1128" s="1">
        <v>28248</v>
      </c>
      <c r="M1128" s="1">
        <v>30474</v>
      </c>
      <c r="N1128" s="1">
        <v>32950</v>
      </c>
      <c r="O1128" s="1">
        <v>36946</v>
      </c>
      <c r="P1128" s="1">
        <v>39934</v>
      </c>
      <c r="Q1128" s="1">
        <v>40292</v>
      </c>
      <c r="R1128" s="1">
        <v>40108</v>
      </c>
      <c r="S1128" s="1">
        <v>39217</v>
      </c>
      <c r="T1128" s="1">
        <v>42327</v>
      </c>
      <c r="U1128" s="1">
        <v>46370</v>
      </c>
      <c r="V1128" s="1">
        <v>49012</v>
      </c>
      <c r="W1128" s="1">
        <v>52280</v>
      </c>
      <c r="X1128" s="1">
        <v>54106</v>
      </c>
      <c r="Y1128" s="1">
        <v>53482</v>
      </c>
      <c r="Z1128" s="1">
        <v>53644</v>
      </c>
      <c r="AA1128" s="1">
        <v>53670</v>
      </c>
    </row>
    <row r="1129" spans="2:27" ht="15.75" x14ac:dyDescent="0.25">
      <c r="B1129" s="2" t="s">
        <v>120</v>
      </c>
      <c r="C1129" s="2"/>
      <c r="D1129" s="1">
        <v>27754</v>
      </c>
      <c r="E1129" s="1">
        <v>27675</v>
      </c>
      <c r="F1129" s="1">
        <v>28863</v>
      </c>
      <c r="G1129" s="1">
        <v>31092</v>
      </c>
      <c r="H1129" s="1">
        <v>30693</v>
      </c>
      <c r="I1129" s="1">
        <v>30139</v>
      </c>
      <c r="J1129" s="1">
        <v>30870</v>
      </c>
      <c r="K1129" s="1"/>
      <c r="L1129" s="1">
        <v>33030</v>
      </c>
      <c r="M1129" s="1">
        <v>35455</v>
      </c>
      <c r="N1129" s="1">
        <v>38431</v>
      </c>
      <c r="O1129" s="1">
        <v>42819</v>
      </c>
      <c r="P1129" s="1">
        <v>45929</v>
      </c>
      <c r="Q1129" s="1">
        <v>45459</v>
      </c>
      <c r="R1129" s="1">
        <v>44239</v>
      </c>
      <c r="S1129" s="1">
        <v>43164</v>
      </c>
      <c r="T1129" s="1">
        <v>46999</v>
      </c>
      <c r="U1129" s="1">
        <v>52293</v>
      </c>
      <c r="V1129" s="1">
        <v>56013</v>
      </c>
      <c r="W1129" s="1">
        <v>58228</v>
      </c>
      <c r="X1129" s="1">
        <v>58320</v>
      </c>
      <c r="Y1129" s="1">
        <v>58914</v>
      </c>
      <c r="Z1129" s="1">
        <v>62060</v>
      </c>
      <c r="AA1129" s="1">
        <v>62408</v>
      </c>
    </row>
    <row r="1130" spans="2:27" ht="15.75" x14ac:dyDescent="0.25">
      <c r="B1130" s="2" t="s">
        <v>119</v>
      </c>
      <c r="C1130" s="2"/>
      <c r="D1130" s="1">
        <v>13864</v>
      </c>
      <c r="E1130" s="1">
        <v>15395</v>
      </c>
      <c r="F1130" s="1">
        <v>17139</v>
      </c>
      <c r="G1130" s="1">
        <v>19331</v>
      </c>
      <c r="H1130" s="1">
        <v>19900</v>
      </c>
      <c r="I1130" s="1">
        <v>19854</v>
      </c>
      <c r="J1130" s="1">
        <v>20238</v>
      </c>
      <c r="K1130" s="1"/>
      <c r="L1130" s="1">
        <v>21779</v>
      </c>
      <c r="M1130" s="1">
        <v>24153</v>
      </c>
      <c r="N1130" s="1">
        <v>26087</v>
      </c>
      <c r="O1130" s="1">
        <v>29070</v>
      </c>
      <c r="P1130" s="1">
        <v>30249</v>
      </c>
      <c r="Q1130" s="1">
        <v>30292</v>
      </c>
      <c r="R1130" s="1">
        <v>29257</v>
      </c>
      <c r="S1130" s="1">
        <v>28019</v>
      </c>
      <c r="T1130" s="1">
        <v>29872</v>
      </c>
      <c r="U1130" s="1">
        <v>32636</v>
      </c>
      <c r="V1130" s="1">
        <v>34593</v>
      </c>
      <c r="W1130" s="1">
        <v>36445</v>
      </c>
      <c r="X1130" s="1">
        <v>37729</v>
      </c>
      <c r="Y1130" s="1">
        <v>37678</v>
      </c>
      <c r="Z1130" s="1">
        <v>39489</v>
      </c>
      <c r="AA1130" s="1">
        <v>40851</v>
      </c>
    </row>
    <row r="1131" spans="2:27" ht="15.75" x14ac:dyDescent="0.25">
      <c r="B1131" s="4" t="s">
        <v>118</v>
      </c>
      <c r="C1131" s="4"/>
      <c r="D1131" s="3">
        <v>10759</v>
      </c>
      <c r="E1131" s="3">
        <v>11118</v>
      </c>
      <c r="F1131" s="3">
        <v>12016</v>
      </c>
      <c r="G1131" s="3">
        <v>13080</v>
      </c>
      <c r="H1131" s="3">
        <v>13467</v>
      </c>
      <c r="I1131" s="3">
        <v>13758</v>
      </c>
      <c r="J1131" s="3">
        <v>14284</v>
      </c>
      <c r="K1131" s="3"/>
      <c r="L1131" s="3">
        <v>15117</v>
      </c>
      <c r="M1131" s="3">
        <v>16184</v>
      </c>
      <c r="N1131" s="3">
        <v>17185</v>
      </c>
      <c r="O1131" s="3">
        <v>18342</v>
      </c>
      <c r="P1131" s="3">
        <v>18679</v>
      </c>
      <c r="Q1131" s="3">
        <v>18722</v>
      </c>
      <c r="R1131" s="3">
        <v>19229</v>
      </c>
      <c r="S1131" s="3">
        <v>19352</v>
      </c>
      <c r="T1131" s="3">
        <v>20372</v>
      </c>
      <c r="U1131" s="3">
        <v>21144</v>
      </c>
      <c r="V1131" s="3">
        <v>21992</v>
      </c>
      <c r="W1131" s="3">
        <v>23717</v>
      </c>
      <c r="X1131" s="3">
        <v>24240</v>
      </c>
      <c r="Y1131" s="3">
        <v>24547</v>
      </c>
      <c r="Z1131" s="3">
        <v>25810</v>
      </c>
      <c r="AA1131" s="3">
        <v>26923</v>
      </c>
    </row>
    <row r="1132" spans="2:27" ht="15.75" x14ac:dyDescent="0.25">
      <c r="B1132" s="2" t="s">
        <v>117</v>
      </c>
      <c r="C1132" s="2"/>
      <c r="D1132" s="1">
        <v>6355</v>
      </c>
      <c r="E1132" s="1">
        <v>6963</v>
      </c>
      <c r="F1132" s="1">
        <v>7761</v>
      </c>
      <c r="G1132" s="1">
        <v>8838</v>
      </c>
      <c r="H1132" s="1">
        <v>9409</v>
      </c>
      <c r="I1132" s="1">
        <v>9745</v>
      </c>
      <c r="J1132" s="1">
        <v>10347</v>
      </c>
      <c r="K1132" s="1"/>
      <c r="L1132" s="1">
        <v>11176</v>
      </c>
      <c r="M1132" s="1">
        <v>12349</v>
      </c>
      <c r="N1132" s="1">
        <v>13395</v>
      </c>
      <c r="O1132" s="1">
        <v>14385</v>
      </c>
      <c r="P1132" s="1">
        <v>14720</v>
      </c>
      <c r="Q1132" s="1">
        <v>14924</v>
      </c>
      <c r="R1132" s="1">
        <v>15178</v>
      </c>
      <c r="S1132" s="1">
        <v>15321</v>
      </c>
      <c r="T1132" s="1">
        <v>16115</v>
      </c>
      <c r="U1132" s="1">
        <v>17118</v>
      </c>
      <c r="V1132" s="1">
        <v>17693</v>
      </c>
      <c r="W1132" s="1">
        <v>19197</v>
      </c>
      <c r="X1132" s="1">
        <v>19835</v>
      </c>
      <c r="Y1132" s="1">
        <v>20225</v>
      </c>
      <c r="Z1132" s="1">
        <v>21272</v>
      </c>
      <c r="AA1132" s="1">
        <v>22423</v>
      </c>
    </row>
    <row r="1133" spans="2:27" ht="15.75" x14ac:dyDescent="0.25">
      <c r="B1133" s="2" t="s">
        <v>116</v>
      </c>
      <c r="C1133" s="2"/>
      <c r="D1133" s="1">
        <v>13102</v>
      </c>
      <c r="E1133" s="1">
        <v>13325</v>
      </c>
      <c r="F1133" s="1">
        <v>14064</v>
      </c>
      <c r="G1133" s="1">
        <v>15113</v>
      </c>
      <c r="H1133" s="1">
        <v>15519</v>
      </c>
      <c r="I1133" s="1">
        <v>15596</v>
      </c>
      <c r="J1133" s="1">
        <v>16107</v>
      </c>
      <c r="K1133" s="1"/>
      <c r="L1133" s="1">
        <v>16898</v>
      </c>
      <c r="M1133" s="1">
        <v>17905</v>
      </c>
      <c r="N1133" s="1">
        <v>18767</v>
      </c>
      <c r="O1133" s="1">
        <v>19806</v>
      </c>
      <c r="P1133" s="1">
        <v>20089</v>
      </c>
      <c r="Q1133" s="1">
        <v>20162</v>
      </c>
      <c r="R1133" s="1">
        <v>20386</v>
      </c>
      <c r="S1133" s="1">
        <v>20293</v>
      </c>
      <c r="T1133" s="1">
        <v>21094</v>
      </c>
      <c r="U1133" s="1">
        <v>21666</v>
      </c>
      <c r="V1133" s="1">
        <v>22085</v>
      </c>
      <c r="W1133" s="1">
        <v>23571</v>
      </c>
      <c r="X1133" s="1">
        <v>24549</v>
      </c>
      <c r="Y1133" s="1">
        <v>24569</v>
      </c>
      <c r="Z1133" s="1">
        <v>25457</v>
      </c>
      <c r="AA1133" s="1">
        <v>26404</v>
      </c>
    </row>
    <row r="1134" spans="2:27" ht="15.75" x14ac:dyDescent="0.25">
      <c r="B1134" s="2" t="s">
        <v>115</v>
      </c>
      <c r="C1134" s="2"/>
      <c r="D1134" s="1">
        <v>15204</v>
      </c>
      <c r="E1134" s="1">
        <v>15404</v>
      </c>
      <c r="F1134" s="1">
        <v>16595</v>
      </c>
      <c r="G1134" s="1">
        <v>17737</v>
      </c>
      <c r="H1134" s="1">
        <v>18079</v>
      </c>
      <c r="I1134" s="1">
        <v>18436</v>
      </c>
      <c r="J1134" s="1">
        <v>18768</v>
      </c>
      <c r="K1134" s="1"/>
      <c r="L1134" s="1">
        <v>19701</v>
      </c>
      <c r="M1134" s="1">
        <v>20765</v>
      </c>
      <c r="N1134" s="1">
        <v>21935</v>
      </c>
      <c r="O1134" s="1">
        <v>23403</v>
      </c>
      <c r="P1134" s="1">
        <v>23747</v>
      </c>
      <c r="Q1134" s="1">
        <v>23575</v>
      </c>
      <c r="R1134" s="1">
        <v>24260</v>
      </c>
      <c r="S1134" s="1">
        <v>24373</v>
      </c>
      <c r="T1134" s="1">
        <v>25735</v>
      </c>
      <c r="U1134" s="1">
        <v>26195</v>
      </c>
      <c r="V1134" s="1">
        <v>27199</v>
      </c>
      <c r="W1134" s="1">
        <v>28828</v>
      </c>
      <c r="X1134" s="1">
        <v>28518</v>
      </c>
      <c r="Y1134" s="1">
        <v>28921</v>
      </c>
      <c r="Z1134" s="1">
        <v>30228</v>
      </c>
      <c r="AA1134" s="1">
        <v>31295</v>
      </c>
    </row>
    <row r="1135" spans="2:27" ht="15.75" x14ac:dyDescent="0.25">
      <c r="B1135" s="2" t="s">
        <v>114</v>
      </c>
      <c r="C1135" s="2"/>
      <c r="D1135" s="1">
        <v>9958</v>
      </c>
      <c r="E1135" s="1">
        <v>10336</v>
      </c>
      <c r="F1135" s="1">
        <v>11165</v>
      </c>
      <c r="G1135" s="1">
        <v>12158</v>
      </c>
      <c r="H1135" s="1">
        <v>12515</v>
      </c>
      <c r="I1135" s="1">
        <v>12818</v>
      </c>
      <c r="J1135" s="1">
        <v>13474</v>
      </c>
      <c r="K1135" s="1"/>
      <c r="L1135" s="1">
        <v>14251</v>
      </c>
      <c r="M1135" s="1">
        <v>15256</v>
      </c>
      <c r="N1135" s="1">
        <v>16168</v>
      </c>
      <c r="O1135" s="1">
        <v>17240</v>
      </c>
      <c r="P1135" s="1">
        <v>17578</v>
      </c>
      <c r="Q1135" s="1">
        <v>17652</v>
      </c>
      <c r="R1135" s="1">
        <v>18345</v>
      </c>
      <c r="S1135" s="1">
        <v>18570</v>
      </c>
      <c r="T1135" s="1">
        <v>19605</v>
      </c>
      <c r="U1135" s="1">
        <v>20416</v>
      </c>
      <c r="V1135" s="1">
        <v>21521</v>
      </c>
      <c r="W1135" s="1">
        <v>23000</v>
      </c>
      <c r="X1135" s="1">
        <v>23472</v>
      </c>
      <c r="Y1135" s="1">
        <v>23989</v>
      </c>
      <c r="Z1135" s="1">
        <v>25390</v>
      </c>
      <c r="AA1135" s="1">
        <v>26375</v>
      </c>
    </row>
    <row r="1136" spans="2:27" ht="15.75" x14ac:dyDescent="0.25">
      <c r="B1136" s="2" t="s">
        <v>113</v>
      </c>
      <c r="C1136" s="2"/>
      <c r="D1136" s="1">
        <v>11056</v>
      </c>
      <c r="E1136" s="1">
        <v>11355</v>
      </c>
      <c r="F1136" s="1">
        <v>12363</v>
      </c>
      <c r="G1136" s="1">
        <v>13509</v>
      </c>
      <c r="H1136" s="1">
        <v>13756</v>
      </c>
      <c r="I1136" s="1">
        <v>14038</v>
      </c>
      <c r="J1136" s="1">
        <v>14487</v>
      </c>
      <c r="K1136" s="1"/>
      <c r="L1136" s="1">
        <v>15273</v>
      </c>
      <c r="M1136" s="1">
        <v>16275</v>
      </c>
      <c r="N1136" s="1">
        <v>17235</v>
      </c>
      <c r="O1136" s="1">
        <v>18510</v>
      </c>
      <c r="P1136" s="1">
        <v>18913</v>
      </c>
      <c r="Q1136" s="1">
        <v>18939</v>
      </c>
      <c r="R1136" s="1">
        <v>19620</v>
      </c>
      <c r="S1136" s="1">
        <v>19776</v>
      </c>
      <c r="T1136" s="1">
        <v>20871</v>
      </c>
      <c r="U1136" s="1">
        <v>21794</v>
      </c>
      <c r="V1136" s="1">
        <v>22829</v>
      </c>
      <c r="W1136" s="1">
        <v>25826</v>
      </c>
      <c r="X1136" s="1">
        <v>27151</v>
      </c>
      <c r="Y1136" s="1">
        <v>27079</v>
      </c>
      <c r="Z1136" s="1">
        <v>28842</v>
      </c>
      <c r="AA1136" s="1">
        <v>30386</v>
      </c>
    </row>
    <row r="1137" spans="2:27" ht="15.75" x14ac:dyDescent="0.25">
      <c r="B1137" s="4" t="s">
        <v>112</v>
      </c>
      <c r="C1137" s="4"/>
      <c r="D1137" s="3">
        <v>11273</v>
      </c>
      <c r="E1137" s="3">
        <v>11514</v>
      </c>
      <c r="F1137" s="3">
        <v>12017</v>
      </c>
      <c r="G1137" s="3">
        <v>12824</v>
      </c>
      <c r="H1137" s="3">
        <v>13567</v>
      </c>
      <c r="I1137" s="3">
        <v>13869</v>
      </c>
      <c r="J1137" s="3">
        <v>14405</v>
      </c>
      <c r="K1137" s="3"/>
      <c r="L1137" s="3">
        <v>14955</v>
      </c>
      <c r="M1137" s="3">
        <v>15472</v>
      </c>
      <c r="N1137" s="3">
        <v>15814</v>
      </c>
      <c r="O1137" s="3">
        <v>16769</v>
      </c>
      <c r="P1137" s="3">
        <v>17189</v>
      </c>
      <c r="Q1137" s="3">
        <v>17085</v>
      </c>
      <c r="R1137" s="3">
        <v>17409</v>
      </c>
      <c r="S1137" s="3">
        <v>17445</v>
      </c>
      <c r="T1137" s="3">
        <v>18420</v>
      </c>
      <c r="U1137" s="3">
        <v>18930</v>
      </c>
      <c r="V1137" s="3">
        <v>19464</v>
      </c>
      <c r="W1137" s="3">
        <v>20856</v>
      </c>
      <c r="X1137" s="3">
        <v>21338</v>
      </c>
      <c r="Y1137" s="3">
        <v>21575</v>
      </c>
      <c r="Z1137" s="3">
        <v>22662</v>
      </c>
      <c r="AA1137" s="3">
        <v>23619</v>
      </c>
    </row>
    <row r="1138" spans="2:27" ht="15.75" x14ac:dyDescent="0.25">
      <c r="B1138" s="2" t="s">
        <v>111</v>
      </c>
      <c r="C1138" s="2"/>
      <c r="D1138" s="1">
        <v>12719</v>
      </c>
      <c r="E1138" s="1">
        <v>12802</v>
      </c>
      <c r="F1138" s="1">
        <v>13370</v>
      </c>
      <c r="G1138" s="1">
        <v>14073</v>
      </c>
      <c r="H1138" s="1">
        <v>14757</v>
      </c>
      <c r="I1138" s="1">
        <v>14995</v>
      </c>
      <c r="J1138" s="1">
        <v>15478</v>
      </c>
      <c r="K1138" s="1"/>
      <c r="L1138" s="1">
        <v>15951</v>
      </c>
      <c r="M1138" s="1">
        <v>16403</v>
      </c>
      <c r="N1138" s="1">
        <v>16742</v>
      </c>
      <c r="O1138" s="1">
        <v>17659</v>
      </c>
      <c r="P1138" s="1">
        <v>18078</v>
      </c>
      <c r="Q1138" s="1">
        <v>18051</v>
      </c>
      <c r="R1138" s="1">
        <v>18393</v>
      </c>
      <c r="S1138" s="1">
        <v>18383</v>
      </c>
      <c r="T1138" s="1">
        <v>19116</v>
      </c>
      <c r="U1138" s="1">
        <v>19711</v>
      </c>
      <c r="V1138" s="1">
        <v>20266</v>
      </c>
      <c r="W1138" s="1">
        <v>21433</v>
      </c>
      <c r="X1138" s="1">
        <v>21943</v>
      </c>
      <c r="Y1138" s="1">
        <v>22019</v>
      </c>
      <c r="Z1138" s="1">
        <v>22968</v>
      </c>
      <c r="AA1138" s="1">
        <v>24099</v>
      </c>
    </row>
    <row r="1139" spans="2:27" ht="15.75" x14ac:dyDescent="0.25">
      <c r="B1139" s="2" t="s">
        <v>110</v>
      </c>
      <c r="C1139" s="2"/>
      <c r="D1139" s="1">
        <v>10275</v>
      </c>
      <c r="E1139" s="1">
        <v>10625</v>
      </c>
      <c r="F1139" s="1">
        <v>11066</v>
      </c>
      <c r="G1139" s="1">
        <v>11847</v>
      </c>
      <c r="H1139" s="1">
        <v>12564</v>
      </c>
      <c r="I1139" s="1">
        <v>12932</v>
      </c>
      <c r="J1139" s="1">
        <v>13527</v>
      </c>
      <c r="K1139" s="1"/>
      <c r="L1139" s="1">
        <v>14066</v>
      </c>
      <c r="M1139" s="1">
        <v>14531</v>
      </c>
      <c r="N1139" s="1">
        <v>14873</v>
      </c>
      <c r="O1139" s="1">
        <v>15840</v>
      </c>
      <c r="P1139" s="1">
        <v>16304</v>
      </c>
      <c r="Q1139" s="1">
        <v>16163</v>
      </c>
      <c r="R1139" s="1">
        <v>16494</v>
      </c>
      <c r="S1139" s="1">
        <v>16598</v>
      </c>
      <c r="T1139" s="1">
        <v>17508</v>
      </c>
      <c r="U1139" s="1">
        <v>17927</v>
      </c>
      <c r="V1139" s="1">
        <v>18187</v>
      </c>
      <c r="W1139" s="1">
        <v>19290</v>
      </c>
      <c r="X1139" s="1">
        <v>19758</v>
      </c>
      <c r="Y1139" s="1">
        <v>19934</v>
      </c>
      <c r="Z1139" s="1">
        <v>21026</v>
      </c>
      <c r="AA1139" s="1">
        <v>21763</v>
      </c>
    </row>
    <row r="1140" spans="2:27" ht="15.75" x14ac:dyDescent="0.25">
      <c r="B1140" s="2" t="s">
        <v>109</v>
      </c>
      <c r="C1140" s="2"/>
      <c r="D1140" s="1">
        <v>10998</v>
      </c>
      <c r="E1140" s="1">
        <v>11218</v>
      </c>
      <c r="F1140" s="1">
        <v>11789</v>
      </c>
      <c r="G1140" s="1">
        <v>12614</v>
      </c>
      <c r="H1140" s="1">
        <v>13433</v>
      </c>
      <c r="I1140" s="1">
        <v>13812</v>
      </c>
      <c r="J1140" s="1">
        <v>14325</v>
      </c>
      <c r="K1140" s="1"/>
      <c r="L1140" s="1">
        <v>14886</v>
      </c>
      <c r="M1140" s="1">
        <v>15459</v>
      </c>
      <c r="N1140" s="1">
        <v>15759</v>
      </c>
      <c r="O1140" s="1">
        <v>16637</v>
      </c>
      <c r="P1140" s="1">
        <v>16961</v>
      </c>
      <c r="Q1140" s="1">
        <v>16824</v>
      </c>
      <c r="R1140" s="1">
        <v>17176</v>
      </c>
      <c r="S1140" s="1">
        <v>17211</v>
      </c>
      <c r="T1140" s="1">
        <v>18354</v>
      </c>
      <c r="U1140" s="1">
        <v>18905</v>
      </c>
      <c r="V1140" s="1">
        <v>19514</v>
      </c>
      <c r="W1140" s="1">
        <v>21218</v>
      </c>
      <c r="X1140" s="1">
        <v>21664</v>
      </c>
      <c r="Y1140" s="1">
        <v>22289</v>
      </c>
      <c r="Z1140" s="1">
        <v>23620</v>
      </c>
      <c r="AA1140" s="1">
        <v>24633</v>
      </c>
    </row>
    <row r="1141" spans="2:27" ht="15.75" x14ac:dyDescent="0.25">
      <c r="B1141" s="2" t="s">
        <v>108</v>
      </c>
      <c r="C1141" s="2"/>
      <c r="D1141" s="1">
        <v>10871</v>
      </c>
      <c r="E1141" s="1">
        <v>11240</v>
      </c>
      <c r="F1141" s="1">
        <v>11624</v>
      </c>
      <c r="G1141" s="1">
        <v>12593</v>
      </c>
      <c r="H1141" s="1">
        <v>13334</v>
      </c>
      <c r="I1141" s="1">
        <v>13502</v>
      </c>
      <c r="J1141" s="1">
        <v>14068</v>
      </c>
      <c r="K1141" s="1"/>
      <c r="L1141" s="1">
        <v>14721</v>
      </c>
      <c r="M1141" s="1">
        <v>15314</v>
      </c>
      <c r="N1141" s="1">
        <v>15725</v>
      </c>
      <c r="O1141" s="1">
        <v>16856</v>
      </c>
      <c r="P1141" s="1">
        <v>17384</v>
      </c>
      <c r="Q1141" s="1">
        <v>17283</v>
      </c>
      <c r="R1141" s="1">
        <v>17524</v>
      </c>
      <c r="S1141" s="1">
        <v>17537</v>
      </c>
      <c r="T1141" s="1">
        <v>18686</v>
      </c>
      <c r="U1141" s="1">
        <v>19118</v>
      </c>
      <c r="V1141" s="1">
        <v>19869</v>
      </c>
      <c r="W1141" s="1">
        <v>21476</v>
      </c>
      <c r="X1141" s="1">
        <v>22012</v>
      </c>
      <c r="Y1141" s="1">
        <v>21933</v>
      </c>
      <c r="Z1141" s="1">
        <v>22810</v>
      </c>
      <c r="AA1141" s="1">
        <v>23710</v>
      </c>
    </row>
    <row r="1142" spans="2:27" ht="15.75" x14ac:dyDescent="0.25">
      <c r="B1142" s="4" t="s">
        <v>107</v>
      </c>
      <c r="C1142" s="4"/>
      <c r="D1142" s="3">
        <v>12931</v>
      </c>
      <c r="E1142" s="3">
        <v>13343</v>
      </c>
      <c r="F1142" s="3">
        <v>14127</v>
      </c>
      <c r="G1142" s="3">
        <v>15198</v>
      </c>
      <c r="H1142" s="3">
        <v>15668</v>
      </c>
      <c r="I1142" s="3">
        <v>16045</v>
      </c>
      <c r="J1142" s="3">
        <v>16858</v>
      </c>
      <c r="K1142" s="3"/>
      <c r="L1142" s="3">
        <v>17803</v>
      </c>
      <c r="M1142" s="3">
        <v>18636</v>
      </c>
      <c r="N1142" s="3">
        <v>19089</v>
      </c>
      <c r="O1142" s="3">
        <v>20204</v>
      </c>
      <c r="P1142" s="3">
        <v>20536</v>
      </c>
      <c r="Q1142" s="3">
        <v>20148</v>
      </c>
      <c r="R1142" s="3">
        <v>20699</v>
      </c>
      <c r="S1142" s="3">
        <v>20976</v>
      </c>
      <c r="T1142" s="3">
        <v>22150</v>
      </c>
      <c r="U1142" s="3">
        <v>22931</v>
      </c>
      <c r="V1142" s="3">
        <v>23554</v>
      </c>
      <c r="W1142" s="3">
        <v>25165</v>
      </c>
      <c r="X1142" s="3">
        <v>25594</v>
      </c>
      <c r="Y1142" s="3">
        <v>25581</v>
      </c>
      <c r="Z1142" s="3">
        <v>27113</v>
      </c>
      <c r="AA1142" s="3">
        <v>28134</v>
      </c>
    </row>
    <row r="1143" spans="2:27" ht="15.75" x14ac:dyDescent="0.25">
      <c r="B1143" s="2" t="s">
        <v>106</v>
      </c>
      <c r="C1143" s="2"/>
      <c r="D1143" s="1">
        <v>13859</v>
      </c>
      <c r="E1143" s="1">
        <v>14474</v>
      </c>
      <c r="F1143" s="1">
        <v>15224</v>
      </c>
      <c r="G1143" s="1">
        <v>16345</v>
      </c>
      <c r="H1143" s="1">
        <v>16872</v>
      </c>
      <c r="I1143" s="1">
        <v>17229</v>
      </c>
      <c r="J1143" s="1">
        <v>18174</v>
      </c>
      <c r="K1143" s="1"/>
      <c r="L1143" s="1">
        <v>19238</v>
      </c>
      <c r="M1143" s="1">
        <v>20100</v>
      </c>
      <c r="N1143" s="1">
        <v>20633</v>
      </c>
      <c r="O1143" s="1">
        <v>21762</v>
      </c>
      <c r="P1143" s="1">
        <v>22007</v>
      </c>
      <c r="Q1143" s="1">
        <v>21642</v>
      </c>
      <c r="R1143" s="1">
        <v>22235</v>
      </c>
      <c r="S1143" s="1">
        <v>22640</v>
      </c>
      <c r="T1143" s="1">
        <v>23922</v>
      </c>
      <c r="U1143" s="1">
        <v>24580</v>
      </c>
      <c r="V1143" s="1">
        <v>25633</v>
      </c>
      <c r="W1143" s="1">
        <v>27416</v>
      </c>
      <c r="X1143" s="1">
        <v>27760</v>
      </c>
      <c r="Y1143" s="1">
        <v>27656</v>
      </c>
      <c r="Z1143" s="1">
        <v>29091</v>
      </c>
      <c r="AA1143" s="1">
        <v>30157</v>
      </c>
    </row>
    <row r="1144" spans="2:27" ht="15.75" x14ac:dyDescent="0.25">
      <c r="B1144" s="2" t="s">
        <v>105</v>
      </c>
      <c r="C1144" s="2"/>
      <c r="D1144" s="1">
        <v>10186</v>
      </c>
      <c r="E1144" s="1">
        <v>10568</v>
      </c>
      <c r="F1144" s="1">
        <v>11366</v>
      </c>
      <c r="G1144" s="1">
        <v>12378</v>
      </c>
      <c r="H1144" s="1">
        <v>12978</v>
      </c>
      <c r="I1144" s="1">
        <v>13441</v>
      </c>
      <c r="J1144" s="1">
        <v>14210</v>
      </c>
      <c r="K1144" s="1"/>
      <c r="L1144" s="1">
        <v>15001</v>
      </c>
      <c r="M1144" s="1">
        <v>15798</v>
      </c>
      <c r="N1144" s="1">
        <v>16267</v>
      </c>
      <c r="O1144" s="1">
        <v>17272</v>
      </c>
      <c r="P1144" s="1">
        <v>17621</v>
      </c>
      <c r="Q1144" s="1">
        <v>17341</v>
      </c>
      <c r="R1144" s="1">
        <v>17743</v>
      </c>
      <c r="S1144" s="1">
        <v>17974</v>
      </c>
      <c r="T1144" s="1">
        <v>19002</v>
      </c>
      <c r="U1144" s="1">
        <v>19646</v>
      </c>
      <c r="V1144" s="1">
        <v>19991</v>
      </c>
      <c r="W1144" s="1">
        <v>21517</v>
      </c>
      <c r="X1144" s="1">
        <v>21921</v>
      </c>
      <c r="Y1144" s="1">
        <v>22240</v>
      </c>
      <c r="Z1144" s="1">
        <v>23599</v>
      </c>
      <c r="AA1144" s="1">
        <v>24603</v>
      </c>
    </row>
    <row r="1145" spans="2:27" ht="15.75" x14ac:dyDescent="0.25">
      <c r="B1145" s="2" t="s">
        <v>104</v>
      </c>
      <c r="C1145" s="2"/>
      <c r="D1145" s="1">
        <v>14204</v>
      </c>
      <c r="E1145" s="1">
        <v>14522</v>
      </c>
      <c r="F1145" s="1">
        <v>15289</v>
      </c>
      <c r="G1145" s="1">
        <v>16367</v>
      </c>
      <c r="H1145" s="1">
        <v>16713</v>
      </c>
      <c r="I1145" s="1">
        <v>17047</v>
      </c>
      <c r="J1145" s="1">
        <v>17815</v>
      </c>
      <c r="K1145" s="1"/>
      <c r="L1145" s="1">
        <v>18798</v>
      </c>
      <c r="M1145" s="1">
        <v>19633</v>
      </c>
      <c r="N1145" s="1">
        <v>20027</v>
      </c>
      <c r="O1145" s="1">
        <v>21212</v>
      </c>
      <c r="P1145" s="1">
        <v>21594</v>
      </c>
      <c r="Q1145" s="1">
        <v>21126</v>
      </c>
      <c r="R1145" s="1">
        <v>21767</v>
      </c>
      <c r="S1145" s="1">
        <v>22022</v>
      </c>
      <c r="T1145" s="1">
        <v>23235</v>
      </c>
      <c r="U1145" s="1">
        <v>24174</v>
      </c>
      <c r="V1145" s="1">
        <v>24735</v>
      </c>
      <c r="W1145" s="1">
        <v>26299</v>
      </c>
      <c r="X1145" s="1">
        <v>26793</v>
      </c>
      <c r="Y1145" s="1">
        <v>26612</v>
      </c>
      <c r="Z1145" s="1">
        <v>28305</v>
      </c>
      <c r="AA1145" s="1">
        <v>29309</v>
      </c>
    </row>
    <row r="1146" spans="2:27" ht="15.75" x14ac:dyDescent="0.25">
      <c r="B1146" s="4" t="s">
        <v>103</v>
      </c>
      <c r="C1146" s="4"/>
      <c r="D1146" s="3">
        <v>13187</v>
      </c>
      <c r="E1146" s="3">
        <v>13636</v>
      </c>
      <c r="F1146" s="3">
        <v>14428</v>
      </c>
      <c r="G1146" s="3">
        <v>15412</v>
      </c>
      <c r="H1146" s="3">
        <v>15954</v>
      </c>
      <c r="I1146" s="3">
        <v>16426</v>
      </c>
      <c r="J1146" s="3">
        <v>17167</v>
      </c>
      <c r="K1146" s="3"/>
      <c r="L1146" s="3">
        <v>17719</v>
      </c>
      <c r="M1146" s="3">
        <v>18570</v>
      </c>
      <c r="N1146" s="3">
        <v>19016</v>
      </c>
      <c r="O1146" s="3">
        <v>20137</v>
      </c>
      <c r="P1146" s="3">
        <v>20679</v>
      </c>
      <c r="Q1146" s="3">
        <v>20473</v>
      </c>
      <c r="R1146" s="3">
        <v>20881</v>
      </c>
      <c r="S1146" s="3">
        <v>20960</v>
      </c>
      <c r="T1146" s="3">
        <v>22355</v>
      </c>
      <c r="U1146" s="3">
        <v>23478</v>
      </c>
      <c r="V1146" s="3">
        <v>24440</v>
      </c>
      <c r="W1146" s="3">
        <v>26471</v>
      </c>
      <c r="X1146" s="3">
        <v>26734</v>
      </c>
      <c r="Y1146" s="3">
        <v>26826</v>
      </c>
      <c r="Z1146" s="3">
        <v>28127</v>
      </c>
      <c r="AA1146" s="3">
        <v>29141</v>
      </c>
    </row>
    <row r="1147" spans="2:27" ht="15.75" x14ac:dyDescent="0.25">
      <c r="B1147" s="2" t="s">
        <v>102</v>
      </c>
      <c r="C1147" s="2"/>
      <c r="D1147" s="1">
        <v>12648</v>
      </c>
      <c r="E1147" s="1">
        <v>13274</v>
      </c>
      <c r="F1147" s="1">
        <v>13994</v>
      </c>
      <c r="G1147" s="1">
        <v>15180</v>
      </c>
      <c r="H1147" s="1">
        <v>15678</v>
      </c>
      <c r="I1147" s="1">
        <v>16231</v>
      </c>
      <c r="J1147" s="1">
        <v>17022</v>
      </c>
      <c r="K1147" s="1"/>
      <c r="L1147" s="1">
        <v>17629</v>
      </c>
      <c r="M1147" s="1">
        <v>18692</v>
      </c>
      <c r="N1147" s="1">
        <v>19361</v>
      </c>
      <c r="O1147" s="1">
        <v>20603</v>
      </c>
      <c r="P1147" s="1">
        <v>21232</v>
      </c>
      <c r="Q1147" s="1">
        <v>20919</v>
      </c>
      <c r="R1147" s="1">
        <v>21429</v>
      </c>
      <c r="S1147" s="1">
        <v>21563</v>
      </c>
      <c r="T1147" s="1">
        <v>23059</v>
      </c>
      <c r="U1147" s="1">
        <v>23973</v>
      </c>
      <c r="V1147" s="1">
        <v>25255</v>
      </c>
      <c r="W1147" s="1">
        <v>28051</v>
      </c>
      <c r="X1147" s="1">
        <v>28824</v>
      </c>
      <c r="Y1147" s="1">
        <v>28940</v>
      </c>
      <c r="Z1147" s="1">
        <v>30271</v>
      </c>
      <c r="AA1147" s="1">
        <v>31489</v>
      </c>
    </row>
    <row r="1148" spans="2:27" ht="15.75" x14ac:dyDescent="0.25">
      <c r="B1148" s="2" t="s">
        <v>101</v>
      </c>
      <c r="C1148" s="2"/>
      <c r="D1148" s="1">
        <v>10774</v>
      </c>
      <c r="E1148" s="1">
        <v>11220</v>
      </c>
      <c r="F1148" s="1">
        <v>12068</v>
      </c>
      <c r="G1148" s="1">
        <v>12922</v>
      </c>
      <c r="H1148" s="1">
        <v>13454</v>
      </c>
      <c r="I1148" s="1">
        <v>14013</v>
      </c>
      <c r="J1148" s="1">
        <v>14703</v>
      </c>
      <c r="K1148" s="1"/>
      <c r="L1148" s="1">
        <v>15231</v>
      </c>
      <c r="M1148" s="1">
        <v>16245</v>
      </c>
      <c r="N1148" s="1">
        <v>16567</v>
      </c>
      <c r="O1148" s="1">
        <v>17578</v>
      </c>
      <c r="P1148" s="1">
        <v>18013</v>
      </c>
      <c r="Q1148" s="1">
        <v>18138</v>
      </c>
      <c r="R1148" s="1">
        <v>18379</v>
      </c>
      <c r="S1148" s="1">
        <v>18542</v>
      </c>
      <c r="T1148" s="1">
        <v>19897</v>
      </c>
      <c r="U1148" s="1">
        <v>21112</v>
      </c>
      <c r="V1148" s="1">
        <v>22031</v>
      </c>
      <c r="W1148" s="1">
        <v>23612</v>
      </c>
      <c r="X1148" s="1">
        <v>23841</v>
      </c>
      <c r="Y1148" s="1">
        <v>24022</v>
      </c>
      <c r="Z1148" s="1">
        <v>25381</v>
      </c>
      <c r="AA1148" s="1">
        <v>26376</v>
      </c>
    </row>
    <row r="1149" spans="2:27" ht="15.75" x14ac:dyDescent="0.25">
      <c r="B1149" s="2" t="s">
        <v>100</v>
      </c>
      <c r="C1149" s="2"/>
      <c r="D1149" s="1">
        <v>12916</v>
      </c>
      <c r="E1149" s="1">
        <v>13243</v>
      </c>
      <c r="F1149" s="1">
        <v>14000</v>
      </c>
      <c r="G1149" s="1">
        <v>14815</v>
      </c>
      <c r="H1149" s="1">
        <v>15363</v>
      </c>
      <c r="I1149" s="1">
        <v>15783</v>
      </c>
      <c r="J1149" s="1">
        <v>16516</v>
      </c>
      <c r="K1149" s="1"/>
      <c r="L1149" s="1">
        <v>17019</v>
      </c>
      <c r="M1149" s="1">
        <v>17719</v>
      </c>
      <c r="N1149" s="1">
        <v>18119</v>
      </c>
      <c r="O1149" s="1">
        <v>19167</v>
      </c>
      <c r="P1149" s="1">
        <v>19686</v>
      </c>
      <c r="Q1149" s="1">
        <v>19585</v>
      </c>
      <c r="R1149" s="1">
        <v>20111</v>
      </c>
      <c r="S1149" s="1">
        <v>20297</v>
      </c>
      <c r="T1149" s="1">
        <v>21715</v>
      </c>
      <c r="U1149" s="1">
        <v>23042</v>
      </c>
      <c r="V1149" s="1">
        <v>24377</v>
      </c>
      <c r="W1149" s="1">
        <v>26335</v>
      </c>
      <c r="X1149" s="1">
        <v>26487</v>
      </c>
      <c r="Y1149" s="1">
        <v>26373</v>
      </c>
      <c r="Z1149" s="1">
        <v>27249</v>
      </c>
      <c r="AA1149" s="1">
        <v>28155</v>
      </c>
    </row>
    <row r="1150" spans="2:27" ht="15.75" x14ac:dyDescent="0.25">
      <c r="B1150" s="2" t="s">
        <v>99</v>
      </c>
      <c r="C1150" s="2"/>
      <c r="D1150" s="1">
        <v>11473</v>
      </c>
      <c r="E1150" s="1">
        <v>12051</v>
      </c>
      <c r="F1150" s="1">
        <v>12857</v>
      </c>
      <c r="G1150" s="1">
        <v>13775</v>
      </c>
      <c r="H1150" s="1">
        <v>14456</v>
      </c>
      <c r="I1150" s="1">
        <v>14982</v>
      </c>
      <c r="J1150" s="1">
        <v>15730</v>
      </c>
      <c r="K1150" s="1"/>
      <c r="L1150" s="1">
        <v>16278</v>
      </c>
      <c r="M1150" s="1">
        <v>17058</v>
      </c>
      <c r="N1150" s="1">
        <v>17374</v>
      </c>
      <c r="O1150" s="1">
        <v>18475</v>
      </c>
      <c r="P1150" s="1">
        <v>18986</v>
      </c>
      <c r="Q1150" s="1">
        <v>18648</v>
      </c>
      <c r="R1150" s="1">
        <v>19141</v>
      </c>
      <c r="S1150" s="1">
        <v>19198</v>
      </c>
      <c r="T1150" s="1">
        <v>20357</v>
      </c>
      <c r="U1150" s="1">
        <v>21388</v>
      </c>
      <c r="V1150" s="1">
        <v>21910</v>
      </c>
      <c r="W1150" s="1">
        <v>23545</v>
      </c>
      <c r="X1150" s="1">
        <v>24062</v>
      </c>
      <c r="Y1150" s="1">
        <v>24159</v>
      </c>
      <c r="Z1150" s="1">
        <v>25128</v>
      </c>
      <c r="AA1150" s="1">
        <v>25916</v>
      </c>
    </row>
    <row r="1151" spans="2:27" ht="15.75" x14ac:dyDescent="0.25">
      <c r="B1151" s="2" t="s">
        <v>98</v>
      </c>
      <c r="C1151" s="2"/>
      <c r="D1151" s="1">
        <v>17479</v>
      </c>
      <c r="E1151" s="1">
        <v>17741</v>
      </c>
      <c r="F1151" s="1">
        <v>18539</v>
      </c>
      <c r="G1151" s="1">
        <v>19691</v>
      </c>
      <c r="H1151" s="1">
        <v>20120</v>
      </c>
      <c r="I1151" s="1">
        <v>20443</v>
      </c>
      <c r="J1151" s="1">
        <v>21158</v>
      </c>
      <c r="K1151" s="1"/>
      <c r="L1151" s="1">
        <v>21690</v>
      </c>
      <c r="M1151" s="1">
        <v>22445</v>
      </c>
      <c r="N1151" s="1">
        <v>22986</v>
      </c>
      <c r="O1151" s="1">
        <v>24181</v>
      </c>
      <c r="P1151" s="1">
        <v>24812</v>
      </c>
      <c r="Q1151" s="1">
        <v>24556</v>
      </c>
      <c r="R1151" s="1">
        <v>24807</v>
      </c>
      <c r="S1151" s="1">
        <v>24742</v>
      </c>
      <c r="T1151" s="1">
        <v>26333</v>
      </c>
      <c r="U1151" s="1">
        <v>27509</v>
      </c>
      <c r="V1151" s="1">
        <v>28476</v>
      </c>
      <c r="W1151" s="1">
        <v>30732</v>
      </c>
      <c r="X1151" s="1">
        <v>30385</v>
      </c>
      <c r="Y1151" s="1">
        <v>30544</v>
      </c>
      <c r="Z1151" s="1">
        <v>32474</v>
      </c>
      <c r="AA1151" s="1">
        <v>33655</v>
      </c>
    </row>
    <row r="1152" spans="2:27" ht="15.75" x14ac:dyDescent="0.25">
      <c r="B1152" s="6" t="s">
        <v>97</v>
      </c>
      <c r="C1152" s="6"/>
      <c r="D1152" s="5">
        <v>12920</v>
      </c>
      <c r="E1152" s="5">
        <v>13152</v>
      </c>
      <c r="F1152" s="5">
        <v>13614</v>
      </c>
      <c r="G1152" s="5">
        <v>14469</v>
      </c>
      <c r="H1152" s="5">
        <v>14863</v>
      </c>
      <c r="I1152" s="5">
        <v>15299</v>
      </c>
      <c r="J1152" s="5">
        <v>15452</v>
      </c>
      <c r="K1152" s="5"/>
      <c r="L1152" s="5">
        <v>16010</v>
      </c>
      <c r="M1152" s="5">
        <v>16630</v>
      </c>
      <c r="N1152" s="5">
        <v>17350</v>
      </c>
      <c r="O1152" s="5">
        <v>18186</v>
      </c>
      <c r="P1152" s="5">
        <v>18580</v>
      </c>
      <c r="Q1152" s="5">
        <v>18899</v>
      </c>
      <c r="R1152" s="5">
        <v>18988</v>
      </c>
      <c r="S1152" s="5">
        <v>19259</v>
      </c>
      <c r="T1152" s="5">
        <v>19973</v>
      </c>
      <c r="U1152" s="5">
        <v>20705</v>
      </c>
      <c r="V1152" s="5">
        <v>21187</v>
      </c>
      <c r="W1152" s="5">
        <v>22492</v>
      </c>
      <c r="X1152" s="5">
        <v>22799</v>
      </c>
      <c r="Y1152" s="5">
        <v>23214</v>
      </c>
      <c r="Z1152" s="5">
        <v>24123</v>
      </c>
      <c r="AA1152" s="5">
        <v>24715</v>
      </c>
    </row>
    <row r="1153" spans="2:27" ht="15.75" x14ac:dyDescent="0.25">
      <c r="B1153" s="4" t="s">
        <v>96</v>
      </c>
      <c r="C1153" s="4"/>
      <c r="D1153" s="3">
        <v>13640</v>
      </c>
      <c r="E1153" s="3">
        <v>13877</v>
      </c>
      <c r="F1153" s="3">
        <v>14337</v>
      </c>
      <c r="G1153" s="3">
        <v>15338</v>
      </c>
      <c r="H1153" s="3">
        <v>15618</v>
      </c>
      <c r="I1153" s="3">
        <v>16064</v>
      </c>
      <c r="J1153" s="3">
        <v>16239</v>
      </c>
      <c r="K1153" s="3"/>
      <c r="L1153" s="3">
        <v>16812</v>
      </c>
      <c r="M1153" s="3">
        <v>17376</v>
      </c>
      <c r="N1153" s="3">
        <v>18306</v>
      </c>
      <c r="O1153" s="3">
        <v>19208</v>
      </c>
      <c r="P1153" s="3">
        <v>19630</v>
      </c>
      <c r="Q1153" s="3">
        <v>19856</v>
      </c>
      <c r="R1153" s="3">
        <v>19800</v>
      </c>
      <c r="S1153" s="3">
        <v>20097</v>
      </c>
      <c r="T1153" s="3">
        <v>20818</v>
      </c>
      <c r="U1153" s="3">
        <v>21541</v>
      </c>
      <c r="V1153" s="3">
        <v>22157</v>
      </c>
      <c r="W1153" s="3">
        <v>23681</v>
      </c>
      <c r="X1153" s="3">
        <v>24076</v>
      </c>
      <c r="Y1153" s="3">
        <v>24572</v>
      </c>
      <c r="Z1153" s="3">
        <v>25491</v>
      </c>
      <c r="AA1153" s="3">
        <v>26156</v>
      </c>
    </row>
    <row r="1154" spans="2:27" ht="15.75" x14ac:dyDescent="0.25">
      <c r="B1154" s="2" t="s">
        <v>95</v>
      </c>
      <c r="C1154" s="2"/>
      <c r="D1154" s="1">
        <v>13782</v>
      </c>
      <c r="E1154" s="1">
        <v>14029</v>
      </c>
      <c r="F1154" s="1">
        <v>14432</v>
      </c>
      <c r="G1154" s="1">
        <v>15485</v>
      </c>
      <c r="H1154" s="1">
        <v>15586</v>
      </c>
      <c r="I1154" s="1">
        <v>16014</v>
      </c>
      <c r="J1154" s="1">
        <v>16279</v>
      </c>
      <c r="K1154" s="1"/>
      <c r="L1154" s="1">
        <v>16653</v>
      </c>
      <c r="M1154" s="1">
        <v>17302</v>
      </c>
      <c r="N1154" s="1">
        <v>17978</v>
      </c>
      <c r="O1154" s="1">
        <v>19218</v>
      </c>
      <c r="P1154" s="1">
        <v>19579</v>
      </c>
      <c r="Q1154" s="1">
        <v>19615</v>
      </c>
      <c r="R1154" s="1">
        <v>19531</v>
      </c>
      <c r="S1154" s="1">
        <v>19944</v>
      </c>
      <c r="T1154" s="1">
        <v>20706</v>
      </c>
      <c r="U1154" s="1">
        <v>21558</v>
      </c>
      <c r="V1154" s="1">
        <v>22029</v>
      </c>
      <c r="W1154" s="1">
        <v>23357</v>
      </c>
      <c r="X1154" s="1">
        <v>23841</v>
      </c>
      <c r="Y1154" s="1">
        <v>24296</v>
      </c>
      <c r="Z1154" s="1">
        <v>25178</v>
      </c>
      <c r="AA1154" s="1">
        <v>25912</v>
      </c>
    </row>
    <row r="1155" spans="2:27" ht="15.75" x14ac:dyDescent="0.25">
      <c r="B1155" s="2" t="s">
        <v>94</v>
      </c>
      <c r="C1155" s="2"/>
      <c r="D1155" s="1">
        <v>11125</v>
      </c>
      <c r="E1155" s="1">
        <v>11274</v>
      </c>
      <c r="F1155" s="1">
        <v>11667</v>
      </c>
      <c r="G1155" s="1">
        <v>12367</v>
      </c>
      <c r="H1155" s="1">
        <v>12716</v>
      </c>
      <c r="I1155" s="1">
        <v>13469</v>
      </c>
      <c r="J1155" s="1">
        <v>13713</v>
      </c>
      <c r="K1155" s="1"/>
      <c r="L1155" s="1">
        <v>14477</v>
      </c>
      <c r="M1155" s="1">
        <v>14993</v>
      </c>
      <c r="N1155" s="1">
        <v>15463</v>
      </c>
      <c r="O1155" s="1">
        <v>16246</v>
      </c>
      <c r="P1155" s="1">
        <v>16679</v>
      </c>
      <c r="Q1155" s="1">
        <v>16659</v>
      </c>
      <c r="R1155" s="1">
        <v>17031</v>
      </c>
      <c r="S1155" s="1">
        <v>17099</v>
      </c>
      <c r="T1155" s="1">
        <v>17494</v>
      </c>
      <c r="U1155" s="1">
        <v>17820</v>
      </c>
      <c r="V1155" s="1">
        <v>18358</v>
      </c>
      <c r="W1155" s="1">
        <v>19639</v>
      </c>
      <c r="X1155" s="1">
        <v>20038</v>
      </c>
      <c r="Y1155" s="1">
        <v>20665</v>
      </c>
      <c r="Z1155" s="1">
        <v>21649</v>
      </c>
      <c r="AA1155" s="1">
        <v>22116</v>
      </c>
    </row>
    <row r="1156" spans="2:27" ht="15.75" x14ac:dyDescent="0.25">
      <c r="B1156" s="2" t="s">
        <v>93</v>
      </c>
      <c r="C1156" s="2"/>
      <c r="D1156" s="1">
        <v>14935</v>
      </c>
      <c r="E1156" s="1">
        <v>15218</v>
      </c>
      <c r="F1156" s="1">
        <v>15823</v>
      </c>
      <c r="G1156" s="1">
        <v>16825</v>
      </c>
      <c r="H1156" s="1">
        <v>17456</v>
      </c>
      <c r="I1156" s="1">
        <v>17813</v>
      </c>
      <c r="J1156" s="1">
        <v>17899</v>
      </c>
      <c r="K1156" s="1"/>
      <c r="L1156" s="1">
        <v>18653</v>
      </c>
      <c r="M1156" s="1">
        <v>19322</v>
      </c>
      <c r="N1156" s="1">
        <v>20681</v>
      </c>
      <c r="O1156" s="1">
        <v>21500</v>
      </c>
      <c r="P1156" s="1">
        <v>22049</v>
      </c>
      <c r="Q1156" s="1">
        <v>22520</v>
      </c>
      <c r="R1156" s="1">
        <v>22463</v>
      </c>
      <c r="S1156" s="1">
        <v>22674</v>
      </c>
      <c r="T1156" s="1">
        <v>23286</v>
      </c>
      <c r="U1156" s="1">
        <v>24016</v>
      </c>
      <c r="V1156" s="1">
        <v>24777</v>
      </c>
      <c r="W1156" s="1">
        <v>26469</v>
      </c>
      <c r="X1156" s="1">
        <v>27122</v>
      </c>
      <c r="Y1156" s="1">
        <v>27592</v>
      </c>
      <c r="Z1156" s="1">
        <v>28387</v>
      </c>
      <c r="AA1156" s="1">
        <v>29044</v>
      </c>
    </row>
    <row r="1157" spans="2:27" ht="15.75" x14ac:dyDescent="0.25">
      <c r="B1157" s="2" t="s">
        <v>92</v>
      </c>
      <c r="C1157" s="2"/>
      <c r="D1157" s="1">
        <v>13267</v>
      </c>
      <c r="E1157" s="1">
        <v>13497</v>
      </c>
      <c r="F1157" s="1">
        <v>13953</v>
      </c>
      <c r="G1157" s="1">
        <v>15000</v>
      </c>
      <c r="H1157" s="1">
        <v>15227</v>
      </c>
      <c r="I1157" s="1">
        <v>15670</v>
      </c>
      <c r="J1157" s="1">
        <v>15785</v>
      </c>
      <c r="K1157" s="1"/>
      <c r="L1157" s="1">
        <v>16412</v>
      </c>
      <c r="M1157" s="1">
        <v>16816</v>
      </c>
      <c r="N1157" s="1">
        <v>17913</v>
      </c>
      <c r="O1157" s="1">
        <v>18490</v>
      </c>
      <c r="P1157" s="1">
        <v>18905</v>
      </c>
      <c r="Q1157" s="1">
        <v>19301</v>
      </c>
      <c r="R1157" s="1">
        <v>19139</v>
      </c>
      <c r="S1157" s="1">
        <v>19448</v>
      </c>
      <c r="T1157" s="1">
        <v>20327</v>
      </c>
      <c r="U1157" s="1">
        <v>21033</v>
      </c>
      <c r="V1157" s="1">
        <v>21766</v>
      </c>
      <c r="W1157" s="1">
        <v>23509</v>
      </c>
      <c r="X1157" s="1">
        <v>23579</v>
      </c>
      <c r="Y1157" s="1">
        <v>24100</v>
      </c>
      <c r="Z1157" s="1">
        <v>25133</v>
      </c>
      <c r="AA1157" s="1">
        <v>25779</v>
      </c>
    </row>
    <row r="1158" spans="2:27" ht="15.75" x14ac:dyDescent="0.25">
      <c r="B1158" s="4" t="s">
        <v>91</v>
      </c>
      <c r="C1158" s="4"/>
      <c r="D1158" s="3">
        <v>13992</v>
      </c>
      <c r="E1158" s="3">
        <v>14402</v>
      </c>
      <c r="F1158" s="3">
        <v>14881</v>
      </c>
      <c r="G1158" s="3">
        <v>15669</v>
      </c>
      <c r="H1158" s="3">
        <v>16089</v>
      </c>
      <c r="I1158" s="3">
        <v>16528</v>
      </c>
      <c r="J1158" s="3">
        <v>16672</v>
      </c>
      <c r="K1158" s="3"/>
      <c r="L1158" s="3">
        <v>17197</v>
      </c>
      <c r="M1158" s="3">
        <v>18092</v>
      </c>
      <c r="N1158" s="3">
        <v>18934</v>
      </c>
      <c r="O1158" s="3">
        <v>19760</v>
      </c>
      <c r="P1158" s="3">
        <v>20094</v>
      </c>
      <c r="Q1158" s="3">
        <v>20296</v>
      </c>
      <c r="R1158" s="3">
        <v>20509</v>
      </c>
      <c r="S1158" s="3">
        <v>20781</v>
      </c>
      <c r="T1158" s="3">
        <v>21597</v>
      </c>
      <c r="U1158" s="3">
        <v>22524</v>
      </c>
      <c r="V1158" s="3">
        <v>22981</v>
      </c>
      <c r="W1158" s="3">
        <v>24422</v>
      </c>
      <c r="X1158" s="3">
        <v>24710</v>
      </c>
      <c r="Y1158" s="3">
        <v>25122</v>
      </c>
      <c r="Z1158" s="3">
        <v>26133</v>
      </c>
      <c r="AA1158" s="3">
        <v>26675</v>
      </c>
    </row>
    <row r="1159" spans="2:27" ht="15.75" x14ac:dyDescent="0.25">
      <c r="B1159" s="2" t="s">
        <v>90</v>
      </c>
      <c r="C1159" s="2"/>
      <c r="D1159" s="1">
        <v>12019</v>
      </c>
      <c r="E1159" s="1">
        <v>12107</v>
      </c>
      <c r="F1159" s="1">
        <v>12630</v>
      </c>
      <c r="G1159" s="1">
        <v>13458</v>
      </c>
      <c r="H1159" s="1">
        <v>13998</v>
      </c>
      <c r="I1159" s="1">
        <v>14438</v>
      </c>
      <c r="J1159" s="1">
        <v>14616</v>
      </c>
      <c r="K1159" s="1"/>
      <c r="L1159" s="1">
        <v>15193</v>
      </c>
      <c r="M1159" s="1">
        <v>16015</v>
      </c>
      <c r="N1159" s="1">
        <v>16242</v>
      </c>
      <c r="O1159" s="1">
        <v>16841</v>
      </c>
      <c r="P1159" s="1">
        <v>17371</v>
      </c>
      <c r="Q1159" s="1">
        <v>17860</v>
      </c>
      <c r="R1159" s="1">
        <v>17764</v>
      </c>
      <c r="S1159" s="1">
        <v>17972</v>
      </c>
      <c r="T1159" s="1">
        <v>18379</v>
      </c>
      <c r="U1159" s="1">
        <v>19005</v>
      </c>
      <c r="V1159" s="1">
        <v>19457</v>
      </c>
      <c r="W1159" s="1">
        <v>20689</v>
      </c>
      <c r="X1159" s="1">
        <v>20963</v>
      </c>
      <c r="Y1159" s="1">
        <v>21486</v>
      </c>
      <c r="Z1159" s="1">
        <v>22365</v>
      </c>
      <c r="AA1159" s="1">
        <v>23142</v>
      </c>
    </row>
    <row r="1160" spans="2:27" ht="15.75" x14ac:dyDescent="0.25">
      <c r="B1160" s="2" t="s">
        <v>89</v>
      </c>
      <c r="C1160" s="2"/>
      <c r="D1160" s="1">
        <v>11798</v>
      </c>
      <c r="E1160" s="1">
        <v>11989</v>
      </c>
      <c r="F1160" s="1">
        <v>12494</v>
      </c>
      <c r="G1160" s="1">
        <v>13173</v>
      </c>
      <c r="H1160" s="1">
        <v>13685</v>
      </c>
      <c r="I1160" s="1">
        <v>14036</v>
      </c>
      <c r="J1160" s="1">
        <v>14267</v>
      </c>
      <c r="K1160" s="1"/>
      <c r="L1160" s="1">
        <v>14554</v>
      </c>
      <c r="M1160" s="1">
        <v>15180</v>
      </c>
      <c r="N1160" s="1">
        <v>15765</v>
      </c>
      <c r="O1160" s="1">
        <v>16938</v>
      </c>
      <c r="P1160" s="1">
        <v>17434</v>
      </c>
      <c r="Q1160" s="1">
        <v>17745</v>
      </c>
      <c r="R1160" s="1">
        <v>18338</v>
      </c>
      <c r="S1160" s="1">
        <v>18266</v>
      </c>
      <c r="T1160" s="1">
        <v>18782</v>
      </c>
      <c r="U1160" s="1">
        <v>19661</v>
      </c>
      <c r="V1160" s="1">
        <v>19899</v>
      </c>
      <c r="W1160" s="1">
        <v>20994</v>
      </c>
      <c r="X1160" s="1">
        <v>21373</v>
      </c>
      <c r="Y1160" s="1">
        <v>21574</v>
      </c>
      <c r="Z1160" s="1">
        <v>22143</v>
      </c>
      <c r="AA1160" s="1">
        <v>22572</v>
      </c>
    </row>
    <row r="1161" spans="2:27" ht="15.75" x14ac:dyDescent="0.25">
      <c r="B1161" s="2" t="s">
        <v>88</v>
      </c>
      <c r="C1161" s="2"/>
      <c r="D1161" s="1">
        <v>16290</v>
      </c>
      <c r="E1161" s="1">
        <v>16909</v>
      </c>
      <c r="F1161" s="1">
        <v>17566</v>
      </c>
      <c r="G1161" s="1">
        <v>18295</v>
      </c>
      <c r="H1161" s="1">
        <v>18546</v>
      </c>
      <c r="I1161" s="1">
        <v>19104</v>
      </c>
      <c r="J1161" s="1">
        <v>19143</v>
      </c>
      <c r="K1161" s="1"/>
      <c r="L1161" s="1">
        <v>19795</v>
      </c>
      <c r="M1161" s="1">
        <v>20916</v>
      </c>
      <c r="N1161" s="1">
        <v>22180</v>
      </c>
      <c r="O1161" s="1">
        <v>22983</v>
      </c>
      <c r="P1161" s="1">
        <v>23299</v>
      </c>
      <c r="Q1161" s="1">
        <v>23477</v>
      </c>
      <c r="R1161" s="1">
        <v>23552</v>
      </c>
      <c r="S1161" s="1">
        <v>23933</v>
      </c>
      <c r="T1161" s="1">
        <v>25055</v>
      </c>
      <c r="U1161" s="1">
        <v>26264</v>
      </c>
      <c r="V1161" s="1">
        <v>26973</v>
      </c>
      <c r="W1161" s="1">
        <v>28775</v>
      </c>
      <c r="X1161" s="1">
        <v>28946</v>
      </c>
      <c r="Y1161" s="1">
        <v>29473</v>
      </c>
      <c r="Z1161" s="1">
        <v>30930</v>
      </c>
      <c r="AA1161" s="1">
        <v>31349</v>
      </c>
    </row>
    <row r="1162" spans="2:27" ht="15.75" x14ac:dyDescent="0.25">
      <c r="B1162" s="2" t="s">
        <v>87</v>
      </c>
      <c r="C1162" s="2"/>
      <c r="D1162" s="1">
        <v>15848</v>
      </c>
      <c r="E1162" s="1">
        <v>16601</v>
      </c>
      <c r="F1162" s="1">
        <v>17130</v>
      </c>
      <c r="G1162" s="1">
        <v>17921</v>
      </c>
      <c r="H1162" s="1">
        <v>18140</v>
      </c>
      <c r="I1162" s="1">
        <v>18746</v>
      </c>
      <c r="J1162" s="1">
        <v>18832</v>
      </c>
      <c r="K1162" s="1"/>
      <c r="L1162" s="1">
        <v>19428</v>
      </c>
      <c r="M1162" s="1">
        <v>20686</v>
      </c>
      <c r="N1162" s="1">
        <v>22055</v>
      </c>
      <c r="O1162" s="1">
        <v>22931</v>
      </c>
      <c r="P1162" s="1">
        <v>23140</v>
      </c>
      <c r="Q1162" s="1">
        <v>22998</v>
      </c>
      <c r="R1162" s="1">
        <v>23100</v>
      </c>
      <c r="S1162" s="1">
        <v>23418</v>
      </c>
      <c r="T1162" s="1">
        <v>24625</v>
      </c>
      <c r="U1162" s="1">
        <v>25530</v>
      </c>
      <c r="V1162" s="1">
        <v>26067</v>
      </c>
      <c r="W1162" s="1">
        <v>28030</v>
      </c>
      <c r="X1162" s="1">
        <v>28200</v>
      </c>
      <c r="Y1162" s="1">
        <v>28600</v>
      </c>
      <c r="Z1162" s="1">
        <v>29622</v>
      </c>
      <c r="AA1162" s="1">
        <v>30334</v>
      </c>
    </row>
    <row r="1163" spans="2:27" ht="15.75" x14ac:dyDescent="0.25">
      <c r="B1163" s="2" t="s">
        <v>86</v>
      </c>
      <c r="C1163" s="2"/>
      <c r="D1163" s="1">
        <v>11497</v>
      </c>
      <c r="E1163" s="1">
        <v>12007</v>
      </c>
      <c r="F1163" s="1">
        <v>12231</v>
      </c>
      <c r="G1163" s="1">
        <v>13131</v>
      </c>
      <c r="H1163" s="1">
        <v>13806</v>
      </c>
      <c r="I1163" s="1">
        <v>14139</v>
      </c>
      <c r="J1163" s="1">
        <v>14365</v>
      </c>
      <c r="K1163" s="1"/>
      <c r="L1163" s="1">
        <v>14863</v>
      </c>
      <c r="M1163" s="1">
        <v>15632</v>
      </c>
      <c r="N1163" s="1">
        <v>16245</v>
      </c>
      <c r="O1163" s="1">
        <v>16919</v>
      </c>
      <c r="P1163" s="1">
        <v>17194</v>
      </c>
      <c r="Q1163" s="1">
        <v>17513</v>
      </c>
      <c r="R1163" s="1">
        <v>17853</v>
      </c>
      <c r="S1163" s="1">
        <v>18250</v>
      </c>
      <c r="T1163" s="1">
        <v>18971</v>
      </c>
      <c r="U1163" s="1">
        <v>19736</v>
      </c>
      <c r="V1163" s="1">
        <v>20053</v>
      </c>
      <c r="W1163" s="1">
        <v>21389</v>
      </c>
      <c r="X1163" s="1">
        <v>21717</v>
      </c>
      <c r="Y1163" s="1">
        <v>22187</v>
      </c>
      <c r="Z1163" s="1">
        <v>23018</v>
      </c>
      <c r="AA1163" s="1">
        <v>23470</v>
      </c>
    </row>
    <row r="1164" spans="2:27" ht="15.75" x14ac:dyDescent="0.25">
      <c r="B1164" s="2" t="s">
        <v>85</v>
      </c>
      <c r="C1164" s="2"/>
      <c r="D1164" s="1">
        <v>14851</v>
      </c>
      <c r="E1164" s="1">
        <v>14937</v>
      </c>
      <c r="F1164" s="1">
        <v>15195</v>
      </c>
      <c r="G1164" s="1">
        <v>16124</v>
      </c>
      <c r="H1164" s="1">
        <v>16578</v>
      </c>
      <c r="I1164" s="1">
        <v>16901</v>
      </c>
      <c r="J1164" s="1">
        <v>17096</v>
      </c>
      <c r="K1164" s="1"/>
      <c r="L1164" s="1">
        <v>17656</v>
      </c>
      <c r="M1164" s="1">
        <v>18321</v>
      </c>
      <c r="N1164" s="1">
        <v>18823</v>
      </c>
      <c r="O1164" s="1">
        <v>19462</v>
      </c>
      <c r="P1164" s="1">
        <v>19666</v>
      </c>
      <c r="Q1164" s="1">
        <v>19742</v>
      </c>
      <c r="R1164" s="1">
        <v>19863</v>
      </c>
      <c r="S1164" s="1">
        <v>20249</v>
      </c>
      <c r="T1164" s="1">
        <v>20899</v>
      </c>
      <c r="U1164" s="1">
        <v>21745</v>
      </c>
      <c r="V1164" s="1">
        <v>22099</v>
      </c>
      <c r="W1164" s="1">
        <v>23074</v>
      </c>
      <c r="X1164" s="1">
        <v>23576</v>
      </c>
      <c r="Y1164" s="1">
        <v>23938</v>
      </c>
      <c r="Z1164" s="1">
        <v>24995</v>
      </c>
      <c r="AA1164" s="1">
        <v>25689</v>
      </c>
    </row>
    <row r="1165" spans="2:27" ht="15.75" x14ac:dyDescent="0.25">
      <c r="B1165" s="4" t="s">
        <v>84</v>
      </c>
      <c r="C1165" s="4"/>
      <c r="D1165" s="3">
        <v>11733</v>
      </c>
      <c r="E1165" s="3">
        <v>11875</v>
      </c>
      <c r="F1165" s="3">
        <v>12297</v>
      </c>
      <c r="G1165" s="3">
        <v>13112</v>
      </c>
      <c r="H1165" s="3">
        <v>13552</v>
      </c>
      <c r="I1165" s="3">
        <v>14007</v>
      </c>
      <c r="J1165" s="3">
        <v>14147</v>
      </c>
      <c r="K1165" s="3"/>
      <c r="L1165" s="3">
        <v>14702</v>
      </c>
      <c r="M1165" s="3">
        <v>15108</v>
      </c>
      <c r="N1165" s="3">
        <v>15616</v>
      </c>
      <c r="O1165" s="3">
        <v>16466</v>
      </c>
      <c r="P1165" s="3">
        <v>16933</v>
      </c>
      <c r="Q1165" s="3">
        <v>17412</v>
      </c>
      <c r="R1165" s="3">
        <v>17458</v>
      </c>
      <c r="S1165" s="3">
        <v>17709</v>
      </c>
      <c r="T1165" s="3">
        <v>18406</v>
      </c>
      <c r="U1165" s="3">
        <v>18988</v>
      </c>
      <c r="V1165" s="3">
        <v>19350</v>
      </c>
      <c r="W1165" s="3">
        <v>20477</v>
      </c>
      <c r="X1165" s="3">
        <v>20617</v>
      </c>
      <c r="Y1165" s="3">
        <v>21043</v>
      </c>
      <c r="Z1165" s="3">
        <v>21905</v>
      </c>
      <c r="AA1165" s="3">
        <v>22535</v>
      </c>
    </row>
    <row r="1166" spans="2:27" ht="15.75" x14ac:dyDescent="0.25">
      <c r="B1166" s="2" t="s">
        <v>83</v>
      </c>
      <c r="C1166" s="2"/>
      <c r="D1166" s="1">
        <v>9369</v>
      </c>
      <c r="E1166" s="1">
        <v>9396</v>
      </c>
      <c r="F1166" s="1">
        <v>9943</v>
      </c>
      <c r="G1166" s="1">
        <v>10798</v>
      </c>
      <c r="H1166" s="1">
        <v>10762</v>
      </c>
      <c r="I1166" s="1">
        <v>11224</v>
      </c>
      <c r="J1166" s="1">
        <v>11311</v>
      </c>
      <c r="K1166" s="1"/>
      <c r="L1166" s="1">
        <v>11347</v>
      </c>
      <c r="M1166" s="1">
        <v>11345</v>
      </c>
      <c r="N1166" s="1">
        <v>11546</v>
      </c>
      <c r="O1166" s="1">
        <v>12186</v>
      </c>
      <c r="P1166" s="1">
        <v>12550</v>
      </c>
      <c r="Q1166" s="1">
        <v>13167</v>
      </c>
      <c r="R1166" s="1">
        <v>13119</v>
      </c>
      <c r="S1166" s="1">
        <v>13279</v>
      </c>
      <c r="T1166" s="1">
        <v>13368</v>
      </c>
      <c r="U1166" s="1">
        <v>13969</v>
      </c>
      <c r="V1166" s="1">
        <v>14248</v>
      </c>
      <c r="W1166" s="1">
        <v>15247</v>
      </c>
      <c r="X1166" s="1">
        <v>15556</v>
      </c>
      <c r="Y1166" s="1">
        <v>15858</v>
      </c>
      <c r="Z1166" s="1">
        <v>16509</v>
      </c>
      <c r="AA1166" s="1">
        <v>17028</v>
      </c>
    </row>
    <row r="1167" spans="2:27" ht="15.75" x14ac:dyDescent="0.25">
      <c r="B1167" s="2" t="s">
        <v>82</v>
      </c>
      <c r="C1167" s="2"/>
      <c r="D1167" s="1">
        <v>9613</v>
      </c>
      <c r="E1167" s="1">
        <v>9506</v>
      </c>
      <c r="F1167" s="1">
        <v>9665</v>
      </c>
      <c r="G1167" s="1">
        <v>10312</v>
      </c>
      <c r="H1167" s="1">
        <v>10625</v>
      </c>
      <c r="I1167" s="1">
        <v>11060</v>
      </c>
      <c r="J1167" s="1">
        <v>11183</v>
      </c>
      <c r="K1167" s="1"/>
      <c r="L1167" s="1">
        <v>11538</v>
      </c>
      <c r="M1167" s="1">
        <v>11676</v>
      </c>
      <c r="N1167" s="1">
        <v>12185</v>
      </c>
      <c r="O1167" s="1">
        <v>12916</v>
      </c>
      <c r="P1167" s="1">
        <v>13119</v>
      </c>
      <c r="Q1167" s="1">
        <v>13465</v>
      </c>
      <c r="R1167" s="1">
        <v>13469</v>
      </c>
      <c r="S1167" s="1">
        <v>13661</v>
      </c>
      <c r="T1167" s="1">
        <v>13937</v>
      </c>
      <c r="U1167" s="1">
        <v>14339</v>
      </c>
      <c r="V1167" s="1">
        <v>14639</v>
      </c>
      <c r="W1167" s="1">
        <v>15178</v>
      </c>
      <c r="X1167" s="1">
        <v>15665</v>
      </c>
      <c r="Y1167" s="1">
        <v>16185</v>
      </c>
      <c r="Z1167" s="1">
        <v>16950</v>
      </c>
      <c r="AA1167" s="1">
        <v>17529</v>
      </c>
    </row>
    <row r="1168" spans="2:27" ht="15.75" x14ac:dyDescent="0.25">
      <c r="B1168" s="2" t="s">
        <v>81</v>
      </c>
      <c r="C1168" s="2"/>
      <c r="D1168" s="1">
        <v>9834</v>
      </c>
      <c r="E1168" s="1">
        <v>10038</v>
      </c>
      <c r="F1168" s="1">
        <v>10312</v>
      </c>
      <c r="G1168" s="1">
        <v>10828</v>
      </c>
      <c r="H1168" s="1">
        <v>11594</v>
      </c>
      <c r="I1168" s="1">
        <v>11915</v>
      </c>
      <c r="J1168" s="1">
        <v>12017</v>
      </c>
      <c r="K1168" s="1"/>
      <c r="L1168" s="1">
        <v>12574</v>
      </c>
      <c r="M1168" s="1">
        <v>13149</v>
      </c>
      <c r="N1168" s="1">
        <v>13765</v>
      </c>
      <c r="O1168" s="1">
        <v>14397</v>
      </c>
      <c r="P1168" s="1">
        <v>14786</v>
      </c>
      <c r="Q1168" s="1">
        <v>15525</v>
      </c>
      <c r="R1168" s="1">
        <v>15820</v>
      </c>
      <c r="S1168" s="1">
        <v>16071</v>
      </c>
      <c r="T1168" s="1">
        <v>16239</v>
      </c>
      <c r="U1168" s="1">
        <v>16625</v>
      </c>
      <c r="V1168" s="1">
        <v>16628</v>
      </c>
      <c r="W1168" s="1">
        <v>17214</v>
      </c>
      <c r="X1168" s="1">
        <v>17356</v>
      </c>
      <c r="Y1168" s="1">
        <v>17657</v>
      </c>
      <c r="Z1168" s="1">
        <v>18508</v>
      </c>
      <c r="AA1168" s="1">
        <v>19211</v>
      </c>
    </row>
    <row r="1169" spans="2:27" ht="15.75" x14ac:dyDescent="0.25">
      <c r="B1169" s="2" t="s">
        <v>80</v>
      </c>
      <c r="C1169" s="2"/>
      <c r="D1169" s="1">
        <v>10795</v>
      </c>
      <c r="E1169" s="1">
        <v>10992</v>
      </c>
      <c r="F1169" s="1">
        <v>11476</v>
      </c>
      <c r="G1169" s="1">
        <v>12131</v>
      </c>
      <c r="H1169" s="1">
        <v>12717</v>
      </c>
      <c r="I1169" s="1">
        <v>13293</v>
      </c>
      <c r="J1169" s="1">
        <v>13487</v>
      </c>
      <c r="K1169" s="1"/>
      <c r="L1169" s="1">
        <v>14081</v>
      </c>
      <c r="M1169" s="1">
        <v>14555</v>
      </c>
      <c r="N1169" s="1">
        <v>15005</v>
      </c>
      <c r="O1169" s="1">
        <v>15815</v>
      </c>
      <c r="P1169" s="1">
        <v>16286</v>
      </c>
      <c r="Q1169" s="1">
        <v>16867</v>
      </c>
      <c r="R1169" s="1">
        <v>16921</v>
      </c>
      <c r="S1169" s="1">
        <v>17241</v>
      </c>
      <c r="T1169" s="1">
        <v>18084</v>
      </c>
      <c r="U1169" s="1">
        <v>18828</v>
      </c>
      <c r="V1169" s="1">
        <v>19149</v>
      </c>
      <c r="W1169" s="1">
        <v>19987</v>
      </c>
      <c r="X1169" s="1">
        <v>19977</v>
      </c>
      <c r="Y1169" s="1">
        <v>20141</v>
      </c>
      <c r="Z1169" s="1">
        <v>20821</v>
      </c>
      <c r="AA1169" s="1">
        <v>21416</v>
      </c>
    </row>
    <row r="1170" spans="2:27" ht="15.75" x14ac:dyDescent="0.25">
      <c r="B1170" s="2" t="s">
        <v>79</v>
      </c>
      <c r="C1170" s="2"/>
      <c r="D1170" s="1">
        <v>13438</v>
      </c>
      <c r="E1170" s="1">
        <v>13708</v>
      </c>
      <c r="F1170" s="1">
        <v>14203</v>
      </c>
      <c r="G1170" s="1">
        <v>15254</v>
      </c>
      <c r="H1170" s="1">
        <v>15772</v>
      </c>
      <c r="I1170" s="1">
        <v>16195</v>
      </c>
      <c r="J1170" s="1">
        <v>16357</v>
      </c>
      <c r="K1170" s="1"/>
      <c r="L1170" s="1">
        <v>17119</v>
      </c>
      <c r="M1170" s="1">
        <v>17759</v>
      </c>
      <c r="N1170" s="1">
        <v>18429</v>
      </c>
      <c r="O1170" s="1">
        <v>19401</v>
      </c>
      <c r="P1170" s="1">
        <v>20042</v>
      </c>
      <c r="Q1170" s="1">
        <v>20454</v>
      </c>
      <c r="R1170" s="1">
        <v>20521</v>
      </c>
      <c r="S1170" s="1">
        <v>20788</v>
      </c>
      <c r="T1170" s="1">
        <v>21798</v>
      </c>
      <c r="U1170" s="1">
        <v>22194</v>
      </c>
      <c r="V1170" s="1">
        <v>22707</v>
      </c>
      <c r="W1170" s="1">
        <v>24294</v>
      </c>
      <c r="X1170" s="1">
        <v>24440</v>
      </c>
      <c r="Y1170" s="1">
        <v>24947</v>
      </c>
      <c r="Z1170" s="1">
        <v>25972</v>
      </c>
      <c r="AA1170" s="1">
        <v>26679</v>
      </c>
    </row>
    <row r="1171" spans="2:27" ht="15.75" x14ac:dyDescent="0.25">
      <c r="B1171" s="2" t="s">
        <v>78</v>
      </c>
      <c r="C1171" s="2"/>
      <c r="D1171" s="1">
        <v>13905</v>
      </c>
      <c r="E1171" s="1">
        <v>13984</v>
      </c>
      <c r="F1171" s="1">
        <v>14352</v>
      </c>
      <c r="G1171" s="1">
        <v>15247</v>
      </c>
      <c r="H1171" s="1">
        <v>15618</v>
      </c>
      <c r="I1171" s="1">
        <v>16027</v>
      </c>
      <c r="J1171" s="1">
        <v>16135</v>
      </c>
      <c r="K1171" s="1"/>
      <c r="L1171" s="1">
        <v>16788</v>
      </c>
      <c r="M1171" s="1">
        <v>17134</v>
      </c>
      <c r="N1171" s="1">
        <v>17565</v>
      </c>
      <c r="O1171" s="1">
        <v>18519</v>
      </c>
      <c r="P1171" s="1">
        <v>18971</v>
      </c>
      <c r="Q1171" s="1">
        <v>19340</v>
      </c>
      <c r="R1171" s="1">
        <v>19362</v>
      </c>
      <c r="S1171" s="1">
        <v>19622</v>
      </c>
      <c r="T1171" s="1">
        <v>20514</v>
      </c>
      <c r="U1171" s="1">
        <v>21324</v>
      </c>
      <c r="V1171" s="1">
        <v>21748</v>
      </c>
      <c r="W1171" s="1">
        <v>23270</v>
      </c>
      <c r="X1171" s="1">
        <v>23314</v>
      </c>
      <c r="Y1171" s="1">
        <v>24029</v>
      </c>
      <c r="Z1171" s="1">
        <v>25053</v>
      </c>
      <c r="AA1171" s="1">
        <v>25636</v>
      </c>
    </row>
    <row r="1172" spans="2:27" ht="15.75" x14ac:dyDescent="0.25">
      <c r="B1172" s="4" t="s">
        <v>77</v>
      </c>
      <c r="C1172" s="4"/>
      <c r="D1172" s="3">
        <v>11568</v>
      </c>
      <c r="E1172" s="3">
        <v>11611</v>
      </c>
      <c r="F1172" s="3">
        <v>12081</v>
      </c>
      <c r="G1172" s="3">
        <v>12898</v>
      </c>
      <c r="H1172" s="3">
        <v>13353</v>
      </c>
      <c r="I1172" s="3">
        <v>13757</v>
      </c>
      <c r="J1172" s="3">
        <v>13916</v>
      </c>
      <c r="K1172" s="3"/>
      <c r="L1172" s="3">
        <v>14517</v>
      </c>
      <c r="M1172" s="3">
        <v>15011</v>
      </c>
      <c r="N1172" s="3">
        <v>15493</v>
      </c>
      <c r="O1172" s="3">
        <v>16234</v>
      </c>
      <c r="P1172" s="3">
        <v>16607</v>
      </c>
      <c r="Q1172" s="3">
        <v>17058</v>
      </c>
      <c r="R1172" s="3">
        <v>17191</v>
      </c>
      <c r="S1172" s="3">
        <v>17446</v>
      </c>
      <c r="T1172" s="3">
        <v>18011</v>
      </c>
      <c r="U1172" s="3">
        <v>18605</v>
      </c>
      <c r="V1172" s="3">
        <v>19081</v>
      </c>
      <c r="W1172" s="3">
        <v>20074</v>
      </c>
      <c r="X1172" s="3">
        <v>20478</v>
      </c>
      <c r="Y1172" s="3">
        <v>20790</v>
      </c>
      <c r="Z1172" s="3">
        <v>21577</v>
      </c>
      <c r="AA1172" s="3">
        <v>22110</v>
      </c>
    </row>
    <row r="1173" spans="2:27" ht="15.75" x14ac:dyDescent="0.25">
      <c r="B1173" s="2" t="s">
        <v>76</v>
      </c>
      <c r="C1173" s="2"/>
      <c r="D1173" s="1">
        <v>10827</v>
      </c>
      <c r="E1173" s="1">
        <v>10623</v>
      </c>
      <c r="F1173" s="1">
        <v>11080</v>
      </c>
      <c r="G1173" s="1">
        <v>11725</v>
      </c>
      <c r="H1173" s="1">
        <v>12160</v>
      </c>
      <c r="I1173" s="1">
        <v>12529</v>
      </c>
      <c r="J1173" s="1">
        <v>12660</v>
      </c>
      <c r="K1173" s="1"/>
      <c r="L1173" s="1">
        <v>13278</v>
      </c>
      <c r="M1173" s="1">
        <v>13696</v>
      </c>
      <c r="N1173" s="1">
        <v>14094</v>
      </c>
      <c r="O1173" s="1">
        <v>14801</v>
      </c>
      <c r="P1173" s="1">
        <v>15107</v>
      </c>
      <c r="Q1173" s="1">
        <v>15625</v>
      </c>
      <c r="R1173" s="1">
        <v>15653</v>
      </c>
      <c r="S1173" s="1">
        <v>15907</v>
      </c>
      <c r="T1173" s="1">
        <v>16232</v>
      </c>
      <c r="U1173" s="1">
        <v>16500</v>
      </c>
      <c r="V1173" s="1">
        <v>16871</v>
      </c>
      <c r="W1173" s="1">
        <v>17813</v>
      </c>
      <c r="X1173" s="1">
        <v>18223</v>
      </c>
      <c r="Y1173" s="1">
        <v>18503</v>
      </c>
      <c r="Z1173" s="1">
        <v>19213</v>
      </c>
      <c r="AA1173" s="1">
        <v>19814</v>
      </c>
    </row>
    <row r="1174" spans="2:27" ht="15.75" x14ac:dyDescent="0.25">
      <c r="B1174" s="2" t="s">
        <v>75</v>
      </c>
      <c r="C1174" s="2"/>
      <c r="D1174" s="1">
        <v>10678</v>
      </c>
      <c r="E1174" s="1">
        <v>10780</v>
      </c>
      <c r="F1174" s="1">
        <v>11279</v>
      </c>
      <c r="G1174" s="1">
        <v>11957</v>
      </c>
      <c r="H1174" s="1">
        <v>12378</v>
      </c>
      <c r="I1174" s="1">
        <v>12894</v>
      </c>
      <c r="J1174" s="1">
        <v>13090</v>
      </c>
      <c r="K1174" s="1"/>
      <c r="L1174" s="1">
        <v>13556</v>
      </c>
      <c r="M1174" s="1">
        <v>13972</v>
      </c>
      <c r="N1174" s="1">
        <v>14397</v>
      </c>
      <c r="O1174" s="1">
        <v>15118</v>
      </c>
      <c r="P1174" s="1">
        <v>15445</v>
      </c>
      <c r="Q1174" s="1">
        <v>15848</v>
      </c>
      <c r="R1174" s="1">
        <v>15983</v>
      </c>
      <c r="S1174" s="1">
        <v>16246</v>
      </c>
      <c r="T1174" s="1">
        <v>16723</v>
      </c>
      <c r="U1174" s="1">
        <v>17272</v>
      </c>
      <c r="V1174" s="1">
        <v>17681</v>
      </c>
      <c r="W1174" s="1">
        <v>18561</v>
      </c>
      <c r="X1174" s="1">
        <v>19189</v>
      </c>
      <c r="Y1174" s="1">
        <v>19572</v>
      </c>
      <c r="Z1174" s="1">
        <v>20313</v>
      </c>
      <c r="AA1174" s="1">
        <v>20841</v>
      </c>
    </row>
    <row r="1175" spans="2:27" ht="15.75" x14ac:dyDescent="0.25">
      <c r="B1175" s="2" t="s">
        <v>74</v>
      </c>
      <c r="C1175" s="2"/>
      <c r="D1175" s="1">
        <v>9064</v>
      </c>
      <c r="E1175" s="1">
        <v>9298</v>
      </c>
      <c r="F1175" s="1">
        <v>9818</v>
      </c>
      <c r="G1175" s="1">
        <v>10540</v>
      </c>
      <c r="H1175" s="1">
        <v>11089</v>
      </c>
      <c r="I1175" s="1">
        <v>11583</v>
      </c>
      <c r="J1175" s="1">
        <v>11801</v>
      </c>
      <c r="K1175" s="1"/>
      <c r="L1175" s="1">
        <v>12318</v>
      </c>
      <c r="M1175" s="1">
        <v>12857</v>
      </c>
      <c r="N1175" s="1">
        <v>13312</v>
      </c>
      <c r="O1175" s="1">
        <v>14044</v>
      </c>
      <c r="P1175" s="1">
        <v>14467</v>
      </c>
      <c r="Q1175" s="1">
        <v>15164</v>
      </c>
      <c r="R1175" s="1">
        <v>15381</v>
      </c>
      <c r="S1175" s="1">
        <v>15688</v>
      </c>
      <c r="T1175" s="1">
        <v>16250</v>
      </c>
      <c r="U1175" s="1">
        <v>16812</v>
      </c>
      <c r="V1175" s="1">
        <v>17187</v>
      </c>
      <c r="W1175" s="1">
        <v>17945</v>
      </c>
      <c r="X1175" s="1">
        <v>18299</v>
      </c>
      <c r="Y1175" s="1">
        <v>18576</v>
      </c>
      <c r="Z1175" s="1">
        <v>19167</v>
      </c>
      <c r="AA1175" s="1">
        <v>19635</v>
      </c>
    </row>
    <row r="1176" spans="2:27" ht="15.75" x14ac:dyDescent="0.25">
      <c r="B1176" s="2" t="s">
        <v>73</v>
      </c>
      <c r="C1176" s="2"/>
      <c r="D1176" s="1">
        <v>12649</v>
      </c>
      <c r="E1176" s="1">
        <v>12716</v>
      </c>
      <c r="F1176" s="1">
        <v>13176</v>
      </c>
      <c r="G1176" s="1">
        <v>14103</v>
      </c>
      <c r="H1176" s="1">
        <v>14532</v>
      </c>
      <c r="I1176" s="1">
        <v>14777</v>
      </c>
      <c r="J1176" s="1">
        <v>14915</v>
      </c>
      <c r="K1176" s="1"/>
      <c r="L1176" s="1">
        <v>15524</v>
      </c>
      <c r="M1176" s="1">
        <v>15993</v>
      </c>
      <c r="N1176" s="1">
        <v>16465</v>
      </c>
      <c r="O1176" s="1">
        <v>17167</v>
      </c>
      <c r="P1176" s="1">
        <v>17491</v>
      </c>
      <c r="Q1176" s="1">
        <v>17797</v>
      </c>
      <c r="R1176" s="1">
        <v>17930</v>
      </c>
      <c r="S1176" s="1">
        <v>18062</v>
      </c>
      <c r="T1176" s="1">
        <v>18728</v>
      </c>
      <c r="U1176" s="1">
        <v>19412</v>
      </c>
      <c r="V1176" s="1">
        <v>19804</v>
      </c>
      <c r="W1176" s="1">
        <v>20485</v>
      </c>
      <c r="X1176" s="1">
        <v>21075</v>
      </c>
      <c r="Y1176" s="1">
        <v>21326</v>
      </c>
      <c r="Z1176" s="1">
        <v>22033</v>
      </c>
      <c r="AA1176" s="1">
        <v>22491</v>
      </c>
    </row>
    <row r="1177" spans="2:27" ht="15.75" x14ac:dyDescent="0.25">
      <c r="B1177" s="2" t="s">
        <v>72</v>
      </c>
      <c r="C1177" s="2"/>
      <c r="D1177" s="1">
        <v>15777</v>
      </c>
      <c r="E1177" s="1">
        <v>15665</v>
      </c>
      <c r="F1177" s="1">
        <v>16055</v>
      </c>
      <c r="G1177" s="1">
        <v>17201</v>
      </c>
      <c r="H1177" s="1">
        <v>17585</v>
      </c>
      <c r="I1177" s="1">
        <v>17905</v>
      </c>
      <c r="J1177" s="1">
        <v>18001</v>
      </c>
      <c r="K1177" s="1"/>
      <c r="L1177" s="1">
        <v>18831</v>
      </c>
      <c r="M1177" s="1">
        <v>19401</v>
      </c>
      <c r="N1177" s="1">
        <v>20012</v>
      </c>
      <c r="O1177" s="1">
        <v>20830</v>
      </c>
      <c r="P1177" s="1">
        <v>21247</v>
      </c>
      <c r="Q1177" s="1">
        <v>21435</v>
      </c>
      <c r="R1177" s="1">
        <v>21522</v>
      </c>
      <c r="S1177" s="1">
        <v>21794</v>
      </c>
      <c r="T1177" s="1">
        <v>22562</v>
      </c>
      <c r="U1177" s="1">
        <v>23436</v>
      </c>
      <c r="V1177" s="1">
        <v>24285</v>
      </c>
      <c r="W1177" s="1">
        <v>26031</v>
      </c>
      <c r="X1177" s="1">
        <v>26149</v>
      </c>
      <c r="Y1177" s="1">
        <v>26510</v>
      </c>
      <c r="Z1177" s="1">
        <v>27737</v>
      </c>
      <c r="AA1177" s="1">
        <v>28370</v>
      </c>
    </row>
    <row r="1178" spans="2:27" ht="15.75" x14ac:dyDescent="0.25">
      <c r="B1178" s="6" t="s">
        <v>71</v>
      </c>
      <c r="C1178" s="6"/>
      <c r="D1178" s="5">
        <v>11122</v>
      </c>
      <c r="E1178" s="5">
        <v>11345</v>
      </c>
      <c r="F1178" s="5">
        <v>11769</v>
      </c>
      <c r="G1178" s="5">
        <v>12342</v>
      </c>
      <c r="H1178" s="5">
        <v>12746</v>
      </c>
      <c r="I1178" s="5">
        <v>12992</v>
      </c>
      <c r="J1178" s="5">
        <v>13287</v>
      </c>
      <c r="K1178" s="5"/>
      <c r="L1178" s="5">
        <v>13736</v>
      </c>
      <c r="M1178" s="5">
        <v>14305</v>
      </c>
      <c r="N1178" s="5">
        <v>15013</v>
      </c>
      <c r="O1178" s="5">
        <v>15570</v>
      </c>
      <c r="P1178" s="5">
        <v>16080</v>
      </c>
      <c r="Q1178" s="5">
        <v>16137</v>
      </c>
      <c r="R1178" s="5">
        <v>16536</v>
      </c>
      <c r="S1178" s="5">
        <v>16864</v>
      </c>
      <c r="T1178" s="5">
        <v>17278</v>
      </c>
      <c r="U1178" s="5">
        <v>17841</v>
      </c>
      <c r="V1178" s="5">
        <v>18402</v>
      </c>
      <c r="W1178" s="5">
        <v>19279</v>
      </c>
      <c r="X1178" s="5">
        <v>19467</v>
      </c>
      <c r="Y1178" s="5">
        <v>19791</v>
      </c>
      <c r="Z1178" s="5">
        <v>20726</v>
      </c>
      <c r="AA1178" s="5">
        <v>21222</v>
      </c>
    </row>
    <row r="1179" spans="2:27" ht="15.75" x14ac:dyDescent="0.25">
      <c r="B1179" s="4" t="s">
        <v>70</v>
      </c>
      <c r="C1179" s="4"/>
      <c r="D1179" s="3">
        <v>11558</v>
      </c>
      <c r="E1179" s="3">
        <v>11772</v>
      </c>
      <c r="F1179" s="3">
        <v>12300</v>
      </c>
      <c r="G1179" s="3">
        <v>12949</v>
      </c>
      <c r="H1179" s="3">
        <v>13312</v>
      </c>
      <c r="I1179" s="3">
        <v>13489</v>
      </c>
      <c r="J1179" s="3">
        <v>13763</v>
      </c>
      <c r="K1179" s="3"/>
      <c r="L1179" s="3">
        <v>14194</v>
      </c>
      <c r="M1179" s="3">
        <v>14806</v>
      </c>
      <c r="N1179" s="3">
        <v>15508</v>
      </c>
      <c r="O1179" s="3">
        <v>16066</v>
      </c>
      <c r="P1179" s="3">
        <v>16562</v>
      </c>
      <c r="Q1179" s="3">
        <v>16566</v>
      </c>
      <c r="R1179" s="3">
        <v>16909</v>
      </c>
      <c r="S1179" s="3">
        <v>17253</v>
      </c>
      <c r="T1179" s="3">
        <v>17697</v>
      </c>
      <c r="U1179" s="3">
        <v>18388</v>
      </c>
      <c r="V1179" s="3">
        <v>19066</v>
      </c>
      <c r="W1179" s="3">
        <v>20096</v>
      </c>
      <c r="X1179" s="3">
        <v>20305</v>
      </c>
      <c r="Y1179" s="3">
        <v>20564</v>
      </c>
      <c r="Z1179" s="3">
        <v>21627</v>
      </c>
      <c r="AA1179" s="3">
        <v>22205</v>
      </c>
    </row>
    <row r="1180" spans="2:27" ht="15.75" x14ac:dyDescent="0.25">
      <c r="B1180" s="2" t="s">
        <v>69</v>
      </c>
      <c r="C1180" s="2"/>
      <c r="D1180" s="1">
        <v>10365</v>
      </c>
      <c r="E1180" s="1">
        <v>10485</v>
      </c>
      <c r="F1180" s="1">
        <v>10952</v>
      </c>
      <c r="G1180" s="1">
        <v>11635</v>
      </c>
      <c r="H1180" s="1">
        <v>12106</v>
      </c>
      <c r="I1180" s="1">
        <v>12271</v>
      </c>
      <c r="J1180" s="1">
        <v>12479</v>
      </c>
      <c r="K1180" s="1"/>
      <c r="L1180" s="1">
        <v>12885</v>
      </c>
      <c r="M1180" s="1">
        <v>13091</v>
      </c>
      <c r="N1180" s="1">
        <v>13684</v>
      </c>
      <c r="O1180" s="1">
        <v>14331</v>
      </c>
      <c r="P1180" s="1">
        <v>14719</v>
      </c>
      <c r="Q1180" s="1">
        <v>14643</v>
      </c>
      <c r="R1180" s="1">
        <v>15133</v>
      </c>
      <c r="S1180" s="1">
        <v>15508</v>
      </c>
      <c r="T1180" s="1">
        <v>15757</v>
      </c>
      <c r="U1180" s="1">
        <v>16295</v>
      </c>
      <c r="V1180" s="1">
        <v>16873</v>
      </c>
      <c r="W1180" s="1">
        <v>17812</v>
      </c>
      <c r="X1180" s="1">
        <v>18354</v>
      </c>
      <c r="Y1180" s="1">
        <v>18751</v>
      </c>
      <c r="Z1180" s="1">
        <v>19592</v>
      </c>
      <c r="AA1180" s="1">
        <v>20249</v>
      </c>
    </row>
    <row r="1181" spans="2:27" ht="15.75" x14ac:dyDescent="0.25">
      <c r="B1181" s="2" t="s">
        <v>68</v>
      </c>
      <c r="C1181" s="2"/>
      <c r="D1181" s="1">
        <v>12081</v>
      </c>
      <c r="E1181" s="1">
        <v>12468</v>
      </c>
      <c r="F1181" s="1">
        <v>13063</v>
      </c>
      <c r="G1181" s="1">
        <v>13399</v>
      </c>
      <c r="H1181" s="1">
        <v>13502</v>
      </c>
      <c r="I1181" s="1">
        <v>13654</v>
      </c>
      <c r="J1181" s="1">
        <v>14088</v>
      </c>
      <c r="K1181" s="1"/>
      <c r="L1181" s="1">
        <v>14412</v>
      </c>
      <c r="M1181" s="1">
        <v>15023</v>
      </c>
      <c r="N1181" s="1">
        <v>15875</v>
      </c>
      <c r="O1181" s="1">
        <v>16460</v>
      </c>
      <c r="P1181" s="1">
        <v>17133</v>
      </c>
      <c r="Q1181" s="1">
        <v>17083</v>
      </c>
      <c r="R1181" s="1">
        <v>17392</v>
      </c>
      <c r="S1181" s="1">
        <v>17788</v>
      </c>
      <c r="T1181" s="1">
        <v>18320</v>
      </c>
      <c r="U1181" s="1">
        <v>19018</v>
      </c>
      <c r="V1181" s="1">
        <v>19615</v>
      </c>
      <c r="W1181" s="1">
        <v>21053</v>
      </c>
      <c r="X1181" s="1">
        <v>21111</v>
      </c>
      <c r="Y1181" s="1">
        <v>21239</v>
      </c>
      <c r="Z1181" s="1">
        <v>22436</v>
      </c>
      <c r="AA1181" s="1">
        <v>23065</v>
      </c>
    </row>
    <row r="1182" spans="2:27" ht="15.75" x14ac:dyDescent="0.25">
      <c r="B1182" s="2" t="s">
        <v>67</v>
      </c>
      <c r="C1182" s="2"/>
      <c r="D1182" s="1">
        <v>11754</v>
      </c>
      <c r="E1182" s="1">
        <v>11911</v>
      </c>
      <c r="F1182" s="1">
        <v>12411</v>
      </c>
      <c r="G1182" s="1">
        <v>13110</v>
      </c>
      <c r="H1182" s="1">
        <v>13563</v>
      </c>
      <c r="I1182" s="1">
        <v>13626</v>
      </c>
      <c r="J1182" s="1">
        <v>13727</v>
      </c>
      <c r="K1182" s="1"/>
      <c r="L1182" s="1">
        <v>14373</v>
      </c>
      <c r="M1182" s="1">
        <v>15355</v>
      </c>
      <c r="N1182" s="1">
        <v>16080</v>
      </c>
      <c r="O1182" s="1">
        <v>16592</v>
      </c>
      <c r="P1182" s="1">
        <v>17151</v>
      </c>
      <c r="Q1182" s="1">
        <v>17190</v>
      </c>
      <c r="R1182" s="1">
        <v>17599</v>
      </c>
      <c r="S1182" s="1">
        <v>17813</v>
      </c>
      <c r="T1182" s="1">
        <v>18358</v>
      </c>
      <c r="U1182" s="1">
        <v>19143</v>
      </c>
      <c r="V1182" s="1">
        <v>20037</v>
      </c>
      <c r="W1182" s="1">
        <v>20907</v>
      </c>
      <c r="X1182" s="1">
        <v>21011</v>
      </c>
      <c r="Y1182" s="1">
        <v>21075</v>
      </c>
      <c r="Z1182" s="1">
        <v>22042</v>
      </c>
      <c r="AA1182" s="1">
        <v>22516</v>
      </c>
    </row>
    <row r="1183" spans="2:27" ht="15.75" x14ac:dyDescent="0.25">
      <c r="B1183" s="2" t="s">
        <v>66</v>
      </c>
      <c r="C1183" s="2"/>
      <c r="D1183" s="1">
        <v>11169</v>
      </c>
      <c r="E1183" s="1">
        <v>11558</v>
      </c>
      <c r="F1183" s="1">
        <v>12172</v>
      </c>
      <c r="G1183" s="1">
        <v>12899</v>
      </c>
      <c r="H1183" s="1">
        <v>13442</v>
      </c>
      <c r="I1183" s="1">
        <v>13829</v>
      </c>
      <c r="J1183" s="1">
        <v>13990</v>
      </c>
      <c r="K1183" s="1"/>
      <c r="L1183" s="1">
        <v>14197</v>
      </c>
      <c r="M1183" s="1">
        <v>14625</v>
      </c>
      <c r="N1183" s="1">
        <v>15125</v>
      </c>
      <c r="O1183" s="1">
        <v>15457</v>
      </c>
      <c r="P1183" s="1">
        <v>15727</v>
      </c>
      <c r="Q1183" s="1">
        <v>16055</v>
      </c>
      <c r="R1183" s="1">
        <v>15956</v>
      </c>
      <c r="S1183" s="1">
        <v>16218</v>
      </c>
      <c r="T1183" s="1">
        <v>16603</v>
      </c>
      <c r="U1183" s="1">
        <v>17037</v>
      </c>
      <c r="V1183" s="1">
        <v>17651</v>
      </c>
      <c r="W1183" s="1">
        <v>18346</v>
      </c>
      <c r="X1183" s="1">
        <v>18770</v>
      </c>
      <c r="Y1183" s="1">
        <v>19081</v>
      </c>
      <c r="Z1183" s="1">
        <v>19974</v>
      </c>
      <c r="AA1183" s="1">
        <v>20516</v>
      </c>
    </row>
    <row r="1184" spans="2:27" ht="15.75" x14ac:dyDescent="0.25">
      <c r="B1184" s="2" t="s">
        <v>65</v>
      </c>
      <c r="C1184" s="2"/>
      <c r="D1184" s="1">
        <v>11838</v>
      </c>
      <c r="E1184" s="1">
        <v>11892</v>
      </c>
      <c r="F1184" s="1">
        <v>12380</v>
      </c>
      <c r="G1184" s="1">
        <v>13324</v>
      </c>
      <c r="H1184" s="1">
        <v>13750</v>
      </c>
      <c r="I1184" s="1">
        <v>14024</v>
      </c>
      <c r="J1184" s="1">
        <v>14402</v>
      </c>
      <c r="K1184" s="1"/>
      <c r="L1184" s="1">
        <v>14824</v>
      </c>
      <c r="M1184" s="1">
        <v>15425</v>
      </c>
      <c r="N1184" s="1">
        <v>16080</v>
      </c>
      <c r="O1184" s="1">
        <v>16672</v>
      </c>
      <c r="P1184" s="1">
        <v>17050</v>
      </c>
      <c r="Q1184" s="1">
        <v>17025</v>
      </c>
      <c r="R1184" s="1">
        <v>17399</v>
      </c>
      <c r="S1184" s="1">
        <v>17858</v>
      </c>
      <c r="T1184" s="1">
        <v>18262</v>
      </c>
      <c r="U1184" s="1">
        <v>19090</v>
      </c>
      <c r="V1184" s="1">
        <v>19730</v>
      </c>
      <c r="W1184" s="1">
        <v>20646</v>
      </c>
      <c r="X1184" s="1">
        <v>20796</v>
      </c>
      <c r="Y1184" s="1">
        <v>21331</v>
      </c>
      <c r="Z1184" s="1">
        <v>22609</v>
      </c>
      <c r="AA1184" s="1">
        <v>23179</v>
      </c>
    </row>
    <row r="1185" spans="2:27" ht="15.75" x14ac:dyDescent="0.25">
      <c r="B1185" s="4" t="s">
        <v>64</v>
      </c>
      <c r="C1185" s="4"/>
      <c r="D1185" s="3">
        <v>11354</v>
      </c>
      <c r="E1185" s="3">
        <v>11669</v>
      </c>
      <c r="F1185" s="3">
        <v>12092</v>
      </c>
      <c r="G1185" s="3">
        <v>12664</v>
      </c>
      <c r="H1185" s="3">
        <v>13095</v>
      </c>
      <c r="I1185" s="3">
        <v>13281</v>
      </c>
      <c r="J1185" s="3">
        <v>13714</v>
      </c>
      <c r="K1185" s="3"/>
      <c r="L1185" s="3">
        <v>14197</v>
      </c>
      <c r="M1185" s="3">
        <v>14749</v>
      </c>
      <c r="N1185" s="3">
        <v>15572</v>
      </c>
      <c r="O1185" s="3">
        <v>16157</v>
      </c>
      <c r="P1185" s="3">
        <v>16621</v>
      </c>
      <c r="Q1185" s="3">
        <v>16448</v>
      </c>
      <c r="R1185" s="3">
        <v>17027</v>
      </c>
      <c r="S1185" s="3">
        <v>17427</v>
      </c>
      <c r="T1185" s="3">
        <v>17785</v>
      </c>
      <c r="U1185" s="3">
        <v>18300</v>
      </c>
      <c r="V1185" s="3">
        <v>18867</v>
      </c>
      <c r="W1185" s="3">
        <v>19719</v>
      </c>
      <c r="X1185" s="3">
        <v>19787</v>
      </c>
      <c r="Y1185" s="3">
        <v>20139</v>
      </c>
      <c r="Z1185" s="3">
        <v>21097</v>
      </c>
      <c r="AA1185" s="3">
        <v>21577</v>
      </c>
    </row>
    <row r="1186" spans="2:27" ht="15.75" x14ac:dyDescent="0.25">
      <c r="B1186" s="2" t="s">
        <v>63</v>
      </c>
      <c r="C1186" s="2"/>
      <c r="D1186" s="1">
        <v>10959</v>
      </c>
      <c r="E1186" s="1">
        <v>11270</v>
      </c>
      <c r="F1186" s="1">
        <v>11631</v>
      </c>
      <c r="G1186" s="1">
        <v>12047</v>
      </c>
      <c r="H1186" s="1">
        <v>12554</v>
      </c>
      <c r="I1186" s="1">
        <v>12683</v>
      </c>
      <c r="J1186" s="1">
        <v>13133</v>
      </c>
      <c r="K1186" s="1"/>
      <c r="L1186" s="1">
        <v>13710</v>
      </c>
      <c r="M1186" s="1">
        <v>14220</v>
      </c>
      <c r="N1186" s="1">
        <v>14986</v>
      </c>
      <c r="O1186" s="1">
        <v>15524</v>
      </c>
      <c r="P1186" s="1">
        <v>16086</v>
      </c>
      <c r="Q1186" s="1">
        <v>16075</v>
      </c>
      <c r="R1186" s="1">
        <v>16666</v>
      </c>
      <c r="S1186" s="1">
        <v>16996</v>
      </c>
      <c r="T1186" s="1">
        <v>17291</v>
      </c>
      <c r="U1186" s="1">
        <v>17653</v>
      </c>
      <c r="V1186" s="1">
        <v>18315</v>
      </c>
      <c r="W1186" s="1">
        <v>19034</v>
      </c>
      <c r="X1186" s="1">
        <v>19088</v>
      </c>
      <c r="Y1186" s="1">
        <v>19520</v>
      </c>
      <c r="Z1186" s="1">
        <v>20408</v>
      </c>
      <c r="AA1186" s="1">
        <v>20827</v>
      </c>
    </row>
    <row r="1187" spans="2:27" ht="15.75" x14ac:dyDescent="0.25">
      <c r="B1187" s="2" t="s">
        <v>62</v>
      </c>
      <c r="C1187" s="2"/>
      <c r="D1187" s="1">
        <v>11576</v>
      </c>
      <c r="E1187" s="1">
        <v>11802</v>
      </c>
      <c r="F1187" s="1">
        <v>12364</v>
      </c>
      <c r="G1187" s="1">
        <v>13122</v>
      </c>
      <c r="H1187" s="1">
        <v>13512</v>
      </c>
      <c r="I1187" s="1">
        <v>13664</v>
      </c>
      <c r="J1187" s="1">
        <v>14008</v>
      </c>
      <c r="K1187" s="1"/>
      <c r="L1187" s="1">
        <v>14514</v>
      </c>
      <c r="M1187" s="1">
        <v>15114</v>
      </c>
      <c r="N1187" s="1">
        <v>15848</v>
      </c>
      <c r="O1187" s="1">
        <v>16542</v>
      </c>
      <c r="P1187" s="1">
        <v>16808</v>
      </c>
      <c r="Q1187" s="1">
        <v>16381</v>
      </c>
      <c r="R1187" s="1">
        <v>16873</v>
      </c>
      <c r="S1187" s="1">
        <v>17179</v>
      </c>
      <c r="T1187" s="1">
        <v>17514</v>
      </c>
      <c r="U1187" s="1">
        <v>18191</v>
      </c>
      <c r="V1187" s="1">
        <v>18573</v>
      </c>
      <c r="W1187" s="1">
        <v>19678</v>
      </c>
      <c r="X1187" s="1">
        <v>19715</v>
      </c>
      <c r="Y1187" s="1">
        <v>20033</v>
      </c>
      <c r="Z1187" s="1">
        <v>21045</v>
      </c>
      <c r="AA1187" s="1">
        <v>21652</v>
      </c>
    </row>
    <row r="1188" spans="2:27" ht="15.75" x14ac:dyDescent="0.25">
      <c r="B1188" s="2" t="s">
        <v>61</v>
      </c>
      <c r="C1188" s="2"/>
      <c r="D1188" s="1">
        <v>11694</v>
      </c>
      <c r="E1188" s="1">
        <v>12105</v>
      </c>
      <c r="F1188" s="1">
        <v>12480</v>
      </c>
      <c r="G1188" s="1">
        <v>13090</v>
      </c>
      <c r="H1188" s="1">
        <v>13457</v>
      </c>
      <c r="I1188" s="1">
        <v>13759</v>
      </c>
      <c r="J1188" s="1">
        <v>14258</v>
      </c>
      <c r="K1188" s="1"/>
      <c r="L1188" s="1">
        <v>14586</v>
      </c>
      <c r="M1188" s="1">
        <v>15151</v>
      </c>
      <c r="N1188" s="1">
        <v>16142</v>
      </c>
      <c r="O1188" s="1">
        <v>16686</v>
      </c>
      <c r="P1188" s="1">
        <v>17208</v>
      </c>
      <c r="Q1188" s="1">
        <v>17057</v>
      </c>
      <c r="R1188" s="1">
        <v>17710</v>
      </c>
      <c r="S1188" s="1">
        <v>18309</v>
      </c>
      <c r="T1188" s="1">
        <v>18787</v>
      </c>
      <c r="U1188" s="1">
        <v>19360</v>
      </c>
      <c r="V1188" s="1">
        <v>19985</v>
      </c>
      <c r="W1188" s="1">
        <v>20769</v>
      </c>
      <c r="X1188" s="1">
        <v>20895</v>
      </c>
      <c r="Y1188" s="1">
        <v>21166</v>
      </c>
      <c r="Z1188" s="1">
        <v>22175</v>
      </c>
      <c r="AA1188" s="1">
        <v>22613</v>
      </c>
    </row>
    <row r="1189" spans="2:27" ht="15.75" x14ac:dyDescent="0.25">
      <c r="B1189" s="4" t="s">
        <v>60</v>
      </c>
      <c r="C1189" s="4"/>
      <c r="D1189" s="3">
        <v>9898</v>
      </c>
      <c r="E1189" s="3">
        <v>10083</v>
      </c>
      <c r="F1189" s="3">
        <v>10234</v>
      </c>
      <c r="G1189" s="3">
        <v>10800</v>
      </c>
      <c r="H1189" s="3">
        <v>11375</v>
      </c>
      <c r="I1189" s="3">
        <v>11859</v>
      </c>
      <c r="J1189" s="3">
        <v>12028</v>
      </c>
      <c r="K1189" s="3"/>
      <c r="L1189" s="3">
        <v>12449</v>
      </c>
      <c r="M1189" s="3">
        <v>12908</v>
      </c>
      <c r="N1189" s="3">
        <v>13515</v>
      </c>
      <c r="O1189" s="3">
        <v>14072</v>
      </c>
      <c r="P1189" s="3">
        <v>14473</v>
      </c>
      <c r="Q1189" s="3">
        <v>14689</v>
      </c>
      <c r="R1189" s="3">
        <v>15190</v>
      </c>
      <c r="S1189" s="3">
        <v>15560</v>
      </c>
      <c r="T1189" s="3">
        <v>15942</v>
      </c>
      <c r="U1189" s="3">
        <v>16191</v>
      </c>
      <c r="V1189" s="3">
        <v>16558</v>
      </c>
      <c r="W1189" s="3">
        <v>17123</v>
      </c>
      <c r="X1189" s="3">
        <v>17534</v>
      </c>
      <c r="Y1189" s="3">
        <v>18045</v>
      </c>
      <c r="Z1189" s="3">
        <v>18551</v>
      </c>
      <c r="AA1189" s="3">
        <v>18869</v>
      </c>
    </row>
    <row r="1190" spans="2:27" ht="15.75" x14ac:dyDescent="0.25">
      <c r="B1190" s="2" t="s">
        <v>60</v>
      </c>
      <c r="C1190" s="2"/>
      <c r="D1190" s="1">
        <v>9898</v>
      </c>
      <c r="E1190" s="1">
        <v>10083</v>
      </c>
      <c r="F1190" s="1">
        <v>10234</v>
      </c>
      <c r="G1190" s="1">
        <v>10800</v>
      </c>
      <c r="H1190" s="1">
        <v>11375</v>
      </c>
      <c r="I1190" s="1">
        <v>11859</v>
      </c>
      <c r="J1190" s="1">
        <v>12028</v>
      </c>
      <c r="K1190" s="1"/>
      <c r="L1190" s="1">
        <v>12449</v>
      </c>
      <c r="M1190" s="1">
        <v>12908</v>
      </c>
      <c r="N1190" s="1">
        <v>13515</v>
      </c>
      <c r="O1190" s="1">
        <v>14072</v>
      </c>
      <c r="P1190" s="1">
        <v>14473</v>
      </c>
      <c r="Q1190" s="1">
        <v>14689</v>
      </c>
      <c r="R1190" s="1">
        <v>15190</v>
      </c>
      <c r="S1190" s="1">
        <v>15560</v>
      </c>
      <c r="T1190" s="1">
        <v>15942</v>
      </c>
      <c r="U1190" s="1">
        <v>16191</v>
      </c>
      <c r="V1190" s="1">
        <v>16558</v>
      </c>
      <c r="W1190" s="1">
        <v>17123</v>
      </c>
      <c r="X1190" s="1">
        <v>17534</v>
      </c>
      <c r="Y1190" s="1">
        <v>18045</v>
      </c>
      <c r="Z1190" s="1">
        <v>18551</v>
      </c>
      <c r="AA1190" s="1">
        <v>18869</v>
      </c>
    </row>
    <row r="1191" spans="2:27" ht="15.75" x14ac:dyDescent="0.25">
      <c r="B1191" s="4" t="s">
        <v>59</v>
      </c>
      <c r="C1191" s="4"/>
      <c r="D1191" s="3">
        <v>10546</v>
      </c>
      <c r="E1191" s="3">
        <v>10704</v>
      </c>
      <c r="F1191" s="3">
        <v>11043</v>
      </c>
      <c r="G1191" s="3">
        <v>11476</v>
      </c>
      <c r="H1191" s="3">
        <v>11855</v>
      </c>
      <c r="I1191" s="3">
        <v>12197</v>
      </c>
      <c r="J1191" s="3">
        <v>12441</v>
      </c>
      <c r="K1191" s="3"/>
      <c r="L1191" s="3">
        <v>12904</v>
      </c>
      <c r="M1191" s="3">
        <v>13453</v>
      </c>
      <c r="N1191" s="3">
        <v>14089</v>
      </c>
      <c r="O1191" s="3">
        <v>14611</v>
      </c>
      <c r="P1191" s="3">
        <v>15244</v>
      </c>
      <c r="Q1191" s="3">
        <v>15588</v>
      </c>
      <c r="R1191" s="3">
        <v>15848</v>
      </c>
      <c r="S1191" s="3">
        <v>16041</v>
      </c>
      <c r="T1191" s="3">
        <v>16471</v>
      </c>
      <c r="U1191" s="3">
        <v>16967</v>
      </c>
      <c r="V1191" s="3">
        <v>17370</v>
      </c>
      <c r="W1191" s="3">
        <v>18098</v>
      </c>
      <c r="X1191" s="3">
        <v>18268</v>
      </c>
      <c r="Y1191" s="3">
        <v>18611</v>
      </c>
      <c r="Z1191" s="3">
        <v>19457</v>
      </c>
      <c r="AA1191" s="3">
        <v>19890</v>
      </c>
    </row>
    <row r="1192" spans="2:27" ht="15.75" x14ac:dyDescent="0.25">
      <c r="B1192" s="2" t="s">
        <v>58</v>
      </c>
      <c r="C1192" s="2"/>
      <c r="D1192" s="1">
        <v>9241</v>
      </c>
      <c r="E1192" s="1">
        <v>9466</v>
      </c>
      <c r="F1192" s="1">
        <v>9760</v>
      </c>
      <c r="G1192" s="1">
        <v>10359</v>
      </c>
      <c r="H1192" s="1">
        <v>10589</v>
      </c>
      <c r="I1192" s="1">
        <v>10771</v>
      </c>
      <c r="J1192" s="1">
        <v>11118</v>
      </c>
      <c r="K1192" s="1"/>
      <c r="L1192" s="1">
        <v>11497</v>
      </c>
      <c r="M1192" s="1">
        <v>11731</v>
      </c>
      <c r="N1192" s="1">
        <v>12167</v>
      </c>
      <c r="O1192" s="1">
        <v>12692</v>
      </c>
      <c r="P1192" s="1">
        <v>13107</v>
      </c>
      <c r="Q1192" s="1">
        <v>13370</v>
      </c>
      <c r="R1192" s="1">
        <v>14001</v>
      </c>
      <c r="S1192" s="1">
        <v>14230</v>
      </c>
      <c r="T1192" s="1">
        <v>14391</v>
      </c>
      <c r="U1192" s="1">
        <v>14761</v>
      </c>
      <c r="V1192" s="1">
        <v>15147</v>
      </c>
      <c r="W1192" s="1">
        <v>15614</v>
      </c>
      <c r="X1192" s="1">
        <v>15702</v>
      </c>
      <c r="Y1192" s="1">
        <v>16261</v>
      </c>
      <c r="Z1192" s="1">
        <v>16923</v>
      </c>
      <c r="AA1192" s="1">
        <v>17343</v>
      </c>
    </row>
    <row r="1193" spans="2:27" ht="15.75" x14ac:dyDescent="0.25">
      <c r="B1193" s="2" t="s">
        <v>57</v>
      </c>
      <c r="C1193" s="2"/>
      <c r="D1193" s="1">
        <v>9979</v>
      </c>
      <c r="E1193" s="1">
        <v>10042</v>
      </c>
      <c r="F1193" s="1">
        <v>10447</v>
      </c>
      <c r="G1193" s="1">
        <v>11261</v>
      </c>
      <c r="H1193" s="1">
        <v>11269</v>
      </c>
      <c r="I1193" s="1">
        <v>11464</v>
      </c>
      <c r="J1193" s="1">
        <v>11813</v>
      </c>
      <c r="K1193" s="1"/>
      <c r="L1193" s="1">
        <v>12233</v>
      </c>
      <c r="M1193" s="1">
        <v>12968</v>
      </c>
      <c r="N1193" s="1">
        <v>13492</v>
      </c>
      <c r="O1193" s="1">
        <v>13786</v>
      </c>
      <c r="P1193" s="1">
        <v>14477</v>
      </c>
      <c r="Q1193" s="1">
        <v>14668</v>
      </c>
      <c r="R1193" s="1">
        <v>15049</v>
      </c>
      <c r="S1193" s="1">
        <v>15342</v>
      </c>
      <c r="T1193" s="1">
        <v>15720</v>
      </c>
      <c r="U1193" s="1">
        <v>16200</v>
      </c>
      <c r="V1193" s="1">
        <v>16729</v>
      </c>
      <c r="W1193" s="1">
        <v>17123</v>
      </c>
      <c r="X1193" s="1">
        <v>17443</v>
      </c>
      <c r="Y1193" s="1">
        <v>17705</v>
      </c>
      <c r="Z1193" s="1">
        <v>18342</v>
      </c>
      <c r="AA1193" s="1">
        <v>18698</v>
      </c>
    </row>
    <row r="1194" spans="2:27" ht="15.75" x14ac:dyDescent="0.25">
      <c r="B1194" s="2" t="s">
        <v>56</v>
      </c>
      <c r="C1194" s="2"/>
      <c r="D1194" s="1">
        <v>11121</v>
      </c>
      <c r="E1194" s="1">
        <v>11262</v>
      </c>
      <c r="F1194" s="1">
        <v>11601</v>
      </c>
      <c r="G1194" s="1">
        <v>11901</v>
      </c>
      <c r="H1194" s="1">
        <v>12396</v>
      </c>
      <c r="I1194" s="1">
        <v>12820</v>
      </c>
      <c r="J1194" s="1">
        <v>13008</v>
      </c>
      <c r="K1194" s="1"/>
      <c r="L1194" s="1">
        <v>13505</v>
      </c>
      <c r="M1194" s="1">
        <v>14128</v>
      </c>
      <c r="N1194" s="1">
        <v>14854</v>
      </c>
      <c r="O1194" s="1">
        <v>15414</v>
      </c>
      <c r="P1194" s="1">
        <v>16111</v>
      </c>
      <c r="Q1194" s="1">
        <v>16509</v>
      </c>
      <c r="R1194" s="1">
        <v>16620</v>
      </c>
      <c r="S1194" s="1">
        <v>16786</v>
      </c>
      <c r="T1194" s="1">
        <v>17315</v>
      </c>
      <c r="U1194" s="1">
        <v>17853</v>
      </c>
      <c r="V1194" s="1">
        <v>18239</v>
      </c>
      <c r="W1194" s="1">
        <v>19108</v>
      </c>
      <c r="X1194" s="1">
        <v>19274</v>
      </c>
      <c r="Y1194" s="1">
        <v>19552</v>
      </c>
      <c r="Z1194" s="1">
        <v>20486</v>
      </c>
      <c r="AA1194" s="1">
        <v>20924</v>
      </c>
    </row>
    <row r="1195" spans="2:27" ht="15.75" x14ac:dyDescent="0.25">
      <c r="B1195" s="6" t="s">
        <v>55</v>
      </c>
      <c r="C1195" s="6"/>
      <c r="D1195" s="5">
        <v>9428</v>
      </c>
      <c r="E1195" s="5">
        <v>9478</v>
      </c>
      <c r="F1195" s="5">
        <v>9922</v>
      </c>
      <c r="G1195" s="5">
        <v>10601</v>
      </c>
      <c r="H1195" s="5">
        <v>10965</v>
      </c>
      <c r="I1195" s="5">
        <v>11312</v>
      </c>
      <c r="J1195" s="5">
        <v>11699</v>
      </c>
      <c r="K1195" s="5"/>
      <c r="L1195" s="5">
        <v>12136</v>
      </c>
      <c r="M1195" s="5">
        <v>12474</v>
      </c>
      <c r="N1195" s="5">
        <v>12858</v>
      </c>
      <c r="O1195" s="5">
        <v>13248</v>
      </c>
      <c r="P1195" s="5">
        <v>13784</v>
      </c>
      <c r="Q1195" s="5">
        <v>13760</v>
      </c>
      <c r="R1195" s="5">
        <v>14011</v>
      </c>
      <c r="S1195" s="5">
        <v>14303</v>
      </c>
      <c r="T1195" s="5">
        <v>14761</v>
      </c>
      <c r="U1195" s="5">
        <v>14978</v>
      </c>
      <c r="V1195" s="5">
        <v>15367</v>
      </c>
      <c r="W1195" s="5">
        <v>15875</v>
      </c>
      <c r="X1195" s="5">
        <v>15927</v>
      </c>
      <c r="Y1195" s="5">
        <v>16317</v>
      </c>
      <c r="Z1195" s="5">
        <v>17081</v>
      </c>
      <c r="AA1195" s="5">
        <v>17263</v>
      </c>
    </row>
    <row r="1196" spans="2:27" ht="15.75" x14ac:dyDescent="0.25">
      <c r="B1196" s="4" t="s">
        <v>54</v>
      </c>
      <c r="C1196" s="4"/>
      <c r="D1196" s="3">
        <v>9197</v>
      </c>
      <c r="E1196" s="3">
        <v>9241</v>
      </c>
      <c r="F1196" s="3">
        <v>9606</v>
      </c>
      <c r="G1196" s="3">
        <v>10190</v>
      </c>
      <c r="H1196" s="3">
        <v>10591</v>
      </c>
      <c r="I1196" s="3">
        <v>10904</v>
      </c>
      <c r="J1196" s="3">
        <v>11278</v>
      </c>
      <c r="K1196" s="3"/>
      <c r="L1196" s="3">
        <v>11719</v>
      </c>
      <c r="M1196" s="3">
        <v>12082</v>
      </c>
      <c r="N1196" s="3">
        <v>12416</v>
      </c>
      <c r="O1196" s="3">
        <v>12787</v>
      </c>
      <c r="P1196" s="3">
        <v>13319</v>
      </c>
      <c r="Q1196" s="3">
        <v>13338</v>
      </c>
      <c r="R1196" s="3">
        <v>13532</v>
      </c>
      <c r="S1196" s="3">
        <v>13783</v>
      </c>
      <c r="T1196" s="3">
        <v>14281</v>
      </c>
      <c r="U1196" s="3">
        <v>14524</v>
      </c>
      <c r="V1196" s="3">
        <v>14866</v>
      </c>
      <c r="W1196" s="3">
        <v>15303</v>
      </c>
      <c r="X1196" s="3">
        <v>15335</v>
      </c>
      <c r="Y1196" s="3">
        <v>15650</v>
      </c>
      <c r="Z1196" s="3">
        <v>16343</v>
      </c>
      <c r="AA1196" s="3">
        <v>16575</v>
      </c>
    </row>
    <row r="1197" spans="2:27" ht="15.75" x14ac:dyDescent="0.25">
      <c r="B1197" s="2" t="s">
        <v>53</v>
      </c>
      <c r="C1197" s="2"/>
      <c r="D1197" s="1">
        <v>9659</v>
      </c>
      <c r="E1197" s="1">
        <v>9940</v>
      </c>
      <c r="F1197" s="1">
        <v>10150</v>
      </c>
      <c r="G1197" s="1">
        <v>10667</v>
      </c>
      <c r="H1197" s="1">
        <v>10809</v>
      </c>
      <c r="I1197" s="1">
        <v>11089</v>
      </c>
      <c r="J1197" s="1">
        <v>11621</v>
      </c>
      <c r="K1197" s="1"/>
      <c r="L1197" s="1">
        <v>12318</v>
      </c>
      <c r="M1197" s="1">
        <v>12491</v>
      </c>
      <c r="N1197" s="1">
        <v>12570</v>
      </c>
      <c r="O1197" s="1">
        <v>13141</v>
      </c>
      <c r="P1197" s="1">
        <v>13950</v>
      </c>
      <c r="Q1197" s="1">
        <v>14212</v>
      </c>
      <c r="R1197" s="1">
        <v>14509</v>
      </c>
      <c r="S1197" s="1">
        <v>14872</v>
      </c>
      <c r="T1197" s="1">
        <v>15358</v>
      </c>
      <c r="U1197" s="1">
        <v>15740</v>
      </c>
      <c r="V1197" s="1">
        <v>15983</v>
      </c>
      <c r="W1197" s="1">
        <v>16478</v>
      </c>
      <c r="X1197" s="1">
        <v>16476</v>
      </c>
      <c r="Y1197" s="1">
        <v>16731</v>
      </c>
      <c r="Z1197" s="1">
        <v>17392</v>
      </c>
      <c r="AA1197" s="1">
        <v>17529</v>
      </c>
    </row>
    <row r="1198" spans="2:27" ht="15.75" x14ac:dyDescent="0.25">
      <c r="B1198" s="2" t="s">
        <v>52</v>
      </c>
      <c r="C1198" s="2"/>
      <c r="D1198" s="1">
        <v>8901</v>
      </c>
      <c r="E1198" s="1">
        <v>8952</v>
      </c>
      <c r="F1198" s="1">
        <v>9437</v>
      </c>
      <c r="G1198" s="1">
        <v>9830</v>
      </c>
      <c r="H1198" s="1">
        <v>10385</v>
      </c>
      <c r="I1198" s="1">
        <v>10830</v>
      </c>
      <c r="J1198" s="1">
        <v>11053</v>
      </c>
      <c r="K1198" s="1"/>
      <c r="L1198" s="1">
        <v>11687</v>
      </c>
      <c r="M1198" s="1">
        <v>12110</v>
      </c>
      <c r="N1198" s="1">
        <v>12723</v>
      </c>
      <c r="O1198" s="1">
        <v>12938</v>
      </c>
      <c r="P1198" s="1">
        <v>13082</v>
      </c>
      <c r="Q1198" s="1">
        <v>13306</v>
      </c>
      <c r="R1198" s="1">
        <v>13472</v>
      </c>
      <c r="S1198" s="1">
        <v>13628</v>
      </c>
      <c r="T1198" s="1">
        <v>13997</v>
      </c>
      <c r="U1198" s="1">
        <v>14247</v>
      </c>
      <c r="V1198" s="1">
        <v>14681</v>
      </c>
      <c r="W1198" s="1">
        <v>15158</v>
      </c>
      <c r="X1198" s="1">
        <v>15134</v>
      </c>
      <c r="Y1198" s="1">
        <v>15298</v>
      </c>
      <c r="Z1198" s="1">
        <v>15741</v>
      </c>
      <c r="AA1198" s="1">
        <v>15941</v>
      </c>
    </row>
    <row r="1199" spans="2:27" ht="15.75" x14ac:dyDescent="0.25">
      <c r="B1199" s="2" t="s">
        <v>51</v>
      </c>
      <c r="C1199" s="2"/>
      <c r="D1199" s="1">
        <v>10377</v>
      </c>
      <c r="E1199" s="1">
        <v>10402</v>
      </c>
      <c r="F1199" s="1">
        <v>10652</v>
      </c>
      <c r="G1199" s="1">
        <v>11186</v>
      </c>
      <c r="H1199" s="1">
        <v>11550</v>
      </c>
      <c r="I1199" s="1">
        <v>12003</v>
      </c>
      <c r="J1199" s="1">
        <v>12353</v>
      </c>
      <c r="K1199" s="1"/>
      <c r="L1199" s="1">
        <v>12813</v>
      </c>
      <c r="M1199" s="1">
        <v>13468</v>
      </c>
      <c r="N1199" s="1">
        <v>13588</v>
      </c>
      <c r="O1199" s="1">
        <v>13889</v>
      </c>
      <c r="P1199" s="1">
        <v>14558</v>
      </c>
      <c r="Q1199" s="1">
        <v>14443</v>
      </c>
      <c r="R1199" s="1">
        <v>14734</v>
      </c>
      <c r="S1199" s="1">
        <v>15208</v>
      </c>
      <c r="T1199" s="1">
        <v>15718</v>
      </c>
      <c r="U1199" s="1">
        <v>15853</v>
      </c>
      <c r="V1199" s="1">
        <v>16196</v>
      </c>
      <c r="W1199" s="1">
        <v>16634</v>
      </c>
      <c r="X1199" s="1">
        <v>16559</v>
      </c>
      <c r="Y1199" s="1">
        <v>16892</v>
      </c>
      <c r="Z1199" s="1">
        <v>17780</v>
      </c>
      <c r="AA1199" s="1">
        <v>18060</v>
      </c>
    </row>
    <row r="1200" spans="2:27" ht="15.75" x14ac:dyDescent="0.25">
      <c r="B1200" s="2" t="s">
        <v>50</v>
      </c>
      <c r="C1200" s="2"/>
      <c r="D1200" s="1">
        <v>9133</v>
      </c>
      <c r="E1200" s="1">
        <v>9232</v>
      </c>
      <c r="F1200" s="1">
        <v>9477</v>
      </c>
      <c r="G1200" s="1">
        <v>9624</v>
      </c>
      <c r="H1200" s="1">
        <v>10037</v>
      </c>
      <c r="I1200" s="1">
        <v>10529</v>
      </c>
      <c r="J1200" s="1">
        <v>11011</v>
      </c>
      <c r="K1200" s="1"/>
      <c r="L1200" s="1">
        <v>11370</v>
      </c>
      <c r="M1200" s="1">
        <v>12032</v>
      </c>
      <c r="N1200" s="1">
        <v>12726</v>
      </c>
      <c r="O1200" s="1">
        <v>12959</v>
      </c>
      <c r="P1200" s="1">
        <v>13593</v>
      </c>
      <c r="Q1200" s="1">
        <v>13700</v>
      </c>
      <c r="R1200" s="1">
        <v>14028</v>
      </c>
      <c r="S1200" s="1">
        <v>14397</v>
      </c>
      <c r="T1200" s="1">
        <v>14936</v>
      </c>
      <c r="U1200" s="1">
        <v>15112</v>
      </c>
      <c r="V1200" s="1">
        <v>15459</v>
      </c>
      <c r="W1200" s="1">
        <v>15863</v>
      </c>
      <c r="X1200" s="1">
        <v>15925</v>
      </c>
      <c r="Y1200" s="1">
        <v>16120</v>
      </c>
      <c r="Z1200" s="1">
        <v>16852</v>
      </c>
      <c r="AA1200" s="1">
        <v>17045</v>
      </c>
    </row>
    <row r="1201" spans="2:27" ht="15.75" x14ac:dyDescent="0.25">
      <c r="B1201" s="2" t="s">
        <v>49</v>
      </c>
      <c r="C1201" s="2"/>
      <c r="D1201" s="1">
        <v>8139</v>
      </c>
      <c r="E1201" s="1">
        <v>8016</v>
      </c>
      <c r="F1201" s="1">
        <v>8430</v>
      </c>
      <c r="G1201" s="1">
        <v>9197</v>
      </c>
      <c r="H1201" s="1">
        <v>9806</v>
      </c>
      <c r="I1201" s="1">
        <v>10246</v>
      </c>
      <c r="J1201" s="1">
        <v>10487</v>
      </c>
      <c r="K1201" s="1"/>
      <c r="L1201" s="1">
        <v>11024</v>
      </c>
      <c r="M1201" s="1">
        <v>11442</v>
      </c>
      <c r="N1201" s="1">
        <v>11704</v>
      </c>
      <c r="O1201" s="1">
        <v>12149</v>
      </c>
      <c r="P1201" s="1">
        <v>12491</v>
      </c>
      <c r="Q1201" s="1">
        <v>12494</v>
      </c>
      <c r="R1201" s="1">
        <v>12769</v>
      </c>
      <c r="S1201" s="1">
        <v>12970</v>
      </c>
      <c r="T1201" s="1">
        <v>13392</v>
      </c>
      <c r="U1201" s="1">
        <v>13660</v>
      </c>
      <c r="V1201" s="1">
        <v>13922</v>
      </c>
      <c r="W1201" s="1">
        <v>14400</v>
      </c>
      <c r="X1201" s="1">
        <v>14477</v>
      </c>
      <c r="Y1201" s="1">
        <v>14985</v>
      </c>
      <c r="Z1201" s="1">
        <v>15656</v>
      </c>
      <c r="AA1201" s="1">
        <v>15874</v>
      </c>
    </row>
    <row r="1202" spans="2:27" ht="15.75" x14ac:dyDescent="0.25">
      <c r="B1202" s="2" t="s">
        <v>48</v>
      </c>
      <c r="C1202" s="2"/>
      <c r="D1202" s="1">
        <v>8851</v>
      </c>
      <c r="E1202" s="1">
        <v>8855</v>
      </c>
      <c r="F1202" s="1">
        <v>9386</v>
      </c>
      <c r="G1202" s="1">
        <v>10243</v>
      </c>
      <c r="H1202" s="1">
        <v>10427</v>
      </c>
      <c r="I1202" s="1">
        <v>10599</v>
      </c>
      <c r="J1202" s="1">
        <v>11087</v>
      </c>
      <c r="K1202" s="1"/>
      <c r="L1202" s="1">
        <v>11478</v>
      </c>
      <c r="M1202" s="1">
        <v>11601</v>
      </c>
      <c r="N1202" s="1">
        <v>11656</v>
      </c>
      <c r="O1202" s="1">
        <v>12147</v>
      </c>
      <c r="P1202" s="1">
        <v>12457</v>
      </c>
      <c r="Q1202" s="1">
        <v>12354</v>
      </c>
      <c r="R1202" s="1">
        <v>12597</v>
      </c>
      <c r="S1202" s="1">
        <v>12896</v>
      </c>
      <c r="T1202" s="1">
        <v>13435</v>
      </c>
      <c r="U1202" s="1">
        <v>13731</v>
      </c>
      <c r="V1202" s="1">
        <v>13872</v>
      </c>
      <c r="W1202" s="1">
        <v>14415</v>
      </c>
      <c r="X1202" s="1">
        <v>14687</v>
      </c>
      <c r="Y1202" s="1">
        <v>14919</v>
      </c>
      <c r="Z1202" s="1">
        <v>15560</v>
      </c>
      <c r="AA1202" s="1">
        <v>15856</v>
      </c>
    </row>
    <row r="1203" spans="2:27" ht="15.75" x14ac:dyDescent="0.25">
      <c r="B1203" s="2" t="s">
        <v>47</v>
      </c>
      <c r="C1203" s="2"/>
      <c r="D1203" s="1">
        <v>9766</v>
      </c>
      <c r="E1203" s="1">
        <v>9855</v>
      </c>
      <c r="F1203" s="1">
        <v>10118</v>
      </c>
      <c r="G1203" s="1">
        <v>11001</v>
      </c>
      <c r="H1203" s="1">
        <v>11242</v>
      </c>
      <c r="I1203" s="1">
        <v>11169</v>
      </c>
      <c r="J1203" s="1">
        <v>11553</v>
      </c>
      <c r="K1203" s="1"/>
      <c r="L1203" s="1">
        <v>11969</v>
      </c>
      <c r="M1203" s="1">
        <v>12227</v>
      </c>
      <c r="N1203" s="1">
        <v>12561</v>
      </c>
      <c r="O1203" s="1">
        <v>13069</v>
      </c>
      <c r="P1203" s="1">
        <v>13490</v>
      </c>
      <c r="Q1203" s="1">
        <v>13454</v>
      </c>
      <c r="R1203" s="1">
        <v>13619</v>
      </c>
      <c r="S1203" s="1">
        <v>13693</v>
      </c>
      <c r="T1203" s="1">
        <v>14227</v>
      </c>
      <c r="U1203" s="1">
        <v>14645</v>
      </c>
      <c r="V1203" s="1">
        <v>14955</v>
      </c>
      <c r="W1203" s="1">
        <v>15386</v>
      </c>
      <c r="X1203" s="1">
        <v>15395</v>
      </c>
      <c r="Y1203" s="1">
        <v>15876</v>
      </c>
      <c r="Z1203" s="1">
        <v>16551</v>
      </c>
      <c r="AA1203" s="1">
        <v>16748</v>
      </c>
    </row>
    <row r="1204" spans="2:27" ht="15.75" x14ac:dyDescent="0.25">
      <c r="B1204" s="2" t="s">
        <v>46</v>
      </c>
      <c r="C1204" s="2"/>
      <c r="D1204" s="1">
        <v>9492</v>
      </c>
      <c r="E1204" s="1">
        <v>9601</v>
      </c>
      <c r="F1204" s="1">
        <v>10049</v>
      </c>
      <c r="G1204" s="1">
        <v>10494</v>
      </c>
      <c r="H1204" s="1">
        <v>11151</v>
      </c>
      <c r="I1204" s="1">
        <v>11476</v>
      </c>
      <c r="J1204" s="1">
        <v>11714</v>
      </c>
      <c r="K1204" s="1"/>
      <c r="L1204" s="1">
        <v>12072</v>
      </c>
      <c r="M1204" s="1">
        <v>12114</v>
      </c>
      <c r="N1204" s="1">
        <v>12489</v>
      </c>
      <c r="O1204" s="1">
        <v>12728</v>
      </c>
      <c r="P1204" s="1">
        <v>13772</v>
      </c>
      <c r="Q1204" s="1">
        <v>13861</v>
      </c>
      <c r="R1204" s="1">
        <v>13600</v>
      </c>
      <c r="S1204" s="1">
        <v>13680</v>
      </c>
      <c r="T1204" s="1">
        <v>14162</v>
      </c>
      <c r="U1204" s="1">
        <v>14247</v>
      </c>
      <c r="V1204" s="1">
        <v>14986</v>
      </c>
      <c r="W1204" s="1">
        <v>15248</v>
      </c>
      <c r="X1204" s="1">
        <v>15009</v>
      </c>
      <c r="Y1204" s="1">
        <v>15276</v>
      </c>
      <c r="Z1204" s="1">
        <v>15997</v>
      </c>
      <c r="AA1204" s="1">
        <v>16262</v>
      </c>
    </row>
    <row r="1205" spans="2:27" ht="15.75" x14ac:dyDescent="0.25">
      <c r="B1205" s="4" t="s">
        <v>45</v>
      </c>
      <c r="C1205" s="4"/>
      <c r="D1205" s="3">
        <v>9840</v>
      </c>
      <c r="E1205" s="3">
        <v>9897</v>
      </c>
      <c r="F1205" s="3">
        <v>10481</v>
      </c>
      <c r="G1205" s="3">
        <v>11324</v>
      </c>
      <c r="H1205" s="3">
        <v>11622</v>
      </c>
      <c r="I1205" s="3">
        <v>12029</v>
      </c>
      <c r="J1205" s="3">
        <v>12437</v>
      </c>
      <c r="K1205" s="3"/>
      <c r="L1205" s="3">
        <v>12867</v>
      </c>
      <c r="M1205" s="3">
        <v>13160</v>
      </c>
      <c r="N1205" s="3">
        <v>13627</v>
      </c>
      <c r="O1205" s="3">
        <v>14049</v>
      </c>
      <c r="P1205" s="3">
        <v>14589</v>
      </c>
      <c r="Q1205" s="3">
        <v>14485</v>
      </c>
      <c r="R1205" s="3">
        <v>14833</v>
      </c>
      <c r="S1205" s="3">
        <v>15192</v>
      </c>
      <c r="T1205" s="3">
        <v>15580</v>
      </c>
      <c r="U1205" s="3">
        <v>15752</v>
      </c>
      <c r="V1205" s="3">
        <v>16219</v>
      </c>
      <c r="W1205" s="3">
        <v>16846</v>
      </c>
      <c r="X1205" s="3">
        <v>16929</v>
      </c>
      <c r="Y1205" s="3">
        <v>17445</v>
      </c>
      <c r="Z1205" s="3">
        <v>18326</v>
      </c>
      <c r="AA1205" s="3">
        <v>18422</v>
      </c>
    </row>
    <row r="1206" spans="2:27" ht="15.75" x14ac:dyDescent="0.25">
      <c r="B1206" s="2" t="s">
        <v>44</v>
      </c>
      <c r="C1206" s="2"/>
      <c r="D1206" s="1">
        <v>9925</v>
      </c>
      <c r="E1206" s="1">
        <v>9855</v>
      </c>
      <c r="F1206" s="1">
        <v>10627</v>
      </c>
      <c r="G1206" s="1">
        <v>11651</v>
      </c>
      <c r="H1206" s="1">
        <v>12022</v>
      </c>
      <c r="I1206" s="1">
        <v>12565</v>
      </c>
      <c r="J1206" s="1">
        <v>12783</v>
      </c>
      <c r="K1206" s="1"/>
      <c r="L1206" s="1">
        <v>12983</v>
      </c>
      <c r="M1206" s="1">
        <v>13444</v>
      </c>
      <c r="N1206" s="1">
        <v>13898</v>
      </c>
      <c r="O1206" s="1">
        <v>14731</v>
      </c>
      <c r="P1206" s="1">
        <v>15226</v>
      </c>
      <c r="Q1206" s="1">
        <v>14770</v>
      </c>
      <c r="R1206" s="1">
        <v>15061</v>
      </c>
      <c r="S1206" s="1">
        <v>15497</v>
      </c>
      <c r="T1206" s="1">
        <v>16041</v>
      </c>
      <c r="U1206" s="1">
        <v>16056</v>
      </c>
      <c r="V1206" s="1">
        <v>16760</v>
      </c>
      <c r="W1206" s="1">
        <v>17324</v>
      </c>
      <c r="X1206" s="1">
        <v>17592</v>
      </c>
      <c r="Y1206" s="1">
        <v>17864</v>
      </c>
      <c r="Z1206" s="1">
        <v>18924</v>
      </c>
      <c r="AA1206" s="1">
        <v>19273</v>
      </c>
    </row>
    <row r="1207" spans="2:27" ht="15.75" x14ac:dyDescent="0.25">
      <c r="B1207" s="2" t="s">
        <v>43</v>
      </c>
      <c r="C1207" s="2"/>
      <c r="D1207" s="1">
        <v>10014</v>
      </c>
      <c r="E1207" s="1">
        <v>10229</v>
      </c>
      <c r="F1207" s="1">
        <v>10781</v>
      </c>
      <c r="G1207" s="1">
        <v>11421</v>
      </c>
      <c r="H1207" s="1">
        <v>11746</v>
      </c>
      <c r="I1207" s="1">
        <v>12189</v>
      </c>
      <c r="J1207" s="1">
        <v>12641</v>
      </c>
      <c r="K1207" s="1"/>
      <c r="L1207" s="1">
        <v>13011</v>
      </c>
      <c r="M1207" s="1">
        <v>13179</v>
      </c>
      <c r="N1207" s="1">
        <v>13763</v>
      </c>
      <c r="O1207" s="1">
        <v>14071</v>
      </c>
      <c r="P1207" s="1">
        <v>14638</v>
      </c>
      <c r="Q1207" s="1">
        <v>14668</v>
      </c>
      <c r="R1207" s="1">
        <v>14945</v>
      </c>
      <c r="S1207" s="1">
        <v>15203</v>
      </c>
      <c r="T1207" s="1">
        <v>15458</v>
      </c>
      <c r="U1207" s="1">
        <v>15578</v>
      </c>
      <c r="V1207" s="1">
        <v>15952</v>
      </c>
      <c r="W1207" s="1">
        <v>16572</v>
      </c>
      <c r="X1207" s="1">
        <v>16524</v>
      </c>
      <c r="Y1207" s="1">
        <v>17135</v>
      </c>
      <c r="Z1207" s="1">
        <v>18110</v>
      </c>
      <c r="AA1207" s="1">
        <v>18113</v>
      </c>
    </row>
    <row r="1208" spans="2:27" ht="15.75" x14ac:dyDescent="0.25">
      <c r="B1208" s="2" t="s">
        <v>42</v>
      </c>
      <c r="C1208" s="2"/>
      <c r="D1208" s="1">
        <v>9767</v>
      </c>
      <c r="E1208" s="1">
        <v>9767</v>
      </c>
      <c r="F1208" s="1">
        <v>10221</v>
      </c>
      <c r="G1208" s="1">
        <v>11230</v>
      </c>
      <c r="H1208" s="1">
        <v>11420</v>
      </c>
      <c r="I1208" s="1">
        <v>11708</v>
      </c>
      <c r="J1208" s="1">
        <v>12163</v>
      </c>
      <c r="K1208" s="1"/>
      <c r="L1208" s="1">
        <v>12705</v>
      </c>
      <c r="M1208" s="1">
        <v>12982</v>
      </c>
      <c r="N1208" s="1">
        <v>13272</v>
      </c>
      <c r="O1208" s="1">
        <v>13604</v>
      </c>
      <c r="P1208" s="1">
        <v>14074</v>
      </c>
      <c r="Q1208" s="1">
        <v>13971</v>
      </c>
      <c r="R1208" s="1">
        <v>14342</v>
      </c>
      <c r="S1208" s="1">
        <v>14886</v>
      </c>
      <c r="T1208" s="1">
        <v>15320</v>
      </c>
      <c r="U1208" s="1">
        <v>15709</v>
      </c>
      <c r="V1208" s="1">
        <v>16254</v>
      </c>
      <c r="W1208" s="1">
        <v>17039</v>
      </c>
      <c r="X1208" s="1">
        <v>17179</v>
      </c>
      <c r="Y1208" s="1">
        <v>17619</v>
      </c>
      <c r="Z1208" s="1">
        <v>18228</v>
      </c>
      <c r="AA1208" s="1">
        <v>18286</v>
      </c>
    </row>
    <row r="1209" spans="2:27" ht="15.75" x14ac:dyDescent="0.25">
      <c r="B1209" s="2" t="s">
        <v>41</v>
      </c>
      <c r="C1209" s="2"/>
      <c r="D1209" s="1">
        <v>9252</v>
      </c>
      <c r="E1209" s="1">
        <v>9117</v>
      </c>
      <c r="F1209" s="1">
        <v>9765</v>
      </c>
      <c r="G1209" s="1">
        <v>10624</v>
      </c>
      <c r="H1209" s="1">
        <v>10934</v>
      </c>
      <c r="I1209" s="1">
        <v>11235</v>
      </c>
      <c r="J1209" s="1">
        <v>11732</v>
      </c>
      <c r="K1209" s="1"/>
      <c r="L1209" s="1">
        <v>12521</v>
      </c>
      <c r="M1209" s="1">
        <v>12976</v>
      </c>
      <c r="N1209" s="1">
        <v>13443</v>
      </c>
      <c r="O1209" s="1">
        <v>13729</v>
      </c>
      <c r="P1209" s="1">
        <v>14401</v>
      </c>
      <c r="Q1209" s="1">
        <v>14448</v>
      </c>
      <c r="R1209" s="1">
        <v>15090</v>
      </c>
      <c r="S1209" s="1">
        <v>15269</v>
      </c>
      <c r="T1209" s="1">
        <v>15759</v>
      </c>
      <c r="U1209" s="1">
        <v>15923</v>
      </c>
      <c r="V1209" s="1">
        <v>16140</v>
      </c>
      <c r="W1209" s="1">
        <v>16563</v>
      </c>
      <c r="X1209" s="1">
        <v>16668</v>
      </c>
      <c r="Y1209" s="1">
        <v>17448</v>
      </c>
      <c r="Z1209" s="1">
        <v>18239</v>
      </c>
      <c r="AA1209" s="1">
        <v>18287</v>
      </c>
    </row>
    <row r="1210" spans="2:27" ht="15.75" x14ac:dyDescent="0.25">
      <c r="B1210" s="6" t="s">
        <v>40</v>
      </c>
      <c r="C1210" s="6"/>
      <c r="D1210" s="5">
        <v>9759</v>
      </c>
      <c r="E1210" s="5">
        <v>9990</v>
      </c>
      <c r="F1210" s="5">
        <v>10376</v>
      </c>
      <c r="G1210" s="5">
        <v>11099</v>
      </c>
      <c r="H1210" s="5">
        <v>11573</v>
      </c>
      <c r="I1210" s="5">
        <v>12040</v>
      </c>
      <c r="J1210" s="5">
        <v>12387</v>
      </c>
      <c r="K1210" s="5"/>
      <c r="L1210" s="5">
        <v>12952</v>
      </c>
      <c r="M1210" s="5">
        <v>13425</v>
      </c>
      <c r="N1210" s="5">
        <v>13996</v>
      </c>
      <c r="O1210" s="5">
        <v>14763</v>
      </c>
      <c r="P1210" s="5">
        <v>15387</v>
      </c>
      <c r="Q1210" s="5">
        <v>15537</v>
      </c>
      <c r="R1210" s="5">
        <v>15805</v>
      </c>
      <c r="S1210" s="5">
        <v>16174</v>
      </c>
      <c r="T1210" s="5">
        <v>16678</v>
      </c>
      <c r="U1210" s="5">
        <v>17208</v>
      </c>
      <c r="V1210" s="5">
        <v>17579</v>
      </c>
      <c r="W1210" s="5">
        <v>18148</v>
      </c>
      <c r="X1210" s="5">
        <v>18237</v>
      </c>
      <c r="Y1210" s="5">
        <v>18479</v>
      </c>
      <c r="Z1210" s="5">
        <v>19110</v>
      </c>
      <c r="AA1210" s="5">
        <v>19649</v>
      </c>
    </row>
    <row r="1211" spans="2:27" ht="15.75" x14ac:dyDescent="0.25">
      <c r="B1211" s="4" t="s">
        <v>39</v>
      </c>
      <c r="C1211" s="4"/>
      <c r="D1211" s="3">
        <v>11078</v>
      </c>
      <c r="E1211" s="3">
        <v>11260</v>
      </c>
      <c r="F1211" s="3">
        <v>11201</v>
      </c>
      <c r="G1211" s="3">
        <v>12037</v>
      </c>
      <c r="H1211" s="3">
        <v>12615</v>
      </c>
      <c r="I1211" s="3">
        <v>13094</v>
      </c>
      <c r="J1211" s="3">
        <v>13328</v>
      </c>
      <c r="K1211" s="3"/>
      <c r="L1211" s="3">
        <v>14265</v>
      </c>
      <c r="M1211" s="3">
        <v>15327</v>
      </c>
      <c r="N1211" s="3">
        <v>16060</v>
      </c>
      <c r="O1211" s="3">
        <v>17114</v>
      </c>
      <c r="P1211" s="3">
        <v>17987</v>
      </c>
      <c r="Q1211" s="3">
        <v>18298</v>
      </c>
      <c r="R1211" s="3">
        <v>18725</v>
      </c>
      <c r="S1211" s="3">
        <v>19644</v>
      </c>
      <c r="T1211" s="3">
        <v>20355</v>
      </c>
      <c r="U1211" s="3">
        <v>21514</v>
      </c>
      <c r="V1211" s="3">
        <v>21963</v>
      </c>
      <c r="W1211" s="3">
        <v>22025</v>
      </c>
      <c r="X1211" s="3">
        <v>20944</v>
      </c>
      <c r="Y1211" s="3">
        <v>20972</v>
      </c>
      <c r="Z1211" s="3">
        <v>21662</v>
      </c>
      <c r="AA1211" s="3">
        <v>22151</v>
      </c>
    </row>
    <row r="1212" spans="2:27" ht="15.75" x14ac:dyDescent="0.25">
      <c r="B1212" s="2" t="s">
        <v>38</v>
      </c>
      <c r="C1212" s="2"/>
      <c r="D1212" s="1">
        <v>11078</v>
      </c>
      <c r="E1212" s="1">
        <v>11260</v>
      </c>
      <c r="F1212" s="1">
        <v>11201</v>
      </c>
      <c r="G1212" s="1">
        <v>12037</v>
      </c>
      <c r="H1212" s="1">
        <v>12615</v>
      </c>
      <c r="I1212" s="1">
        <v>13094</v>
      </c>
      <c r="J1212" s="1">
        <v>13328</v>
      </c>
      <c r="K1212" s="1"/>
      <c r="L1212" s="1">
        <v>14265</v>
      </c>
      <c r="M1212" s="1">
        <v>15327</v>
      </c>
      <c r="N1212" s="1">
        <v>16060</v>
      </c>
      <c r="O1212" s="1">
        <v>17114</v>
      </c>
      <c r="P1212" s="1">
        <v>17987</v>
      </c>
      <c r="Q1212" s="1">
        <v>18298</v>
      </c>
      <c r="R1212" s="1">
        <v>18725</v>
      </c>
      <c r="S1212" s="1">
        <v>19644</v>
      </c>
      <c r="T1212" s="1">
        <v>20355</v>
      </c>
      <c r="U1212" s="1">
        <v>21514</v>
      </c>
      <c r="V1212" s="1">
        <v>21963</v>
      </c>
      <c r="W1212" s="1">
        <v>22025</v>
      </c>
      <c r="X1212" s="1">
        <v>20944</v>
      </c>
      <c r="Y1212" s="1">
        <v>20972</v>
      </c>
      <c r="Z1212" s="1">
        <v>21662</v>
      </c>
      <c r="AA1212" s="1">
        <v>22151</v>
      </c>
    </row>
    <row r="1213" spans="2:27" ht="15.75" x14ac:dyDescent="0.25">
      <c r="B1213" s="4" t="s">
        <v>37</v>
      </c>
      <c r="C1213" s="4"/>
      <c r="D1213" s="3">
        <v>8888</v>
      </c>
      <c r="E1213" s="3">
        <v>9062</v>
      </c>
      <c r="F1213" s="3">
        <v>9289</v>
      </c>
      <c r="G1213" s="3">
        <v>9856</v>
      </c>
      <c r="H1213" s="3">
        <v>10326</v>
      </c>
      <c r="I1213" s="3">
        <v>10812</v>
      </c>
      <c r="J1213" s="3">
        <v>11004</v>
      </c>
      <c r="K1213" s="3"/>
      <c r="L1213" s="3">
        <v>11441</v>
      </c>
      <c r="M1213" s="3">
        <v>11878</v>
      </c>
      <c r="N1213" s="3">
        <v>12801</v>
      </c>
      <c r="O1213" s="3">
        <v>13550</v>
      </c>
      <c r="P1213" s="3">
        <v>15018</v>
      </c>
      <c r="Q1213" s="3">
        <v>15403</v>
      </c>
      <c r="R1213" s="3">
        <v>15800</v>
      </c>
      <c r="S1213" s="3">
        <v>15835</v>
      </c>
      <c r="T1213" s="3">
        <v>16511</v>
      </c>
      <c r="U1213" s="3">
        <v>16993</v>
      </c>
      <c r="V1213" s="3">
        <v>17261</v>
      </c>
      <c r="W1213" s="3">
        <v>17956</v>
      </c>
      <c r="X1213" s="3">
        <v>18140</v>
      </c>
      <c r="Y1213" s="3">
        <v>18380</v>
      </c>
      <c r="Z1213" s="3">
        <v>19127</v>
      </c>
      <c r="AA1213" s="3">
        <v>19846</v>
      </c>
    </row>
    <row r="1214" spans="2:27" ht="15.75" x14ac:dyDescent="0.25">
      <c r="B1214" s="2" t="s">
        <v>36</v>
      </c>
      <c r="C1214" s="2"/>
      <c r="D1214" s="1">
        <v>9734</v>
      </c>
      <c r="E1214" s="1">
        <v>9934</v>
      </c>
      <c r="F1214" s="1">
        <v>10242</v>
      </c>
      <c r="G1214" s="1">
        <v>10735</v>
      </c>
      <c r="H1214" s="1">
        <v>11235</v>
      </c>
      <c r="I1214" s="1">
        <v>11853</v>
      </c>
      <c r="J1214" s="1">
        <v>11982</v>
      </c>
      <c r="K1214" s="1"/>
      <c r="L1214" s="1">
        <v>12318</v>
      </c>
      <c r="M1214" s="1">
        <v>12883</v>
      </c>
      <c r="N1214" s="1">
        <v>13677</v>
      </c>
      <c r="O1214" s="1">
        <v>13956</v>
      </c>
      <c r="P1214" s="1">
        <v>14612</v>
      </c>
      <c r="Q1214" s="1">
        <v>15190</v>
      </c>
      <c r="R1214" s="1">
        <v>15553</v>
      </c>
      <c r="S1214" s="1">
        <v>16109</v>
      </c>
      <c r="T1214" s="1">
        <v>17009</v>
      </c>
      <c r="U1214" s="1">
        <v>17734</v>
      </c>
      <c r="V1214" s="1">
        <v>17559</v>
      </c>
      <c r="W1214" s="1">
        <v>18289</v>
      </c>
      <c r="X1214" s="1">
        <v>18389</v>
      </c>
      <c r="Y1214" s="1">
        <v>18552</v>
      </c>
      <c r="Z1214" s="1">
        <v>18719</v>
      </c>
      <c r="AA1214" s="1">
        <v>19220</v>
      </c>
    </row>
    <row r="1215" spans="2:27" ht="15.75" x14ac:dyDescent="0.25">
      <c r="B1215" s="2" t="s">
        <v>35</v>
      </c>
      <c r="C1215" s="2"/>
      <c r="D1215" s="1">
        <v>8922</v>
      </c>
      <c r="E1215" s="1">
        <v>9064</v>
      </c>
      <c r="F1215" s="1">
        <v>9374</v>
      </c>
      <c r="G1215" s="1">
        <v>9776</v>
      </c>
      <c r="H1215" s="1">
        <v>10189</v>
      </c>
      <c r="I1215" s="1">
        <v>10519</v>
      </c>
      <c r="J1215" s="1">
        <v>10669</v>
      </c>
      <c r="K1215" s="1"/>
      <c r="L1215" s="1">
        <v>11007</v>
      </c>
      <c r="M1215" s="1">
        <v>11224</v>
      </c>
      <c r="N1215" s="1">
        <v>12403</v>
      </c>
      <c r="O1215" s="1">
        <v>13314</v>
      </c>
      <c r="P1215" s="1">
        <v>15610</v>
      </c>
      <c r="Q1215" s="1">
        <v>15611</v>
      </c>
      <c r="R1215" s="1">
        <v>16007</v>
      </c>
      <c r="S1215" s="1">
        <v>15709</v>
      </c>
      <c r="T1215" s="1">
        <v>16431</v>
      </c>
      <c r="U1215" s="1">
        <v>16989</v>
      </c>
      <c r="V1215" s="1">
        <v>17402</v>
      </c>
      <c r="W1215" s="1">
        <v>18032</v>
      </c>
      <c r="X1215" s="1">
        <v>18154</v>
      </c>
      <c r="Y1215" s="1">
        <v>18528</v>
      </c>
      <c r="Z1215" s="1">
        <v>19503</v>
      </c>
      <c r="AA1215" s="1">
        <v>20119</v>
      </c>
    </row>
    <row r="1216" spans="2:27" ht="15.75" x14ac:dyDescent="0.25">
      <c r="B1216" s="2" t="s">
        <v>34</v>
      </c>
      <c r="C1216" s="2"/>
      <c r="D1216" s="1">
        <v>8235</v>
      </c>
      <c r="E1216" s="1">
        <v>8408</v>
      </c>
      <c r="F1216" s="1">
        <v>8381</v>
      </c>
      <c r="G1216" s="1">
        <v>9351</v>
      </c>
      <c r="H1216" s="1">
        <v>9979</v>
      </c>
      <c r="I1216" s="1">
        <v>10711</v>
      </c>
      <c r="J1216" s="1">
        <v>10985</v>
      </c>
      <c r="K1216" s="1"/>
      <c r="L1216" s="1">
        <v>11491</v>
      </c>
      <c r="M1216" s="1">
        <v>12174</v>
      </c>
      <c r="N1216" s="1">
        <v>13073</v>
      </c>
      <c r="O1216" s="1">
        <v>13755</v>
      </c>
      <c r="P1216" s="1">
        <v>14785</v>
      </c>
      <c r="Q1216" s="1">
        <v>15351</v>
      </c>
      <c r="R1216" s="1">
        <v>15727</v>
      </c>
      <c r="S1216" s="1">
        <v>15725</v>
      </c>
      <c r="T1216" s="1">
        <v>16265</v>
      </c>
      <c r="U1216" s="1">
        <v>16437</v>
      </c>
      <c r="V1216" s="1">
        <v>16615</v>
      </c>
      <c r="W1216" s="1">
        <v>17310</v>
      </c>
      <c r="X1216" s="1">
        <v>17789</v>
      </c>
      <c r="Y1216" s="1">
        <v>17979</v>
      </c>
      <c r="Z1216" s="1">
        <v>18825</v>
      </c>
      <c r="AA1216" s="1">
        <v>19764</v>
      </c>
    </row>
    <row r="1217" spans="2:27" ht="15.75" x14ac:dyDescent="0.25">
      <c r="B1217" s="2" t="s">
        <v>33</v>
      </c>
      <c r="C1217" s="2"/>
      <c r="D1217" s="1">
        <v>8653</v>
      </c>
      <c r="E1217" s="1">
        <v>8889</v>
      </c>
      <c r="F1217" s="1">
        <v>8913</v>
      </c>
      <c r="G1217" s="1">
        <v>9361</v>
      </c>
      <c r="H1217" s="1">
        <v>9954</v>
      </c>
      <c r="I1217" s="1">
        <v>10531</v>
      </c>
      <c r="J1217" s="1">
        <v>10795</v>
      </c>
      <c r="K1217" s="1"/>
      <c r="L1217" s="1">
        <v>11194</v>
      </c>
      <c r="M1217" s="1">
        <v>11819</v>
      </c>
      <c r="N1217" s="1">
        <v>11511</v>
      </c>
      <c r="O1217" s="1">
        <v>12705</v>
      </c>
      <c r="P1217" s="1">
        <v>13279</v>
      </c>
      <c r="Q1217" s="1">
        <v>13699</v>
      </c>
      <c r="R1217" s="1">
        <v>14226</v>
      </c>
      <c r="S1217" s="1">
        <v>14442</v>
      </c>
      <c r="T1217" s="1">
        <v>14660</v>
      </c>
      <c r="U1217" s="1">
        <v>14892</v>
      </c>
      <c r="V1217" s="1">
        <v>15407</v>
      </c>
      <c r="W1217" s="1">
        <v>16713</v>
      </c>
      <c r="X1217" s="1">
        <v>16601</v>
      </c>
      <c r="Y1217" s="1">
        <v>16898</v>
      </c>
      <c r="Z1217" s="1">
        <v>18031</v>
      </c>
      <c r="AA1217" s="1">
        <v>19318</v>
      </c>
    </row>
    <row r="1218" spans="2:27" ht="15.75" x14ac:dyDescent="0.25">
      <c r="B1218" s="2" t="s">
        <v>32</v>
      </c>
      <c r="C1218" s="2"/>
      <c r="D1218" s="1">
        <v>7936</v>
      </c>
      <c r="E1218" s="1">
        <v>8601</v>
      </c>
      <c r="F1218" s="1">
        <v>9240</v>
      </c>
      <c r="G1218" s="1">
        <v>8936</v>
      </c>
      <c r="H1218" s="1">
        <v>9465</v>
      </c>
      <c r="I1218" s="1">
        <v>9788</v>
      </c>
      <c r="J1218" s="1">
        <v>9905</v>
      </c>
      <c r="K1218" s="1"/>
      <c r="L1218" s="1">
        <v>10961</v>
      </c>
      <c r="M1218" s="1">
        <v>11259</v>
      </c>
      <c r="N1218" s="1">
        <v>12263</v>
      </c>
      <c r="O1218" s="1">
        <v>13696</v>
      </c>
      <c r="P1218" s="1">
        <v>14633</v>
      </c>
      <c r="Q1218" s="1">
        <v>15513</v>
      </c>
      <c r="R1218" s="1">
        <v>16214</v>
      </c>
      <c r="S1218" s="1">
        <v>17039</v>
      </c>
      <c r="T1218" s="1">
        <v>17608</v>
      </c>
      <c r="U1218" s="1">
        <v>17845</v>
      </c>
      <c r="V1218" s="1">
        <v>17836</v>
      </c>
      <c r="W1218" s="1">
        <v>17900</v>
      </c>
      <c r="X1218" s="1">
        <v>18093</v>
      </c>
      <c r="Y1218" s="1">
        <v>18185</v>
      </c>
      <c r="Z1218" s="1">
        <v>18956</v>
      </c>
      <c r="AA1218" s="1">
        <v>19831</v>
      </c>
    </row>
    <row r="1219" spans="2:27" ht="15.75" x14ac:dyDescent="0.25">
      <c r="B1219" s="2" t="s">
        <v>31</v>
      </c>
      <c r="C1219" s="2"/>
      <c r="D1219" s="1">
        <v>9338</v>
      </c>
      <c r="E1219" s="1">
        <v>9151</v>
      </c>
      <c r="F1219" s="1">
        <v>9455</v>
      </c>
      <c r="G1219" s="1">
        <v>10677</v>
      </c>
      <c r="H1219" s="1">
        <v>10537</v>
      </c>
      <c r="I1219" s="1">
        <v>10638</v>
      </c>
      <c r="J1219" s="1">
        <v>11060</v>
      </c>
      <c r="K1219" s="1"/>
      <c r="L1219" s="1">
        <v>11898</v>
      </c>
      <c r="M1219" s="1">
        <v>12412</v>
      </c>
      <c r="N1219" s="1">
        <v>13310</v>
      </c>
      <c r="O1219" s="1">
        <v>13815</v>
      </c>
      <c r="P1219" s="1">
        <v>15149</v>
      </c>
      <c r="Q1219" s="1">
        <v>16684</v>
      </c>
      <c r="R1219" s="1">
        <v>16878</v>
      </c>
      <c r="S1219" s="1">
        <v>16833</v>
      </c>
      <c r="T1219" s="1">
        <v>17415</v>
      </c>
      <c r="U1219" s="1">
        <v>18140</v>
      </c>
      <c r="V1219" s="1">
        <v>19272</v>
      </c>
      <c r="W1219" s="1">
        <v>20226</v>
      </c>
      <c r="X1219" s="1">
        <v>20333</v>
      </c>
      <c r="Y1219" s="1">
        <v>20028</v>
      </c>
      <c r="Z1219" s="1">
        <v>20207</v>
      </c>
      <c r="AA1219" s="1">
        <v>20960</v>
      </c>
    </row>
    <row r="1220" spans="2:27" ht="15.75" x14ac:dyDescent="0.25">
      <c r="B1220" s="4" t="s">
        <v>30</v>
      </c>
      <c r="C1220" s="4"/>
      <c r="D1220" s="3">
        <v>10198</v>
      </c>
      <c r="E1220" s="3">
        <v>10493</v>
      </c>
      <c r="F1220" s="3">
        <v>10941</v>
      </c>
      <c r="G1220" s="3">
        <v>11662</v>
      </c>
      <c r="H1220" s="3">
        <v>12181</v>
      </c>
      <c r="I1220" s="3">
        <v>12638</v>
      </c>
      <c r="J1220" s="3">
        <v>13065</v>
      </c>
      <c r="K1220" s="3"/>
      <c r="L1220" s="3">
        <v>13691</v>
      </c>
      <c r="M1220" s="3">
        <v>14086</v>
      </c>
      <c r="N1220" s="3">
        <v>14655</v>
      </c>
      <c r="O1220" s="3">
        <v>15421</v>
      </c>
      <c r="P1220" s="3">
        <v>15915</v>
      </c>
      <c r="Q1220" s="3">
        <v>15945</v>
      </c>
      <c r="R1220" s="3">
        <v>16170</v>
      </c>
      <c r="S1220" s="3">
        <v>16663</v>
      </c>
      <c r="T1220" s="3">
        <v>17191</v>
      </c>
      <c r="U1220" s="3">
        <v>17706</v>
      </c>
      <c r="V1220" s="3">
        <v>18038</v>
      </c>
      <c r="W1220" s="3">
        <v>18647</v>
      </c>
      <c r="X1220" s="3">
        <v>18887</v>
      </c>
      <c r="Y1220" s="3">
        <v>19205</v>
      </c>
      <c r="Z1220" s="3">
        <v>19895</v>
      </c>
      <c r="AA1220" s="3">
        <v>20505</v>
      </c>
    </row>
    <row r="1221" spans="2:27" ht="15.75" x14ac:dyDescent="0.25">
      <c r="B1221" s="2" t="s">
        <v>29</v>
      </c>
      <c r="C1221" s="2"/>
      <c r="D1221" s="1">
        <v>9380</v>
      </c>
      <c r="E1221" s="1">
        <v>9545</v>
      </c>
      <c r="F1221" s="1">
        <v>9905</v>
      </c>
      <c r="G1221" s="1">
        <v>10686</v>
      </c>
      <c r="H1221" s="1">
        <v>11269</v>
      </c>
      <c r="I1221" s="1">
        <v>11800</v>
      </c>
      <c r="J1221" s="1">
        <v>11932</v>
      </c>
      <c r="K1221" s="1"/>
      <c r="L1221" s="1">
        <v>12356</v>
      </c>
      <c r="M1221" s="1">
        <v>12451</v>
      </c>
      <c r="N1221" s="1">
        <v>12878</v>
      </c>
      <c r="O1221" s="1">
        <v>13711</v>
      </c>
      <c r="P1221" s="1">
        <v>14616</v>
      </c>
      <c r="Q1221" s="1">
        <v>14568</v>
      </c>
      <c r="R1221" s="1">
        <v>14503</v>
      </c>
      <c r="S1221" s="1">
        <v>14858</v>
      </c>
      <c r="T1221" s="1">
        <v>15241</v>
      </c>
      <c r="U1221" s="1">
        <v>15938</v>
      </c>
      <c r="V1221" s="1">
        <v>16361</v>
      </c>
      <c r="W1221" s="1">
        <v>16794</v>
      </c>
      <c r="X1221" s="1">
        <v>16873</v>
      </c>
      <c r="Y1221" s="1">
        <v>16906</v>
      </c>
      <c r="Z1221" s="1">
        <v>17534</v>
      </c>
      <c r="AA1221" s="1">
        <v>18006</v>
      </c>
    </row>
    <row r="1222" spans="2:27" ht="15.75" x14ac:dyDescent="0.25">
      <c r="B1222" s="2" t="s">
        <v>28</v>
      </c>
      <c r="C1222" s="2"/>
      <c r="D1222" s="1">
        <v>9099</v>
      </c>
      <c r="E1222" s="1">
        <v>9441</v>
      </c>
      <c r="F1222" s="1">
        <v>9780</v>
      </c>
      <c r="G1222" s="1">
        <v>10420</v>
      </c>
      <c r="H1222" s="1">
        <v>10775</v>
      </c>
      <c r="I1222" s="1">
        <v>11312</v>
      </c>
      <c r="J1222" s="1">
        <v>11664</v>
      </c>
      <c r="K1222" s="1"/>
      <c r="L1222" s="1">
        <v>12217</v>
      </c>
      <c r="M1222" s="1">
        <v>12522</v>
      </c>
      <c r="N1222" s="1">
        <v>12590</v>
      </c>
      <c r="O1222" s="1">
        <v>13591</v>
      </c>
      <c r="P1222" s="1">
        <v>14246</v>
      </c>
      <c r="Q1222" s="1">
        <v>14460</v>
      </c>
      <c r="R1222" s="1">
        <v>14739</v>
      </c>
      <c r="S1222" s="1">
        <v>14976</v>
      </c>
      <c r="T1222" s="1">
        <v>15455</v>
      </c>
      <c r="U1222" s="1">
        <v>16073</v>
      </c>
      <c r="V1222" s="1">
        <v>16390</v>
      </c>
      <c r="W1222" s="1">
        <v>17076</v>
      </c>
      <c r="X1222" s="1">
        <v>17328</v>
      </c>
      <c r="Y1222" s="1">
        <v>17662</v>
      </c>
      <c r="Z1222" s="1">
        <v>18094</v>
      </c>
      <c r="AA1222" s="1">
        <v>18523</v>
      </c>
    </row>
    <row r="1223" spans="2:27" ht="15.75" x14ac:dyDescent="0.25">
      <c r="B1223" s="2" t="s">
        <v>27</v>
      </c>
      <c r="C1223" s="2"/>
      <c r="D1223" s="1">
        <v>10074</v>
      </c>
      <c r="E1223" s="1">
        <v>10324</v>
      </c>
      <c r="F1223" s="1">
        <v>10864</v>
      </c>
      <c r="G1223" s="1">
        <v>11416</v>
      </c>
      <c r="H1223" s="1">
        <v>11619</v>
      </c>
      <c r="I1223" s="1">
        <v>11954</v>
      </c>
      <c r="J1223" s="1">
        <v>12935</v>
      </c>
      <c r="K1223" s="1"/>
      <c r="L1223" s="1">
        <v>13891</v>
      </c>
      <c r="M1223" s="1">
        <v>14564</v>
      </c>
      <c r="N1223" s="1">
        <v>15046</v>
      </c>
      <c r="O1223" s="1">
        <v>15716</v>
      </c>
      <c r="P1223" s="1">
        <v>16345</v>
      </c>
      <c r="Q1223" s="1">
        <v>16489</v>
      </c>
      <c r="R1223" s="1">
        <v>17235</v>
      </c>
      <c r="S1223" s="1">
        <v>17618</v>
      </c>
      <c r="T1223" s="1">
        <v>17960</v>
      </c>
      <c r="U1223" s="1">
        <v>18880</v>
      </c>
      <c r="V1223" s="1">
        <v>19378</v>
      </c>
      <c r="W1223" s="1">
        <v>19916</v>
      </c>
      <c r="X1223" s="1">
        <v>19916</v>
      </c>
      <c r="Y1223" s="1">
        <v>20025</v>
      </c>
      <c r="Z1223" s="1">
        <v>20682</v>
      </c>
      <c r="AA1223" s="1">
        <v>21845</v>
      </c>
    </row>
    <row r="1224" spans="2:27" ht="15.75" x14ac:dyDescent="0.25">
      <c r="B1224" s="2" t="s">
        <v>26</v>
      </c>
      <c r="C1224" s="2"/>
      <c r="D1224" s="1">
        <v>12180</v>
      </c>
      <c r="E1224" s="1">
        <v>12592</v>
      </c>
      <c r="F1224" s="1">
        <v>13230</v>
      </c>
      <c r="G1224" s="1">
        <v>14053</v>
      </c>
      <c r="H1224" s="1">
        <v>14685</v>
      </c>
      <c r="I1224" s="1">
        <v>15304</v>
      </c>
      <c r="J1224" s="1">
        <v>15671</v>
      </c>
      <c r="K1224" s="1"/>
      <c r="L1224" s="1">
        <v>16198</v>
      </c>
      <c r="M1224" s="1">
        <v>16795</v>
      </c>
      <c r="N1224" s="1">
        <v>17641</v>
      </c>
      <c r="O1224" s="1">
        <v>18075</v>
      </c>
      <c r="P1224" s="1">
        <v>18458</v>
      </c>
      <c r="Q1224" s="1">
        <v>18519</v>
      </c>
      <c r="R1224" s="1">
        <v>18701</v>
      </c>
      <c r="S1224" s="1">
        <v>19354</v>
      </c>
      <c r="T1224" s="1">
        <v>20096</v>
      </c>
      <c r="U1224" s="1">
        <v>20326</v>
      </c>
      <c r="V1224" s="1">
        <v>20605</v>
      </c>
      <c r="W1224" s="1">
        <v>21357</v>
      </c>
      <c r="X1224" s="1">
        <v>21684</v>
      </c>
      <c r="Y1224" s="1">
        <v>22058</v>
      </c>
      <c r="Z1224" s="1">
        <v>22933</v>
      </c>
      <c r="AA1224" s="1">
        <v>23580</v>
      </c>
    </row>
    <row r="1225" spans="2:27" ht="15.75" x14ac:dyDescent="0.25">
      <c r="B1225" s="2" t="s">
        <v>25</v>
      </c>
      <c r="C1225" s="2"/>
      <c r="D1225" s="1">
        <v>8796</v>
      </c>
      <c r="E1225" s="1">
        <v>8978</v>
      </c>
      <c r="F1225" s="1">
        <v>9621</v>
      </c>
      <c r="G1225" s="1">
        <v>10060</v>
      </c>
      <c r="H1225" s="1">
        <v>10642</v>
      </c>
      <c r="I1225" s="1">
        <v>11061</v>
      </c>
      <c r="J1225" s="1">
        <v>11535</v>
      </c>
      <c r="K1225" s="1"/>
      <c r="L1225" s="1">
        <v>12020</v>
      </c>
      <c r="M1225" s="1">
        <v>12480</v>
      </c>
      <c r="N1225" s="1">
        <v>13144</v>
      </c>
      <c r="O1225" s="1">
        <v>13928</v>
      </c>
      <c r="P1225" s="1">
        <v>14463</v>
      </c>
      <c r="Q1225" s="1">
        <v>14274</v>
      </c>
      <c r="R1225" s="1">
        <v>14218</v>
      </c>
      <c r="S1225" s="1">
        <v>14788</v>
      </c>
      <c r="T1225" s="1">
        <v>15443</v>
      </c>
      <c r="U1225" s="1">
        <v>15819</v>
      </c>
      <c r="V1225" s="1">
        <v>15894</v>
      </c>
      <c r="W1225" s="1">
        <v>16352</v>
      </c>
      <c r="X1225" s="1">
        <v>16803</v>
      </c>
      <c r="Y1225" s="1">
        <v>17400</v>
      </c>
      <c r="Z1225" s="1">
        <v>18304</v>
      </c>
      <c r="AA1225" s="1">
        <v>18793</v>
      </c>
    </row>
    <row r="1226" spans="2:27" ht="15.75" x14ac:dyDescent="0.25">
      <c r="B1226" s="2" t="s">
        <v>24</v>
      </c>
      <c r="C1226" s="2"/>
      <c r="D1226" s="1">
        <v>11322</v>
      </c>
      <c r="E1226" s="1">
        <v>11536</v>
      </c>
      <c r="F1226" s="1">
        <v>11540</v>
      </c>
      <c r="G1226" s="1">
        <v>12239</v>
      </c>
      <c r="H1226" s="1">
        <v>12940</v>
      </c>
      <c r="I1226" s="1">
        <v>12926</v>
      </c>
      <c r="J1226" s="1">
        <v>13481</v>
      </c>
      <c r="K1226" s="1"/>
      <c r="L1226" s="1">
        <v>14754</v>
      </c>
      <c r="M1226" s="1">
        <v>15136</v>
      </c>
      <c r="N1226" s="1">
        <v>16141</v>
      </c>
      <c r="O1226" s="1">
        <v>16754</v>
      </c>
      <c r="P1226" s="1">
        <v>16965</v>
      </c>
      <c r="Q1226" s="1">
        <v>16974</v>
      </c>
      <c r="R1226" s="1">
        <v>17128</v>
      </c>
      <c r="S1226" s="1">
        <v>18051</v>
      </c>
      <c r="T1226" s="1">
        <v>18463</v>
      </c>
      <c r="U1226" s="1">
        <v>18903</v>
      </c>
      <c r="V1226" s="1">
        <v>19109</v>
      </c>
      <c r="W1226" s="1">
        <v>19664</v>
      </c>
      <c r="X1226" s="1">
        <v>19775</v>
      </c>
      <c r="Y1226" s="1">
        <v>20073</v>
      </c>
      <c r="Z1226" s="1">
        <v>20762</v>
      </c>
      <c r="AA1226" s="1">
        <v>21443</v>
      </c>
    </row>
    <row r="1227" spans="2:27" ht="15.75" x14ac:dyDescent="0.25">
      <c r="B1227" s="2" t="s">
        <v>23</v>
      </c>
      <c r="C1227" s="2"/>
      <c r="D1227" s="1">
        <v>8491</v>
      </c>
      <c r="E1227" s="1">
        <v>8811</v>
      </c>
      <c r="F1227" s="1">
        <v>9477</v>
      </c>
      <c r="G1227" s="1">
        <v>10492</v>
      </c>
      <c r="H1227" s="1">
        <v>11033</v>
      </c>
      <c r="I1227" s="1">
        <v>11592</v>
      </c>
      <c r="J1227" s="1">
        <v>12078</v>
      </c>
      <c r="K1227" s="1"/>
      <c r="L1227" s="1">
        <v>12395</v>
      </c>
      <c r="M1227" s="1">
        <v>12592</v>
      </c>
      <c r="N1227" s="1">
        <v>13259</v>
      </c>
      <c r="O1227" s="1">
        <v>14527</v>
      </c>
      <c r="P1227" s="1">
        <v>14504</v>
      </c>
      <c r="Q1227" s="1">
        <v>14201</v>
      </c>
      <c r="R1227" s="1">
        <v>14576</v>
      </c>
      <c r="S1227" s="1">
        <v>14851</v>
      </c>
      <c r="T1227" s="1">
        <v>15288</v>
      </c>
      <c r="U1227" s="1">
        <v>15807</v>
      </c>
      <c r="V1227" s="1">
        <v>16331</v>
      </c>
      <c r="W1227" s="1">
        <v>16816</v>
      </c>
      <c r="X1227" s="1">
        <v>17158</v>
      </c>
      <c r="Y1227" s="1">
        <v>17621</v>
      </c>
      <c r="Z1227" s="1">
        <v>18242</v>
      </c>
      <c r="AA1227" s="1">
        <v>18694</v>
      </c>
    </row>
    <row r="1228" spans="2:27" ht="15.75" x14ac:dyDescent="0.25">
      <c r="B1228" s="4" t="s">
        <v>22</v>
      </c>
      <c r="C1228" s="4"/>
      <c r="D1228" s="3">
        <v>9391</v>
      </c>
      <c r="E1228" s="3">
        <v>9586</v>
      </c>
      <c r="F1228" s="3">
        <v>10136</v>
      </c>
      <c r="G1228" s="3">
        <v>10905</v>
      </c>
      <c r="H1228" s="3">
        <v>11342</v>
      </c>
      <c r="I1228" s="3">
        <v>11732</v>
      </c>
      <c r="J1228" s="3">
        <v>12052</v>
      </c>
      <c r="K1228" s="3"/>
      <c r="L1228" s="3">
        <v>12413</v>
      </c>
      <c r="M1228" s="3">
        <v>12826</v>
      </c>
      <c r="N1228" s="3">
        <v>13305</v>
      </c>
      <c r="O1228" s="3">
        <v>14020</v>
      </c>
      <c r="P1228" s="3">
        <v>14534</v>
      </c>
      <c r="Q1228" s="3">
        <v>14667</v>
      </c>
      <c r="R1228" s="3">
        <v>14766</v>
      </c>
      <c r="S1228" s="3">
        <v>14956</v>
      </c>
      <c r="T1228" s="3">
        <v>15383</v>
      </c>
      <c r="U1228" s="3">
        <v>15758</v>
      </c>
      <c r="V1228" s="3">
        <v>16189</v>
      </c>
      <c r="W1228" s="3">
        <v>16808</v>
      </c>
      <c r="X1228" s="3">
        <v>17021</v>
      </c>
      <c r="Y1228" s="3">
        <v>17236</v>
      </c>
      <c r="Z1228" s="3">
        <v>17755</v>
      </c>
      <c r="AA1228" s="3">
        <v>18159</v>
      </c>
    </row>
    <row r="1229" spans="2:27" ht="15.75" x14ac:dyDescent="0.25">
      <c r="B1229" s="2" t="s">
        <v>21</v>
      </c>
      <c r="C1229" s="2"/>
      <c r="D1229" s="1">
        <v>9432</v>
      </c>
      <c r="E1229" s="1">
        <v>9709</v>
      </c>
      <c r="F1229" s="1">
        <v>10841</v>
      </c>
      <c r="G1229" s="1">
        <v>11752</v>
      </c>
      <c r="H1229" s="1">
        <v>12057</v>
      </c>
      <c r="I1229" s="1">
        <v>12564</v>
      </c>
      <c r="J1229" s="1">
        <v>12800</v>
      </c>
      <c r="K1229" s="1"/>
      <c r="L1229" s="1">
        <v>13239</v>
      </c>
      <c r="M1229" s="1">
        <v>13880</v>
      </c>
      <c r="N1229" s="1">
        <v>14523</v>
      </c>
      <c r="O1229" s="1">
        <v>15094</v>
      </c>
      <c r="P1229" s="1">
        <v>15885</v>
      </c>
      <c r="Q1229" s="1">
        <v>16078</v>
      </c>
      <c r="R1229" s="1">
        <v>16463</v>
      </c>
      <c r="S1229" s="1">
        <v>16786</v>
      </c>
      <c r="T1229" s="1">
        <v>17355</v>
      </c>
      <c r="U1229" s="1">
        <v>17594</v>
      </c>
      <c r="V1229" s="1">
        <v>17823</v>
      </c>
      <c r="W1229" s="1">
        <v>18737</v>
      </c>
      <c r="X1229" s="1">
        <v>19022</v>
      </c>
      <c r="Y1229" s="1">
        <v>19694</v>
      </c>
      <c r="Z1229" s="1">
        <v>20599</v>
      </c>
      <c r="AA1229" s="1">
        <v>21293</v>
      </c>
    </row>
    <row r="1230" spans="2:27" ht="15.75" x14ac:dyDescent="0.25">
      <c r="B1230" s="2" t="s">
        <v>20</v>
      </c>
      <c r="C1230" s="2"/>
      <c r="D1230" s="1">
        <v>9050</v>
      </c>
      <c r="E1230" s="1">
        <v>9229</v>
      </c>
      <c r="F1230" s="1">
        <v>9718</v>
      </c>
      <c r="G1230" s="1">
        <v>10432</v>
      </c>
      <c r="H1230" s="1">
        <v>10826</v>
      </c>
      <c r="I1230" s="1">
        <v>11305</v>
      </c>
      <c r="J1230" s="1">
        <v>11721</v>
      </c>
      <c r="K1230" s="1"/>
      <c r="L1230" s="1">
        <v>12028</v>
      </c>
      <c r="M1230" s="1">
        <v>12244</v>
      </c>
      <c r="N1230" s="1">
        <v>12782</v>
      </c>
      <c r="O1230" s="1">
        <v>13557</v>
      </c>
      <c r="P1230" s="1">
        <v>13811</v>
      </c>
      <c r="Q1230" s="1">
        <v>13977</v>
      </c>
      <c r="R1230" s="1">
        <v>13956</v>
      </c>
      <c r="S1230" s="1">
        <v>14098</v>
      </c>
      <c r="T1230" s="1">
        <v>14484</v>
      </c>
      <c r="U1230" s="1">
        <v>14689</v>
      </c>
      <c r="V1230" s="1">
        <v>15113</v>
      </c>
      <c r="W1230" s="1">
        <v>15542</v>
      </c>
      <c r="X1230" s="1">
        <v>15781</v>
      </c>
      <c r="Y1230" s="1">
        <v>15865</v>
      </c>
      <c r="Z1230" s="1">
        <v>16150</v>
      </c>
      <c r="AA1230" s="1">
        <v>16345</v>
      </c>
    </row>
    <row r="1231" spans="2:27" ht="15.75" x14ac:dyDescent="0.25">
      <c r="B1231" s="2" t="s">
        <v>19</v>
      </c>
      <c r="C1231" s="2"/>
      <c r="D1231" s="1">
        <v>10478</v>
      </c>
      <c r="E1231" s="1">
        <v>10655</v>
      </c>
      <c r="F1231" s="1">
        <v>11107</v>
      </c>
      <c r="G1231" s="1">
        <v>11943</v>
      </c>
      <c r="H1231" s="1">
        <v>12577</v>
      </c>
      <c r="I1231" s="1">
        <v>12741</v>
      </c>
      <c r="J1231" s="1">
        <v>12998</v>
      </c>
      <c r="K1231" s="1"/>
      <c r="L1231" s="1">
        <v>13384</v>
      </c>
      <c r="M1231" s="1">
        <v>13923</v>
      </c>
      <c r="N1231" s="1">
        <v>14484</v>
      </c>
      <c r="O1231" s="1">
        <v>15107</v>
      </c>
      <c r="P1231" s="1">
        <v>15849</v>
      </c>
      <c r="Q1231" s="1">
        <v>15987</v>
      </c>
      <c r="R1231" s="1">
        <v>16042</v>
      </c>
      <c r="S1231" s="1">
        <v>16178</v>
      </c>
      <c r="T1231" s="1">
        <v>16659</v>
      </c>
      <c r="U1231" s="1">
        <v>17321</v>
      </c>
      <c r="V1231" s="1">
        <v>17658</v>
      </c>
      <c r="W1231" s="1">
        <v>18646</v>
      </c>
      <c r="X1231" s="1">
        <v>18643</v>
      </c>
      <c r="Y1231" s="1">
        <v>18870</v>
      </c>
      <c r="Z1231" s="1">
        <v>19574</v>
      </c>
      <c r="AA1231" s="1">
        <v>20177</v>
      </c>
    </row>
    <row r="1232" spans="2:27" ht="15.75" x14ac:dyDescent="0.25">
      <c r="B1232" s="2" t="s">
        <v>18</v>
      </c>
      <c r="C1232" s="2"/>
      <c r="D1232" s="1">
        <v>8804</v>
      </c>
      <c r="E1232" s="1">
        <v>8990</v>
      </c>
      <c r="F1232" s="1">
        <v>9341</v>
      </c>
      <c r="G1232" s="1">
        <v>10025</v>
      </c>
      <c r="H1232" s="1">
        <v>10430</v>
      </c>
      <c r="I1232" s="1">
        <v>10822</v>
      </c>
      <c r="J1232" s="1">
        <v>11103</v>
      </c>
      <c r="K1232" s="1"/>
      <c r="L1232" s="1">
        <v>11486</v>
      </c>
      <c r="M1232" s="1">
        <v>11963</v>
      </c>
      <c r="N1232" s="1">
        <v>12146</v>
      </c>
      <c r="O1232" s="1">
        <v>12964</v>
      </c>
      <c r="P1232" s="1">
        <v>13521</v>
      </c>
      <c r="Q1232" s="1">
        <v>13570</v>
      </c>
      <c r="R1232" s="1">
        <v>13747</v>
      </c>
      <c r="S1232" s="1">
        <v>14006</v>
      </c>
      <c r="T1232" s="1">
        <v>14370</v>
      </c>
      <c r="U1232" s="1">
        <v>14841</v>
      </c>
      <c r="V1232" s="1">
        <v>15515</v>
      </c>
      <c r="W1232" s="1">
        <v>15926</v>
      </c>
      <c r="X1232" s="1">
        <v>16280</v>
      </c>
      <c r="Y1232" s="1">
        <v>16436</v>
      </c>
      <c r="Z1232" s="1">
        <v>16967</v>
      </c>
      <c r="AA1232" s="1">
        <v>17391</v>
      </c>
    </row>
    <row r="1233" spans="2:27" ht="15.75" x14ac:dyDescent="0.25">
      <c r="B1233" s="4" t="s">
        <v>17</v>
      </c>
      <c r="C1233" s="4"/>
      <c r="D1233" s="3">
        <v>9287</v>
      </c>
      <c r="E1233" s="3">
        <v>9500</v>
      </c>
      <c r="F1233" s="3">
        <v>9782</v>
      </c>
      <c r="G1233" s="3">
        <v>10451</v>
      </c>
      <c r="H1233" s="3">
        <v>10844</v>
      </c>
      <c r="I1233" s="3">
        <v>11438</v>
      </c>
      <c r="J1233" s="3">
        <v>11800</v>
      </c>
      <c r="K1233" s="3"/>
      <c r="L1233" s="3">
        <v>12453</v>
      </c>
      <c r="M1233" s="3">
        <v>12905</v>
      </c>
      <c r="N1233" s="3">
        <v>13365</v>
      </c>
      <c r="O1233" s="3">
        <v>14075</v>
      </c>
      <c r="P1233" s="3">
        <v>14589</v>
      </c>
      <c r="Q1233" s="3">
        <v>14798</v>
      </c>
      <c r="R1233" s="3">
        <v>15260</v>
      </c>
      <c r="S1233" s="3">
        <v>15539</v>
      </c>
      <c r="T1233" s="3">
        <v>15907</v>
      </c>
      <c r="U1233" s="3">
        <v>16394</v>
      </c>
      <c r="V1233" s="3">
        <v>16742</v>
      </c>
      <c r="W1233" s="3">
        <v>17341</v>
      </c>
      <c r="X1233" s="3">
        <v>17489</v>
      </c>
      <c r="Y1233" s="3">
        <v>17732</v>
      </c>
      <c r="Z1233" s="3">
        <v>18337</v>
      </c>
      <c r="AA1233" s="3">
        <v>18883</v>
      </c>
    </row>
    <row r="1234" spans="2:27" ht="15.75" x14ac:dyDescent="0.25">
      <c r="B1234" s="2" t="s">
        <v>16</v>
      </c>
      <c r="C1234" s="2"/>
      <c r="D1234" s="1">
        <v>9588</v>
      </c>
      <c r="E1234" s="1">
        <v>9961</v>
      </c>
      <c r="F1234" s="1">
        <v>10179</v>
      </c>
      <c r="G1234" s="1">
        <v>10954</v>
      </c>
      <c r="H1234" s="1">
        <v>11320</v>
      </c>
      <c r="I1234" s="1">
        <v>11776</v>
      </c>
      <c r="J1234" s="1">
        <v>12657</v>
      </c>
      <c r="K1234" s="1"/>
      <c r="L1234" s="1">
        <v>13382</v>
      </c>
      <c r="M1234" s="1">
        <v>13923</v>
      </c>
      <c r="N1234" s="1">
        <v>14525</v>
      </c>
      <c r="O1234" s="1">
        <v>15146</v>
      </c>
      <c r="P1234" s="1">
        <v>15793</v>
      </c>
      <c r="Q1234" s="1">
        <v>16036</v>
      </c>
      <c r="R1234" s="1">
        <v>16522</v>
      </c>
      <c r="S1234" s="1">
        <v>16831</v>
      </c>
      <c r="T1234" s="1">
        <v>16814</v>
      </c>
      <c r="U1234" s="1">
        <v>17525</v>
      </c>
      <c r="V1234" s="1">
        <v>18395</v>
      </c>
      <c r="W1234" s="1">
        <v>18872</v>
      </c>
      <c r="X1234" s="1">
        <v>19156</v>
      </c>
      <c r="Y1234" s="1">
        <v>19365</v>
      </c>
      <c r="Z1234" s="1">
        <v>19671</v>
      </c>
      <c r="AA1234" s="1">
        <v>20421</v>
      </c>
    </row>
    <row r="1235" spans="2:27" ht="15.75" x14ac:dyDescent="0.25">
      <c r="B1235" s="2" t="s">
        <v>15</v>
      </c>
      <c r="C1235" s="2"/>
      <c r="D1235" s="1">
        <v>9368</v>
      </c>
      <c r="E1235" s="1">
        <v>9570</v>
      </c>
      <c r="F1235" s="1">
        <v>9752</v>
      </c>
      <c r="G1235" s="1">
        <v>10269</v>
      </c>
      <c r="H1235" s="1">
        <v>10534</v>
      </c>
      <c r="I1235" s="1">
        <v>11017</v>
      </c>
      <c r="J1235" s="1">
        <v>11409</v>
      </c>
      <c r="K1235" s="1"/>
      <c r="L1235" s="1">
        <v>11991</v>
      </c>
      <c r="M1235" s="1">
        <v>12146</v>
      </c>
      <c r="N1235" s="1">
        <v>12783</v>
      </c>
      <c r="O1235" s="1">
        <v>13590</v>
      </c>
      <c r="P1235" s="1">
        <v>14388</v>
      </c>
      <c r="Q1235" s="1">
        <v>14881</v>
      </c>
      <c r="R1235" s="1">
        <v>15145</v>
      </c>
      <c r="S1235" s="1">
        <v>15326</v>
      </c>
      <c r="T1235" s="1">
        <v>15859</v>
      </c>
      <c r="U1235" s="1">
        <v>16257</v>
      </c>
      <c r="V1235" s="1">
        <v>16615</v>
      </c>
      <c r="W1235" s="1">
        <v>17284</v>
      </c>
      <c r="X1235" s="1">
        <v>17675</v>
      </c>
      <c r="Y1235" s="1">
        <v>17748</v>
      </c>
      <c r="Z1235" s="1">
        <v>18135</v>
      </c>
      <c r="AA1235" s="1">
        <v>18806</v>
      </c>
    </row>
    <row r="1236" spans="2:27" ht="15.75" x14ac:dyDescent="0.25">
      <c r="B1236" s="2" t="s">
        <v>14</v>
      </c>
      <c r="C1236" s="2"/>
      <c r="D1236" s="1">
        <v>8442</v>
      </c>
      <c r="E1236" s="1">
        <v>8523</v>
      </c>
      <c r="F1236" s="1">
        <v>8685</v>
      </c>
      <c r="G1236" s="1">
        <v>9438</v>
      </c>
      <c r="H1236" s="1">
        <v>10048</v>
      </c>
      <c r="I1236" s="1">
        <v>10611</v>
      </c>
      <c r="J1236" s="1">
        <v>10927</v>
      </c>
      <c r="K1236" s="1"/>
      <c r="L1236" s="1">
        <v>11553</v>
      </c>
      <c r="M1236" s="1">
        <v>11938</v>
      </c>
      <c r="N1236" s="1">
        <v>12332</v>
      </c>
      <c r="O1236" s="1">
        <v>13105</v>
      </c>
      <c r="P1236" s="1">
        <v>13334</v>
      </c>
      <c r="Q1236" s="1">
        <v>13521</v>
      </c>
      <c r="R1236" s="1">
        <v>14100</v>
      </c>
      <c r="S1236" s="1">
        <v>14269</v>
      </c>
      <c r="T1236" s="1">
        <v>14546</v>
      </c>
      <c r="U1236" s="1">
        <v>15239</v>
      </c>
      <c r="V1236" s="1">
        <v>15559</v>
      </c>
      <c r="W1236" s="1">
        <v>16021</v>
      </c>
      <c r="X1236" s="1">
        <v>16063</v>
      </c>
      <c r="Y1236" s="1">
        <v>16264</v>
      </c>
      <c r="Z1236" s="1">
        <v>16896</v>
      </c>
      <c r="AA1236" s="1">
        <v>17365</v>
      </c>
    </row>
    <row r="1237" spans="2:27" ht="15.75" x14ac:dyDescent="0.25">
      <c r="B1237" s="2" t="s">
        <v>13</v>
      </c>
      <c r="C1237" s="2"/>
      <c r="D1237" s="1">
        <v>9609</v>
      </c>
      <c r="E1237" s="1">
        <v>9787</v>
      </c>
      <c r="F1237" s="1">
        <v>10212</v>
      </c>
      <c r="G1237" s="1">
        <v>10774</v>
      </c>
      <c r="H1237" s="1">
        <v>11403</v>
      </c>
      <c r="I1237" s="1">
        <v>11881</v>
      </c>
      <c r="J1237" s="1">
        <v>12561</v>
      </c>
      <c r="K1237" s="1"/>
      <c r="L1237" s="1">
        <v>13259</v>
      </c>
      <c r="M1237" s="1">
        <v>13600</v>
      </c>
      <c r="N1237" s="1">
        <v>14343</v>
      </c>
      <c r="O1237" s="1">
        <v>14715</v>
      </c>
      <c r="P1237" s="1">
        <v>15423</v>
      </c>
      <c r="Q1237" s="1">
        <v>15668</v>
      </c>
      <c r="R1237" s="1">
        <v>16212</v>
      </c>
      <c r="S1237" s="1">
        <v>16637</v>
      </c>
      <c r="T1237" s="1">
        <v>17240</v>
      </c>
      <c r="U1237" s="1">
        <v>17709</v>
      </c>
      <c r="V1237" s="1">
        <v>17979</v>
      </c>
      <c r="W1237" s="1">
        <v>18373</v>
      </c>
      <c r="X1237" s="1">
        <v>18464</v>
      </c>
      <c r="Y1237" s="1">
        <v>18474</v>
      </c>
      <c r="Z1237" s="1">
        <v>18995</v>
      </c>
      <c r="AA1237" s="1">
        <v>19428</v>
      </c>
    </row>
    <row r="1238" spans="2:27" ht="15.75" x14ac:dyDescent="0.25">
      <c r="B1238" s="2" t="s">
        <v>12</v>
      </c>
      <c r="C1238" s="2"/>
      <c r="D1238" s="1">
        <v>9724</v>
      </c>
      <c r="E1238" s="1">
        <v>10011</v>
      </c>
      <c r="F1238" s="1">
        <v>10408</v>
      </c>
      <c r="G1238" s="1">
        <v>11080</v>
      </c>
      <c r="H1238" s="1">
        <v>11276</v>
      </c>
      <c r="I1238" s="1">
        <v>12042</v>
      </c>
      <c r="J1238" s="1">
        <v>12124</v>
      </c>
      <c r="K1238" s="1"/>
      <c r="L1238" s="1">
        <v>12787</v>
      </c>
      <c r="M1238" s="1">
        <v>13446</v>
      </c>
      <c r="N1238" s="1">
        <v>13716</v>
      </c>
      <c r="O1238" s="1">
        <v>14480</v>
      </c>
      <c r="P1238" s="1">
        <v>14966</v>
      </c>
      <c r="Q1238" s="1">
        <v>15033</v>
      </c>
      <c r="R1238" s="1">
        <v>15457</v>
      </c>
      <c r="S1238" s="1">
        <v>15807</v>
      </c>
      <c r="T1238" s="1">
        <v>16225</v>
      </c>
      <c r="U1238" s="1">
        <v>16509</v>
      </c>
      <c r="V1238" s="1">
        <v>16711</v>
      </c>
      <c r="W1238" s="1">
        <v>17501</v>
      </c>
      <c r="X1238" s="1">
        <v>17587</v>
      </c>
      <c r="Y1238" s="1">
        <v>18034</v>
      </c>
      <c r="Z1238" s="1">
        <v>18852</v>
      </c>
      <c r="AA1238" s="1">
        <v>19360</v>
      </c>
    </row>
    <row r="1239" spans="2:27" ht="15.75" x14ac:dyDescent="0.25">
      <c r="B1239" s="6" t="s">
        <v>11</v>
      </c>
      <c r="C1239" s="6"/>
      <c r="D1239" s="5">
        <v>8707</v>
      </c>
      <c r="E1239" s="5">
        <v>8737</v>
      </c>
      <c r="F1239" s="5">
        <v>9084</v>
      </c>
      <c r="G1239" s="5">
        <v>9633</v>
      </c>
      <c r="H1239" s="5">
        <v>9851</v>
      </c>
      <c r="I1239" s="5">
        <v>10429</v>
      </c>
      <c r="J1239" s="5">
        <v>10865</v>
      </c>
      <c r="K1239" s="5"/>
      <c r="L1239" s="5">
        <v>11451</v>
      </c>
      <c r="M1239" s="5">
        <v>12070</v>
      </c>
      <c r="N1239" s="5">
        <v>12605</v>
      </c>
      <c r="O1239" s="5">
        <v>12905</v>
      </c>
      <c r="P1239" s="5">
        <v>13155</v>
      </c>
      <c r="Q1239" s="5">
        <v>13277</v>
      </c>
      <c r="R1239" s="5">
        <v>13511</v>
      </c>
      <c r="S1239" s="5">
        <v>13885</v>
      </c>
      <c r="T1239" s="5">
        <v>14139</v>
      </c>
      <c r="U1239" s="5">
        <v>14685</v>
      </c>
      <c r="V1239" s="5">
        <v>15112</v>
      </c>
      <c r="W1239" s="5">
        <v>15657</v>
      </c>
      <c r="X1239" s="5">
        <v>15889</v>
      </c>
      <c r="Y1239" s="5">
        <v>16283</v>
      </c>
      <c r="Z1239" s="5">
        <v>16884</v>
      </c>
      <c r="AA1239" s="5">
        <v>17331</v>
      </c>
    </row>
    <row r="1240" spans="2:27" ht="15.75" x14ac:dyDescent="0.25">
      <c r="B1240" s="4" t="s">
        <v>11</v>
      </c>
      <c r="C1240" s="4"/>
      <c r="D1240" s="3">
        <v>8707</v>
      </c>
      <c r="E1240" s="3">
        <v>8737</v>
      </c>
      <c r="F1240" s="3">
        <v>9084</v>
      </c>
      <c r="G1240" s="3">
        <v>9633</v>
      </c>
      <c r="H1240" s="3">
        <v>9851</v>
      </c>
      <c r="I1240" s="3">
        <v>10429</v>
      </c>
      <c r="J1240" s="3">
        <v>10865</v>
      </c>
      <c r="K1240" s="3"/>
      <c r="L1240" s="3">
        <v>11451</v>
      </c>
      <c r="M1240" s="3">
        <v>12070</v>
      </c>
      <c r="N1240" s="3">
        <v>12605</v>
      </c>
      <c r="O1240" s="3">
        <v>12905</v>
      </c>
      <c r="P1240" s="3">
        <v>13155</v>
      </c>
      <c r="Q1240" s="3">
        <v>13277</v>
      </c>
      <c r="R1240" s="3">
        <v>13511</v>
      </c>
      <c r="S1240" s="3">
        <v>13885</v>
      </c>
      <c r="T1240" s="3">
        <v>14139</v>
      </c>
      <c r="U1240" s="3">
        <v>14685</v>
      </c>
      <c r="V1240" s="3">
        <v>15112</v>
      </c>
      <c r="W1240" s="3">
        <v>15657</v>
      </c>
      <c r="X1240" s="3">
        <v>15889</v>
      </c>
      <c r="Y1240" s="3">
        <v>16283</v>
      </c>
      <c r="Z1240" s="3">
        <v>16884</v>
      </c>
      <c r="AA1240" s="3">
        <v>17331</v>
      </c>
    </row>
    <row r="1241" spans="2:27" ht="15.75" x14ac:dyDescent="0.25">
      <c r="B1241" s="2" t="s">
        <v>10</v>
      </c>
      <c r="C1241" s="2"/>
      <c r="D1241" s="1">
        <v>9872</v>
      </c>
      <c r="E1241" s="1">
        <v>9956</v>
      </c>
      <c r="F1241" s="1">
        <v>10280</v>
      </c>
      <c r="G1241" s="1">
        <v>10871</v>
      </c>
      <c r="H1241" s="1">
        <v>11085</v>
      </c>
      <c r="I1241" s="1">
        <v>11563</v>
      </c>
      <c r="J1241" s="1">
        <v>11636</v>
      </c>
      <c r="K1241" s="1"/>
      <c r="L1241" s="1">
        <v>11979</v>
      </c>
      <c r="M1241" s="1">
        <v>12255</v>
      </c>
      <c r="N1241" s="1">
        <v>12723</v>
      </c>
      <c r="O1241" s="1">
        <v>12860</v>
      </c>
      <c r="P1241" s="1">
        <v>13467</v>
      </c>
      <c r="Q1241" s="1">
        <v>13730</v>
      </c>
      <c r="R1241" s="1">
        <v>13879</v>
      </c>
      <c r="S1241" s="1">
        <v>14085</v>
      </c>
      <c r="T1241" s="1">
        <v>14356</v>
      </c>
      <c r="U1241" s="1">
        <v>14897</v>
      </c>
      <c r="V1241" s="1">
        <v>15054</v>
      </c>
      <c r="W1241" s="1">
        <v>15383</v>
      </c>
      <c r="X1241" s="1">
        <v>15457</v>
      </c>
      <c r="Y1241" s="1">
        <v>15717</v>
      </c>
      <c r="Z1241" s="1">
        <v>16459</v>
      </c>
      <c r="AA1241" s="1">
        <v>16974</v>
      </c>
    </row>
    <row r="1242" spans="2:27" ht="15.75" x14ac:dyDescent="0.25">
      <c r="B1242" s="2" t="s">
        <v>9</v>
      </c>
      <c r="C1242" s="2"/>
      <c r="D1242" s="1">
        <v>8569</v>
      </c>
      <c r="E1242" s="1">
        <v>8616</v>
      </c>
      <c r="F1242" s="1">
        <v>8953</v>
      </c>
      <c r="G1242" s="1">
        <v>9262</v>
      </c>
      <c r="H1242" s="1">
        <v>9515</v>
      </c>
      <c r="I1242" s="1">
        <v>10098</v>
      </c>
      <c r="J1242" s="1">
        <v>10555</v>
      </c>
      <c r="K1242" s="1"/>
      <c r="L1242" s="1">
        <v>11277</v>
      </c>
      <c r="M1242" s="1">
        <v>11891</v>
      </c>
      <c r="N1242" s="1">
        <v>12606</v>
      </c>
      <c r="O1242" s="1">
        <v>13044</v>
      </c>
      <c r="P1242" s="1">
        <v>13197</v>
      </c>
      <c r="Q1242" s="1">
        <v>13184</v>
      </c>
      <c r="R1242" s="1">
        <v>13505</v>
      </c>
      <c r="S1242" s="1">
        <v>13811</v>
      </c>
      <c r="T1242" s="1">
        <v>13824</v>
      </c>
      <c r="U1242" s="1">
        <v>14539</v>
      </c>
      <c r="V1242" s="1">
        <v>15293</v>
      </c>
      <c r="W1242" s="1">
        <v>15757</v>
      </c>
      <c r="X1242" s="1">
        <v>15569</v>
      </c>
      <c r="Y1242" s="1">
        <v>15810</v>
      </c>
      <c r="Z1242" s="1">
        <v>16320</v>
      </c>
      <c r="AA1242" s="1">
        <v>16649</v>
      </c>
    </row>
    <row r="1243" spans="2:27" ht="15.75" x14ac:dyDescent="0.25">
      <c r="B1243" s="2" t="s">
        <v>8</v>
      </c>
      <c r="C1243" s="2"/>
      <c r="D1243" s="1">
        <v>8412</v>
      </c>
      <c r="E1243" s="1">
        <v>8490</v>
      </c>
      <c r="F1243" s="1">
        <v>8811</v>
      </c>
      <c r="G1243" s="1">
        <v>9286</v>
      </c>
      <c r="H1243" s="1">
        <v>9423</v>
      </c>
      <c r="I1243" s="1">
        <v>9967</v>
      </c>
      <c r="J1243" s="1">
        <v>10523</v>
      </c>
      <c r="K1243" s="1"/>
      <c r="L1243" s="1">
        <v>11143</v>
      </c>
      <c r="M1243" s="1">
        <v>11976</v>
      </c>
      <c r="N1243" s="1">
        <v>12607</v>
      </c>
      <c r="O1243" s="1">
        <v>12817</v>
      </c>
      <c r="P1243" s="1">
        <v>12974</v>
      </c>
      <c r="Q1243" s="1">
        <v>12998</v>
      </c>
      <c r="R1243" s="1">
        <v>13178</v>
      </c>
      <c r="S1243" s="1">
        <v>13662</v>
      </c>
      <c r="T1243" s="1">
        <v>13783</v>
      </c>
      <c r="U1243" s="1">
        <v>14269</v>
      </c>
      <c r="V1243" s="1">
        <v>14649</v>
      </c>
      <c r="W1243" s="1">
        <v>14777</v>
      </c>
      <c r="X1243" s="1">
        <v>15160</v>
      </c>
      <c r="Y1243" s="1">
        <v>15556</v>
      </c>
      <c r="Z1243" s="1">
        <v>16250</v>
      </c>
      <c r="AA1243" s="1">
        <v>16728</v>
      </c>
    </row>
    <row r="1244" spans="2:27" ht="15.75" x14ac:dyDescent="0.25">
      <c r="B1244" s="2" t="s">
        <v>7</v>
      </c>
      <c r="C1244" s="2"/>
      <c r="D1244" s="1">
        <v>9526</v>
      </c>
      <c r="E1244" s="1">
        <v>9540</v>
      </c>
      <c r="F1244" s="1">
        <v>9888</v>
      </c>
      <c r="G1244" s="1">
        <v>10526</v>
      </c>
      <c r="H1244" s="1">
        <v>10765</v>
      </c>
      <c r="I1244" s="1">
        <v>11410</v>
      </c>
      <c r="J1244" s="1">
        <v>11774</v>
      </c>
      <c r="K1244" s="1"/>
      <c r="L1244" s="1">
        <v>12252</v>
      </c>
      <c r="M1244" s="1">
        <v>12843</v>
      </c>
      <c r="N1244" s="1">
        <v>13388</v>
      </c>
      <c r="O1244" s="1">
        <v>13871</v>
      </c>
      <c r="P1244" s="1">
        <v>14299</v>
      </c>
      <c r="Q1244" s="1">
        <v>14406</v>
      </c>
      <c r="R1244" s="1">
        <v>14639</v>
      </c>
      <c r="S1244" s="1">
        <v>15053</v>
      </c>
      <c r="T1244" s="1">
        <v>15394</v>
      </c>
      <c r="U1244" s="1">
        <v>16055</v>
      </c>
      <c r="V1244" s="1">
        <v>16294</v>
      </c>
      <c r="W1244" s="1">
        <v>16766</v>
      </c>
      <c r="X1244" s="1">
        <v>17251</v>
      </c>
      <c r="Y1244" s="1">
        <v>17882</v>
      </c>
      <c r="Z1244" s="1">
        <v>18464</v>
      </c>
      <c r="AA1244" s="1">
        <v>18925</v>
      </c>
    </row>
    <row r="1245" spans="2:27" ht="15.75" x14ac:dyDescent="0.25">
      <c r="B1245" s="2" t="s">
        <v>6</v>
      </c>
      <c r="C1245" s="2"/>
      <c r="D1245" s="1">
        <v>7016</v>
      </c>
      <c r="E1245" s="1">
        <v>7015</v>
      </c>
      <c r="F1245" s="1">
        <v>7373</v>
      </c>
      <c r="G1245" s="1">
        <v>7747</v>
      </c>
      <c r="H1245" s="1">
        <v>8114</v>
      </c>
      <c r="I1245" s="1">
        <v>8881</v>
      </c>
      <c r="J1245" s="1">
        <v>9468</v>
      </c>
      <c r="K1245" s="1"/>
      <c r="L1245" s="1">
        <v>10173</v>
      </c>
      <c r="M1245" s="1">
        <v>11089</v>
      </c>
      <c r="N1245" s="1">
        <v>11565</v>
      </c>
      <c r="O1245" s="1">
        <v>11704</v>
      </c>
      <c r="P1245" s="1">
        <v>11711</v>
      </c>
      <c r="Q1245" s="1">
        <v>11907</v>
      </c>
      <c r="R1245" s="1">
        <v>12323</v>
      </c>
      <c r="S1245" s="1">
        <v>12709</v>
      </c>
      <c r="T1245" s="1">
        <v>13007</v>
      </c>
      <c r="U1245" s="1">
        <v>13443</v>
      </c>
      <c r="V1245" s="1">
        <v>13850</v>
      </c>
      <c r="W1245" s="1">
        <v>14001</v>
      </c>
      <c r="X1245" s="1">
        <v>14265</v>
      </c>
      <c r="Y1245" s="1">
        <v>14553</v>
      </c>
      <c r="Z1245" s="1">
        <v>14936</v>
      </c>
      <c r="AA1245" s="1">
        <v>15331</v>
      </c>
    </row>
    <row r="1246" spans="2:27" ht="15.75" x14ac:dyDescent="0.25">
      <c r="B1246" s="2" t="s">
        <v>5</v>
      </c>
      <c r="C1246" s="2"/>
      <c r="D1246" s="1">
        <v>7711</v>
      </c>
      <c r="E1246" s="1">
        <v>7754</v>
      </c>
      <c r="F1246" s="1">
        <v>8138</v>
      </c>
      <c r="G1246" s="1">
        <v>8594</v>
      </c>
      <c r="H1246" s="1">
        <v>8728</v>
      </c>
      <c r="I1246" s="1">
        <v>9177</v>
      </c>
      <c r="J1246" s="1">
        <v>9943</v>
      </c>
      <c r="K1246" s="1"/>
      <c r="L1246" s="1">
        <v>10771</v>
      </c>
      <c r="M1246" s="1">
        <v>11473</v>
      </c>
      <c r="N1246" s="1">
        <v>12001</v>
      </c>
      <c r="O1246" s="1">
        <v>12203</v>
      </c>
      <c r="P1246" s="1">
        <v>12122</v>
      </c>
      <c r="Q1246" s="1">
        <v>12111</v>
      </c>
      <c r="R1246" s="1">
        <v>12345</v>
      </c>
      <c r="S1246" s="1">
        <v>12784</v>
      </c>
      <c r="T1246" s="1">
        <v>12894</v>
      </c>
      <c r="U1246" s="1">
        <v>13382</v>
      </c>
      <c r="V1246" s="1">
        <v>14050</v>
      </c>
      <c r="W1246" s="1">
        <v>14664</v>
      </c>
      <c r="X1246" s="1">
        <v>15204</v>
      </c>
      <c r="Y1246" s="1">
        <v>16084</v>
      </c>
      <c r="Z1246" s="1">
        <v>16719</v>
      </c>
      <c r="AA1246" s="1">
        <v>17164</v>
      </c>
    </row>
    <row r="1247" spans="2:27" ht="15.75" x14ac:dyDescent="0.25">
      <c r="B1247" s="2" t="s">
        <v>4</v>
      </c>
      <c r="C1247" s="2"/>
      <c r="D1247" s="1">
        <v>7059</v>
      </c>
      <c r="E1247" s="1">
        <v>7024</v>
      </c>
      <c r="F1247" s="1">
        <v>7377</v>
      </c>
      <c r="G1247" s="1">
        <v>7844</v>
      </c>
      <c r="H1247" s="1">
        <v>8339</v>
      </c>
      <c r="I1247" s="1">
        <v>9106</v>
      </c>
      <c r="J1247" s="1">
        <v>9602</v>
      </c>
      <c r="K1247" s="1"/>
      <c r="L1247" s="1">
        <v>10195</v>
      </c>
      <c r="M1247" s="1">
        <v>11148</v>
      </c>
      <c r="N1247" s="1">
        <v>11657</v>
      </c>
      <c r="O1247" s="1">
        <v>11733</v>
      </c>
      <c r="P1247" s="1">
        <v>11644</v>
      </c>
      <c r="Q1247" s="1">
        <v>12005</v>
      </c>
      <c r="R1247" s="1">
        <v>12444</v>
      </c>
      <c r="S1247" s="1">
        <v>13060</v>
      </c>
      <c r="T1247" s="1">
        <v>13253</v>
      </c>
      <c r="U1247" s="1">
        <v>13704</v>
      </c>
      <c r="V1247" s="1">
        <v>14181</v>
      </c>
      <c r="W1247" s="1">
        <v>15329</v>
      </c>
      <c r="X1247" s="1">
        <v>15884</v>
      </c>
      <c r="Y1247" s="1">
        <v>16352</v>
      </c>
      <c r="Z1247" s="1">
        <v>16819</v>
      </c>
      <c r="AA1247" s="1">
        <v>17219</v>
      </c>
    </row>
    <row r="1248" spans="2:27" ht="15.75" x14ac:dyDescent="0.25">
      <c r="B1248" s="2" t="s">
        <v>3</v>
      </c>
      <c r="C1248" s="2"/>
      <c r="D1248" s="1">
        <v>9320</v>
      </c>
      <c r="E1248" s="1">
        <v>9314</v>
      </c>
      <c r="F1248" s="1">
        <v>9684</v>
      </c>
      <c r="G1248" s="1">
        <v>10474</v>
      </c>
      <c r="H1248" s="1">
        <v>10625</v>
      </c>
      <c r="I1248" s="1">
        <v>11231</v>
      </c>
      <c r="J1248" s="1">
        <v>11629</v>
      </c>
      <c r="K1248" s="1"/>
      <c r="L1248" s="1">
        <v>12196</v>
      </c>
      <c r="M1248" s="1">
        <v>12676</v>
      </c>
      <c r="N1248" s="1">
        <v>13140</v>
      </c>
      <c r="O1248" s="1">
        <v>13721</v>
      </c>
      <c r="P1248" s="1">
        <v>14096</v>
      </c>
      <c r="Q1248" s="1">
        <v>14156</v>
      </c>
      <c r="R1248" s="1">
        <v>14262</v>
      </c>
      <c r="S1248" s="1">
        <v>14731</v>
      </c>
      <c r="T1248" s="1">
        <v>15128</v>
      </c>
      <c r="U1248" s="1">
        <v>15709</v>
      </c>
      <c r="V1248" s="1">
        <v>16197</v>
      </c>
      <c r="W1248" s="1">
        <v>16514</v>
      </c>
      <c r="X1248" s="1">
        <v>16367</v>
      </c>
      <c r="Y1248" s="1">
        <v>16807</v>
      </c>
      <c r="Z1248" s="1">
        <v>17303</v>
      </c>
      <c r="AA1248" s="1">
        <v>17723</v>
      </c>
    </row>
    <row r="1249" spans="2:27" ht="15.75" x14ac:dyDescent="0.25">
      <c r="B1249" s="2" t="s">
        <v>2</v>
      </c>
      <c r="C1249" s="2"/>
      <c r="D1249" s="1">
        <v>9394</v>
      </c>
      <c r="E1249" s="1">
        <v>9370</v>
      </c>
      <c r="F1249" s="1">
        <v>9782</v>
      </c>
      <c r="G1249" s="1">
        <v>10691</v>
      </c>
      <c r="H1249" s="1">
        <v>10920</v>
      </c>
      <c r="I1249" s="1">
        <v>11505</v>
      </c>
      <c r="J1249" s="1">
        <v>11978</v>
      </c>
      <c r="K1249" s="1"/>
      <c r="L1249" s="1">
        <v>12523</v>
      </c>
      <c r="M1249" s="1">
        <v>13098</v>
      </c>
      <c r="N1249" s="1">
        <v>13481</v>
      </c>
      <c r="O1249" s="1">
        <v>14057</v>
      </c>
      <c r="P1249" s="1">
        <v>14411</v>
      </c>
      <c r="Q1249" s="1">
        <v>14464</v>
      </c>
      <c r="R1249" s="1">
        <v>14629</v>
      </c>
      <c r="S1249" s="1">
        <v>14912</v>
      </c>
      <c r="T1249" s="1">
        <v>15455</v>
      </c>
      <c r="U1249" s="1">
        <v>16178</v>
      </c>
      <c r="V1249" s="1">
        <v>16581</v>
      </c>
      <c r="W1249" s="1">
        <v>17878</v>
      </c>
      <c r="X1249" s="1">
        <v>18300</v>
      </c>
      <c r="Y1249" s="1">
        <v>18610</v>
      </c>
      <c r="Z1249" s="1">
        <v>19401</v>
      </c>
      <c r="AA1249" s="1">
        <v>19774</v>
      </c>
    </row>
    <row r="1250" spans="2:27" ht="15.75" x14ac:dyDescent="0.25">
      <c r="B1250" s="2" t="s">
        <v>1</v>
      </c>
      <c r="C1250" s="2"/>
      <c r="D1250" s="1">
        <v>9241</v>
      </c>
      <c r="E1250" s="1">
        <v>9279</v>
      </c>
      <c r="F1250" s="1">
        <v>9598</v>
      </c>
      <c r="G1250" s="1">
        <v>10326</v>
      </c>
      <c r="H1250" s="1">
        <v>10304</v>
      </c>
      <c r="I1250" s="1">
        <v>10921</v>
      </c>
      <c r="J1250" s="1">
        <v>11392</v>
      </c>
      <c r="K1250" s="1"/>
      <c r="L1250" s="1">
        <v>11987</v>
      </c>
      <c r="M1250" s="1">
        <v>12527</v>
      </c>
      <c r="N1250" s="1">
        <v>13128</v>
      </c>
      <c r="O1250" s="1">
        <v>13613</v>
      </c>
      <c r="P1250" s="1">
        <v>13976</v>
      </c>
      <c r="Q1250" s="1">
        <v>14078</v>
      </c>
      <c r="R1250" s="1">
        <v>14253</v>
      </c>
      <c r="S1250" s="1">
        <v>14610</v>
      </c>
      <c r="T1250" s="1">
        <v>15025</v>
      </c>
      <c r="U1250" s="1">
        <v>15607</v>
      </c>
      <c r="V1250" s="1">
        <v>16248</v>
      </c>
      <c r="W1250" s="1">
        <v>16929</v>
      </c>
      <c r="X1250" s="1">
        <v>17049</v>
      </c>
      <c r="Y1250" s="1">
        <v>17291</v>
      </c>
      <c r="Z1250" s="1">
        <v>17950</v>
      </c>
      <c r="AA1250" s="1">
        <v>18496</v>
      </c>
    </row>
    <row r="1251" spans="2:27" ht="15.75" x14ac:dyDescent="0.25">
      <c r="B1251" s="2" t="s">
        <v>0</v>
      </c>
      <c r="C1251" s="2"/>
      <c r="D1251" s="1">
        <v>7640</v>
      </c>
      <c r="E1251" s="1">
        <v>7689</v>
      </c>
      <c r="F1251" s="1">
        <v>8089</v>
      </c>
      <c r="G1251" s="1">
        <v>8412</v>
      </c>
      <c r="H1251" s="1">
        <v>8659</v>
      </c>
      <c r="I1251" s="1">
        <v>9111</v>
      </c>
      <c r="J1251" s="1">
        <v>9911</v>
      </c>
      <c r="K1251" s="1"/>
      <c r="L1251" s="1">
        <v>10744</v>
      </c>
      <c r="M1251" s="1">
        <v>11540</v>
      </c>
      <c r="N1251" s="1">
        <v>12116</v>
      </c>
      <c r="O1251" s="1">
        <v>12281</v>
      </c>
      <c r="P1251" s="1">
        <v>12270</v>
      </c>
      <c r="Q1251" s="1">
        <v>12311</v>
      </c>
      <c r="R1251" s="1">
        <v>12545</v>
      </c>
      <c r="S1251" s="1">
        <v>12937</v>
      </c>
      <c r="T1251" s="1">
        <v>13135</v>
      </c>
      <c r="U1251" s="1">
        <v>13385</v>
      </c>
      <c r="V1251" s="1">
        <v>13703</v>
      </c>
      <c r="W1251" s="1">
        <v>14633</v>
      </c>
      <c r="X1251" s="1">
        <v>15054</v>
      </c>
      <c r="Y1251" s="1">
        <v>15433</v>
      </c>
      <c r="Z1251" s="1">
        <v>15880</v>
      </c>
      <c r="AA1251" s="1">
        <v>16403</v>
      </c>
    </row>
  </sheetData>
  <mergeCells count="31">
    <mergeCell ref="B690:R690"/>
    <mergeCell ref="B697:R697"/>
    <mergeCell ref="B727:R727"/>
    <mergeCell ref="B745:R745"/>
    <mergeCell ref="A904:Q904"/>
    <mergeCell ref="B780:R780"/>
    <mergeCell ref="B791:R791"/>
    <mergeCell ref="B802:R802"/>
    <mergeCell ref="B809:R809"/>
    <mergeCell ref="B871:R871"/>
    <mergeCell ref="B887:R887"/>
    <mergeCell ref="B620:R620"/>
    <mergeCell ref="B647:R647"/>
    <mergeCell ref="B659:R659"/>
    <mergeCell ref="B670:R670"/>
    <mergeCell ref="B678:R678"/>
    <mergeCell ref="B410:R410"/>
    <mergeCell ref="B426:R426"/>
    <mergeCell ref="B438:R438"/>
    <mergeCell ref="B588:R588"/>
    <mergeCell ref="B607:R607"/>
    <mergeCell ref="B302:R302"/>
    <mergeCell ref="B322:R322"/>
    <mergeCell ref="B346:R346"/>
    <mergeCell ref="B364:R364"/>
    <mergeCell ref="B386:R386"/>
    <mergeCell ref="B1:H1"/>
    <mergeCell ref="B10:R10"/>
    <mergeCell ref="B53:R53"/>
    <mergeCell ref="B108:R108"/>
    <mergeCell ref="B159:R159"/>
  </mergeCells>
  <hyperlinks>
    <hyperlink ref="B232" r:id="rId1" display="Pets@Home FCF Calc" xr:uid="{CA8091AE-5B58-4E85-A5EB-3B381B2098C9}"/>
    <hyperlink ref="B911" r:id="rId2" display="https://www.hotelchocolat.com/uk/engaged-ethics/our-people/Our-Story.html" xr:uid="{77891F1E-9877-426F-AED6-DC485D035BCE}"/>
    <hyperlink ref="B912" r:id="rId3" display="https://www.hotelchocolat.com/on/demandware.static/-/Sites-HotelChocolat-Library/default/dwe3329af0/Admission Document - 5th May 2016.pdf" xr:uid="{04197864-D523-45F2-87FC-C463AE0DA862}"/>
    <hyperlink ref="B913" r:id="rId4" display="https://www.hotelchocolat.com/uk/our-cocoa-manifesto.html" xr:uid="{CFAB7D04-24BD-4BBD-B00C-D3B5CC9A4C45}"/>
    <hyperlink ref="B914" r:id="rId5" display="https://www.hotelchocolat.com/on/demandware.static/-/Sites-HotelChocolat-Library/default/dw5fb2c9d6/Launch of placing RNS 220721.pdf" xr:uid="{AF9D1433-3A88-4F76-B780-0D639CBBB087}"/>
    <hyperlink ref="B915" r:id="rId6" display="https://www.hotelchocolat.com/uk/investor-relations-news.html" xr:uid="{56ADC6EA-D369-4870-80A2-BC7804C84FB6}"/>
    <hyperlink ref="B916" r:id="rId7" display="https://www.youtube.com/watch?v=VYgwUeehzz8" xr:uid="{89D5630D-7B7C-484B-ADBD-4BB4E1990514}"/>
    <hyperlink ref="B917" r:id="rId8" display="https://assets.publishing.service.gov.uk/government/uploads/system/uploads/attachment_data/file/835115/IoD2019_Statistical_Release.pdf" xr:uid="{824380D1-0D22-4DAF-B56D-8D515F970126}"/>
    <hyperlink ref="B918" r:id="rId9" display="https://www.ons.gov.uk/economy/regionalaccounts/grossdisposablehouseholdincome/datasets/revisionstrianglesregionalgdhi" xr:uid="{ECEB9D1D-4F23-4F36-9EAF-0C21926451CB}"/>
    <hyperlink ref="B919" r:id="rId10" display="https://www.youtube.com/watch?v=zvSryb7vZ1c" xr:uid="{423DE611-72E1-420A-9601-17CE1E03CA34}"/>
    <hyperlink ref="B920" r:id="rId11" display="https://www.goldmansachs.com/insights/talks-at-gs/angus-thirlwell-f/transcript.pdf" xr:uid="{1F657C09-5B2B-4BC8-A222-07C0AC175D45}"/>
    <hyperlink ref="B921" r:id="rId12" display="https://find-and-update.company-information.service.gov.uk/company/10487072/filing-history" xr:uid="{B35F7F00-BA9F-491D-9AE3-2AE16E22CA83}"/>
    <hyperlink ref="B922" r:id="rId13" display="https://www.youtube.com/watch?v=5X7wAKMNBXI" xr:uid="{627DD0D0-FF07-45C0-9CD7-3973221F2774}"/>
    <hyperlink ref="B923" r:id="rId14" display="https://www.youtube.com/watch?v=Jl0IDXkYKbk" xr:uid="{C99802FB-3E50-4F15-BDE1-D254631BFEF2}"/>
    <hyperlink ref="B924" r:id="rId15" display="https://www.hotelchocolat.com/on/demandware.static/-/Sites-HotelChocolat-Library/default/dw9c99c951/Hotel_Chocolat_Capital_Markets_Day_WEBIR.pdf" xr:uid="{41E7C9CD-3C6A-48C7-BD4C-A11EFEA719FA}"/>
    <hyperlink ref="B925" r:id="rId16" display="https://www.hotelchocolat.com/uk/blog/chocolateknowledge/how-can-you-tell-if-chocolate-has-gone-bad.html" xr:uid="{3F121E07-4174-466E-A0AF-3C889BE87C93}"/>
    <hyperlink ref="B926" r:id="rId17" display="https://www.ons.gov.uk/peoplepopulationandcommunity/populationandmigration/populationestimates/bulletins/populationandhouseholdestimatesenglandandwales/census2021" xr:uid="{06483FBC-6D35-4F22-B6AE-D5556E81CA4A}"/>
    <hyperlink ref="B927" r:id="rId18" display="https://www.nrscotland.gov.uk/statistics-and-data/statistics/statistics-by-theme/population/population-estimates/mid-year-population-estimates/population-estimates-time-series-data" xr:uid="{4C0660DA-28D0-4969-985D-D1B3C00540C1}"/>
    <hyperlink ref="B928" r:id="rId19" display="https://www.nisra.gov.uk/publications/census-2021-population-and-household-estimates-for-northern-ireland" xr:uid="{F8961DEC-2FD6-45AE-96EC-5E58FB802117}"/>
    <hyperlink ref="B929" r:id="rId20" display="https://www.independent.co.uk/life-style/adults-average-gift-giving-uk-b1951507.html" xr:uid="{725D54B1-C0F5-4B4C-BDE8-6C26B8E19BEB}"/>
    <hyperlink ref="B930" r:id="rId21" display="https://www.finder.com/uk/christmas-shopping-statistics" xr:uid="{E77C97CC-FF9E-4D45-A247-20ADBA32163A}"/>
    <hyperlink ref="B931" r:id="rId22" display="https://www.nrscotland.gov.uk/files/statistics/household-estimates/2021/house-est-21-report.pdf" xr:uid="{EE14DB8E-0974-4133-B59E-76942FB6224E}"/>
    <hyperlink ref="B932" r:id="rId23" display="https://www.nisra.gov.uk/system/files/statistics/census-2021-population-and-household-estimates-for-northern-ireland-report-24-may-2022.pdf" xr:uid="{40BD1262-E46D-4241-865D-95531949AF9E}"/>
    <hyperlink ref="B933" r:id="rId24" display="https://www.nrscotland.gov.uk/statistics-and-data/statistics/statistics-by-theme/households/household-estimates/2021" xr:uid="{62FF4038-5AD6-4FA2-BDCB-0CC28459074C}"/>
    <hyperlink ref="B934" r:id="rId25" display="https://www.ons.gov.uk/peoplepopulationandcommunity/personalandhouseholdfinances/expenditure/bulletins/familyspendingintheuk/april2018tomarch2019" xr:uid="{EEC7983F-E93C-41ED-B68C-4D719BEC3B89}"/>
    <hyperlink ref="B935" r:id="rId26" location=":~:text=The%20average%20UK%20monthly%20mortgage,%C2%A311%2C677%20since%20March%202020" display="https://thinkplutus.com/mortgages/guides/average-mortgage-payment/ - :~:text=The%20average%20UK%20monthly%20mortgage,%C2%A311%2C677%20since%20March%202020" xr:uid="{6B302FA6-ECD9-4837-9F06-E00650AF27A5}"/>
    <hyperlink ref="B936" r:id="rId27" display="https://www.gcva.co.uk/downloads/industry-research-2020/OP_GCVA_Industry-Report_2020_Final-Digital-summary-watermark.pdf" xr:uid="{332A1F21-A4B2-4AC1-B092-F19A8D8DB1A0}"/>
    <hyperlink ref="B937" r:id="rId28" display="https://www.divinechocolate.com/divine-world/chocolate-facts-and-figures/" xr:uid="{71DECB09-7241-456B-90BC-85FECAE68D4A}"/>
    <hyperlink ref="B939" r:id="rId29" display="https://www.statista.com/statistics/481625/chocolate-and-sugar-confectionary-sales-turnover-united-kingdom-uk/" xr:uid="{F1413482-2EBB-4011-8F70-0236763F25EC}"/>
    <hyperlink ref="B940" r:id="rId30" location=":~:text=Chocolate%20Market%20in%20the%20United%20Kingdom%20registered%20a%20positive%20compound,increase%20of%200.57%25%20over%202019" display="https://www.globaldata.com/store/report/uk-chocolate-market-analysis/ - :~:text=Chocolate%20Market%20in%20the%20United%20Kingdom%20registered%20a%20positive%20compound,increase%20of%200.57%25%20over%202019" xr:uid="{98B6D7F3-F630-46A0-AD9E-BFBEEABC2418}"/>
    <hyperlink ref="B941" r:id="rId31" display="https://www.ibisworld.com/united-kingdom/market-size/chocolate-confectionery-production/" xr:uid="{57C3BEE5-B126-462B-8A37-5FEDA38717B5}"/>
    <hyperlink ref="B942" r:id="rId32" location=":~:text=Source%3A%20ICCO-,Mars%20Wrigley%20Confectionery%20(USA),%2C%20of%20course%2C%20Mars%20bars" display="https://blog.bizvibe.com/blog/food-beverages/top-10-largest-chocolate-companies-world - :~:text=Source%3A%20ICCO-,Mars%20Wrigley%20Confectionery%20(USA),%2C%20of%20course%2C%20Mars%20bars" xr:uid="{B536F838-6FA4-4CF8-BE92-65970F92962B}"/>
    <hyperlink ref="B943" r:id="rId33" display="https://www.wearelanded.com/careers/hotelchocolat.php?searchtype=20" xr:uid="{B539A2A8-8E6F-4E6B-AC60-F8F0761D36BE}"/>
    <hyperlink ref="B944" r:id="rId34" location="overview" display="https://www.similarweb.com/website/hotelchocolat.com/ - overview" xr:uid="{02A4825B-BBA9-4D2E-A5E8-D2BD7846CE40}"/>
    <hyperlink ref="B945" r:id="rId35" display="https://trends.google.com/trends/explore?date=today%205-y&amp;geo=GB&amp;q=hotel%20chocolat" xr:uid="{DF70345D-2561-46F1-97D5-55BFBB73271C}"/>
    <hyperlink ref="B946" r:id="rId36" display="https://apps.apple.com/gb/app/hotel-chocolat/id1518955513" xr:uid="{6F8F608A-C456-4F9D-9046-EB15430EF2AF}"/>
    <hyperlink ref="B947" r:id="rId37" display="https://play.google.com/store/apps/details?id=com.hotelchocolat.hotelchocolat" xr:uid="{A6449E62-824D-4CEF-939B-B97A670BC742}"/>
    <hyperlink ref="B948" r:id="rId38" display="https://catererlicensee.com/total-uk-coffee-shop-sandwich-and-bakery-market-set-to-exceed-2019-market-value-in-2022/" xr:uid="{BBDAD06B-CBD7-4D50-B6F6-957038B2A553}"/>
    <hyperlink ref="B949" r:id="rId39" display="https://uk.trustpilot.com/review/hotelchocolat.com" xr:uid="{D045B07F-870C-479B-8DDE-086361BE31D0}"/>
    <hyperlink ref="B950" r:id="rId40" display="https://www.glassdoor.co.uk/Reviews/Hotel-Chocolat-Reviews-E592555.htm" xr:uid="{8C2E3854-CB15-46EF-981C-7377B0B27CC7}"/>
    <hyperlink ref="B951" r:id="rId41" display="https://www.ons.gov.uk/employmentandlabourmarket/peopleinwork/employmentandemployeetypes/articles/ishybridworkingheretostay/2022-05-23" xr:uid="{7B573D6E-05D4-4690-9264-353EA2F5813B}"/>
    <hyperlink ref="B952" r:id="rId42" display="https://www.hl.co.uk/tools/calculators/inflation-calculator" xr:uid="{92BD977A-408C-4F40-841E-06BBB5AF3552}"/>
    <hyperlink ref="B953" r:id="rId43" display="https://find-and-update.company-information.service.gov.uk/company/00174706/filing-history" xr:uid="{C1F6C423-A3B8-439D-86E9-996100E7E9D0}"/>
    <hyperlink ref="B954" r:id="rId44" display="https://www.retailgazette.co.uk/blog/2021/03/thorntons-store-closures-chocolate-online-covid-in-depth-deep-dive/" xr:uid="{3F3E1E7D-4B3E-4E5B-8753-D16062425151}"/>
    <hyperlink ref="B955" r:id="rId45" display="https://www.hotelchocolat.com/uk/engaged-ethics/our-planet.html" xr:uid="{F87390C1-8BE8-435B-8562-8A8FBFB9BE57}"/>
    <hyperlink ref="B956" r:id="rId46" display="https://www.booking.com/hotel/lc/boucan-by-chocolat.en-gb.html?auth_success=1" xr:uid="{F32278B4-A744-4843-B2C6-956CFC5CF568}"/>
    <hyperlink ref="B957" r:id="rId47" display="https://www.ons.gov.uk/economy/grossdomesticproductgdp/timeseries/crxz/ukea" xr:uid="{56A3811D-F3FD-426E-8613-7379D085C628}"/>
    <hyperlink ref="B958" r:id="rId48" display="https://www.bloomberg.com/news/articles/2022-06-30/uk-real-household-incomes-fall-for-an-unprecedented-4th-quarter" xr:uid="{A0823658-6EB4-454E-A5D0-5F22ED10D1F8}"/>
    <hyperlink ref="B959" r:id="rId49" location=":~:text=In%20the%202018%2F2019%20cocoa,by%20Ecuador%20with%20seven%20percent" display="https://www.kakaoplattform.ch/about-cocoa/cocoa-facts-and-figures - :~:text=In%20the%202018%2F2019%20cocoa,by%20Ecuador%20with%20seven%20percent" xr:uid="{4B481E8E-8579-468A-AF84-D4A473EBB527}"/>
    <hyperlink ref="B960" r:id="rId50" display="https://view.belleportwe.com/tours/yo5bb8uZ8" xr:uid="{FA0A3C68-BE92-4458-BEAD-14EB0E77A09E}"/>
    <hyperlink ref="B961" r:id="rId51" display="https://www.hotelchocolat.com/uk/hotel-restaurants.html" xr:uid="{391E3336-C65A-4C0C-B181-488F81502117}"/>
  </hyperlinks>
  <pageMargins left="0.7" right="0.7" top="0.75" bottom="0.75" header="0.3" footer="0.3"/>
  <pageSetup paperSize="9" orientation="portrait" r:id="rId52"/>
  <legacyDrawing r:id="rId5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HOTC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FB</dc:creator>
  <cp:lastModifiedBy>F B</cp:lastModifiedBy>
  <dcterms:created xsi:type="dcterms:W3CDTF">2022-08-02T18:32:42Z</dcterms:created>
  <dcterms:modified xsi:type="dcterms:W3CDTF">2022-08-15T07:20:21Z</dcterms:modified>
</cp:coreProperties>
</file>