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tps://d.docs.live.net/f6d1cb9e80ab0a53/Desktop/Project Noctem/Consumer Dis = Durable = Retail/Veterinary (vetra-ny)/"/>
    </mc:Choice>
  </mc:AlternateContent>
  <xr:revisionPtr revIDLastSave="8926" documentId="11_AF0637D0B2AFD8B415CDA6F2D797F76E8AA1F614" xr6:coauthVersionLast="47" xr6:coauthVersionMax="47" xr10:uidLastSave="{3504B036-F5FA-4CCC-8D78-6A739683674B}"/>
  <bookViews>
    <workbookView xWindow="-120" yWindow="-120" windowWidth="29040" windowHeight="15720" activeTab="2" xr2:uid="{00000000-000D-0000-FFFF-FFFF00000000}"/>
  </bookViews>
  <sheets>
    <sheet name="Contents" sheetId="1" r:id="rId1"/>
    <sheet name="CVSG" sheetId="2" r:id="rId2"/>
    <sheet name="PETS" sheetId="4" r:id="rId3"/>
    <sheet name="PVG" sheetId="3" r:id="rId4"/>
  </sheets>
  <definedNames>
    <definedName name="_xlnm._FilterDatabase" localSheetId="2" hidden="1">PETS!$B$549:$T$549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72" i="4" l="1"/>
  <c r="C338" i="4" l="1"/>
  <c r="C354" i="4"/>
  <c r="C209" i="4"/>
  <c r="C296" i="4"/>
  <c r="C289" i="4"/>
  <c r="C1201" i="4" l="1"/>
  <c r="C355" i="4"/>
  <c r="C290" i="4"/>
  <c r="C359" i="4"/>
  <c r="F167" i="4"/>
  <c r="F168" i="4" s="1"/>
  <c r="H168" i="4"/>
  <c r="G168" i="4"/>
  <c r="H172" i="4"/>
  <c r="I172" i="4"/>
  <c r="G172" i="4"/>
  <c r="M320" i="4"/>
  <c r="L320" i="4"/>
  <c r="M312" i="4"/>
  <c r="M313" i="4"/>
  <c r="M314" i="4"/>
  <c r="M315" i="4"/>
  <c r="M316" i="4"/>
  <c r="M317" i="4"/>
  <c r="M318" i="4"/>
  <c r="L318" i="4"/>
  <c r="L317" i="4"/>
  <c r="L316" i="4"/>
  <c r="L315" i="4"/>
  <c r="L314" i="4"/>
  <c r="L313" i="4"/>
  <c r="L312" i="4"/>
  <c r="M310" i="4"/>
  <c r="L310" i="4"/>
  <c r="M309" i="4"/>
  <c r="L309" i="4"/>
  <c r="M306" i="4"/>
  <c r="L306" i="4"/>
  <c r="F166" i="4"/>
  <c r="H169" i="4"/>
  <c r="H170" i="4" s="1"/>
  <c r="I169" i="4"/>
  <c r="I170" i="4" s="1"/>
  <c r="G169" i="4"/>
  <c r="G170" i="4" s="1"/>
  <c r="J165" i="4"/>
  <c r="J163" i="4"/>
  <c r="J7" i="4" l="1"/>
  <c r="I164" i="4" l="1"/>
  <c r="J164" i="4" s="1"/>
  <c r="H167" i="4"/>
  <c r="G167" i="4"/>
  <c r="C279" i="4"/>
  <c r="C269" i="4"/>
  <c r="M241" i="4"/>
  <c r="L241" i="4"/>
  <c r="L265" i="4"/>
  <c r="C265" i="4"/>
  <c r="D255" i="4"/>
  <c r="D256" i="4" s="1"/>
  <c r="E255" i="4"/>
  <c r="E256" i="4" s="1"/>
  <c r="F255" i="4"/>
  <c r="F256" i="4" s="1"/>
  <c r="G255" i="4"/>
  <c r="G256" i="4" s="1"/>
  <c r="C255" i="4"/>
  <c r="C256" i="4" s="1"/>
  <c r="D253" i="4"/>
  <c r="D254" i="4" s="1"/>
  <c r="E253" i="4"/>
  <c r="E254" i="4" s="1"/>
  <c r="F253" i="4"/>
  <c r="F254" i="4" s="1"/>
  <c r="G253" i="4"/>
  <c r="G254" i="4" s="1"/>
  <c r="C253" i="4"/>
  <c r="C254" i="4" s="1"/>
  <c r="D251" i="4"/>
  <c r="D252" i="4" s="1"/>
  <c r="E251" i="4"/>
  <c r="E252" i="4" s="1"/>
  <c r="F251" i="4"/>
  <c r="F252" i="4" s="1"/>
  <c r="G251" i="4"/>
  <c r="G252" i="4" s="1"/>
  <c r="N239" i="4"/>
  <c r="F239" i="4"/>
  <c r="G239" i="4"/>
  <c r="C251" i="4"/>
  <c r="C252" i="4" s="1"/>
  <c r="O248" i="4"/>
  <c r="N248" i="4"/>
  <c r="E248" i="4"/>
  <c r="O247" i="4"/>
  <c r="N247" i="4"/>
  <c r="D247" i="4"/>
  <c r="E247" i="4"/>
  <c r="F247" i="4"/>
  <c r="G247" i="4"/>
  <c r="O246" i="4"/>
  <c r="N246" i="4"/>
  <c r="E246" i="4"/>
  <c r="O245" i="4"/>
  <c r="N245" i="4"/>
  <c r="E245" i="4"/>
  <c r="M232" i="4"/>
  <c r="N232" i="4"/>
  <c r="N234" i="4" s="1"/>
  <c r="O232" i="4"/>
  <c r="O234" i="4" s="1"/>
  <c r="M233" i="4"/>
  <c r="N233" i="4"/>
  <c r="N235" i="4" s="1"/>
  <c r="O233" i="4"/>
  <c r="O235" i="4" s="1"/>
  <c r="N237" i="4"/>
  <c r="O237" i="4"/>
  <c r="N238" i="4"/>
  <c r="O238" i="4"/>
  <c r="L233" i="4"/>
  <c r="L232" i="4"/>
  <c r="F238" i="4"/>
  <c r="G238" i="4"/>
  <c r="D237" i="4"/>
  <c r="E237" i="4"/>
  <c r="F237" i="4"/>
  <c r="G237" i="4"/>
  <c r="N204" i="4"/>
  <c r="O204" i="4"/>
  <c r="O203" i="4"/>
  <c r="D203" i="4"/>
  <c r="E203" i="4"/>
  <c r="F203" i="4"/>
  <c r="G203" i="4"/>
  <c r="H203" i="4"/>
  <c r="I166" i="4" l="1"/>
  <c r="J166" i="4" s="1"/>
  <c r="C257" i="4"/>
  <c r="C258" i="4"/>
  <c r="G257" i="4"/>
  <c r="G258" i="4"/>
  <c r="F257" i="4"/>
  <c r="F258" i="4"/>
  <c r="E257" i="4"/>
  <c r="E258" i="4"/>
  <c r="D258" i="4"/>
  <c r="D257" i="4"/>
  <c r="I167" i="4" l="1"/>
  <c r="J167" i="4" s="1"/>
  <c r="D294" i="4" l="1"/>
  <c r="E294" i="4"/>
  <c r="F294" i="4"/>
  <c r="G294" i="4"/>
  <c r="H294" i="4"/>
  <c r="C294" i="4"/>
  <c r="C219" i="4" l="1"/>
  <c r="C218" i="4" s="1"/>
  <c r="G398" i="4"/>
  <c r="F398" i="4"/>
  <c r="E398" i="4"/>
  <c r="D398" i="4"/>
  <c r="C398" i="4"/>
  <c r="C396" i="4"/>
  <c r="G396" i="4"/>
  <c r="F396" i="4"/>
  <c r="E396" i="4"/>
  <c r="D396" i="4"/>
  <c r="C412" i="4"/>
  <c r="C413" i="4" s="1"/>
  <c r="C404" i="4"/>
  <c r="C232" i="4"/>
  <c r="C236" i="4" s="1"/>
  <c r="E233" i="4"/>
  <c r="E235" i="4" s="1"/>
  <c r="G233" i="4"/>
  <c r="G235" i="4" s="1"/>
  <c r="F233" i="4"/>
  <c r="F235" i="4" s="1"/>
  <c r="D233" i="4"/>
  <c r="D235" i="4" s="1"/>
  <c r="C233" i="4"/>
  <c r="D232" i="4"/>
  <c r="D234" i="4" s="1"/>
  <c r="E232" i="4"/>
  <c r="E234" i="4" s="1"/>
  <c r="F232" i="4"/>
  <c r="F234" i="4" s="1"/>
  <c r="G232" i="4"/>
  <c r="G234" i="4" s="1"/>
  <c r="F317" i="4"/>
  <c r="G317" i="4"/>
  <c r="H317" i="4"/>
  <c r="I317" i="4"/>
  <c r="H302" i="4"/>
  <c r="D357" i="4"/>
  <c r="E357" i="4"/>
  <c r="F357" i="4"/>
  <c r="G357" i="4"/>
  <c r="H357" i="4"/>
  <c r="C357" i="4"/>
  <c r="E333" i="4"/>
  <c r="C10" i="4"/>
  <c r="L10" i="4"/>
  <c r="M10" i="4"/>
  <c r="N10" i="4"/>
  <c r="N203" i="4" s="1"/>
  <c r="D15" i="4"/>
  <c r="D204" i="4" s="1"/>
  <c r="E15" i="4"/>
  <c r="F15" i="4"/>
  <c r="G15" i="4"/>
  <c r="H15" i="4"/>
  <c r="I15" i="4"/>
  <c r="I20" i="4" s="1"/>
  <c r="N20" i="4"/>
  <c r="O20" i="4"/>
  <c r="D38" i="4"/>
  <c r="N38" i="4"/>
  <c r="O38" i="4"/>
  <c r="C42" i="4"/>
  <c r="C262" i="4" s="1"/>
  <c r="D42" i="4"/>
  <c r="D40" i="4" s="1"/>
  <c r="E42" i="4"/>
  <c r="E40" i="4" s="1"/>
  <c r="F42" i="4"/>
  <c r="F40" i="4" s="1"/>
  <c r="G42" i="4"/>
  <c r="G40" i="4" s="1"/>
  <c r="H42" i="4"/>
  <c r="H40" i="4" s="1"/>
  <c r="I42" i="4"/>
  <c r="I40" i="4" s="1"/>
  <c r="L42" i="4"/>
  <c r="L262" i="4" s="1"/>
  <c r="M42" i="4"/>
  <c r="N42" i="4"/>
  <c r="O42" i="4"/>
  <c r="D43" i="4"/>
  <c r="E43" i="4"/>
  <c r="N43" i="4"/>
  <c r="O43" i="4"/>
  <c r="C54" i="4"/>
  <c r="D54" i="4"/>
  <c r="L54" i="4"/>
  <c r="M54" i="4"/>
  <c r="C62" i="4"/>
  <c r="D62" i="4"/>
  <c r="F62" i="4"/>
  <c r="G62" i="4"/>
  <c r="L62" i="4"/>
  <c r="M62" i="4"/>
  <c r="E64" i="4"/>
  <c r="E239" i="4" s="1"/>
  <c r="C73" i="4"/>
  <c r="C247" i="4" s="1"/>
  <c r="L73" i="4"/>
  <c r="L247" i="4" s="1"/>
  <c r="M73" i="4"/>
  <c r="M247" i="4" s="1"/>
  <c r="C82" i="4"/>
  <c r="L82" i="4"/>
  <c r="M82" i="4"/>
  <c r="C95" i="4"/>
  <c r="L95" i="4"/>
  <c r="L264" i="4" s="1"/>
  <c r="M95" i="4"/>
  <c r="D121" i="4"/>
  <c r="D305" i="4" s="1"/>
  <c r="E121" i="4"/>
  <c r="E305" i="4" s="1"/>
  <c r="F121" i="4"/>
  <c r="F305" i="4" s="1"/>
  <c r="G121" i="4"/>
  <c r="G305" i="4" s="1"/>
  <c r="H121" i="4"/>
  <c r="H305" i="4" s="1"/>
  <c r="I121" i="4"/>
  <c r="I305" i="4" s="1"/>
  <c r="N121" i="4"/>
  <c r="O121" i="4"/>
  <c r="C138" i="4"/>
  <c r="F138" i="4"/>
  <c r="G138" i="4"/>
  <c r="L138" i="4"/>
  <c r="M138" i="4"/>
  <c r="C153" i="4"/>
  <c r="F153" i="4"/>
  <c r="G153" i="4"/>
  <c r="L153" i="4"/>
  <c r="M153" i="4"/>
  <c r="C156" i="4"/>
  <c r="D156" i="4"/>
  <c r="E156" i="4"/>
  <c r="F156" i="4"/>
  <c r="G156" i="4"/>
  <c r="H156" i="4"/>
  <c r="L156" i="4"/>
  <c r="M156" i="4"/>
  <c r="N156" i="4"/>
  <c r="O156" i="4"/>
  <c r="C366" i="4"/>
  <c r="D366" i="4"/>
  <c r="E366" i="4"/>
  <c r="F366" i="4"/>
  <c r="G366" i="4"/>
  <c r="H366" i="4"/>
  <c r="L366" i="4"/>
  <c r="M366" i="4"/>
  <c r="N366" i="4"/>
  <c r="O366" i="4"/>
  <c r="C367" i="4"/>
  <c r="D367" i="4"/>
  <c r="E367" i="4"/>
  <c r="F367" i="4"/>
  <c r="C369" i="4"/>
  <c r="D369" i="4"/>
  <c r="E369" i="4"/>
  <c r="F369" i="4"/>
  <c r="D289" i="4"/>
  <c r="E289" i="4"/>
  <c r="F289" i="4"/>
  <c r="G289" i="4"/>
  <c r="H289" i="4"/>
  <c r="D290" i="4"/>
  <c r="D359" i="4" s="1"/>
  <c r="E290" i="4"/>
  <c r="E359" i="4" s="1"/>
  <c r="F290" i="4"/>
  <c r="F359" i="4" s="1"/>
  <c r="G290" i="4"/>
  <c r="G359" i="4" s="1"/>
  <c r="H290" i="4"/>
  <c r="H359" i="4" s="1"/>
  <c r="C291" i="4"/>
  <c r="D291" i="4"/>
  <c r="E291" i="4"/>
  <c r="F291" i="4"/>
  <c r="G291" i="4"/>
  <c r="H291" i="4"/>
  <c r="C292" i="4"/>
  <c r="D292" i="4"/>
  <c r="E292" i="4"/>
  <c r="F292" i="4"/>
  <c r="G292" i="4"/>
  <c r="H292" i="4"/>
  <c r="C295" i="4"/>
  <c r="D295" i="4"/>
  <c r="E295" i="4"/>
  <c r="F295" i="4"/>
  <c r="G295" i="4"/>
  <c r="H295" i="4"/>
  <c r="C306" i="4"/>
  <c r="D306" i="4"/>
  <c r="E306" i="4"/>
  <c r="F306" i="4"/>
  <c r="G306" i="4"/>
  <c r="H306" i="4"/>
  <c r="I306" i="4"/>
  <c r="D307" i="4"/>
  <c r="E307" i="4"/>
  <c r="C309" i="4"/>
  <c r="D309" i="4"/>
  <c r="C310" i="4"/>
  <c r="D310" i="4"/>
  <c r="C312" i="4"/>
  <c r="D312" i="4"/>
  <c r="E312" i="4"/>
  <c r="F312" i="4"/>
  <c r="G312" i="4"/>
  <c r="H312" i="4"/>
  <c r="I312" i="4"/>
  <c r="C313" i="4"/>
  <c r="D313" i="4"/>
  <c r="E313" i="4"/>
  <c r="F313" i="4"/>
  <c r="G313" i="4"/>
  <c r="H313" i="4"/>
  <c r="I313" i="4"/>
  <c r="C314" i="4"/>
  <c r="D314" i="4"/>
  <c r="E314" i="4"/>
  <c r="F314" i="4"/>
  <c r="G314" i="4"/>
  <c r="H314" i="4"/>
  <c r="I314" i="4"/>
  <c r="C315" i="4"/>
  <c r="D315" i="4"/>
  <c r="E315" i="4"/>
  <c r="C316" i="4"/>
  <c r="D316" i="4"/>
  <c r="E316" i="4"/>
  <c r="F316" i="4"/>
  <c r="C317" i="4"/>
  <c r="D317" i="4"/>
  <c r="E317" i="4"/>
  <c r="C318" i="4"/>
  <c r="D318" i="4"/>
  <c r="E318" i="4"/>
  <c r="F318" i="4"/>
  <c r="G318" i="4"/>
  <c r="H318" i="4"/>
  <c r="I318" i="4"/>
  <c r="C320" i="4"/>
  <c r="C327" i="4"/>
  <c r="D327" i="4"/>
  <c r="E330" i="4"/>
  <c r="D331" i="4"/>
  <c r="E331" i="4"/>
  <c r="C302" i="4"/>
  <c r="C275" i="4" s="1"/>
  <c r="D302" i="4"/>
  <c r="E302" i="4"/>
  <c r="F302" i="4"/>
  <c r="G302" i="4"/>
  <c r="C344" i="4"/>
  <c r="C350" i="4"/>
  <c r="D350" i="4"/>
  <c r="E350" i="4"/>
  <c r="F350" i="4"/>
  <c r="G350" i="4"/>
  <c r="H350" i="4"/>
  <c r="C923" i="4"/>
  <c r="D923" i="4"/>
  <c r="E923" i="4"/>
  <c r="F923" i="4"/>
  <c r="G923" i="4"/>
  <c r="L923" i="4"/>
  <c r="M923" i="4"/>
  <c r="N923" i="4"/>
  <c r="O923" i="4"/>
  <c r="N214" i="4"/>
  <c r="O214" i="4"/>
  <c r="N216" i="4"/>
  <c r="O216" i="4"/>
  <c r="N218" i="4"/>
  <c r="O218" i="4"/>
  <c r="D219" i="4"/>
  <c r="D218" i="4" s="1"/>
  <c r="E219" i="4"/>
  <c r="E214" i="4" s="1"/>
  <c r="F219" i="4"/>
  <c r="F216" i="4" s="1"/>
  <c r="G219" i="4"/>
  <c r="G216" i="4" s="1"/>
  <c r="L219" i="4"/>
  <c r="L214" i="4" s="1"/>
  <c r="M219" i="4"/>
  <c r="M214" i="4" s="1"/>
  <c r="G223" i="4"/>
  <c r="C224" i="4"/>
  <c r="D224" i="4"/>
  <c r="N224" i="4"/>
  <c r="O224" i="4"/>
  <c r="E225" i="4"/>
  <c r="F225" i="4"/>
  <c r="E226" i="4"/>
  <c r="F226" i="4"/>
  <c r="E227" i="4"/>
  <c r="F227" i="4"/>
  <c r="E228" i="4"/>
  <c r="F228" i="4"/>
  <c r="L224" i="4"/>
  <c r="M224" i="4"/>
  <c r="E435" i="4"/>
  <c r="F435" i="4"/>
  <c r="G436" i="4"/>
  <c r="G437" i="4" s="1"/>
  <c r="D439" i="4"/>
  <c r="D435" i="4" s="1"/>
  <c r="C447" i="4"/>
  <c r="C450" i="4"/>
  <c r="C452" i="4"/>
  <c r="D453" i="4"/>
  <c r="E453" i="4"/>
  <c r="F453" i="4"/>
  <c r="G453" i="4"/>
  <c r="H453" i="4"/>
  <c r="I453" i="4"/>
  <c r="J453" i="4"/>
  <c r="F504" i="4"/>
  <c r="M504" i="4"/>
  <c r="D505" i="4"/>
  <c r="G511" i="4"/>
  <c r="E555" i="4"/>
  <c r="F555" i="4"/>
  <c r="E556" i="4"/>
  <c r="F556" i="4"/>
  <c r="C557" i="4"/>
  <c r="C205" i="4" s="1"/>
  <c r="D557" i="4"/>
  <c r="D205" i="4" s="1"/>
  <c r="L557" i="4"/>
  <c r="L205" i="4" s="1"/>
  <c r="M557" i="4"/>
  <c r="M205" i="4" s="1"/>
  <c r="N557" i="4"/>
  <c r="N205" i="4" s="1"/>
  <c r="O557" i="4"/>
  <c r="O205" i="4" s="1"/>
  <c r="E558" i="4"/>
  <c r="F558" i="4"/>
  <c r="C559" i="4"/>
  <c r="C206" i="4" s="1"/>
  <c r="D559" i="4"/>
  <c r="D206" i="4" s="1"/>
  <c r="L559" i="4"/>
  <c r="L206" i="4" s="1"/>
  <c r="M559" i="4"/>
  <c r="M206" i="4" s="1"/>
  <c r="N559" i="4"/>
  <c r="N206" i="4" s="1"/>
  <c r="O559" i="4"/>
  <c r="O206" i="4" s="1"/>
  <c r="E560" i="4"/>
  <c r="F560" i="4"/>
  <c r="C561" i="4"/>
  <c r="C563" i="4" s="1"/>
  <c r="D561" i="4"/>
  <c r="D563" i="4" s="1"/>
  <c r="G561" i="4"/>
  <c r="G563" i="4" s="1"/>
  <c r="H561" i="4"/>
  <c r="H563" i="4" s="1"/>
  <c r="I561" i="4"/>
  <c r="I563" i="4" s="1"/>
  <c r="L561" i="4"/>
  <c r="L563" i="4" s="1"/>
  <c r="M561" i="4"/>
  <c r="M563" i="4" s="1"/>
  <c r="N561" i="4"/>
  <c r="N563" i="4" s="1"/>
  <c r="O561" i="4"/>
  <c r="O563" i="4" s="1"/>
  <c r="E562" i="4"/>
  <c r="E566" i="4"/>
  <c r="E223" i="4" s="1"/>
  <c r="E224" i="4" s="1"/>
  <c r="F566" i="4"/>
  <c r="F223" i="4" s="1"/>
  <c r="F224" i="4" s="1"/>
  <c r="E567" i="4"/>
  <c r="F567" i="4"/>
  <c r="C568" i="4"/>
  <c r="C207" i="4" s="1"/>
  <c r="D568" i="4"/>
  <c r="D207" i="4" s="1"/>
  <c r="L568" i="4"/>
  <c r="L207" i="4" s="1"/>
  <c r="M568" i="4"/>
  <c r="M207" i="4" s="1"/>
  <c r="N568" i="4"/>
  <c r="N207" i="4" s="1"/>
  <c r="O568" i="4"/>
  <c r="O207" i="4" s="1"/>
  <c r="E569" i="4"/>
  <c r="F569" i="4"/>
  <c r="C570" i="4"/>
  <c r="C208" i="4" s="1"/>
  <c r="D570" i="4"/>
  <c r="D208" i="4" s="1"/>
  <c r="L570" i="4"/>
  <c r="L208" i="4" s="1"/>
  <c r="M570" i="4"/>
  <c r="M208" i="4" s="1"/>
  <c r="N570" i="4"/>
  <c r="N208" i="4" s="1"/>
  <c r="O570" i="4"/>
  <c r="O208" i="4" s="1"/>
  <c r="E571" i="4"/>
  <c r="F571" i="4"/>
  <c r="C572" i="4"/>
  <c r="C574" i="4" s="1"/>
  <c r="D572" i="4"/>
  <c r="D574" i="4" s="1"/>
  <c r="G572" i="4"/>
  <c r="G574" i="4" s="1"/>
  <c r="H572" i="4"/>
  <c r="H574" i="4" s="1"/>
  <c r="I572" i="4"/>
  <c r="I574" i="4" s="1"/>
  <c r="L572" i="4"/>
  <c r="L574" i="4" s="1"/>
  <c r="M572" i="4"/>
  <c r="M574" i="4" s="1"/>
  <c r="N572" i="4"/>
  <c r="N574" i="4" s="1"/>
  <c r="O572" i="4"/>
  <c r="O574" i="4" s="1"/>
  <c r="E573" i="4"/>
  <c r="F573" i="4"/>
  <c r="C579" i="4"/>
  <c r="L579" i="4"/>
  <c r="E580" i="4"/>
  <c r="F580" i="4"/>
  <c r="C582" i="4"/>
  <c r="C584" i="4" s="1"/>
  <c r="D582" i="4"/>
  <c r="D584" i="4" s="1"/>
  <c r="L582" i="4"/>
  <c r="L584" i="4" s="1"/>
  <c r="M582" i="4"/>
  <c r="M584" i="4" s="1"/>
  <c r="N582" i="4"/>
  <c r="N584" i="4" s="1"/>
  <c r="O582" i="4"/>
  <c r="O584" i="4" s="1"/>
  <c r="E583" i="4"/>
  <c r="F583" i="4"/>
  <c r="G583" i="4"/>
  <c r="G584" i="4" s="1"/>
  <c r="H583" i="4"/>
  <c r="H584" i="4" s="1"/>
  <c r="I583" i="4"/>
  <c r="I584" i="4" s="1"/>
  <c r="C586" i="4"/>
  <c r="D586" i="4"/>
  <c r="G586" i="4"/>
  <c r="H586" i="4"/>
  <c r="I586" i="4"/>
  <c r="L586" i="4"/>
  <c r="M586" i="4"/>
  <c r="N586" i="4"/>
  <c r="O586" i="4"/>
  <c r="C587" i="4"/>
  <c r="D587" i="4"/>
  <c r="G587" i="4"/>
  <c r="H587" i="4"/>
  <c r="I587" i="4"/>
  <c r="L587" i="4"/>
  <c r="M587" i="4"/>
  <c r="N587" i="4"/>
  <c r="O587" i="4"/>
  <c r="C588" i="4"/>
  <c r="D588" i="4"/>
  <c r="G588" i="4"/>
  <c r="H588" i="4"/>
  <c r="I588" i="4"/>
  <c r="L588" i="4"/>
  <c r="M588" i="4"/>
  <c r="N588" i="4"/>
  <c r="O588" i="4"/>
  <c r="F592" i="4"/>
  <c r="N592" i="4"/>
  <c r="N597" i="4" s="1"/>
  <c r="O592" i="4"/>
  <c r="O597" i="4" s="1"/>
  <c r="F594" i="4"/>
  <c r="F596" i="4"/>
  <c r="C597" i="4"/>
  <c r="D597" i="4"/>
  <c r="D330" i="4" s="1"/>
  <c r="L597" i="4"/>
  <c r="M597" i="4"/>
  <c r="F600" i="4"/>
  <c r="N600" i="4"/>
  <c r="N604" i="4" s="1"/>
  <c r="O600" i="4"/>
  <c r="O604" i="4" s="1"/>
  <c r="F601" i="4"/>
  <c r="F603" i="4"/>
  <c r="C604" i="4"/>
  <c r="C331" i="4" s="1"/>
  <c r="L604" i="4"/>
  <c r="M604" i="4"/>
  <c r="F607" i="4"/>
  <c r="F611" i="4" s="1"/>
  <c r="C611" i="4"/>
  <c r="L611" i="4"/>
  <c r="M611" i="4"/>
  <c r="N611" i="4"/>
  <c r="O611" i="4"/>
  <c r="F616" i="4"/>
  <c r="F634" i="4" s="1"/>
  <c r="G616" i="4"/>
  <c r="F617" i="4"/>
  <c r="F635" i="4" s="1"/>
  <c r="G617" i="4"/>
  <c r="G635" i="4" s="1"/>
  <c r="F618" i="4"/>
  <c r="F636" i="4" s="1"/>
  <c r="G618" i="4"/>
  <c r="G636" i="4" s="1"/>
  <c r="C619" i="4"/>
  <c r="D619" i="4"/>
  <c r="E619" i="4"/>
  <c r="H619" i="4"/>
  <c r="I619" i="4"/>
  <c r="L619" i="4"/>
  <c r="M619" i="4"/>
  <c r="N619" i="4"/>
  <c r="O619" i="4"/>
  <c r="C626" i="4"/>
  <c r="D626" i="4"/>
  <c r="E626" i="4"/>
  <c r="F626" i="4"/>
  <c r="L626" i="4"/>
  <c r="M626" i="4"/>
  <c r="N626" i="4"/>
  <c r="O626" i="4"/>
  <c r="C631" i="4"/>
  <c r="L631" i="4"/>
  <c r="C634" i="4"/>
  <c r="D634" i="4"/>
  <c r="E634" i="4"/>
  <c r="L634" i="4"/>
  <c r="M634" i="4"/>
  <c r="N634" i="4"/>
  <c r="O634" i="4"/>
  <c r="P634" i="4"/>
  <c r="C635" i="4"/>
  <c r="D635" i="4"/>
  <c r="E635" i="4"/>
  <c r="L635" i="4"/>
  <c r="M635" i="4"/>
  <c r="N635" i="4"/>
  <c r="O635" i="4"/>
  <c r="P635" i="4"/>
  <c r="C636" i="4"/>
  <c r="D636" i="4"/>
  <c r="E636" i="4"/>
  <c r="L636" i="4"/>
  <c r="M636" i="4"/>
  <c r="N636" i="4"/>
  <c r="O636" i="4"/>
  <c r="P636" i="4"/>
  <c r="C637" i="4"/>
  <c r="D637" i="4"/>
  <c r="E637" i="4"/>
  <c r="F637" i="4"/>
  <c r="L637" i="4"/>
  <c r="M637" i="4"/>
  <c r="N637" i="4"/>
  <c r="O637" i="4"/>
  <c r="C638" i="4"/>
  <c r="D638" i="4"/>
  <c r="E638" i="4"/>
  <c r="F638" i="4"/>
  <c r="L638" i="4"/>
  <c r="M638" i="4"/>
  <c r="N638" i="4"/>
  <c r="O638" i="4"/>
  <c r="C639" i="4"/>
  <c r="D639" i="4"/>
  <c r="E639" i="4"/>
  <c r="F639" i="4"/>
  <c r="L639" i="4"/>
  <c r="M639" i="4"/>
  <c r="N639" i="4"/>
  <c r="O639" i="4"/>
  <c r="C640" i="4"/>
  <c r="D640" i="4"/>
  <c r="E640" i="4"/>
  <c r="F640" i="4"/>
  <c r="L640" i="4"/>
  <c r="M640" i="4"/>
  <c r="N640" i="4"/>
  <c r="O640" i="4"/>
  <c r="H641" i="4"/>
  <c r="I641" i="4"/>
  <c r="C657" i="4"/>
  <c r="C666" i="4"/>
  <c r="C675" i="4"/>
  <c r="C683" i="4"/>
  <c r="C689" i="4" s="1"/>
  <c r="C698" i="4"/>
  <c r="D698" i="4"/>
  <c r="C702" i="4"/>
  <c r="D702" i="4"/>
  <c r="C703" i="4"/>
  <c r="D703" i="4"/>
  <c r="C704" i="4"/>
  <c r="D704" i="4"/>
  <c r="C705" i="4"/>
  <c r="C710" i="4" s="1"/>
  <c r="C715" i="4" s="1"/>
  <c r="C718" i="4" s="1"/>
  <c r="C722" i="4"/>
  <c r="C723" i="4"/>
  <c r="C724" i="4"/>
  <c r="C725" i="4"/>
  <c r="C726" i="4"/>
  <c r="D726" i="4" s="1"/>
  <c r="C729" i="4"/>
  <c r="C730" i="4"/>
  <c r="C731" i="4"/>
  <c r="C732" i="4"/>
  <c r="C733" i="4"/>
  <c r="D733" i="4" s="1"/>
  <c r="C739" i="4"/>
  <c r="C740" i="4"/>
  <c r="C741" i="4"/>
  <c r="C742" i="4"/>
  <c r="C743" i="4"/>
  <c r="C744" i="4"/>
  <c r="D744" i="4" s="1"/>
  <c r="C747" i="4"/>
  <c r="C748" i="4"/>
  <c r="C749" i="4"/>
  <c r="C750" i="4"/>
  <c r="C751" i="4"/>
  <c r="C752" i="4"/>
  <c r="C753" i="4"/>
  <c r="D753" i="4" s="1"/>
  <c r="C755" i="4"/>
  <c r="C757" i="4"/>
  <c r="C760" i="4"/>
  <c r="C761" i="4"/>
  <c r="C762" i="4"/>
  <c r="C764" i="4"/>
  <c r="C765" i="4"/>
  <c r="C766" i="4"/>
  <c r="C780" i="4"/>
  <c r="D780" i="4"/>
  <c r="E780" i="4"/>
  <c r="F780" i="4"/>
  <c r="G780" i="4"/>
  <c r="I780" i="4"/>
  <c r="L780" i="4"/>
  <c r="M780" i="4"/>
  <c r="N780" i="4"/>
  <c r="O780" i="4"/>
  <c r="C806" i="4"/>
  <c r="F806" i="4"/>
  <c r="G806" i="4"/>
  <c r="H806" i="4"/>
  <c r="I806" i="4"/>
  <c r="C810" i="4"/>
  <c r="C819" i="4"/>
  <c r="D819" i="4"/>
  <c r="H173" i="4" s="1"/>
  <c r="E819" i="4"/>
  <c r="I173" i="4" s="1"/>
  <c r="F819" i="4"/>
  <c r="G819" i="4"/>
  <c r="H819" i="4"/>
  <c r="I819" i="4"/>
  <c r="C827" i="4"/>
  <c r="C831" i="4" s="1"/>
  <c r="D827" i="4"/>
  <c r="E827" i="4"/>
  <c r="F827" i="4"/>
  <c r="G827" i="4"/>
  <c r="C842" i="4"/>
  <c r="C43" i="4" s="1"/>
  <c r="F842" i="4"/>
  <c r="F43" i="4" s="1"/>
  <c r="G842" i="4"/>
  <c r="G43" i="4" s="1"/>
  <c r="H842" i="4"/>
  <c r="H43" i="4" s="1"/>
  <c r="I842" i="4"/>
  <c r="I43" i="4" s="1"/>
  <c r="L842" i="4"/>
  <c r="L43" i="4" s="1"/>
  <c r="M842" i="4"/>
  <c r="M43" i="4" s="1"/>
  <c r="C850" i="4"/>
  <c r="F850" i="4"/>
  <c r="G850" i="4"/>
  <c r="H850" i="4"/>
  <c r="I850" i="4"/>
  <c r="C855" i="4"/>
  <c r="F855" i="4"/>
  <c r="G855" i="4"/>
  <c r="H855" i="4"/>
  <c r="I855" i="4"/>
  <c r="C864" i="4"/>
  <c r="D864" i="4"/>
  <c r="D267" i="4" s="1"/>
  <c r="E864" i="4"/>
  <c r="E267" i="4" s="1"/>
  <c r="F864" i="4"/>
  <c r="F267" i="4" s="1"/>
  <c r="G864" i="4"/>
  <c r="G267" i="4" s="1"/>
  <c r="H864" i="4"/>
  <c r="I864" i="4"/>
  <c r="L864" i="4"/>
  <c r="M864" i="4"/>
  <c r="C881" i="4"/>
  <c r="D881" i="4"/>
  <c r="C892" i="4"/>
  <c r="D892" i="4"/>
  <c r="E892" i="4"/>
  <c r="C899" i="4"/>
  <c r="D899" i="4"/>
  <c r="E899" i="4"/>
  <c r="C906" i="4"/>
  <c r="D906" i="4"/>
  <c r="E906" i="4"/>
  <c r="C910" i="4"/>
  <c r="D910" i="4"/>
  <c r="E910" i="4"/>
  <c r="F910" i="4"/>
  <c r="C939" i="4"/>
  <c r="D939" i="4"/>
  <c r="E939" i="4"/>
  <c r="F939" i="4"/>
  <c r="G939" i="4"/>
  <c r="H939" i="4"/>
  <c r="C953" i="4"/>
  <c r="D953" i="4"/>
  <c r="E953" i="4"/>
  <c r="F953" i="4"/>
  <c r="G953" i="4"/>
  <c r="H953" i="4"/>
  <c r="C966" i="4"/>
  <c r="D966" i="4"/>
  <c r="E966" i="4"/>
  <c r="F966" i="4"/>
  <c r="G966" i="4"/>
  <c r="H966" i="4"/>
  <c r="L966" i="4"/>
  <c r="M966" i="4"/>
  <c r="N966" i="4"/>
  <c r="O966" i="4"/>
  <c r="C978" i="4"/>
  <c r="D978" i="4"/>
  <c r="E978" i="4"/>
  <c r="F978" i="4"/>
  <c r="G978" i="4"/>
  <c r="H978" i="4"/>
  <c r="L978" i="4"/>
  <c r="M978" i="4"/>
  <c r="N978" i="4"/>
  <c r="O978" i="4"/>
  <c r="C989" i="4"/>
  <c r="D989" i="4"/>
  <c r="E989" i="4"/>
  <c r="F989" i="4"/>
  <c r="G989" i="4"/>
  <c r="H989" i="4"/>
  <c r="C999" i="4"/>
  <c r="D999" i="4"/>
  <c r="E999" i="4"/>
  <c r="F999" i="4"/>
  <c r="C1006" i="4"/>
  <c r="D1006" i="4"/>
  <c r="E1006" i="4"/>
  <c r="F1006" i="4"/>
  <c r="C1009" i="4"/>
  <c r="D1009" i="4"/>
  <c r="E1009" i="4"/>
  <c r="F1009" i="4"/>
  <c r="C1010" i="4"/>
  <c r="C1011" i="4"/>
  <c r="C1012" i="4"/>
  <c r="C1018" i="4"/>
  <c r="C1020" i="4" s="1"/>
  <c r="D1018" i="4"/>
  <c r="D1020" i="4" s="1"/>
  <c r="E1018" i="4"/>
  <c r="E1020" i="4" s="1"/>
  <c r="F1018" i="4"/>
  <c r="F1020" i="4" s="1"/>
  <c r="C1030" i="4"/>
  <c r="D1030" i="4"/>
  <c r="L1030" i="4"/>
  <c r="M1030" i="4"/>
  <c r="C1041" i="4"/>
  <c r="D1041" i="4"/>
  <c r="L1041" i="4"/>
  <c r="M1041" i="4"/>
  <c r="C1047" i="4"/>
  <c r="D1047" i="4"/>
  <c r="L1047" i="4"/>
  <c r="M1047" i="4"/>
  <c r="C1052" i="4"/>
  <c r="D1052" i="4"/>
  <c r="C1074" i="4"/>
  <c r="C1080" i="4"/>
  <c r="C1086" i="4"/>
  <c r="C1095" i="4"/>
  <c r="C1097" i="4" s="1"/>
  <c r="D1095" i="4"/>
  <c r="D1097" i="4" s="1"/>
  <c r="D1107" i="4"/>
  <c r="C1103" i="4" s="1"/>
  <c r="C1107" i="4" s="1"/>
  <c r="E1107" i="4"/>
  <c r="N1103" i="4" s="1"/>
  <c r="F1107" i="4"/>
  <c r="G1107" i="4"/>
  <c r="H1107" i="4"/>
  <c r="M1108" i="4"/>
  <c r="M1112" i="4" s="1"/>
  <c r="N1108" i="4"/>
  <c r="N1112" i="4" s="1"/>
  <c r="O1108" i="4"/>
  <c r="O1112" i="4" s="1"/>
  <c r="D1112" i="4"/>
  <c r="E1112" i="4"/>
  <c r="F1112" i="4"/>
  <c r="G1112" i="4"/>
  <c r="H1112" i="4"/>
  <c r="D1120" i="4"/>
  <c r="M1116" i="4" s="1"/>
  <c r="M1120" i="4" s="1"/>
  <c r="E1120" i="4"/>
  <c r="N1116" i="4" s="1"/>
  <c r="N1120" i="4" s="1"/>
  <c r="F1120" i="4"/>
  <c r="G1120" i="4"/>
  <c r="H1120" i="4"/>
  <c r="D1125" i="4"/>
  <c r="C1121" i="4" s="1"/>
  <c r="C1125" i="4" s="1"/>
  <c r="L1121" i="4" s="1"/>
  <c r="L1125" i="4" s="1"/>
  <c r="E1125" i="4"/>
  <c r="N1121" i="4" s="1"/>
  <c r="F1125" i="4"/>
  <c r="O1121" i="4" s="1"/>
  <c r="G1125" i="4"/>
  <c r="H1125" i="4"/>
  <c r="D1133" i="4"/>
  <c r="C1129" i="4" s="1"/>
  <c r="C1133" i="4" s="1"/>
  <c r="E1133" i="4"/>
  <c r="N1129" i="4" s="1"/>
  <c r="N1133" i="4" s="1"/>
  <c r="F1133" i="4"/>
  <c r="G1133" i="4"/>
  <c r="H1133" i="4"/>
  <c r="D1138" i="4"/>
  <c r="M1134" i="4" s="1"/>
  <c r="M1138" i="4" s="1"/>
  <c r="E1138" i="4"/>
  <c r="F1138" i="4"/>
  <c r="O1134" i="4" s="1"/>
  <c r="O1138" i="4" s="1"/>
  <c r="G1138" i="4"/>
  <c r="H1138" i="4"/>
  <c r="D1142" i="4"/>
  <c r="E1142" i="4"/>
  <c r="F1142" i="4"/>
  <c r="G1142" i="4"/>
  <c r="H1142" i="4"/>
  <c r="C1143" i="4"/>
  <c r="D1143" i="4"/>
  <c r="E1143" i="4"/>
  <c r="F1143" i="4"/>
  <c r="G1143" i="4"/>
  <c r="H1143" i="4"/>
  <c r="L1143" i="4"/>
  <c r="M1143" i="4"/>
  <c r="N1143" i="4"/>
  <c r="O1143" i="4"/>
  <c r="C1144" i="4"/>
  <c r="D1144" i="4"/>
  <c r="E1144" i="4"/>
  <c r="F1144" i="4"/>
  <c r="G1144" i="4"/>
  <c r="H1144" i="4"/>
  <c r="L1144" i="4"/>
  <c r="M1144" i="4"/>
  <c r="N1144" i="4"/>
  <c r="O1144" i="4"/>
  <c r="C1145" i="4"/>
  <c r="D1145" i="4"/>
  <c r="E1145" i="4"/>
  <c r="F1145" i="4"/>
  <c r="G1145" i="4"/>
  <c r="H1145" i="4"/>
  <c r="L1145" i="4"/>
  <c r="M1145" i="4"/>
  <c r="N1145" i="4"/>
  <c r="O1145" i="4"/>
  <c r="D1147" i="4"/>
  <c r="E1147" i="4"/>
  <c r="F1147" i="4"/>
  <c r="G1147" i="4"/>
  <c r="H1147" i="4"/>
  <c r="C1148" i="4"/>
  <c r="D1148" i="4"/>
  <c r="D338" i="4" s="1"/>
  <c r="E1148" i="4"/>
  <c r="E338" i="4" s="1"/>
  <c r="F1148" i="4"/>
  <c r="F338" i="4" s="1"/>
  <c r="G1148" i="4"/>
  <c r="G338" i="4" s="1"/>
  <c r="H1148" i="4"/>
  <c r="L1148" i="4"/>
  <c r="M1148" i="4"/>
  <c r="N1148" i="4"/>
  <c r="O1148" i="4"/>
  <c r="C1149" i="4"/>
  <c r="D1149" i="4"/>
  <c r="E1149" i="4"/>
  <c r="F1149" i="4"/>
  <c r="G1149" i="4"/>
  <c r="H1149" i="4"/>
  <c r="L1149" i="4"/>
  <c r="M1149" i="4"/>
  <c r="N1149" i="4"/>
  <c r="O1149" i="4"/>
  <c r="C1150" i="4"/>
  <c r="D1150" i="4"/>
  <c r="E1150" i="4"/>
  <c r="F1150" i="4"/>
  <c r="G1150" i="4"/>
  <c r="H1150" i="4"/>
  <c r="L1150" i="4"/>
  <c r="M1150" i="4"/>
  <c r="N1150" i="4"/>
  <c r="O1150" i="4"/>
  <c r="C1163" i="4"/>
  <c r="L1159" i="4" s="1"/>
  <c r="L1163" i="4" s="1"/>
  <c r="D1163" i="4"/>
  <c r="E1163" i="4"/>
  <c r="N1159" i="4" s="1"/>
  <c r="N1163" i="4" s="1"/>
  <c r="F1163" i="4"/>
  <c r="F1170" i="4" s="1"/>
  <c r="F240" i="4" s="1"/>
  <c r="G1163" i="4"/>
  <c r="G1170" i="4" s="1"/>
  <c r="G240" i="4" s="1"/>
  <c r="H1163" i="4"/>
  <c r="H1170" i="4" s="1"/>
  <c r="N1164" i="4"/>
  <c r="O1164" i="4"/>
  <c r="D1169" i="4"/>
  <c r="C1164" i="4" s="1"/>
  <c r="C1177" i="4"/>
  <c r="D1177" i="4"/>
  <c r="E1177" i="4"/>
  <c r="F1177" i="4"/>
  <c r="G1177" i="4"/>
  <c r="H1177" i="4"/>
  <c r="N1177" i="4"/>
  <c r="O1177" i="4"/>
  <c r="N1178" i="4"/>
  <c r="O1178" i="4"/>
  <c r="O1183" i="4" s="1"/>
  <c r="D1183" i="4"/>
  <c r="C1178" i="4" s="1"/>
  <c r="C1183" i="4" s="1"/>
  <c r="L1178" i="4" s="1"/>
  <c r="L1183" i="4" s="1"/>
  <c r="E1183" i="4"/>
  <c r="F1183" i="4"/>
  <c r="G1183" i="4"/>
  <c r="H1183" i="4"/>
  <c r="D1191" i="4"/>
  <c r="E1191" i="4"/>
  <c r="F1191" i="4"/>
  <c r="G1191" i="4"/>
  <c r="H1191" i="4"/>
  <c r="D1197" i="4"/>
  <c r="C1192" i="4" s="1"/>
  <c r="C1197" i="4" s="1"/>
  <c r="L1192" i="4" s="1"/>
  <c r="L1197" i="4" s="1"/>
  <c r="E1197" i="4"/>
  <c r="N1192" i="4" s="1"/>
  <c r="N1197" i="4" s="1"/>
  <c r="N1198" i="4" s="1"/>
  <c r="F1197" i="4"/>
  <c r="O1192" i="4" s="1"/>
  <c r="G1197" i="4"/>
  <c r="H1197" i="4"/>
  <c r="D1201" i="4"/>
  <c r="E1201" i="4"/>
  <c r="F1201" i="4"/>
  <c r="G1201" i="4"/>
  <c r="H1201" i="4"/>
  <c r="C1202" i="4"/>
  <c r="D1202" i="4"/>
  <c r="E1202" i="4"/>
  <c r="F1202" i="4"/>
  <c r="G1202" i="4"/>
  <c r="H1202" i="4"/>
  <c r="L1202" i="4"/>
  <c r="M1202" i="4"/>
  <c r="N1202" i="4"/>
  <c r="O1202" i="4"/>
  <c r="C1203" i="4"/>
  <c r="D1203" i="4"/>
  <c r="E1203" i="4"/>
  <c r="F1203" i="4"/>
  <c r="G1203" i="4"/>
  <c r="H1203" i="4"/>
  <c r="L1203" i="4"/>
  <c r="M1203" i="4"/>
  <c r="N1203" i="4"/>
  <c r="O1203" i="4"/>
  <c r="C1204" i="4"/>
  <c r="D1204" i="4"/>
  <c r="E1204" i="4"/>
  <c r="F1204" i="4"/>
  <c r="G1204" i="4"/>
  <c r="H1204" i="4"/>
  <c r="L1204" i="4"/>
  <c r="M1204" i="4"/>
  <c r="N1204" i="4"/>
  <c r="O1204" i="4"/>
  <c r="D1206" i="4"/>
  <c r="E1206" i="4"/>
  <c r="F1206" i="4"/>
  <c r="G1206" i="4"/>
  <c r="H1206" i="4"/>
  <c r="C1207" i="4"/>
  <c r="D1207" i="4"/>
  <c r="E1207" i="4"/>
  <c r="F1207" i="4"/>
  <c r="G1207" i="4"/>
  <c r="H1207" i="4"/>
  <c r="L1207" i="4"/>
  <c r="M1207" i="4"/>
  <c r="N1207" i="4"/>
  <c r="O1207" i="4"/>
  <c r="C1208" i="4"/>
  <c r="D1208" i="4"/>
  <c r="E1208" i="4"/>
  <c r="F1208" i="4"/>
  <c r="G1208" i="4"/>
  <c r="H1208" i="4"/>
  <c r="L1208" i="4"/>
  <c r="M1208" i="4"/>
  <c r="N1208" i="4"/>
  <c r="O1208" i="4"/>
  <c r="C1209" i="4"/>
  <c r="D1209" i="4"/>
  <c r="E1209" i="4"/>
  <c r="F1209" i="4"/>
  <c r="G1209" i="4"/>
  <c r="H1209" i="4"/>
  <c r="L1209" i="4"/>
  <c r="M1209" i="4"/>
  <c r="N1209" i="4"/>
  <c r="O1209" i="4"/>
  <c r="C1210" i="4"/>
  <c r="D1210" i="4"/>
  <c r="E1210" i="4"/>
  <c r="F1210" i="4"/>
  <c r="G1210" i="4"/>
  <c r="H1210" i="4"/>
  <c r="L1210" i="4"/>
  <c r="M1210" i="4"/>
  <c r="N1210" i="4"/>
  <c r="O1210" i="4"/>
  <c r="C1219" i="4"/>
  <c r="D1219" i="4"/>
  <c r="E1219" i="4"/>
  <c r="L1219" i="4"/>
  <c r="M1219" i="4"/>
  <c r="N1219" i="4"/>
  <c r="O1219" i="4"/>
  <c r="C1227" i="4"/>
  <c r="M1227" i="4"/>
  <c r="M1231" i="4" s="1"/>
  <c r="C1232" i="4"/>
  <c r="C1236" i="4" s="1"/>
  <c r="L1232" i="4" s="1"/>
  <c r="L1236" i="4" s="1"/>
  <c r="M1232" i="4"/>
  <c r="M1236" i="4" s="1"/>
  <c r="D1238" i="4"/>
  <c r="D1245" i="4"/>
  <c r="C1241" i="4" s="1"/>
  <c r="C1245" i="4" s="1"/>
  <c r="D1250" i="4"/>
  <c r="M1246" i="4" s="1"/>
  <c r="M1250" i="4" s="1"/>
  <c r="D1255" i="4"/>
  <c r="C1256" i="4"/>
  <c r="D1256" i="4"/>
  <c r="L1256" i="4"/>
  <c r="M1256" i="4"/>
  <c r="C1257" i="4"/>
  <c r="D1257" i="4"/>
  <c r="L1257" i="4"/>
  <c r="M1257" i="4"/>
  <c r="C1258" i="4"/>
  <c r="D1258" i="4"/>
  <c r="L1258" i="4"/>
  <c r="M1258" i="4"/>
  <c r="C1260" i="4"/>
  <c r="D1260" i="4"/>
  <c r="L1260" i="4"/>
  <c r="M1260" i="4"/>
  <c r="C1261" i="4"/>
  <c r="D1261" i="4"/>
  <c r="L1261" i="4"/>
  <c r="M1261" i="4"/>
  <c r="D1262" i="4"/>
  <c r="M1262" i="4"/>
  <c r="C1272" i="4"/>
  <c r="D1272" i="4"/>
  <c r="E1272" i="4"/>
  <c r="L1272" i="4"/>
  <c r="M1272" i="4"/>
  <c r="N1272" i="4"/>
  <c r="O1272" i="4"/>
  <c r="C1287" i="4"/>
  <c r="D1287" i="4"/>
  <c r="E1287" i="4"/>
  <c r="F1287" i="4"/>
  <c r="G1287" i="4"/>
  <c r="H1287" i="4"/>
  <c r="I1287" i="4"/>
  <c r="C1290" i="4"/>
  <c r="D1290" i="4"/>
  <c r="E1290" i="4"/>
  <c r="F1290" i="4"/>
  <c r="G1290" i="4"/>
  <c r="H1290" i="4"/>
  <c r="I1290" i="4"/>
  <c r="C1297" i="4"/>
  <c r="D1297" i="4"/>
  <c r="E1297" i="4"/>
  <c r="F1297" i="4"/>
  <c r="G1297" i="4"/>
  <c r="H1297" i="4"/>
  <c r="I1297" i="4"/>
  <c r="C1300" i="4"/>
  <c r="D1300" i="4"/>
  <c r="E1300" i="4"/>
  <c r="F1300" i="4"/>
  <c r="G1300" i="4"/>
  <c r="H1300" i="4"/>
  <c r="I1300" i="4"/>
  <c r="C1312" i="4"/>
  <c r="D1312" i="4"/>
  <c r="E1312" i="4"/>
  <c r="F1312" i="4"/>
  <c r="A1974" i="4"/>
  <c r="G173" i="4" l="1"/>
  <c r="C264" i="4"/>
  <c r="C271" i="4" s="1"/>
  <c r="L261" i="4"/>
  <c r="L266" i="4" s="1"/>
  <c r="C261" i="4"/>
  <c r="C266" i="4" s="1"/>
  <c r="M248" i="4"/>
  <c r="M246" i="4"/>
  <c r="M245" i="4"/>
  <c r="G245" i="4"/>
  <c r="G246" i="4"/>
  <c r="G248" i="4"/>
  <c r="L248" i="4"/>
  <c r="L246" i="4"/>
  <c r="L245" i="4"/>
  <c r="F245" i="4"/>
  <c r="F246" i="4"/>
  <c r="F248" i="4"/>
  <c r="D246" i="4"/>
  <c r="D248" i="4"/>
  <c r="D245" i="4"/>
  <c r="C245" i="4"/>
  <c r="C246" i="4"/>
  <c r="C248" i="4"/>
  <c r="M235" i="4"/>
  <c r="M234" i="4"/>
  <c r="L235" i="4"/>
  <c r="L234" i="4"/>
  <c r="C735" i="4"/>
  <c r="E238" i="4"/>
  <c r="C234" i="4"/>
  <c r="C235" i="4"/>
  <c r="H343" i="4"/>
  <c r="H346" i="4" s="1"/>
  <c r="H348" i="4" s="1"/>
  <c r="H349" i="4" s="1"/>
  <c r="H351" i="4" s="1"/>
  <c r="H204" i="4"/>
  <c r="G20" i="4"/>
  <c r="G210" i="4" s="1"/>
  <c r="G204" i="4"/>
  <c r="F20" i="4"/>
  <c r="F210" i="4" s="1"/>
  <c r="F204" i="4"/>
  <c r="E20" i="4"/>
  <c r="E210" i="4" s="1"/>
  <c r="E204" i="4"/>
  <c r="M15" i="4"/>
  <c r="M203" i="4"/>
  <c r="L15" i="4"/>
  <c r="L203" i="4"/>
  <c r="C15" i="4"/>
  <c r="C203" i="4"/>
  <c r="F297" i="4"/>
  <c r="F209" i="4" s="1"/>
  <c r="D297" i="4"/>
  <c r="E297" i="4"/>
  <c r="E209" i="4" s="1"/>
  <c r="H297" i="4"/>
  <c r="H298" i="4" s="1"/>
  <c r="G297" i="4"/>
  <c r="G209" i="4" s="1"/>
  <c r="F1126" i="4"/>
  <c r="E343" i="4"/>
  <c r="E346" i="4" s="1"/>
  <c r="E348" i="4" s="1"/>
  <c r="E349" i="4" s="1"/>
  <c r="E351" i="4" s="1"/>
  <c r="F557" i="4"/>
  <c r="F205" i="4" s="1"/>
  <c r="C1013" i="4"/>
  <c r="O1159" i="4"/>
  <c r="O1163" i="4" s="1"/>
  <c r="O1205" i="4" s="1"/>
  <c r="C64" i="4"/>
  <c r="F1301" i="4"/>
  <c r="D1291" i="4"/>
  <c r="H1211" i="4"/>
  <c r="H296" i="4" s="1"/>
  <c r="H299" i="4" s="1"/>
  <c r="E1291" i="4"/>
  <c r="D1170" i="4"/>
  <c r="D240" i="4" s="1"/>
  <c r="D1259" i="4"/>
  <c r="D354" i="4" s="1"/>
  <c r="H1198" i="4"/>
  <c r="F1184" i="4"/>
  <c r="C1291" i="4"/>
  <c r="O1184" i="4"/>
  <c r="M1164" i="4"/>
  <c r="M1169" i="4" s="1"/>
  <c r="E1211" i="4"/>
  <c r="E296" i="4" s="1"/>
  <c r="E299" i="4" s="1"/>
  <c r="D1301" i="4"/>
  <c r="C1246" i="4"/>
  <c r="C1250" i="4" s="1"/>
  <c r="L1246" i="4" s="1"/>
  <c r="L1250" i="4" s="1"/>
  <c r="C84" i="4"/>
  <c r="I308" i="4"/>
  <c r="I311" i="4" s="1"/>
  <c r="I321" i="4" s="1"/>
  <c r="H1184" i="4"/>
  <c r="D293" i="4"/>
  <c r="C293" i="4"/>
  <c r="C1116" i="4"/>
  <c r="C1120" i="4" s="1"/>
  <c r="C1126" i="4" s="1"/>
  <c r="G1139" i="4"/>
  <c r="M641" i="4"/>
  <c r="F1139" i="4"/>
  <c r="C216" i="4"/>
  <c r="F1198" i="4"/>
  <c r="E1113" i="4"/>
  <c r="F559" i="4"/>
  <c r="F206" i="4" s="1"/>
  <c r="D503" i="4"/>
  <c r="G214" i="4"/>
  <c r="C1301" i="4"/>
  <c r="H1291" i="4"/>
  <c r="F570" i="4"/>
  <c r="F208" i="4" s="1"/>
  <c r="E559" i="4"/>
  <c r="E206" i="4" s="1"/>
  <c r="C214" i="4"/>
  <c r="F1291" i="4"/>
  <c r="G1301" i="4"/>
  <c r="G1211" i="4"/>
  <c r="G296" i="4" s="1"/>
  <c r="G299" i="4" s="1"/>
  <c r="M1121" i="4"/>
  <c r="M1147" i="4" s="1"/>
  <c r="F561" i="4"/>
  <c r="F563" i="4" s="1"/>
  <c r="F343" i="4"/>
  <c r="F346" i="4" s="1"/>
  <c r="M1241" i="4"/>
  <c r="M1245" i="4" s="1"/>
  <c r="M1259" i="4" s="1"/>
  <c r="M1263" i="4" s="1"/>
  <c r="P641" i="4"/>
  <c r="E557" i="4"/>
  <c r="E205" i="4" s="1"/>
  <c r="H1205" i="4"/>
  <c r="H355" i="4" s="1"/>
  <c r="E1126" i="4"/>
  <c r="N641" i="4"/>
  <c r="G308" i="4"/>
  <c r="G311" i="4" s="1"/>
  <c r="G321" i="4" s="1"/>
  <c r="H1126" i="4"/>
  <c r="E293" i="4"/>
  <c r="F308" i="4"/>
  <c r="F311" i="4" s="1"/>
  <c r="F321" i="4" s="1"/>
  <c r="I1301" i="4"/>
  <c r="F588" i="4"/>
  <c r="F568" i="4"/>
  <c r="F207" i="4" s="1"/>
  <c r="H1301" i="4"/>
  <c r="E588" i="4"/>
  <c r="G293" i="4"/>
  <c r="G1113" i="4"/>
  <c r="F597" i="4"/>
  <c r="G1198" i="4"/>
  <c r="G1126" i="4"/>
  <c r="F1113" i="4"/>
  <c r="M84" i="4"/>
  <c r="D755" i="4"/>
  <c r="E1139" i="4"/>
  <c r="G343" i="4"/>
  <c r="G346" i="4" s="1"/>
  <c r="G348" i="4" s="1"/>
  <c r="G349" i="4" s="1"/>
  <c r="G351" i="4" s="1"/>
  <c r="L84" i="4"/>
  <c r="H1139" i="4"/>
  <c r="G1205" i="4"/>
  <c r="G355" i="4" s="1"/>
  <c r="D641" i="4"/>
  <c r="E503" i="4"/>
  <c r="D216" i="4"/>
  <c r="M1192" i="4"/>
  <c r="M1197" i="4" s="1"/>
  <c r="I1291" i="4"/>
  <c r="D1205" i="4"/>
  <c r="D355" i="4" s="1"/>
  <c r="N1201" i="4"/>
  <c r="D1139" i="4"/>
  <c r="C333" i="4"/>
  <c r="F586" i="4"/>
  <c r="E586" i="4"/>
  <c r="F214" i="4"/>
  <c r="H20" i="4"/>
  <c r="H1151" i="4"/>
  <c r="E570" i="4"/>
  <c r="E208" i="4" s="1"/>
  <c r="D214" i="4"/>
  <c r="L64" i="4"/>
  <c r="G1291" i="4"/>
  <c r="G1151" i="4"/>
  <c r="D343" i="4"/>
  <c r="D346" i="4" s="1"/>
  <c r="D348" i="4" s="1"/>
  <c r="D349" i="4" s="1"/>
  <c r="D351" i="4" s="1"/>
  <c r="C641" i="4"/>
  <c r="H293" i="4"/>
  <c r="F1205" i="4"/>
  <c r="F355" i="4" s="1"/>
  <c r="E1301" i="4"/>
  <c r="E1205" i="4"/>
  <c r="E355" i="4" s="1"/>
  <c r="D1198" i="4"/>
  <c r="G218" i="4"/>
  <c r="F293" i="4"/>
  <c r="D64" i="4"/>
  <c r="D239" i="4" s="1"/>
  <c r="D1151" i="4"/>
  <c r="F218" i="4"/>
  <c r="C1255" i="4"/>
  <c r="M1187" i="4"/>
  <c r="M1191" i="4" s="1"/>
  <c r="E1184" i="4"/>
  <c r="C1134" i="4"/>
  <c r="C1138" i="4" s="1"/>
  <c r="L1134" i="4" s="1"/>
  <c r="L1138" i="4" s="1"/>
  <c r="L641" i="4"/>
  <c r="F587" i="4"/>
  <c r="M64" i="4"/>
  <c r="M239" i="4" s="1"/>
  <c r="D1252" i="4"/>
  <c r="C1187" i="4"/>
  <c r="D1184" i="4"/>
  <c r="E641" i="4"/>
  <c r="E1198" i="4"/>
  <c r="C1108" i="4"/>
  <c r="F604" i="4"/>
  <c r="E568" i="4"/>
  <c r="E207" i="4" s="1"/>
  <c r="M1173" i="4"/>
  <c r="M1177" i="4" s="1"/>
  <c r="E1170" i="4"/>
  <c r="E240" i="4" s="1"/>
  <c r="H1113" i="4"/>
  <c r="D705" i="4"/>
  <c r="D710" i="4" s="1"/>
  <c r="D715" i="4" s="1"/>
  <c r="D718" i="4" s="1"/>
  <c r="O641" i="4"/>
  <c r="G619" i="4"/>
  <c r="O1116" i="4"/>
  <c r="O1120" i="4" s="1"/>
  <c r="F1211" i="4"/>
  <c r="F296" i="4" s="1"/>
  <c r="F299" i="4" s="1"/>
  <c r="H1146" i="4"/>
  <c r="H353" i="4" s="1"/>
  <c r="D735" i="4"/>
  <c r="E308" i="4"/>
  <c r="E311" i="4" s="1"/>
  <c r="E321" i="4" s="1"/>
  <c r="D1113" i="4"/>
  <c r="D308" i="4"/>
  <c r="D311" i="4" s="1"/>
  <c r="D321" i="4" s="1"/>
  <c r="H308" i="4"/>
  <c r="H311" i="4" s="1"/>
  <c r="H321" i="4" s="1"/>
  <c r="N1107" i="4"/>
  <c r="N1142" i="4"/>
  <c r="L1103" i="4"/>
  <c r="L1241" i="4"/>
  <c r="L1245" i="4" s="1"/>
  <c r="F641" i="4"/>
  <c r="C1169" i="4"/>
  <c r="C1206" i="4"/>
  <c r="O1147" i="4"/>
  <c r="O1125" i="4"/>
  <c r="N1125" i="4"/>
  <c r="N1126" i="4" s="1"/>
  <c r="O1206" i="4"/>
  <c r="O1197" i="4"/>
  <c r="N1206" i="4"/>
  <c r="M1238" i="4"/>
  <c r="N1205" i="4"/>
  <c r="N1170" i="4"/>
  <c r="N240" i="4" s="1"/>
  <c r="L1129" i="4"/>
  <c r="L1133" i="4" s="1"/>
  <c r="C330" i="4"/>
  <c r="L1173" i="4"/>
  <c r="M1159" i="4"/>
  <c r="D1126" i="4"/>
  <c r="F572" i="4"/>
  <c r="F574" i="4" s="1"/>
  <c r="E561" i="4"/>
  <c r="E563" i="4" s="1"/>
  <c r="M216" i="4"/>
  <c r="D20" i="4"/>
  <c r="D210" i="4" s="1"/>
  <c r="G1184" i="4"/>
  <c r="G634" i="4"/>
  <c r="G641" i="4" s="1"/>
  <c r="E572" i="4"/>
  <c r="E574" i="4" s="1"/>
  <c r="L216" i="4"/>
  <c r="M1178" i="4"/>
  <c r="E587" i="4"/>
  <c r="F1151" i="4"/>
  <c r="O1103" i="4"/>
  <c r="D1211" i="4"/>
  <c r="D296" i="4" s="1"/>
  <c r="D299" i="4" s="1"/>
  <c r="E1151" i="4"/>
  <c r="G1146" i="4"/>
  <c r="G353" i="4" s="1"/>
  <c r="O1129" i="4"/>
  <c r="O1133" i="4" s="1"/>
  <c r="O1139" i="4" s="1"/>
  <c r="F1146" i="4"/>
  <c r="F353" i="4" s="1"/>
  <c r="F582" i="4"/>
  <c r="F584" i="4" s="1"/>
  <c r="E216" i="4"/>
  <c r="C1231" i="4"/>
  <c r="C1184" i="4"/>
  <c r="E1146" i="4"/>
  <c r="E353" i="4" s="1"/>
  <c r="N1134" i="4"/>
  <c r="N1138" i="4" s="1"/>
  <c r="N1139" i="4" s="1"/>
  <c r="M1129" i="4"/>
  <c r="M1133" i="4" s="1"/>
  <c r="M1139" i="4" s="1"/>
  <c r="M1103" i="4"/>
  <c r="E582" i="4"/>
  <c r="E584" i="4" s="1"/>
  <c r="D1146" i="4"/>
  <c r="N1183" i="4"/>
  <c r="F619" i="4"/>
  <c r="M218" i="4"/>
  <c r="L218" i="4"/>
  <c r="D333" i="4"/>
  <c r="E218" i="4"/>
  <c r="C204" i="4" l="1"/>
  <c r="C343" i="4"/>
  <c r="D209" i="4"/>
  <c r="D241" i="4"/>
  <c r="L239" i="4"/>
  <c r="C239" i="4"/>
  <c r="D238" i="4"/>
  <c r="M238" i="4"/>
  <c r="M237" i="4"/>
  <c r="L238" i="4"/>
  <c r="L237" i="4"/>
  <c r="C238" i="4"/>
  <c r="C237" i="4"/>
  <c r="C20" i="4"/>
  <c r="C23" i="4" s="1"/>
  <c r="L20" i="4"/>
  <c r="L23" i="4" s="1"/>
  <c r="L204" i="4"/>
  <c r="M20" i="4"/>
  <c r="M23" i="4" s="1"/>
  <c r="M204" i="4"/>
  <c r="C346" i="4"/>
  <c r="C348" i="4" s="1"/>
  <c r="C297" i="4"/>
  <c r="H301" i="4"/>
  <c r="D298" i="4"/>
  <c r="E1314" i="4"/>
  <c r="F1212" i="4"/>
  <c r="G336" i="4"/>
  <c r="G339" i="4" s="1"/>
  <c r="F1314" i="4"/>
  <c r="C86" i="4"/>
  <c r="E336" i="4"/>
  <c r="E339" i="4" s="1"/>
  <c r="O1170" i="4"/>
  <c r="O240" i="4" s="1"/>
  <c r="F336" i="4"/>
  <c r="F339" i="4" s="1"/>
  <c r="O1201" i="4"/>
  <c r="D1314" i="4"/>
  <c r="C1314" i="4"/>
  <c r="H300" i="4"/>
  <c r="H1212" i="4"/>
  <c r="C1146" i="4"/>
  <c r="C353" i="4" s="1"/>
  <c r="F1152" i="4"/>
  <c r="L1116" i="4"/>
  <c r="L1120" i="4" s="1"/>
  <c r="L1126" i="4" s="1"/>
  <c r="D1263" i="4"/>
  <c r="F348" i="4"/>
  <c r="F349" i="4" s="1"/>
  <c r="F351" i="4" s="1"/>
  <c r="E1152" i="4"/>
  <c r="G1212" i="4"/>
  <c r="C1252" i="4"/>
  <c r="M1255" i="4"/>
  <c r="L1139" i="4"/>
  <c r="E298" i="4"/>
  <c r="C1147" i="4"/>
  <c r="F298" i="4"/>
  <c r="M1125" i="4"/>
  <c r="M1151" i="4" s="1"/>
  <c r="D1152" i="4"/>
  <c r="D1212" i="4"/>
  <c r="H360" i="4"/>
  <c r="H363" i="4" s="1"/>
  <c r="G1152" i="4"/>
  <c r="L86" i="4"/>
  <c r="C1139" i="4"/>
  <c r="M86" i="4"/>
  <c r="H1152" i="4"/>
  <c r="E1212" i="4"/>
  <c r="C1112" i="4"/>
  <c r="C1151" i="4" s="1"/>
  <c r="L1108" i="4"/>
  <c r="L1147" i="4" s="1"/>
  <c r="M1198" i="4"/>
  <c r="C1191" i="4"/>
  <c r="N1184" i="4"/>
  <c r="N1212" i="4" s="1"/>
  <c r="N1211" i="4"/>
  <c r="M1163" i="4"/>
  <c r="M1201" i="4"/>
  <c r="M1107" i="4"/>
  <c r="M1142" i="4"/>
  <c r="O1107" i="4"/>
  <c r="O1142" i="4"/>
  <c r="N1113" i="4"/>
  <c r="N1152" i="4" s="1"/>
  <c r="N1146" i="4"/>
  <c r="C1170" i="4"/>
  <c r="C240" i="4" s="1"/>
  <c r="C1211" i="4"/>
  <c r="C299" i="4" s="1"/>
  <c r="L1164" i="4"/>
  <c r="M1183" i="4"/>
  <c r="M1206" i="4"/>
  <c r="E360" i="4"/>
  <c r="E363" i="4" s="1"/>
  <c r="D353" i="4"/>
  <c r="D336" i="4" s="1"/>
  <c r="C1142" i="4"/>
  <c r="G360" i="4"/>
  <c r="G363" i="4" s="1"/>
  <c r="L1177" i="4"/>
  <c r="C1238" i="4"/>
  <c r="C1259" i="4"/>
  <c r="L1227" i="4"/>
  <c r="G298" i="4"/>
  <c r="N1151" i="4"/>
  <c r="N1147" i="4"/>
  <c r="O1151" i="4"/>
  <c r="O1126" i="4"/>
  <c r="O1211" i="4"/>
  <c r="O1198" i="4"/>
  <c r="F360" i="4"/>
  <c r="L1107" i="4"/>
  <c r="C40" i="4" l="1"/>
  <c r="C274" i="4" s="1"/>
  <c r="C284" i="4"/>
  <c r="C281" i="4"/>
  <c r="C280" i="4"/>
  <c r="M267" i="4"/>
  <c r="M40" i="4"/>
  <c r="L267" i="4"/>
  <c r="L40" i="4"/>
  <c r="C241" i="4"/>
  <c r="C29" i="4"/>
  <c r="C267" i="4"/>
  <c r="C210" i="4"/>
  <c r="C349" i="4"/>
  <c r="C351" i="4" s="1"/>
  <c r="C298" i="4"/>
  <c r="C286" i="4" s="1"/>
  <c r="M38" i="4"/>
  <c r="M29" i="4"/>
  <c r="M102" i="4" s="1"/>
  <c r="M121" i="4" s="1"/>
  <c r="M305" i="4" s="1"/>
  <c r="M308" i="4" s="1"/>
  <c r="M311" i="4" s="1"/>
  <c r="M321" i="4" s="1"/>
  <c r="L29" i="4"/>
  <c r="L102" i="4" s="1"/>
  <c r="L121" i="4" s="1"/>
  <c r="L305" i="4" s="1"/>
  <c r="L308" i="4" s="1"/>
  <c r="L311" i="4" s="1"/>
  <c r="L321" i="4" s="1"/>
  <c r="L38" i="4"/>
  <c r="D300" i="4"/>
  <c r="D301" i="4"/>
  <c r="G300" i="4"/>
  <c r="G301" i="4"/>
  <c r="F300" i="4"/>
  <c r="F301" i="4"/>
  <c r="E300" i="4"/>
  <c r="E301" i="4"/>
  <c r="C38" i="4"/>
  <c r="L1142" i="4"/>
  <c r="O1212" i="4"/>
  <c r="M1126" i="4"/>
  <c r="L1112" i="4"/>
  <c r="L1151" i="4" s="1"/>
  <c r="F363" i="4"/>
  <c r="C1113" i="4"/>
  <c r="C1152" i="4" s="1"/>
  <c r="L1187" i="4"/>
  <c r="C1205" i="4"/>
  <c r="C1198" i="4"/>
  <c r="C1212" i="4" s="1"/>
  <c r="L1255" i="4"/>
  <c r="L1231" i="4"/>
  <c r="M1211" i="4"/>
  <c r="M1184" i="4"/>
  <c r="L1169" i="4"/>
  <c r="L1206" i="4"/>
  <c r="C1263" i="4"/>
  <c r="L1184" i="4"/>
  <c r="L1146" i="4"/>
  <c r="O1146" i="4"/>
  <c r="O1113" i="4"/>
  <c r="O1152" i="4" s="1"/>
  <c r="D339" i="4"/>
  <c r="D360" i="4"/>
  <c r="D363" i="4" s="1"/>
  <c r="M1113" i="4"/>
  <c r="M1146" i="4"/>
  <c r="M1205" i="4"/>
  <c r="M1170" i="4"/>
  <c r="M240" i="4" s="1"/>
  <c r="C287" i="4" l="1"/>
  <c r="C285" i="4" s="1"/>
  <c r="C102" i="4"/>
  <c r="C121" i="4" s="1"/>
  <c r="C305" i="4" s="1"/>
  <c r="C308" i="4" s="1"/>
  <c r="C311" i="4" s="1"/>
  <c r="C321" i="4" s="1"/>
  <c r="C282" i="4"/>
  <c r="C301" i="4"/>
  <c r="C268" i="4"/>
  <c r="C300" i="4"/>
  <c r="C336" i="4"/>
  <c r="C339" i="4" s="1"/>
  <c r="C337" i="4"/>
  <c r="L1113" i="4"/>
  <c r="L1152" i="4" s="1"/>
  <c r="M1152" i="4"/>
  <c r="M1212" i="4"/>
  <c r="L1191" i="4"/>
  <c r="L1201" i="4"/>
  <c r="L1211" i="4"/>
  <c r="L1170" i="4"/>
  <c r="L240" i="4" s="1"/>
  <c r="C360" i="4"/>
  <c r="C363" i="4" s="1"/>
  <c r="L1238" i="4"/>
  <c r="L1259" i="4"/>
  <c r="L1263" i="4" s="1"/>
  <c r="C270" i="4" l="1"/>
  <c r="L1198" i="4"/>
  <c r="L1212" i="4" s="1"/>
  <c r="L1205" i="4"/>
  <c r="D122" i="2" l="1"/>
  <c r="C122" i="2"/>
  <c r="D111" i="2"/>
  <c r="C111" i="2"/>
  <c r="D82" i="2"/>
  <c r="C82" i="2"/>
  <c r="D67" i="2"/>
  <c r="D69" i="2" s="1"/>
  <c r="C67" i="2"/>
  <c r="D60" i="2"/>
  <c r="C60" i="2"/>
  <c r="D51" i="2"/>
  <c r="C51" i="2"/>
  <c r="C44" i="2"/>
  <c r="D44" i="2"/>
  <c r="D53" i="2" s="1"/>
  <c r="C9" i="2"/>
  <c r="C12" i="2" s="1"/>
  <c r="C15" i="2" s="1"/>
  <c r="C18" i="2" s="1"/>
  <c r="C24" i="2" s="1"/>
  <c r="C30" i="2" s="1"/>
  <c r="D9" i="2"/>
  <c r="D12" i="2" s="1"/>
  <c r="D15" i="2" s="1"/>
  <c r="D18" i="2" s="1"/>
  <c r="D24" i="2" s="1"/>
  <c r="D30" i="2" s="1"/>
  <c r="L9" i="2"/>
  <c r="L12" i="2" s="1"/>
  <c r="L15" i="2" s="1"/>
  <c r="L18" i="2" s="1"/>
  <c r="L24" i="2" s="1"/>
  <c r="L30" i="2" s="1"/>
  <c r="M9" i="2"/>
  <c r="M12" i="2" s="1"/>
  <c r="M15" i="2" s="1"/>
  <c r="M18" i="2" s="1"/>
  <c r="E15" i="2"/>
  <c r="F30" i="2"/>
  <c r="G30" i="2"/>
  <c r="H30" i="2"/>
  <c r="I30" i="2"/>
  <c r="N30" i="2"/>
  <c r="F44" i="2"/>
  <c r="G44" i="2"/>
  <c r="H44" i="2"/>
  <c r="I44" i="2"/>
  <c r="L44" i="2"/>
  <c r="M44" i="2"/>
  <c r="F51" i="2"/>
  <c r="G51" i="2"/>
  <c r="G53" i="2" s="1"/>
  <c r="H51" i="2"/>
  <c r="I51" i="2"/>
  <c r="L51" i="2"/>
  <c r="M51" i="2"/>
  <c r="F60" i="2"/>
  <c r="G60" i="2"/>
  <c r="L60" i="2"/>
  <c r="L69" i="2" s="1"/>
  <c r="M60" i="2"/>
  <c r="F67" i="2"/>
  <c r="G67" i="2"/>
  <c r="H67" i="2"/>
  <c r="I67" i="2"/>
  <c r="L67" i="2"/>
  <c r="M67" i="2"/>
  <c r="F82" i="2"/>
  <c r="G82" i="2"/>
  <c r="L82" i="2"/>
  <c r="M82" i="2"/>
  <c r="L111" i="2"/>
  <c r="M111" i="2"/>
  <c r="L122" i="2"/>
  <c r="M122" i="2"/>
  <c r="E144" i="2"/>
  <c r="F144" i="2"/>
  <c r="G144" i="2"/>
  <c r="E170" i="2"/>
  <c r="F170" i="2"/>
  <c r="J183" i="2"/>
  <c r="Q183" i="2"/>
  <c r="J184" i="2"/>
  <c r="Q184" i="2"/>
  <c r="J185" i="2"/>
  <c r="Q185" i="2"/>
  <c r="J186" i="2"/>
  <c r="Q186" i="2"/>
  <c r="J187" i="2"/>
  <c r="Q187" i="2"/>
  <c r="J188" i="2"/>
  <c r="Q188" i="2"/>
  <c r="J189" i="2"/>
  <c r="Q189" i="2"/>
  <c r="E218" i="2"/>
  <c r="F218" i="2"/>
  <c r="E239" i="2"/>
  <c r="F239" i="2"/>
  <c r="E245" i="2"/>
  <c r="F245" i="2"/>
  <c r="E251" i="2"/>
  <c r="F251" i="2"/>
  <c r="E256" i="2"/>
  <c r="F256" i="2"/>
  <c r="E270" i="2"/>
  <c r="F270" i="2"/>
  <c r="E277" i="2"/>
  <c r="F277" i="2"/>
  <c r="E377" i="2"/>
  <c r="F377" i="2"/>
  <c r="E387" i="2"/>
  <c r="E394" i="2" s="1"/>
  <c r="F387" i="2"/>
  <c r="F394" i="2" s="1"/>
  <c r="E401" i="2"/>
  <c r="F401" i="2"/>
  <c r="C53" i="2" l="1"/>
  <c r="D71" i="2"/>
  <c r="C69" i="2"/>
  <c r="M53" i="2"/>
  <c r="C71" i="2"/>
  <c r="D90" i="2"/>
  <c r="D100" i="2" s="1"/>
  <c r="D104" i="2" s="1"/>
  <c r="C90" i="2"/>
  <c r="C100" i="2" s="1"/>
  <c r="C104" i="2" s="1"/>
  <c r="L53" i="2"/>
  <c r="L71" i="2" s="1"/>
  <c r="I53" i="2"/>
  <c r="I71" i="2" s="1"/>
  <c r="I144" i="2"/>
  <c r="F69" i="2"/>
  <c r="J190" i="2"/>
  <c r="G69" i="2"/>
  <c r="G71" i="2" s="1"/>
  <c r="H53" i="2"/>
  <c r="H71" i="2" s="1"/>
  <c r="Q190" i="2"/>
  <c r="M69" i="2"/>
  <c r="F53" i="2"/>
  <c r="M24" i="2"/>
  <c r="M30" i="2" s="1"/>
  <c r="M90" i="2"/>
  <c r="M100" i="2" s="1"/>
  <c r="M104" i="2" s="1"/>
  <c r="L90" i="2"/>
  <c r="L100" i="2" s="1"/>
  <c r="L104" i="2" s="1"/>
  <c r="M71" i="2" l="1"/>
  <c r="F7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Fation Burrniku</author>
  </authors>
  <commentList>
    <comment ref="B247" authorId="0" shapeId="0" xr:uid="{00000000-0006-0000-0100-000001000000}">
      <text>
        <r>
          <rPr>
            <b/>
            <sz val="9"/>
            <color indexed="81"/>
            <rFont val="Tahoma"/>
            <family val="2"/>
          </rPr>
          <t>Fation Burrniku:</t>
        </r>
        <r>
          <rPr>
            <sz val="9"/>
            <color indexed="81"/>
            <rFont val="Tahoma"/>
            <family val="2"/>
          </rPr>
          <t xml:space="preserve">
Key management is considered to be those on the Executive Committee (being the Executive Directors and other senior management) and the Non-Executive Directors. The employment costs of key management are as follows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Faition Burrniku</author>
    <author>Author</author>
    <author>Fation Burrniku</author>
  </authors>
  <commentList>
    <comment ref="C18" authorId="0" shapeId="0" xr:uid="{11906029-775A-46DC-8B50-D41BE51E8BFB}">
      <text>
        <r>
          <rPr>
            <sz val="9"/>
            <color indexed="81"/>
            <rFont val="Tahoma"/>
            <family val="2"/>
          </rPr>
          <t xml:space="preserve">
</t>
        </r>
        <r>
          <rPr>
            <sz val="11"/>
            <color indexed="81"/>
            <rFont val="Tahoma"/>
            <family val="2"/>
          </rPr>
          <t xml:space="preserve">
- Interest on leases and debt. Interest on leases = 12.8 and debt = 5.9 = 18.7
The net finance expense for the period increased to £18.4m (FY20: £17.8m) with the increase driven by fees relating to the £100m credit facility arranged in May 2020 as part of our COVID-19 response. This facility remained unutilised for the entire term and, post year end, has been allowed to expire without seeking renewal.</t>
        </r>
        <r>
          <rPr>
            <sz val="9"/>
            <color indexed="81"/>
            <rFont val="Tahoma"/>
            <family val="2"/>
          </rPr>
          <t xml:space="preserve">
</t>
        </r>
      </text>
    </comment>
    <comment ref="C22" authorId="0" shapeId="0" xr:uid="{18E4AE26-4757-4F1F-8815-AB2AAD42F386}">
      <text>
        <r>
          <rPr>
            <sz val="9"/>
            <color indexed="81"/>
            <rFont val="Tahoma"/>
            <family val="2"/>
          </rPr>
          <t xml:space="preserve">
</t>
        </r>
        <r>
          <rPr>
            <sz val="12"/>
            <color indexed="81"/>
            <rFont val="Tahoma"/>
            <family val="2"/>
          </rPr>
          <t>Taxation, net income &amp; EPS Underlying total tax expense for the period was £17.3m# , a rate of 19.8% on underlying pre-tax profit. Underlying net income for the year, after tax, decreased by 6.3% to £70.2m# (FY20: £74.9m), whilst statutory net income for the year, after tax, increased by 47.1% to £99.0m (FY20: £67.4m), driven by the £30.2m profit on disposal of the Specialist Group. Underlying basic earnings per share were 14.0 pence# (FY20: 15.0 pence) and statutory basic earnings per share were 19.8 pence (FY20: 13.5 pence).</t>
        </r>
      </text>
    </comment>
    <comment ref="C52" authorId="0" shapeId="0" xr:uid="{5274851F-265C-49B8-8C34-3A1733C2ACB9}">
      <text>
        <r>
          <rPr>
            <sz val="9"/>
            <color indexed="81"/>
            <rFont val="Tahoma"/>
            <family val="2"/>
          </rPr>
          <t xml:space="preserve">
Huge chunk of this intangible is goodwill. The KKR goodwill from aquisition</t>
        </r>
      </text>
    </comment>
    <comment ref="C121" authorId="0" shapeId="0" xr:uid="{C04B719A-015F-4F6A-AFC2-1296EB9D87A4}">
      <text>
        <r>
          <rPr>
            <b/>
            <sz val="9"/>
            <color indexed="81"/>
            <rFont val="Tahoma"/>
            <family val="2"/>
          </rPr>
          <t>Faition Burrniku:</t>
        </r>
        <r>
          <rPr>
            <sz val="9"/>
            <color indexed="81"/>
            <rFont val="Tahoma"/>
            <family val="2"/>
          </rPr>
          <t xml:space="preserve">
</t>
        </r>
        <r>
          <rPr>
            <sz val="11"/>
            <color indexed="81"/>
            <rFont val="Tahoma"/>
            <family val="2"/>
          </rPr>
          <t>The cash movement in trading working capital for FY21 was an outflow of £16.5m. This was predominantly driven by a £22.1m increase in inventory, reflecting the rebuild of stock levels throughout the period following the customer stockpiling seen towards the end of FY20. The strong financial performance across our Joint Venture First Opinion vet practices, as well as the 6-month loan holiday we agreed with third party banks as part of the COVID-19 response, led to the gross value of operating loans reducing by £10.8m to £26.7m (FY20: £37.5m). This decreased the overall Group cash working capital outflow to £5.7m (FY20: £28.2m inflow), and supported the solid cash generation of the Vet Group. The provision held against the gross value of operating loans was £6.2m (FY20: £8.0m) representing 23% of the gross value of the loans.</t>
        </r>
      </text>
    </comment>
    <comment ref="C138" authorId="0" shapeId="0" xr:uid="{0C616E90-AA1B-488E-BA6C-93D731FBFFC9}">
      <text>
        <r>
          <rPr>
            <b/>
            <sz val="9"/>
            <color indexed="81"/>
            <rFont val="Tahoma"/>
            <family val="2"/>
          </rPr>
          <t>Faition Burrniku:</t>
        </r>
        <r>
          <rPr>
            <sz val="12"/>
            <color indexed="81"/>
            <rFont val="Tahoma"/>
            <family val="2"/>
          </rPr>
          <t xml:space="preserve">
Capital investment 
Capital investment was £44.4m (FY20: £38.3m) and was focused on three strategic growth areas; a £5.6m (FY20: £3.5m) investment to increase capacity within our distribution network, £4.8m (FY20: £11.1m) to rollout our next generation store format, and investment in data analytics and business systems totalling £22.9m (FY20: £14.9m), as we continue to progress our data and digital agenda. The balance of capital spend supported the ongoing maintenance of our asset base. Cash capital expenditure was £34.9m (FY20: £39.6m).
</t>
        </r>
      </text>
    </comment>
    <comment ref="E210" authorId="0" shapeId="0" xr:uid="{2749CE7B-61E6-4EDA-B5AC-B43DEB792FF9}">
      <text>
        <r>
          <rPr>
            <b/>
            <sz val="9"/>
            <color indexed="81"/>
            <rFont val="Tahoma"/>
            <family val="2"/>
          </rPr>
          <t>Faition Burrniku:</t>
        </r>
        <r>
          <rPr>
            <sz val="9"/>
            <color indexed="81"/>
            <rFont val="Tahoma"/>
            <family val="2"/>
          </rPr>
          <t xml:space="preserve">
</t>
        </r>
        <r>
          <rPr>
            <sz val="11"/>
            <color indexed="81"/>
            <rFont val="Tahoma"/>
            <family val="2"/>
          </rPr>
          <t>Figure of 60 is completely arbitrary</t>
        </r>
      </text>
    </comment>
    <comment ref="F210" authorId="0" shapeId="0" xr:uid="{858E5D8D-4523-43B0-A148-8F5B991DB8EF}">
      <text>
        <r>
          <rPr>
            <b/>
            <sz val="9"/>
            <color indexed="81"/>
            <rFont val="Tahoma"/>
            <family val="2"/>
          </rPr>
          <t>Faition Burrniku:</t>
        </r>
        <r>
          <rPr>
            <sz val="9"/>
            <color indexed="81"/>
            <rFont val="Tahoma"/>
            <family val="2"/>
          </rPr>
          <t xml:space="preserve">
Assume a £5m decrease each year</t>
        </r>
      </text>
    </comment>
    <comment ref="B213" authorId="0" shapeId="0" xr:uid="{6E42ECD6-C6B0-4604-A9D2-714F2B38FC93}">
      <text>
        <r>
          <rPr>
            <sz val="9"/>
            <color indexed="81"/>
            <rFont val="Tahoma"/>
            <family val="2"/>
          </rPr>
          <t xml:space="preserve">
</t>
        </r>
        <r>
          <rPr>
            <sz val="11"/>
            <color indexed="81"/>
            <rFont val="Tahoma"/>
            <family val="2"/>
          </rPr>
          <t xml:space="preserve">
We aim to provide customers with the full spectrum of dietary choices; from grocery brands through to our comprehensive range of Advanced Nutrition diets, which are a more considered purchase offering significant health benefits to dogs and cats. Our ‘bridging’ ranges, which sit between grocery brands and Advanced Nutrition, can help customers make a step up to a more advanced diet for their pets in an affordable way, and these ranges continue to grow in popularity. We always look to offer competitive prices, particularly on those products we know matter most to our customers. Across both branded products and our range of private labels, which represent close to a third of all food sales but an even higher proportion of the Advanced Nutrition category, we help pet owners feed their pet the best possible diet for their budget. Our online Easy Repeat food subscription service, where customers can customise regular delivery of pet food across a selection of brands, maximises convenience and rewards our most loyal customers with even better prices.</t>
        </r>
      </text>
    </comment>
    <comment ref="C213" authorId="0" shapeId="0" xr:uid="{CCD64D5E-E7D3-48C9-AFBE-B7574F697DB1}">
      <text>
        <r>
          <rPr>
            <b/>
            <sz val="9"/>
            <color indexed="81"/>
            <rFont val="Tahoma"/>
            <family val="2"/>
          </rPr>
          <t>Faition Burrniku:</t>
        </r>
        <r>
          <rPr>
            <sz val="9"/>
            <color indexed="81"/>
            <rFont val="Tahoma"/>
            <family val="2"/>
          </rPr>
          <t xml:space="preserve">
</t>
        </r>
        <r>
          <rPr>
            <sz val="11"/>
            <color indexed="81"/>
            <rFont val="Tahoma"/>
            <family val="2"/>
          </rPr>
          <t xml:space="preserve">
range of private labels, which represent close to a third of all food sales but an even higher proportion of the Advanced Nutrition category
</t>
        </r>
        <r>
          <rPr>
            <b/>
            <u/>
            <sz val="11"/>
            <color indexed="81"/>
            <rFont val="Tahoma"/>
            <family val="2"/>
          </rPr>
          <t>Strong penetration of private label</t>
        </r>
        <r>
          <rPr>
            <sz val="11"/>
            <color indexed="81"/>
            <rFont val="Tahoma"/>
            <family val="2"/>
          </rPr>
          <t xml:space="preserve">
• c30% participation of Food revenue
• Even higher within Advanced Nutrition
category
• c50% participation of Accessories revenue</t>
        </r>
      </text>
    </comment>
    <comment ref="C215" authorId="0" shapeId="0" xr:uid="{B29CEF67-02E4-4039-9B3C-A1E33D7BAB12}">
      <text>
        <r>
          <rPr>
            <b/>
            <sz val="9"/>
            <color indexed="81"/>
            <rFont val="Tahoma"/>
            <family val="2"/>
          </rPr>
          <t>Faition Burrniku:</t>
        </r>
        <r>
          <rPr>
            <sz val="9"/>
            <color indexed="81"/>
            <rFont val="Tahoma"/>
            <family val="2"/>
          </rPr>
          <t xml:space="preserve">
</t>
        </r>
        <r>
          <rPr>
            <sz val="11"/>
            <color indexed="81"/>
            <rFont val="Tahoma"/>
            <family val="2"/>
          </rPr>
          <t>The Groom Room is the largest branded chain of pet grooming salons in the UK. With fully glazed partition walls creating a focal point in-store, our highly trained stylists perform the full range of pet grooming services including a full groom, bath and brush, microchipping and nail clipping. The welfare of our pets in-store will always be of the utmost importance to us, and we invest considerably in a dedicated team of pet experts to fully provide for their needs. Our in-store colleagues are empowered to politely decline a sale if they are not satisfied that the pet’s welfare needs will be met in its new home. We also recognise the importance of pet insurance as a key element of responsible pet ownership, and continue to work with Petplan, the UK’s number one provider of pet insurance products, across our Group to introduce customers to their products, from which we earn certain commissions</t>
        </r>
        <r>
          <rPr>
            <sz val="9"/>
            <color indexed="81"/>
            <rFont val="Tahoma"/>
            <family val="2"/>
          </rPr>
          <t>.</t>
        </r>
      </text>
    </comment>
    <comment ref="C217" authorId="0" shapeId="0" xr:uid="{438030AA-603C-4CC5-BF51-C98FF1A80E0A}">
      <text>
        <r>
          <rPr>
            <b/>
            <sz val="9"/>
            <color indexed="81"/>
            <rFont val="Tahoma"/>
            <family val="2"/>
          </rPr>
          <t>Faition Burrniku:</t>
        </r>
        <r>
          <rPr>
            <sz val="9"/>
            <color indexed="81"/>
            <rFont val="Tahoma"/>
            <family val="2"/>
          </rPr>
          <t xml:space="preserve">
</t>
        </r>
        <r>
          <rPr>
            <sz val="11"/>
            <color indexed="81"/>
            <rFont val="Tahoma"/>
            <family val="2"/>
          </rPr>
          <t xml:space="preserve">
Due to the more discretionary nature of accessory purchases, innovation remains critical to growth in this category. Customer trends are constantly changing and our dedicated team responsible for product innovation take inspiration from pet markets in other countries to ensure our ranges are always new and exciting – particularly across our private label brands, which represent around half of all accessory sales. Since customers often prefer to compare and contrast accessories before purchasing, this category contributes more to store sales than to those made online</t>
        </r>
      </text>
    </comment>
    <comment ref="B223" authorId="0" shapeId="0" xr:uid="{8DB2D997-6964-4800-A2DC-E9FB77BB8239}">
      <text>
        <r>
          <rPr>
            <b/>
            <sz val="9"/>
            <color indexed="81"/>
            <rFont val="Tahoma"/>
            <family val="2"/>
          </rPr>
          <t>Faition Burrniku:</t>
        </r>
        <r>
          <rPr>
            <sz val="9"/>
            <color indexed="81"/>
            <rFont val="Tahoma"/>
            <family val="2"/>
          </rPr>
          <t xml:space="preserve">
</t>
        </r>
        <r>
          <rPr>
            <u/>
            <sz val="12"/>
            <color indexed="81"/>
            <rFont val="Tahoma"/>
            <family val="2"/>
          </rPr>
          <t>Unique benefits from being part of Pets at Home Group</t>
        </r>
        <r>
          <rPr>
            <sz val="12"/>
            <color indexed="81"/>
            <rFont val="Tahoma"/>
            <family val="2"/>
          </rPr>
          <t xml:space="preserve">
• Cross-sell opportunities with Pets at Home VIP loyalty club
• Introductions made by store colleagues
Unified brand driving customer recognition
• Largest branded veterinary business in the UK
We operate the largest branded network of First Opinion veterinary practices in the UK, with a total of 441 practices operating mainly under the Vets4Pets brand name. Approximately two thirds of those practices are situated in one of our Retail stores with the remainder operating from standalone locations
</t>
        </r>
        <r>
          <rPr>
            <b/>
            <sz val="12"/>
            <color indexed="81"/>
            <rFont val="Tahoma"/>
            <family val="2"/>
          </rPr>
          <t>First Opinion vet business</t>
        </r>
        <r>
          <rPr>
            <sz val="12"/>
            <color indexed="81"/>
            <rFont val="Tahoma"/>
            <family val="2"/>
          </rPr>
          <t xml:space="preserve"> Our preferred model has always been to build value through shared ownership. We operate a total of 395 Joint Venture practices which are all established as individual small businesses, funded by a small investment from a vet Partner and Pets at Home to create the Joint Venture. We then help to arrange a larger third party bank loan to provide for the fit-out and initial working capital requirements of the practice, with further funding provided by Pets at Home over time if needed. Pets at Home receives a percentage of the practice customer sales as fee income from day one, in return for the business support services we provide. Rent and other occupancy costs are also charged to practices located inside a Pets at Home store based on the space that they occupy. By being business owners, Joint Venture Partners are strongly incentivised to drive the performance of their practice. They are entitled to withdraw all the business profits once loans are repaid, given sufficient cash reserves, with these dividends being in addition to any market rate salary taken. The Partner also receives 100% of the capital value of the business should it be sold in the future once debt free, providing a clear route to exit. In addition to our Joint Venture practices, we also operate 46 practices under a company managed model. In these practices, the vet and all other practice colleagues are employed directly by the Vet Group and rather than receive fee for services provided as under the Joint Venture arrangement, the financial results of these practices are consolidated in the Group financial statements. By operating company managed practices, it gives prospective Joint Venture Partners the opportunity to work with us before committing to a Joint Venture agreement, acting as a valuable stepping stone for entrepreneurial vets who hold an ambition to own their own business.
</t>
        </r>
        <r>
          <rPr>
            <b/>
            <sz val="12"/>
            <color indexed="81"/>
            <rFont val="Tahoma"/>
            <family val="2"/>
          </rPr>
          <t xml:space="preserve">
The Vet Connection</t>
        </r>
        <r>
          <rPr>
            <sz val="12"/>
            <color indexed="81"/>
            <rFont val="Tahoma"/>
            <family val="2"/>
          </rPr>
          <t xml:space="preserve"> In the year, we acquired The Vet Connection (‘TVC‘), a long established veterinary telehealth provider, marking an important step in the development of our digital capabilities, providing trusted advice and even more convenient pet care services. TVC provides on demand, high quality, round-the-clock veterinary telehealth advice, triage and ancillary services to a wide range of customers and their pets utilising an experienced in-house veterinary team, extensive proprietary clinical protocols and a robust and scalable infrastructure. By leveraging these assets, we will look to incorporate their capabilities into our existing customer offer – across product, services and subscriptions – to enhance the overall customer experience.
We provide a comprehensive range of small animal veterinary services through a network of First Opinion practices which handle all aspects of general veterinary care, as well as offering round-the-clock veterinary telehealth advice and triage so clients can access all their pet healthcare needs whenever they need to.</t>
        </r>
      </text>
    </comment>
    <comment ref="B228" authorId="0" shapeId="0" xr:uid="{10DD7D39-F20D-4E82-A8CD-857FE17CE7E4}">
      <text>
        <r>
          <rPr>
            <b/>
            <sz val="9"/>
            <color indexed="81"/>
            <rFont val="Tahoma"/>
            <family val="2"/>
          </rPr>
          <t>Faition Burrniku:</t>
        </r>
        <r>
          <rPr>
            <sz val="9"/>
            <color indexed="81"/>
            <rFont val="Tahoma"/>
            <family val="2"/>
          </rPr>
          <t xml:space="preserve">
Includes income generated from non-revenue based fees such as those relating to the set up of new practices, income generated from the sale of company managed practices, and other supplier income</t>
        </r>
      </text>
    </comment>
    <comment ref="B232" authorId="1" shapeId="0" xr:uid="{4232DB34-F2CF-4FEB-8CCC-38BF915CEB36}">
      <text>
        <r>
          <rPr>
            <b/>
            <sz val="9"/>
            <color indexed="81"/>
            <rFont val="Tahoma"/>
            <family val="2"/>
          </rPr>
          <t xml:space="preserve">Author:
</t>
        </r>
        <r>
          <rPr>
            <b/>
            <u/>
            <sz val="9"/>
            <color indexed="81"/>
            <rFont val="Tahoma"/>
            <family val="2"/>
          </rPr>
          <t>CFA LVL 2:</t>
        </r>
        <r>
          <rPr>
            <b/>
            <sz val="9"/>
            <color indexed="81"/>
            <rFont val="Tahoma"/>
            <family val="2"/>
          </rPr>
          <t xml:space="preserve">
</t>
        </r>
        <r>
          <rPr>
            <sz val="9"/>
            <color indexed="81"/>
            <rFont val="Tahoma"/>
            <family val="2"/>
          </rPr>
          <t xml:space="preserve">
Formula = (Long-term + Short-term Debt) - Cash &amp; Cash Eq 
- Do not include payables.
- If net debt is negative, it means we have "net cash". Net cash is when there is more cash than debt. 
</t>
        </r>
        <r>
          <rPr>
            <b/>
            <u/>
            <sz val="9"/>
            <color indexed="81"/>
            <rFont val="Tahoma"/>
            <family val="2"/>
          </rPr>
          <t xml:space="preserve">
INVESTOPEDIA:</t>
        </r>
        <r>
          <rPr>
            <sz val="9"/>
            <color indexed="81"/>
            <rFont val="Tahoma"/>
            <family val="2"/>
          </rPr>
          <t xml:space="preserve">
A negative net debt = company has little debt and more cash
A positive net debt = has more debt on its balance sheet than liquid assets
</t>
        </r>
        <r>
          <rPr>
            <b/>
            <u/>
            <sz val="9"/>
            <color indexed="81"/>
            <rFont val="Tahoma"/>
            <family val="2"/>
          </rPr>
          <t xml:space="preserve">
MARCO FAZZINI:</t>
        </r>
        <r>
          <rPr>
            <sz val="9"/>
            <color indexed="81"/>
            <rFont val="Tahoma"/>
            <family val="2"/>
          </rPr>
          <t xml:space="preserve">
 Net Debt = Debt +  Financial Leases + Other Interest Bearing Liabilities (+ or -) Minority Interests Cash − Liquid Short-Term Investments</t>
        </r>
      </text>
    </comment>
    <comment ref="B233" authorId="1" shapeId="0" xr:uid="{0E7C20CB-718F-4225-ADFD-990B47C8059E}">
      <text>
        <r>
          <rPr>
            <b/>
            <sz val="9"/>
            <color indexed="81"/>
            <rFont val="Tahoma"/>
            <family val="2"/>
          </rPr>
          <t xml:space="preserve">Author:
</t>
        </r>
        <r>
          <rPr>
            <b/>
            <u/>
            <sz val="9"/>
            <color indexed="81"/>
            <rFont val="Tahoma"/>
            <family val="2"/>
          </rPr>
          <t>CFA LVL 2:</t>
        </r>
        <r>
          <rPr>
            <b/>
            <sz val="9"/>
            <color indexed="81"/>
            <rFont val="Tahoma"/>
            <family val="2"/>
          </rPr>
          <t xml:space="preserve">
</t>
        </r>
        <r>
          <rPr>
            <sz val="9"/>
            <color indexed="81"/>
            <rFont val="Tahoma"/>
            <family val="2"/>
          </rPr>
          <t xml:space="preserve">
Formula = (Long-term + Short-term Debt) - Cash &amp; Cash Eq 
- Do not include payables.
- If net debt is negative, it means we have "net cash". Net cash is when there is more cash than debt. 
</t>
        </r>
        <r>
          <rPr>
            <b/>
            <u/>
            <sz val="9"/>
            <color indexed="81"/>
            <rFont val="Tahoma"/>
            <family val="2"/>
          </rPr>
          <t xml:space="preserve">
INVESTOPEDIA:</t>
        </r>
        <r>
          <rPr>
            <sz val="9"/>
            <color indexed="81"/>
            <rFont val="Tahoma"/>
            <family val="2"/>
          </rPr>
          <t xml:space="preserve">
A negative net debt = company has little debt and more cash
A positive net debt = has more debt on its balance sheet than liquid assets
</t>
        </r>
        <r>
          <rPr>
            <b/>
            <u/>
            <sz val="9"/>
            <color indexed="81"/>
            <rFont val="Tahoma"/>
            <family val="2"/>
          </rPr>
          <t xml:space="preserve">
MARCO FAZZINI:</t>
        </r>
        <r>
          <rPr>
            <sz val="9"/>
            <color indexed="81"/>
            <rFont val="Tahoma"/>
            <family val="2"/>
          </rPr>
          <t xml:space="preserve">
 Net Debt = Debt +  Financial Leases + Other Interest Bearing Liabilities (+ or -) Minority Interests Cash − Liquid Short-Term Investments</t>
        </r>
      </text>
    </comment>
    <comment ref="B237" authorId="1" shapeId="0" xr:uid="{6A525F31-9EF1-4614-80EB-D5B3DBE32614}">
      <text>
        <r>
          <rPr>
            <b/>
            <sz val="9"/>
            <color indexed="81"/>
            <rFont val="Tahoma"/>
            <family val="2"/>
          </rPr>
          <t xml:space="preserve">Author:
</t>
        </r>
        <r>
          <rPr>
            <sz val="9"/>
            <color indexed="81"/>
            <rFont val="Tahoma"/>
            <family val="2"/>
          </rPr>
          <t xml:space="preserve">
</t>
        </r>
        <r>
          <rPr>
            <b/>
            <u/>
            <sz val="9"/>
            <color indexed="81"/>
            <rFont val="Tahoma"/>
            <family val="2"/>
          </rPr>
          <t>SUBRAM</t>
        </r>
        <r>
          <rPr>
            <sz val="9"/>
            <color indexed="81"/>
            <rFont val="Tahoma"/>
            <family val="2"/>
          </rPr>
          <t xml:space="preserve">
Formula = Total Liabilities   / Total equity   Or    Total Debt / Shareholder equity
- A ratio of 1.31x implies that company's total debt is 1.31 times its equity capital. In other words. Firms credit financing equals 1.31 for every £1 of equity financing 
</t>
        </r>
      </text>
    </comment>
    <comment ref="B238" authorId="1" shapeId="0" xr:uid="{05BB0BDE-C14B-42F1-8606-7B3727623702}">
      <text>
        <r>
          <rPr>
            <b/>
            <sz val="9"/>
            <color indexed="81"/>
            <rFont val="Tahoma"/>
            <family val="2"/>
          </rPr>
          <t xml:space="preserve">Author:
</t>
        </r>
        <r>
          <rPr>
            <sz val="9"/>
            <color indexed="81"/>
            <rFont val="Tahoma"/>
            <family val="2"/>
          </rPr>
          <t xml:space="preserve">
</t>
        </r>
        <r>
          <rPr>
            <b/>
            <u/>
            <sz val="9"/>
            <color indexed="81"/>
            <rFont val="Tahoma"/>
            <family val="2"/>
          </rPr>
          <t xml:space="preserve">SUBRAM
</t>
        </r>
        <r>
          <rPr>
            <sz val="9"/>
            <color indexed="81"/>
            <rFont val="Tahoma"/>
            <family val="2"/>
          </rPr>
          <t xml:space="preserve">
Formula = Total Liabilities / Total Assets   or   Total Debt / Total  Capital
Total debt (i.e., Current debt +  Long-term debt + Other liabilities as determined by analysis such as deferred
taxes and redeemable preferred) &amp; total capital  [Total debt + Stockholders’ equity (including preferred)]. 
measure is often expressed in ratio form. For instance if it's 0.57, it means debt constitutes 57% of the company's capital structure.
Asset composition analysis = assessing the risk exposure of a company's capital strucutre. Usually evaluated by using common=size analysis. 
</t>
        </r>
        <r>
          <rPr>
            <u/>
            <sz val="9"/>
            <color indexed="81"/>
            <rFont val="Tahoma"/>
            <family val="2"/>
          </rPr>
          <t xml:space="preserve">
</t>
        </r>
        <r>
          <rPr>
            <b/>
            <u/>
            <sz val="9"/>
            <color indexed="81"/>
            <rFont val="Tahoma"/>
            <family val="2"/>
          </rPr>
          <t>ELLIOT &amp; ELLIOT</t>
        </r>
        <r>
          <rPr>
            <sz val="9"/>
            <color indexed="81"/>
            <rFont val="Tahoma"/>
            <family val="2"/>
          </rPr>
          <t xml:space="preserve">
Calls this the gearing ratio:
Ratio: Debt Finance / (Debt Finance + Equity Finance)  or  Debt Finance / Equity Financing 
Ratios of less than one-third would normally be regarded as ‘low’ and gearing would normally only be regarded as ‘high’ when it exceeded 50%.
●  Is the gearing ratio constant or has it increased over time with heavier borrowing? If higher further borrowing might be difficult; it might indicate that there has been investment that will lead to higher profits, so details are needed as to how the funds borrowed have been used.
●  What covenants are in place and what is the risk that they might be breached? A breach could lead to a company having to renegotiate finance at a higher interest rate or even go
into administration or liquidation. 
●  How does the gearing compare to other companies in the same sector?
●  If gearing has increased, what were the funds used for? Was it to:
●  restructure debt following inability to meet current repayment terms?
●  finance new maintenance/expansion capital expenditure?
●  improve liquid ratios?
Interest commitment
●  How variable is the rate of interest that is being charged on the borrowings? If rates are
falling then equity shareholders benefit, but if rates rise then expenses are higher.
●  How many times does the earnings before tax cover the interest? A highly geared company
is more at risk if the business cycle moves into recession because the company has to continue to service the debts even if sales fall substantially.
●  How many times does the cash flow from operations currently cover the interest? This is
a useful ratio if profits are not converted into cash, e.g. they might be reinvested in working
capital.</t>
        </r>
      </text>
    </comment>
    <comment ref="B239" authorId="1" shapeId="0" xr:uid="{154E434F-BAE8-4475-9E80-6D8B39BF19DF}">
      <text>
        <r>
          <rPr>
            <b/>
            <sz val="9"/>
            <color indexed="81"/>
            <rFont val="Tahoma"/>
            <family val="2"/>
          </rPr>
          <t xml:space="preserve">Author:
</t>
        </r>
        <r>
          <rPr>
            <sz val="9"/>
            <color indexed="81"/>
            <rFont val="Tahoma"/>
            <family val="2"/>
          </rPr>
          <t xml:space="preserve">
</t>
        </r>
        <r>
          <rPr>
            <b/>
            <u/>
            <sz val="9"/>
            <color indexed="81"/>
            <rFont val="Tahoma"/>
            <family val="2"/>
          </rPr>
          <t>CFA lvl 1:</t>
        </r>
        <r>
          <rPr>
            <b/>
            <sz val="9"/>
            <color indexed="81"/>
            <rFont val="Tahoma"/>
            <family val="2"/>
          </rPr>
          <t xml:space="preserve">
</t>
        </r>
        <r>
          <rPr>
            <sz val="9"/>
            <color indexed="81"/>
            <rFont val="Tahoma"/>
            <family val="2"/>
          </rPr>
          <t xml:space="preserve">
Formula = Average total assets / Av. Shareholder Equity. 
This ratio (often called simply the “leverage ratio”) measures the amount of total assets supported for each one money unit of equity. For example, a value of 3 for this ratio means that each £1 of equity supports £3 of total assets. The higher the financial leverage ratio, the more leveraged the company is in the sense of using debt and other liabilities to finance assets. This ratio is often defined in terms of average total assets and average total equity and plays an important role in the DuPont decomposition of return on equity that will be. </t>
        </r>
      </text>
    </comment>
    <comment ref="B242" authorId="0" shapeId="0" xr:uid="{1F8D3F9C-4C61-4CAC-AC5F-FEC808587092}">
      <text>
        <r>
          <rPr>
            <b/>
            <sz val="9"/>
            <color indexed="81"/>
            <rFont val="Tahoma"/>
            <family val="2"/>
          </rPr>
          <t>Faition Burrniku:</t>
        </r>
        <r>
          <rPr>
            <sz val="9"/>
            <color indexed="81"/>
            <rFont val="Tahoma"/>
            <family val="2"/>
          </rPr>
          <t xml:space="preserve">
</t>
        </r>
        <r>
          <rPr>
            <b/>
            <u/>
            <sz val="9"/>
            <color indexed="81"/>
            <rFont val="Tahoma"/>
            <family val="2"/>
          </rPr>
          <t xml:space="preserve">
FELIX:</t>
        </r>
        <r>
          <rPr>
            <sz val="9"/>
            <color indexed="81"/>
            <rFont val="Tahoma"/>
            <family val="2"/>
          </rPr>
          <t xml:space="preserve">
</t>
        </r>
        <r>
          <rPr>
            <u/>
            <sz val="9"/>
            <color indexed="81"/>
            <rFont val="Tahoma"/>
            <family val="2"/>
          </rPr>
          <t>Formula</t>
        </r>
        <r>
          <rPr>
            <sz val="9"/>
            <color indexed="81"/>
            <rFont val="Tahoma"/>
            <family val="2"/>
          </rPr>
          <t>: Operating Cash Flow / Total Debt 
This ratio measures the ability of the company’s OFC to meet its obligations—including its liabilities or ongoing concern costs. The OFC is simply the amount of cash generated by the company
from its main operations, which are used to keep the business funded. The larger the OFC coverage for these items, the greater the company’s ability to meet its obligations, along with giving the company more cash fow to expand its business, withstand hard times, and not be burdened by debt servicing and the restrictions typically included in credit agreements. Two formulas are available for the computation of this ratio:</t>
        </r>
      </text>
    </comment>
    <comment ref="B245" authorId="1" shapeId="0" xr:uid="{278D920D-BB63-4997-908C-3CF76E85F9DC}">
      <text>
        <r>
          <rPr>
            <b/>
            <sz val="9"/>
            <color indexed="81"/>
            <rFont val="Tahoma"/>
            <family val="2"/>
          </rPr>
          <t xml:space="preserve">Author:
</t>
        </r>
        <r>
          <rPr>
            <sz val="9"/>
            <color indexed="81"/>
            <rFont val="Tahoma"/>
            <family val="2"/>
          </rPr>
          <t xml:space="preserve">
</t>
        </r>
        <r>
          <rPr>
            <b/>
            <u/>
            <sz val="9"/>
            <color indexed="81"/>
            <rFont val="Tahoma"/>
            <family val="2"/>
          </rPr>
          <t xml:space="preserve">Subramanyam:
</t>
        </r>
        <r>
          <rPr>
            <sz val="9"/>
            <color indexed="81"/>
            <rFont val="Tahoma"/>
            <family val="2"/>
          </rPr>
          <t xml:space="preserve">
Formula: Current Assets / Current Liabilities</t>
        </r>
        <r>
          <rPr>
            <b/>
            <u/>
            <sz val="9"/>
            <color indexed="81"/>
            <rFont val="Tahoma"/>
            <family val="2"/>
          </rPr>
          <t xml:space="preserve">
</t>
        </r>
        <r>
          <rPr>
            <u/>
            <sz val="9"/>
            <color indexed="81"/>
            <rFont val="Tahoma"/>
            <family val="2"/>
          </rPr>
          <t>Adv</t>
        </r>
        <r>
          <rPr>
            <b/>
            <sz val="9"/>
            <color indexed="81"/>
            <rFont val="Tahoma"/>
            <family val="2"/>
          </rPr>
          <t xml:space="preserve">
</t>
        </r>
        <r>
          <rPr>
            <sz val="9"/>
            <color indexed="81"/>
            <rFont val="Tahoma"/>
            <family val="2"/>
          </rPr>
          <t xml:space="preserve">
higher the amount (multiple) of current assets to current liabilities, the greater assurance we have that current liabilities will be paid. current ratio shows the margin of safety available to cover shrinkage in noncash current asset values when ultimately disposing of or liquidating them. The current ratio is relevant as a measure of the margin of safety against uncertainties and random shocks to a company’s cash flows. Uncertainties and shocks, such as strikes and extraordinary losses, can temporarily and unexpectedly impair cash flows.
</t>
        </r>
        <r>
          <rPr>
            <u/>
            <sz val="9"/>
            <color indexed="81"/>
            <rFont val="Tahoma"/>
            <family val="2"/>
          </rPr>
          <t>Limitations</t>
        </r>
        <r>
          <rPr>
            <b/>
            <sz val="9"/>
            <color indexed="81"/>
            <rFont val="Tahoma"/>
            <family val="2"/>
          </rPr>
          <t xml:space="preserve"> 
</t>
        </r>
        <r>
          <rPr>
            <sz val="9"/>
            <color indexed="81"/>
            <rFont val="Tahoma"/>
            <family val="2"/>
          </rPr>
          <t xml:space="preserve">does the current ratio...
1) Measure and predict the pattern of future cash inflows &amp; outflows
2) measure the adequacy of future cash inflows to outflows. 
Answer is no. It's a static measure of resources avaialble at a point in time to meet current obligations. The current reservoir of cash resources does not have a logical or causal relation to its future cash inflows. Yet future cash inflows are the greatest indicator of liquidity. Liquidity depends on "prospective cash flow and lesser extent on the level of cash and cash equivalents". There's no direct reltion between working capital accounts and likely patterns of future cash flows. Aslo </t>
        </r>
        <r>
          <rPr>
            <b/>
            <sz val="9"/>
            <color indexed="81"/>
            <rFont val="Tahoma"/>
            <family val="2"/>
          </rPr>
          <t xml:space="preserve"> </t>
        </r>
        <r>
          <rPr>
            <sz val="9"/>
            <color indexed="81"/>
            <rFont val="Tahoma"/>
            <family val="2"/>
          </rPr>
          <t xml:space="preserve">Managerial policies regarding receivables and inventories are directed primarily at efficient and profitable asset utilization and secondarily at liquidity.
But then why do we all use the current ratio? for its simplicity in computation, data availability, and understandability. It's not a great measure even though its widespread. Also creditors use it as a way of saying "what if tehre was a complete stoppage of cash inflows? would current assets meet current liabilities?. But this is not a great way of assessing liquidity. 
Then the question we beg to answer is: what use can we apply the current ratio? The relevant use of the current ratio is only to measure the ability of current assets to discharge current liabilities. As well as liquid surplus available to meet imbalances in the flow of funds and other contingencies
Also note: Changes in the current ratio overtime do not imply changes in liquidity or operating performance. . For example, during a  recession a company might continue to pay current liabilities while inventory and receivables accumulate, yielding an increase in the current ratio.  Conversely, in a successful period, increases in taxes payable can lower the current ratio. In expansion, a company can create larger working capital requirements. This prosperity squeeze in liquidity decreases the current ratio and is the result of company expansion unaccompanied by an increase in working capital (Page 550). 
Also note: Toward the close of a period, management will occasionally press the collection of receivables, reduce inventory below normal levels, and delay normal purchases, will the proceeds used to pay off the current liabilities, effectively "window dressing" the current ratio. 
</t>
        </r>
        <r>
          <rPr>
            <b/>
            <sz val="9"/>
            <color indexed="81"/>
            <rFont val="Tahoma"/>
            <family val="2"/>
          </rPr>
          <t xml:space="preserve">Rule of thumb: </t>
        </r>
        <r>
          <rPr>
            <sz val="9"/>
            <color indexed="81"/>
            <rFont val="Tahoma"/>
            <family val="2"/>
          </rPr>
          <t>If</t>
        </r>
        <r>
          <rPr>
            <b/>
            <sz val="9"/>
            <color indexed="81"/>
            <rFont val="Tahoma"/>
            <family val="2"/>
          </rPr>
          <t xml:space="preserve"> </t>
        </r>
        <r>
          <rPr>
            <sz val="9"/>
            <color indexed="81"/>
            <rFont val="Tahoma"/>
            <family val="2"/>
          </rPr>
          <t xml:space="preserve">ratio is 2:1 or better, then a company is financially sound. This implies that there are £2 of current assets available for £1 of current liabilities. A higher ratio can signify inefficient use of resources &amp; a reduced rat eof return. 
Conclusion: Quality of current assets and the composition of current liabilities are more important in evaluating the current ratio (for example, two companies with identical current ratios can present substantially different risks due to variations in the quality of working capital components). &amp; Working capital requirements vary with industry conditions and the length of a
company’s net trade cycle
</t>
        </r>
        <r>
          <rPr>
            <b/>
            <u/>
            <sz val="9"/>
            <color indexed="81"/>
            <rFont val="Tahoma"/>
            <family val="2"/>
          </rPr>
          <t xml:space="preserve">ELLIOT &amp; ELLIOT:
</t>
        </r>
        <r>
          <rPr>
            <sz val="9"/>
            <color indexed="81"/>
            <rFont val="Tahoma"/>
            <family val="2"/>
          </rPr>
          <t xml:space="preserve">
Rather, therefore, than identifying an absolute level at which the current ratio should be, it is probably better to monitor whether or not there has been a significant change from one  period to another and compare with the industry average or peer group. Comparing it with the previous year we can see that it is virtually unchanged – this does not mean, however, that  it is acceptable. We would need to look further at the trend over the past four years and also at competitors’ current ratios. For instance, a food retailer. They will have little if any trade receivables, since they to their customers for cash. Their inventory levels have to be quite low, since their products are perishable. their trade payables days would be just as large as for any manufacturing entity and, if they reinvest the cash they generate quickly, their current ratios are often less than 1/2:1. This does not mean they have liquidity problems. 
increase in the current ratio beyond the company’s own normal range may arise for a number of reasons, some beneficial, others unwelcome.Beneficial reasons These include: 
●  A build-up of inventory in order to support increased sales following an advertising campaign or increasing popular demand as for, say, a PlayStation. Management action will be to establish from a cash budget that the company will not experience liquidity problems from holding such inventory, e.g. there may be sufficient cash in hand or from operations, short-term loans, extended credit or bank overdraft facilities.
 ●  A permanent expansion of the business which will require continuing higher levels of inventory. Management action will be to consider existing cash resources or future cash flows from operations or arrange additional long-term finance, e.g. equity or long-term borrowings to finance the increased working capital.
Unwelcome reasons are:
●  Operating losses may have eroded the working capital base. Management action will vary according to the underlying problem, e.g. disposing of underperforming segments, arranging a sale of non-current assets or inviting a takeover.
●  Inefficient control over working capital, e.g. poor inventory or accounts receivable control allowing a build-up of slow-moving inventories or doubtful trade receivables.
●  Adverse trading conditions, e.g. inventory becoming obsolete or introduction of new models by competitors.
</t>
        </r>
        <r>
          <rPr>
            <b/>
            <u/>
            <sz val="9"/>
            <color indexed="81"/>
            <rFont val="Tahoma"/>
            <family val="2"/>
          </rPr>
          <t>MELVILLE:</t>
        </r>
        <r>
          <rPr>
            <b/>
            <sz val="9"/>
            <color indexed="81"/>
            <rFont val="Tahoma"/>
            <family val="2"/>
          </rPr>
          <t xml:space="preserve">
</t>
        </r>
        <r>
          <rPr>
            <sz val="9"/>
            <color indexed="81"/>
            <rFont val="Tahoma"/>
            <family val="2"/>
          </rPr>
          <t xml:space="preserve">
- a ratio of 1:1  may be perfectly adequate for a supermarket chain which has virtually no receivables and which rapidly converts its inventories into cash. On the other hand, a ratio of at least 2:1 might be seen as necessary
for a manufacturing company which holds inventories for a longer period and then sells them on credit terms. 
</t>
        </r>
        <r>
          <rPr>
            <b/>
            <u/>
            <sz val="9"/>
            <color indexed="81"/>
            <rFont val="Tahoma"/>
            <family val="2"/>
          </rPr>
          <t xml:space="preserve">
ART OF COMPANY VAL:
</t>
        </r>
        <r>
          <rPr>
            <sz val="9"/>
            <color indexed="81"/>
            <rFont val="Tahoma"/>
            <family val="2"/>
          </rPr>
          <t xml:space="preserve">
</t>
        </r>
        <r>
          <rPr>
            <u/>
            <sz val="9"/>
            <color indexed="81"/>
            <rFont val="Tahoma"/>
            <family val="2"/>
          </rPr>
          <t xml:space="preserve">Formula </t>
        </r>
        <r>
          <rPr>
            <sz val="9"/>
            <color indexed="81"/>
            <rFont val="Tahoma"/>
            <family val="2"/>
          </rPr>
          <t>= Current assets / Current Liabilities:
- The target should be in the region of 120–170%. Why this value? Current assets serve to carry out the operating business and are usually used up within a year. It is precisely this term of less than a year that also characterizes short-term liabilities. These liabilities should therefore be sufficiently covered by their counterparts on the asset side, current assets. Due to this fact, a target in the region of 100% would seem sensible, as it would be sufficient to pay off short-term liabilities. 
- Also, it is never guaranteed that the entire current assets can be liquidated at book value at short notice. Hence, a cushion is needed in the form of a current ratio well above the 100% threshold.
- S&amp;P Medium = the median current ratio is a very healthy 1.5 (i.e. 150%).</t>
        </r>
      </text>
    </comment>
    <comment ref="B246" authorId="1" shapeId="0" xr:uid="{38D744E2-5927-4E22-8F3E-65507BE8FFA4}">
      <text>
        <r>
          <rPr>
            <b/>
            <sz val="9"/>
            <color indexed="81"/>
            <rFont val="Tahoma"/>
            <family val="2"/>
          </rPr>
          <t xml:space="preserve">Author:
</t>
        </r>
        <r>
          <rPr>
            <b/>
            <u/>
            <sz val="9"/>
            <color indexed="81"/>
            <rFont val="Tahoma"/>
            <family val="2"/>
          </rPr>
          <t xml:space="preserve">
SUBRAM</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xml:space="preserve">: Cash  + Cash equivalents + Marketable securities / Current assets..
-The larger the ratio the more liquid the assets. 
</t>
        </r>
        <r>
          <rPr>
            <b/>
            <u/>
            <sz val="9"/>
            <color indexed="81"/>
            <rFont val="Tahoma"/>
            <family val="2"/>
          </rPr>
          <t xml:space="preserve">
ART OF COMPANY VALUATION</t>
        </r>
        <r>
          <rPr>
            <b/>
            <sz val="9"/>
            <color indexed="81"/>
            <rFont val="Tahoma"/>
            <family val="2"/>
          </rPr>
          <t xml:space="preserve">
- </t>
        </r>
        <r>
          <rPr>
            <sz val="9"/>
            <color indexed="81"/>
            <rFont val="Tahoma"/>
            <family val="2"/>
          </rPr>
          <t>In the US, many businesses stock up on short-term credit using the commercial paper markets since large businesses need huge amounts of liquidity to carry out their day-today business which is usually raised from commercial paper market.</t>
        </r>
      </text>
    </comment>
    <comment ref="B247" authorId="1" shapeId="0" xr:uid="{8F658785-3615-4B29-BD6B-D7711141EEFA}">
      <text>
        <r>
          <rPr>
            <b/>
            <sz val="9"/>
            <color indexed="81"/>
            <rFont val="Tahoma"/>
            <family val="2"/>
          </rPr>
          <t xml:space="preserve">Author:
</t>
        </r>
        <r>
          <rPr>
            <u/>
            <sz val="9"/>
            <color indexed="81"/>
            <rFont val="Tahoma"/>
            <family val="2"/>
          </rPr>
          <t xml:space="preserve">
</t>
        </r>
        <r>
          <rPr>
            <b/>
            <u/>
            <sz val="9"/>
            <color indexed="81"/>
            <rFont val="Tahoma"/>
            <family val="2"/>
          </rPr>
          <t>SUBRAM</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xml:space="preserve"> Cash + Cash equivalents + Mark. Securities / Current Liabilities 
measures the cash available to pay current obligations. It's a severe test ignoring the refunding nature of current assets and current liabilities. It supplements the cash to current assets ratio in measuring cash availability from a different perspective. it's too severe to test short-term liquidity (it's an extension of the quick ratio). Still, the importance of cash as the ultimate form of liquiditiy should not be underestimated. record of business failures provides many examples of insolvent companies with sizable noncash assets (both current and noncurrent) and an inability to pay liabilities or to operate. 
</t>
        </r>
        <r>
          <rPr>
            <u/>
            <sz val="9"/>
            <color indexed="81"/>
            <rFont val="Tahoma"/>
            <family val="2"/>
          </rPr>
          <t xml:space="preserve">
</t>
        </r>
        <r>
          <rPr>
            <b/>
            <u/>
            <sz val="9"/>
            <color indexed="81"/>
            <rFont val="Tahoma"/>
            <family val="2"/>
          </rPr>
          <t>FELIX:</t>
        </r>
        <r>
          <rPr>
            <sz val="9"/>
            <color indexed="81"/>
            <rFont val="Tahoma"/>
            <family val="2"/>
          </rPr>
          <t xml:space="preserve">
Felix Does not inclde marketable securities. many creditors look at the cash ratio. They want to see if a company maintains adequate cash balances to pay off all of their current debts as they come due.Creditors also like the fact that inventory and accounts receivable are left out of the equation because both of these accounts are not guaranteed to be available for debt servicing. Inventory could take months or years to sell and receivables could take weeks to collect.
</t>
        </r>
        <r>
          <rPr>
            <b/>
            <u/>
            <sz val="9"/>
            <color indexed="81"/>
            <rFont val="Tahoma"/>
            <family val="2"/>
          </rPr>
          <t xml:space="preserve">
ART OF COMPANY VALUATION</t>
        </r>
        <r>
          <rPr>
            <sz val="9"/>
            <color indexed="81"/>
            <rFont val="Tahoma"/>
            <family val="2"/>
          </rPr>
          <t xml:space="preserve">
</t>
        </r>
        <r>
          <rPr>
            <u/>
            <sz val="9"/>
            <color indexed="81"/>
            <rFont val="Tahoma"/>
            <family val="2"/>
          </rPr>
          <t xml:space="preserve">Formula </t>
        </r>
        <r>
          <rPr>
            <sz val="9"/>
            <color indexed="81"/>
            <rFont val="Tahoma"/>
            <family val="2"/>
          </rPr>
          <t xml:space="preserve"> = (Cash on Hand + Short-term Investments) / Current Liabilities 
- Target corridor of 10–20% is sufficient leeway for this ratio.
- This ratio originates from the concept that short-term debt should be sufficiently covered by assets that can be converted into cash reasonably quick.
- This is company’s cash and liquid assets and securities (Assets which can be liquidated quickly and easily) in proportion to its short-term liabilities). 
- Although higher proportion of cash in a business can be seen as a luxury problem, which can negatively affect the return on capital figures of the company.
- A cash ratio above the target corridor, should not necessarily be regarded as negative. Indeed, in times of crisis, a sufficient cash cushion can ensure the survival of the company when credit markets collapse or other ‘just in case’ scenarios actually occur. Warren Buffett once famously remarked that he always keeps $10bn in cash, ‘just in case Ben Bernanke runs off to South America with Lindsay Lohan’.
- S&amp;P: The median cash ratio is 40% (i.e., 0.4) </t>
        </r>
        <r>
          <rPr>
            <b/>
            <sz val="9"/>
            <color indexed="81"/>
            <rFont val="Tahoma"/>
            <family val="2"/>
          </rPr>
          <t xml:space="preserve">
</t>
        </r>
        <r>
          <rPr>
            <b/>
            <u/>
            <sz val="9"/>
            <color indexed="81"/>
            <rFont val="Tahoma"/>
            <family val="2"/>
          </rPr>
          <t>ELLIOT &amp; ELLIOT:</t>
        </r>
        <r>
          <rPr>
            <sz val="9"/>
            <color indexed="81"/>
            <rFont val="Tahoma"/>
            <family val="2"/>
          </rPr>
          <t xml:space="preserve">
This is a more conservative ratio than the quick ratio as it shows the ratio of cash and cash  equivalents to current liabilities. Suppliers are able to see whether these are enough to settle the amount owed to them. In this case, of course, it is a negative figure. It is certainly not a problem that faces Vertigo but there are companies sitting on hoards of cash to meet cyclical demands or because they are nervous about investing in the uncertain economic climate or they are unable to find investment opportunities. We see major companies like Apple, therefore, setting aside US$10 billion for stock buybacks.</t>
        </r>
      </text>
    </comment>
    <comment ref="B248" authorId="1" shapeId="0" xr:uid="{4955943D-AF1A-45FE-9861-B08F10DC6DD1}">
      <text>
        <r>
          <rPr>
            <b/>
            <sz val="9"/>
            <color indexed="81"/>
            <rFont val="Tahoma"/>
            <family val="2"/>
          </rPr>
          <t xml:space="preserve">Author:
</t>
        </r>
        <r>
          <rPr>
            <b/>
            <u/>
            <sz val="9"/>
            <color indexed="81"/>
            <rFont val="Tahoma"/>
            <family val="2"/>
          </rPr>
          <t>ELLIOT &amp; E</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xml:space="preserve">: Current Assets - Inventory / Current Liabilties 
entities cannot regard their inventory as a
short-term source of cash because of the time it takes to realise cash through its sale. Whether this is true depends on the nature of the entity. This could be true for entities in the construction sector, but for many entities in the retail sector, current ratio is better measurement of liquidity (especially those entities that sell their goods directly to the general public for cash). 
</t>
        </r>
        <r>
          <rPr>
            <b/>
            <sz val="9"/>
            <color indexed="81"/>
            <rFont val="Tahoma"/>
            <family val="2"/>
          </rPr>
          <t xml:space="preserve">
</t>
        </r>
        <r>
          <rPr>
            <b/>
            <u/>
            <sz val="9"/>
            <color indexed="81"/>
            <rFont val="Tahoma"/>
            <family val="2"/>
          </rPr>
          <t xml:space="preserve">Subram:
</t>
        </r>
        <r>
          <rPr>
            <b/>
            <sz val="9"/>
            <color indexed="81"/>
            <rFont val="Tahoma"/>
            <family val="2"/>
          </rPr>
          <t xml:space="preserve">
- </t>
        </r>
        <r>
          <rPr>
            <sz val="9"/>
            <color indexed="81"/>
            <rFont val="Tahoma"/>
            <family val="2"/>
          </rPr>
          <t xml:space="preserve">Another reason for excluding inventories is that their valuation typically involves more managerial discretion than required for other current assets.Yet, note that for some companies inventory is more liquid than slow-paying receivables. Analysis must merit the exclusion of receivables. 
The interpretation of the acid-test ratio is similar to that of the current ratio
</t>
        </r>
        <r>
          <rPr>
            <b/>
            <u/>
            <sz val="9"/>
            <color indexed="81"/>
            <rFont val="Tahoma"/>
            <family val="2"/>
          </rPr>
          <t>FELIX:</t>
        </r>
        <r>
          <rPr>
            <u/>
            <sz val="9"/>
            <color indexed="81"/>
            <rFont val="Tahoma"/>
            <family val="2"/>
          </rPr>
          <t xml:space="preserve">
</t>
        </r>
        <r>
          <rPr>
            <sz val="9"/>
            <color indexed="81"/>
            <rFont val="Tahoma"/>
            <family val="2"/>
          </rPr>
          <t xml:space="preserve">
- Quick assets are current assets that can be converted to cash within 90 days or in the short term. quick ratio is often called the acid test ratio in reference to the historical use of acid to test metals for gold by the early miners If the metal passed the acid test, it was pure gold. If the metal corroding from the acid it failed. 
</t>
        </r>
        <r>
          <rPr>
            <b/>
            <u/>
            <sz val="9"/>
            <color indexed="81"/>
            <rFont val="Tahoma"/>
            <family val="2"/>
          </rPr>
          <t>MELVILLE:</t>
        </r>
        <r>
          <rPr>
            <u/>
            <sz val="9"/>
            <color indexed="81"/>
            <rFont val="Tahoma"/>
            <family val="2"/>
          </rPr>
          <t xml:space="preserve">
</t>
        </r>
        <r>
          <rPr>
            <sz val="9"/>
            <color indexed="81"/>
            <rFont val="Tahoma"/>
            <family val="2"/>
          </rPr>
          <t xml:space="preserve">
- Quick assets ratio of at least 1:1 might be seen as desirable, it should be borne in mind that some of the current liabilities shown in a company's financial statements may
not be payable immediately. For instance, the tax liability may not fall due until several months after the end of an accounting period. In these circumstances, a ratio of less than
1:1  might be acceptable. Note that the quick assets ratio is also known as the acid test.
</t>
        </r>
        <r>
          <rPr>
            <b/>
            <sz val="9"/>
            <color indexed="81"/>
            <rFont val="Tahoma"/>
            <family val="2"/>
          </rPr>
          <t xml:space="preserve">
</t>
        </r>
        <r>
          <rPr>
            <b/>
            <u/>
            <sz val="9"/>
            <color indexed="81"/>
            <rFont val="Tahoma"/>
            <family val="2"/>
          </rPr>
          <t xml:space="preserve">ART OF COMPANY VAL:
</t>
        </r>
        <r>
          <rPr>
            <b/>
            <sz val="9"/>
            <color indexed="81"/>
            <rFont val="Tahoma"/>
            <family val="2"/>
          </rPr>
          <t xml:space="preserve">
</t>
        </r>
        <r>
          <rPr>
            <u/>
            <sz val="9"/>
            <color indexed="81"/>
            <rFont val="Tahoma"/>
            <family val="2"/>
          </rPr>
          <t>Formula:</t>
        </r>
        <r>
          <rPr>
            <sz val="9"/>
            <color indexed="81"/>
            <rFont val="Tahoma"/>
            <family val="2"/>
          </rPr>
          <t xml:space="preserve"> (Cash on hand + Short-term investments + Receivables) / Current liabilities    or    current assets – Inventory / Current Liabilities
- The target corridor is hence between 90% and 100%
</t>
        </r>
        <r>
          <rPr>
            <u/>
            <sz val="9"/>
            <color indexed="81"/>
            <rFont val="Tahoma"/>
            <family val="2"/>
          </rPr>
          <t xml:space="preserve">
</t>
        </r>
        <r>
          <rPr>
            <b/>
            <sz val="9"/>
            <color indexed="81"/>
            <rFont val="Tahoma"/>
            <family val="2"/>
          </rPr>
          <t xml:space="preserve">- </t>
        </r>
        <r>
          <rPr>
            <sz val="9"/>
            <color indexed="81"/>
            <rFont val="Tahoma"/>
            <family val="2"/>
          </rPr>
          <t xml:space="preserve">quick ratio median lies at 0.9 (i.e. 90%) for all S&amp;P 500 members.
</t>
        </r>
        <r>
          <rPr>
            <b/>
            <u/>
            <sz val="9"/>
            <color indexed="81"/>
            <rFont val="Tahoma"/>
            <family val="2"/>
          </rPr>
          <t xml:space="preserve">
WILLIAM PIKE</t>
        </r>
        <r>
          <rPr>
            <u/>
            <sz val="9"/>
            <color indexed="81"/>
            <rFont val="Tahoma"/>
            <family val="2"/>
          </rPr>
          <t xml:space="preserve"> </t>
        </r>
        <r>
          <rPr>
            <sz val="9"/>
            <color indexed="81"/>
            <rFont val="Tahoma"/>
            <family val="2"/>
          </rPr>
          <t xml:space="preserve">
- large inventories may be a sign that the company has overbought, or that the company’s products (finished goods) are not selling well, making the inventory even less liquid (harder to sell).
</t>
        </r>
      </text>
    </comment>
    <comment ref="B250" authorId="1" shapeId="0" xr:uid="{B01FDF13-18AB-4F9E-B14A-B4F271D1BC39}">
      <text>
        <r>
          <rPr>
            <b/>
            <sz val="9"/>
            <color indexed="81"/>
            <rFont val="Tahoma"/>
            <family val="2"/>
          </rPr>
          <t>Author:</t>
        </r>
        <r>
          <rPr>
            <sz val="9"/>
            <color indexed="81"/>
            <rFont val="Tahoma"/>
            <family val="2"/>
          </rPr>
          <t xml:space="preserve">
CFA Lvl 1:
Some analysts will use averages especially if a business is seasonal. If a semi-annual report is prepared, an average can be taken over three data points (beginning, middle, and end of year). If quarterly data are available, a five-point average can be computed (beginning of year and end of each quarterly period)</t>
        </r>
      </text>
    </comment>
    <comment ref="B251" authorId="1" shapeId="0" xr:uid="{FF96AFC7-594C-4346-BF54-8BC1E0EC7225}">
      <text>
        <r>
          <rPr>
            <b/>
            <sz val="9"/>
            <color indexed="81"/>
            <rFont val="Tahoma"/>
            <family val="2"/>
          </rPr>
          <t xml:space="preserve">Author:
SUBRAM
</t>
        </r>
        <r>
          <rPr>
            <u/>
            <sz val="9"/>
            <color indexed="81"/>
            <rFont val="Tahoma"/>
            <family val="2"/>
          </rPr>
          <t>Formula</t>
        </r>
        <r>
          <rPr>
            <sz val="9"/>
            <color indexed="81"/>
            <rFont val="Tahoma"/>
            <family val="2"/>
          </rPr>
          <t>:  Net sales on credit / Average accounts receivable.   or just:   Sales / Average Accounts Receivable</t>
        </r>
        <r>
          <rPr>
            <b/>
            <sz val="9"/>
            <color indexed="81"/>
            <rFont val="Tahoma"/>
            <family val="2"/>
          </rPr>
          <t xml:space="preserve">
</t>
        </r>
        <r>
          <rPr>
            <sz val="9"/>
            <color indexed="81"/>
            <rFont val="Tahoma"/>
            <family val="2"/>
          </rPr>
          <t xml:space="preserve">
- companies selling on credit, accounts and notes receivable are an important part of working capital. assessing liquidity necessary to measure the quality and liquidity of receivables.Both quality and liquidity of accounts receivable are affected by their turnover rate.  Quality refers to the likelihood of collection without loss.Experience shows that the longer receivables are outstanding beyond their due date, the lower is the likelihood of collection. turnover rate is an indicator of the age of receivables. This indicator is especially useful when compared with an expected turnover rate computed using the permitted credit terms. 
- most direct way for us to determine average accounts receivable is to add beginning and ending accounts receivable for the period and divide by two.Using monthly or quarterly figures yields more accurate estimates. more that sales fluctuate, the more likely this ratio is distorted.
- Measures the speed of collection. 
</t>
        </r>
        <r>
          <rPr>
            <b/>
            <u/>
            <sz val="9"/>
            <color indexed="81"/>
            <rFont val="Tahoma"/>
            <family val="2"/>
          </rPr>
          <t xml:space="preserve">
WILLIAM PIKE (Accounts receivables to sales) &gt; Page 42</t>
        </r>
        <r>
          <rPr>
            <sz val="9"/>
            <color indexed="81"/>
            <rFont val="Tahoma"/>
            <family val="2"/>
          </rPr>
          <t xml:space="preserve">
</t>
        </r>
        <r>
          <rPr>
            <u/>
            <sz val="9"/>
            <color indexed="81"/>
            <rFont val="Tahoma"/>
            <family val="2"/>
          </rPr>
          <t>Formula:</t>
        </r>
        <r>
          <rPr>
            <sz val="9"/>
            <color indexed="81"/>
            <rFont val="Tahoma"/>
            <family val="2"/>
          </rPr>
          <t xml:space="preserve">  Accounts receivables / Sales. 
- If this ratio stayed at about the same level over a period of time, it would not tell us anything. But if the ratio suddenly jumped to a much higher level, it might indicate that customers were not paying their bills,
</t>
        </r>
        <r>
          <rPr>
            <b/>
            <u/>
            <sz val="9"/>
            <color indexed="81"/>
            <rFont val="Tahoma"/>
            <family val="2"/>
          </rPr>
          <t>CFA LVL 1:</t>
        </r>
        <r>
          <rPr>
            <sz val="9"/>
            <color indexed="81"/>
            <rFont val="Tahoma"/>
            <family val="2"/>
          </rPr>
          <t xml:space="preserve">
</t>
        </r>
        <r>
          <rPr>
            <u/>
            <sz val="9"/>
            <color indexed="81"/>
            <rFont val="Tahoma"/>
            <family val="2"/>
          </rPr>
          <t>Formula</t>
        </r>
        <r>
          <rPr>
            <sz val="9"/>
            <color indexed="81"/>
            <rFont val="Tahoma"/>
            <family val="2"/>
          </rPr>
          <t xml:space="preserve">:Revenue / Avg account receivables
</t>
        </r>
      </text>
    </comment>
    <comment ref="B252" authorId="1" shapeId="0" xr:uid="{62F9B8B7-CA27-484C-8291-CD2C8C5816C5}">
      <text>
        <r>
          <rPr>
            <b/>
            <sz val="9"/>
            <color indexed="81"/>
            <rFont val="Tahoma"/>
            <family val="2"/>
          </rPr>
          <t xml:space="preserve">Author:
</t>
        </r>
        <r>
          <rPr>
            <b/>
            <u/>
            <sz val="9"/>
            <color indexed="81"/>
            <rFont val="Tahoma"/>
            <family val="2"/>
          </rPr>
          <t>Subram:</t>
        </r>
        <r>
          <rPr>
            <b/>
            <sz val="9"/>
            <color indexed="81"/>
            <rFont val="Tahoma"/>
            <family val="2"/>
          </rPr>
          <t xml:space="preserve">
</t>
        </r>
        <r>
          <rPr>
            <u/>
            <sz val="9"/>
            <color indexed="81"/>
            <rFont val="Tahoma"/>
            <family val="2"/>
          </rPr>
          <t xml:space="preserve">
Formula:</t>
        </r>
        <r>
          <rPr>
            <sz val="9"/>
            <color indexed="81"/>
            <rFont val="Tahoma"/>
            <family val="2"/>
          </rPr>
          <t xml:space="preserve">  Accounts receivables / (Sales/360)     or        Collection Period = 360 / Accounts receivable Turnover 
measures the number of days it takes, on average, to collect accounts receivable based on the year-end balance in accounts receivable. 
Important to look at the credit terms. if usual credit terms of sale are 40 days, then an average collection period of 75 days reflects one or more of the following conditions: Poor collection efforts, delays in customer payments and customers in financial distress. 
first condition demands corrective managerial action, while the other two reflect on both the quality and liquidity of accounts receivable and demand judicious managerial action. An initial step is to determine whether accounts receivable are representative of company sales activity. For example, receivables may be sold to SPEs, and, if the SPEs are properly structured, the receivables are removed from the books. Intermittent  sales of accounts receivable may, therefore, distort the ratio computations.  It is not uncommon for companies to continue to service the accounts for the SPE. In this case the total amount of serviced receivables is provided in the footnotes.These can be  added to those reported on the balance sheet to arrive at total outstanding receivables.
The turnover ratios are then computed using total outstanding receivables.
Another complication relates to whether the receivable turnover ratios are computed based on gross or net accounts receivable. If the latter, the resulting computations  are affected by the company’s degree of conservatism in estimating uncollectible accounts. It is generally preferable to compute turnover ratios based on gross receivables to avoid this problem. 
The trend in collection period over time  is important in helping assess the quality and liquidity of receivables. Another trend to  watch is the relation between the provision for doubtful accounts and gross accounts receivable,
computed as: Provision for doubtful accounts / Gross accounts receivable...... Increases in this ratio over time suggest a decline in the collectibility of receivables. Conversely, decreases in this ratio suggest improved collectibility or the need to reevaluate the adequacy of the doubtful accounts provision.
</t>
        </r>
        <r>
          <rPr>
            <b/>
            <u/>
            <sz val="9"/>
            <color indexed="81"/>
            <rFont val="Tahoma"/>
            <family val="2"/>
          </rPr>
          <t xml:space="preserve">
ART OF COMPANY VALUATION</t>
        </r>
        <r>
          <rPr>
            <sz val="9"/>
            <color indexed="81"/>
            <rFont val="Tahoma"/>
            <family val="2"/>
          </rPr>
          <t xml:space="preserve">:
</t>
        </r>
        <r>
          <rPr>
            <u/>
            <sz val="9"/>
            <color indexed="81"/>
            <rFont val="Tahoma"/>
            <family val="2"/>
          </rPr>
          <t>Formula:</t>
        </r>
        <r>
          <rPr>
            <sz val="9"/>
            <color indexed="81"/>
            <rFont val="Tahoma"/>
            <family val="2"/>
          </rPr>
          <t xml:space="preserve">  [Accounts receivable x 360] / sales 
- Shows how long it takes the company to collect its bulls from customers. 
- High and increasing values reduce the operating cash flow as less money actually flows into the company.
</t>
        </r>
      </text>
    </comment>
    <comment ref="B253" authorId="1" shapeId="0" xr:uid="{CFC2BF4E-FCEC-4E0F-80E6-2F5A8E2DCA3B}">
      <text>
        <r>
          <rPr>
            <b/>
            <sz val="9"/>
            <color indexed="81"/>
            <rFont val="Tahoma"/>
            <family val="2"/>
          </rPr>
          <t xml:space="preserve">Author:
</t>
        </r>
        <r>
          <rPr>
            <sz val="9"/>
            <color indexed="81"/>
            <rFont val="Tahoma"/>
            <family val="2"/>
          </rPr>
          <t xml:space="preserve">
</t>
        </r>
        <r>
          <rPr>
            <b/>
            <u/>
            <sz val="9"/>
            <color indexed="81"/>
            <rFont val="Tahoma"/>
            <family val="2"/>
          </rPr>
          <t>Subram</t>
        </r>
        <r>
          <rPr>
            <u/>
            <sz val="9"/>
            <color indexed="81"/>
            <rFont val="Tahoma"/>
            <family val="2"/>
          </rPr>
          <t>:</t>
        </r>
        <r>
          <rPr>
            <sz val="9"/>
            <color indexed="81"/>
            <rFont val="Tahoma"/>
            <family val="2"/>
          </rPr>
          <t xml:space="preserve">
most companies, a certain level of inventory must be kept. If inventory is inadequate, sales volume declines below an attainable level.Excessive inventories expose a company to storage costs, insurance, taxes, obsolescence, and physical deterioration.Excessive inventories tie up funds that be used more profitable elsewhere. normally considered the least liquid current asset. 
</t>
        </r>
        <r>
          <rPr>
            <u/>
            <sz val="9"/>
            <color indexed="81"/>
            <rFont val="Tahoma"/>
            <family val="2"/>
          </rPr>
          <t>Formula</t>
        </r>
        <r>
          <rPr>
            <sz val="9"/>
            <color indexed="81"/>
            <rFont val="Tahoma"/>
            <family val="2"/>
          </rPr>
          <t xml:space="preserve">:  COGS / Average Inventory.    
Consistency requires we use COGS in the numerator because, like inventories, it is reported at cost. Sales, in contrast, includes a profit margin. Average inventory is computed by adding the beginning and ending inventory balances, and dividing by 2. This averaging computation can be refined by averaging quarterly or monthly inventory figures.When we are interested in evaluating the level of inventory at a specific date, such as year-end, we compute the inventory turnover ratio using the inventory balance at that date in the denominator.
Interpretation (more): The current ratio views current asset components as sources of funds to potentially pay off current liabilities. Viewed similarly, inventory turnover ratios offer measures of both the quality and liquidity of the inventory component of current assets. Quality of inventory refers to a company’s ability to use and dispose of inventory. We should recognize, however, that a continuing company does not use inventory for paying current liabilities, since any serious reduction in normal inventory levels likely cuts into sales volume. When inventory turnover decreases over time, or is less than the industry norm, it  suggests slow-moving inventory items attributed to obsolescence, weak demand, or  nonsalability. These conditions question the feasibility of a company recovering inventory costs. We need further analysis in this case to see if decreasing inventory turnover is due to inventory buildup in anticipation of sales increases, contractual commitments,  increasing prices, work stoppages, inventory shortages, or other legitimate reason. We
also must be aware of inventory management (such as just-in-time systems) aimed at keeping inventory levels low by integrating ordering, producing, selling, and distributing. Effective inventory management increases inventory turnover.
</t>
        </r>
        <r>
          <rPr>
            <b/>
            <sz val="9"/>
            <color indexed="81"/>
            <rFont val="Tahoma"/>
            <family val="2"/>
          </rPr>
          <t xml:space="preserve">
</t>
        </r>
        <r>
          <rPr>
            <b/>
            <u/>
            <sz val="9"/>
            <color indexed="81"/>
            <rFont val="Tahoma"/>
            <family val="2"/>
          </rPr>
          <t>CFA 1:</t>
        </r>
        <r>
          <rPr>
            <u/>
            <sz val="9"/>
            <color indexed="81"/>
            <rFont val="Tahoma"/>
            <family val="2"/>
          </rPr>
          <t xml:space="preserve">
</t>
        </r>
        <r>
          <rPr>
            <sz val="9"/>
            <color indexed="81"/>
            <rFont val="Tahoma"/>
            <family val="2"/>
          </rPr>
          <t xml:space="preserve">
Businesses will prefer short inventory turnover periods compared to long ones, because holding inventories has costs, for example the “opportunity costs of funds tied up”
 A decline in this ratio = firm’s products are uncompetitive, perhaps style that is out of fashion or noncurrent tech. A high inventory turnover ratio relative to industry norms might indicate highly effective inventory management. Alternatively, a high inventory turnover ratio (and commensurately low DOH) could possibly indicate the company does not carry adequate inventory, so shortages could potentially hurt revenue. To assess which explanation is more likely, the analyst can compare the company’s revenue growth with that of the industry. 
An entity with a high inventory turnover is of more efficient. Why? Because it earns more profit but also because it ties up less capital in stock, incurs less storage costs and suffers less by away of obsolete goods. Note that certain industries have faster turnovers than others – such as a bakery/supermarket/newspapers. In addition, we want to average inventory days outstanding to be as short as possible. This can be accomplished by minimising raw materials through production management techniques, like just-in-time deliveries, or the reduction of work-in-process inventory from use of efficient production processes that eliminate bottlenecks.
When inventory turnover decreases over time, or is less than the industry norm, it suggests slow-moving inventory items attributed to obsolescence, weak demand, or nonsalability. Further analysis needs to be used to see if decreasing inventory turnover is due to inventory build-up in anticipation of sales increases, contractual commitments, increasing prices, work stoppages, inventory shortages etc. also look at inventory management which aims at keeping inventory levels low. 
In general, inventory turnover and the number of days of inventory on hand should be benchmarked against industry norms and compared across years.</t>
        </r>
        <r>
          <rPr>
            <u/>
            <sz val="9"/>
            <color indexed="81"/>
            <rFont val="Tahoma"/>
            <family val="2"/>
          </rPr>
          <t xml:space="preserve">high inventory turnover ratio and a low number of days of inventory on hand might indicate highly effective inventory management Alternatively, a high inventory ratio and a low number of days of inventory on hand could indicate that the company does not carry an adequate amount of inventory or that the company has written down inventory values. </t>
        </r>
        <r>
          <rPr>
            <sz val="9"/>
            <color indexed="81"/>
            <rFont val="Tahoma"/>
            <family val="2"/>
          </rPr>
          <t xml:space="preserve">Inventory shortages could potentially result in lost sales or production problems in the case of the raw materials inventory of a manufacturer. To assess which explanation is more likely, analysts can compare the company’s inventory turnover and sales growth rate with those of the industry and review financial statement disclosures. Slower growth combined with higher inventory turnover could indicate inadequate inventory levels. Write-downs of inventory could reflect poor inventory management. Minimal write-downs and sales growth rates at or above the industry’s growth rates would support the interpretation that the higher turnover reflects greater efficiency in managing inventory. A </t>
        </r>
        <r>
          <rPr>
            <u/>
            <sz val="9"/>
            <color indexed="81"/>
            <rFont val="Tahoma"/>
            <family val="2"/>
          </rPr>
          <t>low inventory turnover ratio and a high number of days of inventory on hand relative to industry norms could be an indicator of slow-moving or obsolete inventor</t>
        </r>
        <r>
          <rPr>
            <sz val="9"/>
            <color indexed="81"/>
            <rFont val="Tahoma"/>
            <family val="2"/>
          </rPr>
          <t xml:space="preserve">y. Again, comparing the company’s sales growth across years and with the industry and reviewing financial statement disclosures can provide additional insight
</t>
        </r>
        <r>
          <rPr>
            <u/>
            <sz val="9"/>
            <color indexed="81"/>
            <rFont val="Tahoma"/>
            <family val="2"/>
          </rPr>
          <t xml:space="preserve">
</t>
        </r>
        <r>
          <rPr>
            <b/>
            <u/>
            <sz val="9"/>
            <color indexed="81"/>
            <rFont val="Tahoma"/>
            <family val="2"/>
          </rPr>
          <t>William Pike  (Inventory to sales ratio)</t>
        </r>
        <r>
          <rPr>
            <sz val="9"/>
            <color indexed="81"/>
            <rFont val="Tahoma"/>
            <family val="2"/>
          </rPr>
          <t xml:space="preserve">
</t>
        </r>
        <r>
          <rPr>
            <u/>
            <sz val="9"/>
            <color indexed="81"/>
            <rFont val="Tahoma"/>
            <family val="2"/>
          </rPr>
          <t>Formula</t>
        </r>
        <r>
          <rPr>
            <sz val="9"/>
            <color indexed="81"/>
            <rFont val="Tahoma"/>
            <family val="2"/>
          </rPr>
          <t xml:space="preserve"> = Inventory / Sales
- company needs to have enough inventory on hand so that it can fill all its customer’s orders, but it does not want to have more than it needs because it is expensive to carry the extra inventory.most companies need to schedule their manufacturing and inventory purchasing well in advance. As a result, if sales to customers slow down unexpectedly, a company can end up with more inventory than it needs before it can slow or stop the manufacturing process or purchasing of raw materials. Such a buildup of inventory can be an early warning to investors that sales are slowing. On the other hand, a slow buildup of inventory would be expected if the company’s sales were growing, and would not be an indication of a problem. So the best way to watch the inventory level is to look at it in relation to the company’s sales.To interpret the ratio, watch it over time and not in a year. 
</t>
        </r>
        <r>
          <rPr>
            <b/>
            <u/>
            <sz val="9"/>
            <color indexed="81"/>
            <rFont val="Tahoma"/>
            <family val="2"/>
          </rPr>
          <t>Elliot &amp; Elliot</t>
        </r>
        <r>
          <rPr>
            <b/>
            <sz val="9"/>
            <color indexed="81"/>
            <rFont val="Tahoma"/>
            <family val="2"/>
          </rPr>
          <t xml:space="preserve">: </t>
        </r>
        <r>
          <rPr>
            <sz val="9"/>
            <color indexed="81"/>
            <rFont val="Tahoma"/>
            <family val="2"/>
          </rPr>
          <t xml:space="preserve">
Ratio: (Closing Inventory  x 365) / Cogs
rationale behind the ratio is that we are effectively dividing closing inventory by ‘one day’s usage’ to give us a hypothetical period for how long it will take us to sell the inventory.  Whilst this analysis can be useful, we need to sound two notes of caution:
●  We are relating the closing inventory to the average ‘usage’ in the previous year. The closing inventory will of course be used next year and so a more ‘realistic’ figure would be to base it on next year’s projected usage, but of course this often is not available to the
analyst. 
●  With this (and other) ratios we are comparing a ‘point of time’ figure (closing inventory) with a ‘period’ figure (cost of sales). 
if ratio drops over time, could mean inventory is not being turned over as quickly. This is not a positive sign. It impacts profitability as well as liquidity. 
</t>
        </r>
        <r>
          <rPr>
            <b/>
            <u/>
            <sz val="9"/>
            <color indexed="81"/>
            <rFont val="Tahoma"/>
            <family val="2"/>
          </rPr>
          <t xml:space="preserve">
ART OF COMPANY VAL</t>
        </r>
        <r>
          <rPr>
            <sz val="9"/>
            <color indexed="81"/>
            <rFont val="Tahoma"/>
            <family val="2"/>
          </rPr>
          <t xml:space="preserve">:
</t>
        </r>
        <r>
          <rPr>
            <u/>
            <sz val="9"/>
            <color indexed="81"/>
            <rFont val="Tahoma"/>
            <family val="2"/>
          </rPr>
          <t>Formula:</t>
        </r>
        <r>
          <rPr>
            <sz val="9"/>
            <color indexed="81"/>
            <rFont val="Tahoma"/>
            <family val="2"/>
          </rPr>
          <t xml:space="preserve">  Cost of sales /  Inventory
- A decrease in inventory turnover should be treated with caution since capital commitment and impairment risk increases.
- Dividing 360 by this figure gives the inventory days. This ratio shows how long the products remain within the company’s stock on average.
</t>
        </r>
      </text>
    </comment>
    <comment ref="B254" authorId="1" shapeId="0" xr:uid="{007DAA06-2DFE-4456-A94F-8A19E4BCE622}">
      <text>
        <r>
          <rPr>
            <b/>
            <sz val="9"/>
            <color indexed="81"/>
            <rFont val="Tahoma"/>
            <family val="2"/>
          </rPr>
          <t xml:space="preserve">Author:
</t>
        </r>
        <r>
          <rPr>
            <sz val="9"/>
            <color indexed="81"/>
            <rFont val="Tahoma"/>
            <family val="2"/>
          </rPr>
          <t xml:space="preserve">
Ratio: Inventories / (Cogs / 360)  or  360 / inventory turnover.
This ratio tells us the number of days required to sell ending inventory assuming a  given rate of sales.gives us some indication of the length of time that inventories are available for sale. We want the average inventory days outstanding to be as short as possible. can be accomplished by minimizing raw materials through production management techniques, like just-in-time deliveries, or the reduction of work-in-progress inventory from use of efficient production processes that eliminate bottlenecks. In addition, companies desire to minimize finished goods inventory by producing to order, not to estimated demand, if possible. These management tools increase inventory turnover and reduce the inventory days outstanding. 
</t>
        </r>
      </text>
    </comment>
    <comment ref="B255" authorId="1" shapeId="0" xr:uid="{7CEBF99E-EAA2-4659-B8D4-B467C7F3B6AC}">
      <text>
        <r>
          <rPr>
            <b/>
            <sz val="9"/>
            <color indexed="81"/>
            <rFont val="Tahoma"/>
            <family val="2"/>
          </rPr>
          <t>Author:
Subram:</t>
        </r>
        <r>
          <rPr>
            <sz val="9"/>
            <color indexed="81"/>
            <rFont val="Tahoma"/>
            <family val="2"/>
          </rPr>
          <t xml:space="preserve">
Ratio: COGS / average accounts payable
indicates the speed at which a company pays for purchases on account.
Purchases can be substituted for cost of goods sold in this formula, and can be estimated as Purchases = Cost of goods sold + Ending inventory +  Beginning inventory.
</t>
        </r>
      </text>
    </comment>
    <comment ref="B256" authorId="1" shapeId="0" xr:uid="{C7701EC0-6260-4615-9559-F8032EE9D8AF}">
      <text>
        <r>
          <rPr>
            <b/>
            <sz val="9"/>
            <color indexed="81"/>
            <rFont val="Tahoma"/>
            <family val="2"/>
          </rPr>
          <t xml:space="preserve">Author:
</t>
        </r>
        <r>
          <rPr>
            <b/>
            <u/>
            <sz val="9"/>
            <color indexed="81"/>
            <rFont val="Tahoma"/>
            <family val="2"/>
          </rPr>
          <t xml:space="preserve">Subram
</t>
        </r>
        <r>
          <rPr>
            <sz val="9"/>
            <color indexed="81"/>
            <rFont val="Tahoma"/>
            <family val="2"/>
          </rPr>
          <t xml:space="preserve">
</t>
        </r>
        <r>
          <rPr>
            <u/>
            <sz val="9"/>
            <color indexed="81"/>
            <rFont val="Tahoma"/>
            <family val="2"/>
          </rPr>
          <t>Formula:</t>
        </r>
        <r>
          <rPr>
            <sz val="9"/>
            <color indexed="81"/>
            <rFont val="Tahoma"/>
            <family val="2"/>
          </rPr>
          <t xml:space="preserve">: Accounts Payable / (COGS / 360)  OR   Days (i.e., 360) / Accounts Payable Turnover
- Measure of the extent to which companies “lean on the trade” is the average payable days outstanding. 
- Provides an indication of the average time the company takes in paying its obligations to suppliers. longer the payment period, the greater the use of suppliers’ capital.
- Like inventories, payables are reported at cost, not retail prices. Thus, for consistency with the denominator, cost of goods sold (not sales) is used in the numerator. All else equal, companies prefer to utilize this cheap source of financing as much as possible and, therefore, have a lower accounts payable turnover rate (meaning a higher level of payables). Lowering the accounts payable turnover rate is accomplished by delaying payment to suppliers, and this delay in payment can damage relations with the supplier if used excessively. Payables, therefore, must be managed carefully. 
</t>
        </r>
        <r>
          <rPr>
            <b/>
            <sz val="9"/>
            <color indexed="81"/>
            <rFont val="Tahoma"/>
            <family val="2"/>
          </rPr>
          <t xml:space="preserve">
</t>
        </r>
        <r>
          <rPr>
            <b/>
            <u/>
            <sz val="9"/>
            <color indexed="81"/>
            <rFont val="Tahoma"/>
            <family val="2"/>
          </rPr>
          <t>CFA lvl 1:</t>
        </r>
        <r>
          <rPr>
            <sz val="9"/>
            <color indexed="81"/>
            <rFont val="Tahoma"/>
            <family val="2"/>
          </rPr>
          <t xml:space="preserve">
- Payables turnover ratio that is high (low days payable) relative to the industry could indicate that the company is not making full use of available credit facilities; alternatively, it could result from a company taking advantage of early payment discounts. An excessively low turnover ratio (high days payable) could indicate trouble making payments on time, or alternatively, exploitation of lenient supplier terms. This is another example where it is useful to look simultaneously at other ratios. If liquidity ratios indicate that the company has sufficient cash and other short-term assets to pay obligations and yet the days payable ratio is relatively high, the analyst would favour the lenient supplier credit and collection policies as an explanation.
</t>
        </r>
        <r>
          <rPr>
            <b/>
            <sz val="9"/>
            <color indexed="81"/>
            <rFont val="Tahoma"/>
            <family val="2"/>
          </rPr>
          <t xml:space="preserve">
</t>
        </r>
        <r>
          <rPr>
            <b/>
            <u/>
            <sz val="9"/>
            <color indexed="81"/>
            <rFont val="Tahoma"/>
            <family val="2"/>
          </rPr>
          <t>Elliot &amp; Elliot:</t>
        </r>
        <r>
          <rPr>
            <sz val="9"/>
            <color indexed="81"/>
            <rFont val="Tahoma"/>
            <family val="2"/>
          </rPr>
          <t xml:space="preserve">
</t>
        </r>
        <r>
          <rPr>
            <u/>
            <sz val="9"/>
            <color indexed="81"/>
            <rFont val="Tahoma"/>
            <family val="2"/>
          </rPr>
          <t>Formula</t>
        </r>
        <r>
          <rPr>
            <sz val="9"/>
            <color indexed="81"/>
            <rFont val="Tahoma"/>
            <family val="2"/>
          </rPr>
          <t xml:space="preserve">:  (Trade Payables x 365) / Credit Purchases:
- If the ratio decreases say from yoy, taking slightly longer to pay its suppliers.  the way we have computed the profitability ratios (capital employed is total assets less current liabilities) this will actually improve the asset turnover and hence the ROCE. Given that our suppliers effectively provide us with interest-free finance there is, in a sense, a liquidity benefit in extending the credit we take from our suppliers. However, this can also be indicative of liquidity problems that make it difficult for us to settle our debts as they fall due and, if we allow the level of our trade payables to get too high, it could lead to problems with future supplies and ultimately could lead to the entity being wound up.
- In practice external analysts would use cost of sales as a ‘proxy’ for credit  purchases. As stated before, whilst this practice clearly isn’t strictly correct, the fact that interpretation involves a comparison of ratios means that, if used consistently, this slightly contrived ratio can be used as a means of comparing the payment policies of a single entity over time or two comparable entities over a corresponding period.
</t>
        </r>
        <r>
          <rPr>
            <b/>
            <u/>
            <sz val="9"/>
            <color indexed="81"/>
            <rFont val="Tahoma"/>
            <family val="2"/>
          </rPr>
          <t>ART OF COMPANY VALUATION:</t>
        </r>
        <r>
          <rPr>
            <sz val="9"/>
            <color indexed="81"/>
            <rFont val="Tahoma"/>
            <family val="2"/>
          </rPr>
          <t xml:space="preserve">
</t>
        </r>
        <r>
          <rPr>
            <u/>
            <sz val="9"/>
            <color indexed="81"/>
            <rFont val="Tahoma"/>
            <family val="2"/>
          </rPr>
          <t>Formula:</t>
        </r>
        <r>
          <rPr>
            <i/>
            <sz val="9"/>
            <color indexed="81"/>
            <rFont val="Tahoma"/>
            <family val="2"/>
          </rPr>
          <t xml:space="preserve"> </t>
        </r>
        <r>
          <rPr>
            <sz val="9"/>
            <color indexed="81"/>
            <rFont val="Tahoma"/>
            <family val="2"/>
          </rPr>
          <t xml:space="preserve">Accounts [Payables x 360] / Cost of sales 
- Quantifies how long it takes the company (or how long it allows itself) to pay its debts to its suppliers
Balance between the two:
- Target Ratio: Days sales outstanding &lt; Days Payables outstanding: 
What does this mean? The wider the spread, the longer the company is the holder of interest-free money. Thus, the need for external short-term funding or the need to resort to expensive overdrafts decreases. 
</t>
        </r>
      </text>
    </comment>
    <comment ref="B257" authorId="1" shapeId="0" xr:uid="{BE5CB978-EB6E-4A47-9911-8E46807932F4}">
      <text>
        <r>
          <rPr>
            <b/>
            <sz val="9"/>
            <color indexed="81"/>
            <rFont val="Tahoma"/>
            <family val="2"/>
          </rPr>
          <t xml:space="preserve">Author:
</t>
        </r>
        <r>
          <rPr>
            <b/>
            <u/>
            <sz val="9"/>
            <color indexed="81"/>
            <rFont val="Tahoma"/>
            <family val="2"/>
          </rPr>
          <t xml:space="preserve">CFA lvl 1:
</t>
        </r>
        <r>
          <rPr>
            <sz val="9"/>
            <color indexed="81"/>
            <rFont val="Tahoma"/>
            <family val="2"/>
          </rPr>
          <t xml:space="preserve">
</t>
        </r>
        <r>
          <rPr>
            <u/>
            <sz val="9"/>
            <color indexed="81"/>
            <rFont val="Tahoma"/>
            <family val="2"/>
          </rPr>
          <t>Formula</t>
        </r>
        <r>
          <rPr>
            <sz val="9"/>
            <color indexed="81"/>
            <rFont val="Tahoma"/>
            <family val="2"/>
          </rPr>
          <t xml:space="preserve"> : (Average inventories turnover) + (average trade receivables) – (Average payables) 
A shorter cash conversion cycle indicates greater liquidity. A short cash conversion cycle implies that the company only needs to finance its inventory and accounts receivable for a short period of time.
Longer the cycle, the greater will be the financing requirements and the greater the financial risk.
</t>
        </r>
        <r>
          <rPr>
            <b/>
            <u/>
            <sz val="9"/>
            <color indexed="81"/>
            <rFont val="Tahoma"/>
            <family val="2"/>
          </rPr>
          <t>Elliot &amp; Elliot:</t>
        </r>
        <r>
          <rPr>
            <sz val="9"/>
            <color indexed="81"/>
            <rFont val="Tahoma"/>
            <family val="2"/>
          </rPr>
          <t xml:space="preserve">
</t>
        </r>
        <r>
          <rPr>
            <u/>
            <sz val="9"/>
            <color indexed="81"/>
            <rFont val="Tahoma"/>
            <family val="2"/>
          </rPr>
          <t>Formula</t>
        </r>
        <r>
          <rPr>
            <sz val="9"/>
            <color indexed="81"/>
            <rFont val="Tahoma"/>
            <family val="2"/>
          </rPr>
          <t xml:space="preserve">: (inventories turnover) + (trade receivables) – (accounts payable days) 
measures the number of days it takes to acquire and sell inventory and convert sales into cash It measures how effective managers are in managing this process.
Say we have a figure of 140 days, that means it takes the firm 140 days from the time the company acquires inventory from its suppliers, completes the sale of the inventory to its customers and collects the cash from accounts receivable. The 140 days can be regarded as the length of time the company needs to have cash to cover the cash cycle or, thinking defensively, to cover its operating expenses. The means that the management of the cash cycle is critical to the cash flow and profitability of the company. 
</t>
        </r>
        <r>
          <rPr>
            <b/>
            <u/>
            <sz val="9"/>
            <color indexed="81"/>
            <rFont val="Tahoma"/>
            <family val="2"/>
          </rPr>
          <t xml:space="preserve">
ART OF COMPANY VAL:
</t>
        </r>
        <r>
          <rPr>
            <sz val="9"/>
            <color indexed="81"/>
            <rFont val="Tahoma"/>
            <family val="2"/>
          </rPr>
          <t xml:space="preserve">
</t>
        </r>
        <r>
          <rPr>
            <u/>
            <sz val="9"/>
            <color indexed="81"/>
            <rFont val="Tahoma"/>
            <family val="2"/>
          </rPr>
          <t>Formula:</t>
        </r>
        <r>
          <rPr>
            <sz val="9"/>
            <color indexed="81"/>
            <rFont val="Tahoma"/>
            <family val="2"/>
          </rPr>
          <t xml:space="preserve"> = (Days sales outstanding (in days) + Inventory days (in days) – Days payable outstanding (in days)] = Cash conversion cycle (in days)
- Ratio looks at: how quickly do funds flow back?
- Similar to the liquidity ratios already introduced, the cash conversion cycle should be interpreted in view of historical developments.
</t>
        </r>
      </text>
    </comment>
    <comment ref="B258" authorId="1" shapeId="0" xr:uid="{0C28FE45-C6C1-4CE5-BC63-94C1AF76D3D5}">
      <text>
        <r>
          <rPr>
            <b/>
            <sz val="9"/>
            <color indexed="81"/>
            <rFont val="Tahoma"/>
            <family val="2"/>
          </rPr>
          <t>Author:</t>
        </r>
        <r>
          <rPr>
            <sz val="9"/>
            <color indexed="81"/>
            <rFont val="Tahoma"/>
            <family val="2"/>
          </rPr>
          <t xml:space="preserve">
Subram:
combines the collection period of receivables with the days to sell inventories to obtain the time interval to convert inventories to cash. 
Formula: Days' sales in receivables + Days' sales in inventories = conversion period. 
Figure of 195 implies it takes 195 days for a company to both sell its inventory and to collect the receivables, based on current levels of receivables and inventories. discussion of accounting for inventory is important here. . Use of the LIFO method of inventory valuation can seriously impair the usefulness of both turnover and current ratios. 
For example, inventory valuation affects both the numerator and denominator of the current ratio—the latter through its effect on taxes payable. Information is often available in the financial statements enabling us to adjust unrealistically low LIFO inventory values in times of rising prices, making these values useful for inclusion in turnover and current ratios. Notice that even if two companies use the LIFO method for inventory valuation, their inventory-based ratios are likely not comparable, because their LIFO inventory pools (bases) are almost certainly acquired in different years with different price levels. We also must remember that companies using a “natural year” may have at year-end an atypically low inventory level. This can increase a turnover ratio to an abnormally high level.</t>
        </r>
      </text>
    </comment>
    <comment ref="B261" authorId="1" shapeId="0" xr:uid="{B7B4119F-E464-46F3-BB15-00BC0EC61AD9}">
      <text>
        <r>
          <rPr>
            <b/>
            <sz val="9"/>
            <color indexed="81"/>
            <rFont val="Tahoma"/>
            <family val="2"/>
          </rPr>
          <t>Author:</t>
        </r>
        <r>
          <rPr>
            <sz val="9"/>
            <color indexed="81"/>
            <rFont val="Tahoma"/>
            <family val="2"/>
          </rPr>
          <t xml:space="preserve">
</t>
        </r>
        <r>
          <rPr>
            <b/>
            <u/>
            <sz val="9"/>
            <color indexed="81"/>
            <rFont val="Tahoma"/>
            <family val="2"/>
          </rPr>
          <t>CFA LVL 2:</t>
        </r>
        <r>
          <rPr>
            <sz val="9"/>
            <color indexed="81"/>
            <rFont val="Tahoma"/>
            <family val="2"/>
          </rPr>
          <t xml:space="preserve">
Formula = Cash Dividends / Shares outstanding </t>
        </r>
      </text>
    </comment>
    <comment ref="B265" authorId="1" shapeId="0" xr:uid="{0068DB42-9846-4EAA-B14E-CA28059832CA}">
      <text>
        <r>
          <rPr>
            <b/>
            <u/>
            <sz val="9"/>
            <color indexed="81"/>
            <rFont val="Tahoma"/>
            <family val="2"/>
          </rPr>
          <t>Author:
CFA LVL 2:</t>
        </r>
        <r>
          <rPr>
            <sz val="9"/>
            <color indexed="81"/>
            <rFont val="Tahoma"/>
            <family val="2"/>
          </rPr>
          <t xml:space="preserve">
</t>
        </r>
        <r>
          <rPr>
            <u/>
            <sz val="9"/>
            <color indexed="81"/>
            <rFont val="Tahoma"/>
            <family val="2"/>
          </rPr>
          <t>Formula:</t>
        </r>
        <r>
          <rPr>
            <sz val="9"/>
            <color indexed="81"/>
            <rFont val="Tahoma"/>
            <family val="2"/>
          </rPr>
          <t xml:space="preserve"> Market value of common equity ( i.e., Number of shares outstanding × Price per share) + Market value of preferred stock + market value of debt (use BV if you dont have market value) – cash &amp; investments (specifically: cash, cash equivalents, and short-term investments)
Why is “Cash and investments” (otherwise known as non-earning assets) subtracted from EV?
Because EV is designed to measure the net price an acquirer would pay for the company as a whole. The acquirer must buy out current equity and debt providers but then receives access to the cash and investments, which lower the net cost of the acquisition. (For example, cash and investments can be used to pay off debt or loans used to finance the purchase.)
- Note: Payables are not incldued in debt. Although I personally think they should if there's a rate attatched to them. Check on the statement to see if there is (i..e, if payment is delayed to suppliers). 
</t>
        </r>
        <r>
          <rPr>
            <b/>
            <u/>
            <sz val="9"/>
            <color indexed="81"/>
            <rFont val="Tahoma"/>
            <family val="2"/>
          </rPr>
          <t xml:space="preserve">WILLIAM PIKE:
</t>
        </r>
        <r>
          <rPr>
            <sz val="9"/>
            <color indexed="81"/>
            <rFont val="Tahoma"/>
            <family val="2"/>
          </rPr>
          <t xml:space="preserve">
</t>
        </r>
        <r>
          <rPr>
            <u/>
            <sz val="9"/>
            <color indexed="81"/>
            <rFont val="Tahoma"/>
            <family val="2"/>
          </rPr>
          <t>Formula:</t>
        </r>
        <r>
          <rPr>
            <sz val="9"/>
            <color indexed="81"/>
            <rFont val="Tahoma"/>
            <family val="2"/>
          </rPr>
          <t xml:space="preserve">  Market cap + total debt + prefered equity + Non-control interest - Cash &amp; Cash equivalents. 
- The debt (D) comprises all long-term debt and the current portion of long-term debt.
</t>
        </r>
        <r>
          <rPr>
            <b/>
            <u/>
            <sz val="9"/>
            <color indexed="81"/>
            <rFont val="Tahoma"/>
            <family val="2"/>
          </rPr>
          <t xml:space="preserve">
UNDERSTANDING BUSINESS VALUATION:</t>
        </r>
        <r>
          <rPr>
            <sz val="9"/>
            <color indexed="81"/>
            <rFont val="Tahoma"/>
            <family val="2"/>
          </rPr>
          <t xml:space="preserve">
Enterprise value, which is frequently used in investment banking, adds the value of any long-term debt to the equity value, and subtracts the cash on the balance sheet. This allows easier comparison between companies with differing amounts of debt and cash on their balance sheets.
</t>
        </r>
        <r>
          <rPr>
            <b/>
            <u/>
            <sz val="9"/>
            <color indexed="81"/>
            <rFont val="Tahoma"/>
            <family val="2"/>
          </rPr>
          <t xml:space="preserve">
ASWATH DAMORARAN:A tangled web of values: Enterprise value, Firm Value and Market Cap</t>
        </r>
        <r>
          <rPr>
            <sz val="9"/>
            <color indexed="81"/>
            <rFont val="Tahoma"/>
            <family val="2"/>
          </rPr>
          <t xml:space="preserve">
</t>
        </r>
        <r>
          <rPr>
            <u/>
            <sz val="9"/>
            <color indexed="81"/>
            <rFont val="Tahoma"/>
            <family val="2"/>
          </rPr>
          <t xml:space="preserve">Market value of equity = </t>
        </r>
        <r>
          <rPr>
            <sz val="9"/>
            <color indexed="81"/>
            <rFont val="Tahoma"/>
            <family val="2"/>
          </rPr>
          <t xml:space="preserve">Common stock (all classes). Using short cuts (such as multiply the fully diluted number of shares by the share price to get to market capitalization) will give you shoddy estimates of market value of equity. Also convert part of the convertible security and also look into non-traded shares. The market value of equity should include all equity claims on the company, not just its common shares. When there are management options outstanding, they have value, even if they are not traded, and that value should be added to the market capitalization of the traded shares to arrive at the market value of equity in the company.
</t>
        </r>
        <r>
          <rPr>
            <u/>
            <sz val="9"/>
            <color indexed="81"/>
            <rFont val="Tahoma"/>
            <family val="2"/>
          </rPr>
          <t>Market value of debt (Settle for BV if you cant find)</t>
        </r>
        <r>
          <rPr>
            <sz val="9"/>
            <color indexed="81"/>
            <rFont val="Tahoma"/>
            <family val="2"/>
          </rPr>
          <t xml:space="preserve"> = enterprise values of a company should reflect the market value of all debt claims on the company.Lacking a market value, many analysts have resorted to using book value of debt in their firm value and enterprise value computations. Though the effect of doing so is relatively small for healthy companies (book values of debt are close to market values of debt), it can be large for distressed companies. Unfunded pension obligaiton: These are going to require “legally  obligated” payments (to make the under funding go away), treat those payments like  lease commitments and convert to debt
</t>
        </r>
        <r>
          <rPr>
            <u/>
            <sz val="9"/>
            <color indexed="81"/>
            <rFont val="Tahoma"/>
            <family val="2"/>
          </rPr>
          <t xml:space="preserve">Cash </t>
        </r>
        <r>
          <rPr>
            <sz val="9"/>
            <color indexed="81"/>
            <rFont val="Tahoma"/>
            <family val="2"/>
          </rPr>
          <t xml:space="preserve">= These should be investments in liquid, close to riskless assets. If you feel strongly that some of the cash is needed for operations and that cash is wasing cash (it does not earn a fair rate of return, i.e. the riskless rate), you can net the operating cash from the cash balance. If some of the cash is trapped, you can also net out taxes.
</t>
        </r>
        <r>
          <rPr>
            <u/>
            <sz val="9"/>
            <color indexed="81"/>
            <rFont val="Tahoma"/>
            <family val="2"/>
          </rPr>
          <t>Other non-operating assets</t>
        </r>
        <r>
          <rPr>
            <sz val="9"/>
            <color indexed="81"/>
            <rFont val="Tahoma"/>
            <family val="2"/>
          </rPr>
          <t xml:space="preserve"> = These are primarily minority holdings in other companies. Ideally, you would like to estimate the market value of these minority holdings. If not,  you can use book value. This is not meant to be a catch-all for other asset classes such as goodwill or brand name which are related to operations/ 
</t>
        </r>
        <r>
          <rPr>
            <u val="double"/>
            <sz val="9"/>
            <color indexed="81"/>
            <rFont val="Tahoma"/>
            <family val="2"/>
          </rPr>
          <t>Financial service companies:</t>
        </r>
        <r>
          <rPr>
            <sz val="9"/>
            <color indexed="81"/>
            <rFont val="Tahoma"/>
            <family val="2"/>
          </rPr>
          <t xml:space="preserve">
This discussion has been premised on two assumptions, that debt is a source of capital and that cash is a non-operating asset to businesses. There is a subset of the market where both assumptions break down and it is especially so with financial service companies, where debt is more raw material than source of capital and cash &amp; marketable securities cannot be claimed by investors. With banks, investment banks and insurance companies, the only estimate of value that should carry weight is the market value of equity. You can compute the enterprise values for JP Morgan Chase and Citigroup but it will be an academic exercise that will yield absurdly high numbers but will provide little information to investors. Debt for a financial service firm is more akin to raw material than to a source of capital; the notion of cost of capital and enterprise value may be meaningless as a consequence
</t>
        </r>
        <r>
          <rPr>
            <b/>
            <u/>
            <sz val="9"/>
            <color indexed="81"/>
            <rFont val="Tahoma"/>
            <family val="2"/>
          </rPr>
          <t xml:space="preserve">
VALUING FINANCIAL COMPANIES </t>
        </r>
        <r>
          <rPr>
            <sz val="9"/>
            <color indexed="81"/>
            <rFont val="Tahoma"/>
            <family val="2"/>
          </rPr>
          <t xml:space="preserve">
The high level of leverage coupled with the evidence that financing is a core operation for banks, implies that the focus of bank valuation is mostly or solely on the equity. Hence, while for non-financial companies the valuation can be approached indifferently from the “asset-side” or from the “equity-side”; the natural approach for financial companies is the latter. Therefore, when valuing a bank, the Discounted Cash Flows technique based on the discounting of Free Cash Flow from Operations (of Free Cash Flow to the Firm) using a Weighted Average Cost of Capital should be discarded. Similarly, the asset-side multiples based on the Enterprise Value (EV) of the company – such as EV/Sales, EV/EBITDA, and EV/EBIT – are not appropriate valuation approaches when dealing with banks. On the contrary, the Dividend Discount Model, the Discounted Free Cash Flow to Equity Model, the Equity Excess Return Models, and the equity-side multiples are appropriate valuation techniques.
</t>
        </r>
        <r>
          <rPr>
            <u/>
            <sz val="9"/>
            <color indexed="81"/>
            <rFont val="Tahoma"/>
            <family val="2"/>
          </rPr>
          <t xml:space="preserve">
</t>
        </r>
        <r>
          <rPr>
            <b/>
            <u/>
            <sz val="9"/>
            <color indexed="81"/>
            <rFont val="Tahoma"/>
            <family val="2"/>
          </rPr>
          <t>INVESTMENT BANKING BOOK:</t>
        </r>
        <r>
          <rPr>
            <sz val="9"/>
            <color indexed="81"/>
            <rFont val="Tahoma"/>
            <family val="2"/>
          </rPr>
          <t xml:space="preserve">
Formula = Equity Value + Total debt + Preferred stock - non-controlling interest - cash and cash equivalents. 
Theoretically, enterprise value is considered independent of capital structure, meaning that changes in a company’s capital structure do not affect its enterprise value. For example, if a company raises additional debt that is held on the balance sheet as cash, its enterprise value remains constant as the new debt is offset by the increase in cash 
Similarly, if a company issues equity and uses the proceeds to repay debt, the incremental equity value is offset by the decrease in debt on a dollar-for-dollar basis. Therefore, these transactions are enterprise value neutral. Hence, similar companies would be expected to have consistent enterprise value multiples despite differences in capital structure. One notable exception concerns highly leveraged companies, which may trade at a discount relative to their peers due to the perceived higher risk of financial distress and potential constraints to growth.
</t>
        </r>
        <r>
          <rPr>
            <b/>
            <u/>
            <sz val="9"/>
            <color indexed="81"/>
            <rFont val="Tahoma"/>
            <family val="2"/>
          </rPr>
          <t>ART OF COMPANY VAL:</t>
        </r>
        <r>
          <rPr>
            <sz val="9"/>
            <color indexed="81"/>
            <rFont val="Tahoma"/>
            <family val="2"/>
          </rPr>
          <t xml:space="preserve">
</t>
        </r>
        <r>
          <rPr>
            <u/>
            <sz val="9"/>
            <color indexed="81"/>
            <rFont val="Tahoma"/>
            <family val="2"/>
          </rPr>
          <t xml:space="preserve">Formula: </t>
        </r>
        <r>
          <rPr>
            <sz val="9"/>
            <color indexed="81"/>
            <rFont val="Tahoma"/>
            <family val="2"/>
          </rPr>
          <t xml:space="preserve">Market value of shareholders’ equity + Market value of financial debt + Market value of minority interests – Liquidities, financial assets – Non-operating assets) 
- The enterprise value is composed of the market value of the equity plus financial debt less cash. The basic question of the entity method is: ‘How much does it cost to purchase the entire business?
- Enterprise value approach:
o This approach originates in the idea that a potential purchaser would have to buy out shareholders as well as creditors to gain access to all cash flows.
 (+) Market value of shareholders equity = # of shares x share price
 (+) Market value of debt = debt reported on the balance sheet would suffice or use similar priced bonds in the market
 (+) Market value of minority interest = shares of consolidated majority holdings that do not belong to the group. If a group fully consolidates, for example, a 90% stake in another company, the minority interest of 10% has to be declared separately on the balance sheet, as they do not actually belong to the group
 (-) Cash and equivalents are the counterpart of financial liabilities and are deducted from the enterprise value. (This can also contain really short-term liquid assets. 
- Most businesses, however, report net financial liabilities, which means that the enterprise value exceeds the market value of shareholders’ equity.
- The enterprise value has the additional advantage that the capital structure is included in the valuation. High levels of debt make a business less attractive, cash holdings on the other side are rewarded. The capital structure itself therefore has not to be included when interpreting entity multiples.
</t>
        </r>
        <r>
          <rPr>
            <b/>
            <u/>
            <sz val="9"/>
            <color indexed="81"/>
            <rFont val="Tahoma"/>
            <family val="2"/>
          </rPr>
          <t xml:space="preserve">MICHAEL M. https://www.slideshare.net/jonfweber/what-does-an-ev-ebitda-multiple-mean
</t>
        </r>
        <r>
          <rPr>
            <sz val="9"/>
            <color indexed="81"/>
            <rFont val="Tahoma"/>
            <family val="2"/>
          </rPr>
          <t xml:space="preserve">
- Lower tax rates increase enterprise value and earnings but have no EFFECT on EBITDA. </t>
        </r>
      </text>
    </comment>
    <comment ref="B266" authorId="1" shapeId="0" xr:uid="{FBB65A8D-37C3-4926-8B2E-8641616BD641}">
      <text>
        <r>
          <rPr>
            <b/>
            <sz val="9"/>
            <color indexed="81"/>
            <rFont val="Tahoma"/>
            <family val="2"/>
          </rPr>
          <t>Author:</t>
        </r>
        <r>
          <rPr>
            <sz val="9"/>
            <color indexed="81"/>
            <rFont val="Tahoma"/>
            <family val="2"/>
          </rPr>
          <t xml:space="preserve">
</t>
        </r>
        <r>
          <rPr>
            <b/>
            <u/>
            <sz val="9"/>
            <color indexed="81"/>
            <rFont val="Tahoma"/>
            <family val="2"/>
          </rPr>
          <t>SUBRAM:</t>
        </r>
        <r>
          <rPr>
            <b/>
            <sz val="9"/>
            <color indexed="81"/>
            <rFont val="Tahoma"/>
            <family val="2"/>
          </rPr>
          <t xml:space="preserve">
</t>
        </r>
        <r>
          <rPr>
            <sz val="9"/>
            <color indexed="81"/>
            <rFont val="Tahoma"/>
            <family val="2"/>
          </rPr>
          <t xml:space="preserve">
Formula: Cash Dividend per share / Market Price per share: 
■  Annual dividends per share divided by share price
</t>
        </r>
        <r>
          <rPr>
            <b/>
            <u/>
            <sz val="9"/>
            <color indexed="81"/>
            <rFont val="Tahoma"/>
            <family val="2"/>
          </rPr>
          <t xml:space="preserve">
CFA LVL 2:</t>
        </r>
        <r>
          <rPr>
            <sz val="9"/>
            <color indexed="81"/>
            <rFont val="Tahoma"/>
            <family val="2"/>
          </rPr>
          <t xml:space="preserve">
■  Dividend yield is a component of total return.
■  Dividends are a less risky component of total return than capital appreciation. 
</t>
        </r>
        <r>
          <rPr>
            <u/>
            <sz val="9"/>
            <color indexed="81"/>
            <rFont val="Tahoma"/>
            <family val="2"/>
          </rPr>
          <t>Possible drawbacks of using dividend yields include the following:</t>
        </r>
        <r>
          <rPr>
            <sz val="9"/>
            <color indexed="81"/>
            <rFont val="Tahoma"/>
            <family val="2"/>
          </rPr>
          <t xml:space="preserve">
■  Dividend yield is only one component of total return; not using all information related to expected return is suboptimal.
■  Investors may trade off future earnings growth to receive higher current dividends. That is, holding return on equity constant, dividends paid now displace earnings in all future periods (a concept known as the dividend displacement of earnings). Arnott and Asness (2003) and Zhou and Ruland (2006), however, showed that caution must be exercised in assuming that dividends displace future earnings in practice, because dividend payout may be correlated with future profitability.
■ The argument about the relative safety of dividends presupposes that market prices reflect in a biased way differences in the relative risk of the components of return
</t>
        </r>
        <r>
          <rPr>
            <u/>
            <sz val="9"/>
            <color indexed="81"/>
            <rFont val="Tahoma"/>
            <family val="2"/>
          </rPr>
          <t xml:space="preserve">Trailing dividend yield = </t>
        </r>
        <r>
          <rPr>
            <sz val="9"/>
            <color indexed="81"/>
            <rFont val="Tahoma"/>
            <family val="2"/>
          </rPr>
          <t xml:space="preserve">calculated by using the dividend rate / current market price per share. 
■ The annualized amount of the most recent dividend is known as the dividend rate.  For companies paying quarterly dividends, the dividend rate is calculated as 4x the most recent quarterly per-share dividend. (Some data sources use the dividends in the last four quarters as the dividend rate for purposes of a trailing dividend yield.) 
 ■  Companies that pay semiannual dividends comprising an interim dividend that typically differs in magnitude from the final dividend, the dividend rate is usually calculated as the most recent annual per-share dividend. 
 ■  The dividend rate indicates the annual amount of dividends per share under the assumption of no increase or decrease over the year. 
 ■ The analyst’s forecast of leading dividends could be higher or lower and is the basis of the leading dividend yield. The leading dividend yield is calculated as forecasted dividends per share over the next year divided by the current market price per share. Example 32 illustrates the calculation of dividend yield.
 ■  You should compare a company with its peers to determine whether it is attractively priced, considering its dividend yield and risk. You should examine whether differences in expected growth explain the differences in dividend yield.
 ■  Another consideration used by some investors is the security of the dividend (the probability that it will be reduced or eliminated). A useful metric in assessing the safety of the dividend is the payout ratio: A high payout relative to other companies operating in the same industry may indicate a less secure dividend because the dividend is less well covered by earnings. Balance sheet metrics are equally important in assessing the safety of the dividend, and relevant ratios to consider include the interest coverage ratio and the ratio of net debt to EBITDA. 
</t>
        </r>
        <r>
          <rPr>
            <b/>
            <u/>
            <sz val="9"/>
            <color indexed="81"/>
            <rFont val="Tahoma"/>
            <family val="2"/>
          </rPr>
          <t xml:space="preserve">ART OF COMPANY VAL:
</t>
        </r>
        <r>
          <rPr>
            <sz val="9"/>
            <color indexed="81"/>
            <rFont val="Tahoma"/>
            <family val="2"/>
          </rPr>
          <t xml:space="preserve">
</t>
        </r>
        <r>
          <rPr>
            <u/>
            <sz val="9"/>
            <color indexed="81"/>
            <rFont val="Tahoma"/>
            <family val="2"/>
          </rPr>
          <t xml:space="preserve">Formula </t>
        </r>
        <r>
          <rPr>
            <sz val="9"/>
            <color indexed="81"/>
            <rFont val="Tahoma"/>
            <family val="2"/>
          </rPr>
          <t xml:space="preserve">= Dividend / Share price 
■  A dividend yield of 5%, for example, signifies a payout of $5 per share at a share price of $100. 
</t>
        </r>
      </text>
    </comment>
    <comment ref="B267" authorId="1" shapeId="0" xr:uid="{A3CF0B96-BAA0-4523-9999-4AD132C8D7C9}">
      <text>
        <r>
          <rPr>
            <b/>
            <sz val="9"/>
            <color indexed="81"/>
            <rFont val="Tahoma"/>
            <family val="2"/>
          </rPr>
          <t>Author:</t>
        </r>
        <r>
          <rPr>
            <sz val="9"/>
            <color indexed="81"/>
            <rFont val="Tahoma"/>
            <family val="2"/>
          </rPr>
          <t xml:space="preserve">
</t>
        </r>
        <r>
          <rPr>
            <b/>
            <u/>
            <sz val="9"/>
            <color indexed="81"/>
            <rFont val="Tahoma"/>
            <family val="2"/>
          </rPr>
          <t xml:space="preserve">CFA LVL 2:
</t>
        </r>
        <r>
          <rPr>
            <sz val="9"/>
            <color indexed="81"/>
            <rFont val="Tahoma"/>
            <family val="2"/>
          </rPr>
          <t xml:space="preserve">
Ratio: Dividends/Net income
Way of looking at dividend safety is to look at dividend payout ratio &amp; its inverse dividend coverage ratio (Net income / dividends). 
A higher dividend pay-out ratio or a lower dividend coverage ratio tends to indicate a higher risk of a dividend cut. The logic is that with a relatively high dividend pay-out ratio, a small percentage decline in earnings could cause the dividend to stop. 
Large mature companies often target dividend pay-out ratios of 40% to 60%, so that dividend coverage ratios range from about 1.7x to 2.5x, excluding “extra” payments. Mature companies are expected to be in this range over the course of a 5- to 10-year business cycle.
When a dividend coverage ratio drops to 1.0, the dividend is considered to be in jeopardy unless non-recurring events, such as an employee strike or a typhoon, are responsible for a temporary decline in earnings.
Free cash flow to equity, represents the cash flow available for distribution as dividends after taking account of working and fixed capital expenditure needs. 
</t>
        </r>
      </text>
    </comment>
    <comment ref="B269" authorId="1" shapeId="0" xr:uid="{55122D2F-9EDC-4ADC-AED0-3DB478D2CB90}">
      <text>
        <r>
          <rPr>
            <b/>
            <sz val="9"/>
            <color indexed="81"/>
            <rFont val="Tahoma"/>
            <family val="2"/>
          </rPr>
          <t>Author:</t>
        </r>
        <r>
          <rPr>
            <sz val="9"/>
            <color indexed="81"/>
            <rFont val="Tahoma"/>
            <family val="2"/>
          </rPr>
          <t xml:space="preserve">
</t>
        </r>
        <r>
          <rPr>
            <b/>
            <u/>
            <sz val="9"/>
            <color indexed="81"/>
            <rFont val="Tahoma"/>
            <family val="2"/>
          </rPr>
          <t xml:space="preserve">SUPER STOCK:
</t>
        </r>
        <r>
          <rPr>
            <sz val="9"/>
            <color indexed="81"/>
            <rFont val="Tahoma"/>
            <family val="2"/>
          </rPr>
          <t xml:space="preserve">It’s very similar to P/E, in the sense that it uses Revenue as its denominator instead of corporate earnings. 
</t>
        </r>
        <r>
          <rPr>
            <u/>
            <sz val="9"/>
            <color indexed="81"/>
            <rFont val="Tahoma"/>
            <family val="2"/>
          </rPr>
          <t>Formula</t>
        </r>
        <r>
          <rPr>
            <sz val="9"/>
            <color indexed="81"/>
            <rFont val="Tahoma"/>
            <family val="2"/>
          </rPr>
          <t xml:space="preserve">: Total market value of the company / Last 12 months’ of corporate sales. Or, Price per share / Sales per share. 
• Note: use “fully diluted shares outstanding” when calculating Total Market Value. Why is the PSR ratio of Value?
According to Fisher, the sales portion of the relationship is inherently more stable than most other variables in the corporate world. For instance, if a company has £200M in revenue and has a PSR of 6, then the company has a market value of £1.2 billion. What does the relationship between price and sales mean?
PSR shows how much the stock market is willing to pay for a dollar of a company’s sales – what the financial community, de factor, thinks of the company – its popularity. 
PSR Rules – only for super-stocks. 
1) Avoid stocks with PSRs &gt; 1.5. Never every buy any stock with a PSR greater than 3. A stock selling at this high can increase rapidly, but only based on hype? 
2) Seek those at 0.75 or less.  Hold them for long periods of time. 
3) Sell a company when its PSR rises to 3.0 – 6.0. 
PSR for Normal Stocks. 
Buy at PSR lower than 0.4 &amp; sell them at a PSR greater than 0.8. When a company is selling at a sufficiently low PSR – buy it. Consider a stock selling at a PSR of 0.05. If, years later, the market re-values that stock at some middle-of-the-road PSR like 0.5, the stock will have increased 10-fold. 
</t>
        </r>
        <r>
          <rPr>
            <b/>
            <u/>
            <sz val="9"/>
            <color indexed="81"/>
            <rFont val="Tahoma"/>
            <family val="2"/>
          </rPr>
          <t xml:space="preserve">
CFA LVL 2:</t>
        </r>
        <r>
          <rPr>
            <sz val="9"/>
            <color indexed="81"/>
            <rFont val="Tahoma"/>
            <family val="2"/>
          </rPr>
          <t xml:space="preserve">
</t>
        </r>
        <r>
          <rPr>
            <u/>
            <sz val="9"/>
            <color indexed="81"/>
            <rFont val="Tahoma"/>
            <family val="2"/>
          </rPr>
          <t>Formula:</t>
        </r>
        <r>
          <rPr>
            <sz val="9"/>
            <color indexed="81"/>
            <rFont val="Tahoma"/>
            <family val="2"/>
          </rPr>
          <t xml:space="preserve">  Market Price / net sales per share. Net sales per share = Revenue – returns &amp; customer discounts / Shares Outstanding.
Net sales per share is a barometer to gauge a company's productivity per unit of shareholder ownership. 
- Rationales for using P/S:
Sales are less subject to manipulation compared to other fundamentals, such as EPS or book value.
For example, through “creative” accounting decisions about expenses, company managers can distort EPS. In contrast, total sales, as the top line in the income statement, is prior to any expenses.
Sales are positive even when EPS is negative. Therefore, analysts can use P/S when EPS is negative, whereas the P/E based on a zero or negative EPS is not meaningful.
Because sales are more stable than EPS, which reflects operating and financial leverage, P/S is generally more stable than P/E. Thus, P/S can be more meaningful than P/E when EPS is abnormally high or low.
P/S has been viewed as appropriate for valuing the stocks of mature, cyclical, and zero-income companies (Martin 1998).
Differences in P/S multiples may be related to differences in long-run average returns, according to empirical research.
- Drawbacks:
A business can show increasing sales even if it’s not making any profit. To have value as a going concern, a business must ultimately generate earnings and cash.
We know that share price reflects the effect of debt financing on profitability and risk. 
In the P/S multiple, price is compared with sales, which is a pre-financing income measure—a logical mismatch. For this reason, some experts use a ratio of enterprise value to sales because enterprise value incorporates the value of debt.
 P/S does not reflect differences in cost structures among different companies.Although P/S is relatively robust with respect to manipulation, there are rooms for revenue recognition practices that can potential distort P/S.
</t>
        </r>
        <r>
          <rPr>
            <b/>
            <u/>
            <sz val="9"/>
            <color indexed="81"/>
            <rFont val="Tahoma"/>
            <family val="2"/>
          </rPr>
          <t>ART OF COMPANY VAL:</t>
        </r>
        <r>
          <rPr>
            <sz val="9"/>
            <color indexed="81"/>
            <rFont val="Tahoma"/>
            <family val="2"/>
          </rPr>
          <t xml:space="preserve">
</t>
        </r>
        <r>
          <rPr>
            <u/>
            <sz val="9"/>
            <color indexed="81"/>
            <rFont val="Tahoma"/>
            <family val="2"/>
          </rPr>
          <t>Formula</t>
        </r>
        <r>
          <rPr>
            <sz val="9"/>
            <color indexed="81"/>
            <rFont val="Tahoma"/>
            <family val="2"/>
          </rPr>
          <t xml:space="preserve"> =  (Market Cap / Sales Revenue) or (Share Price / Sales per Share)
- Why use this ratio? General Motors, after all, had sales worth nearly $150bn in the year before filing for chapter 11, but still made a loss.
- First of all, sales are the least susceptible to accounting manipulation. Shareholders’ equity and profit are subject to numerous accounting effects, whereas sales are by and large independent of other figures.
- Second, the price-to-sales ratio is also used for the valuation of businesses that are posting net losses. In this context, it is important to bear in mind that loss-making businesses can only be assessed when profits can be expected in the future.
- Just as the price-to-book ratio correlates with return on equity, the price-to-sales ratio can be linked to the net profit margin. This connection exists because the net profit margin figure can be interpreted as the marginal utility of sales. The more profitably a company operates, the more every additional dollar earned contributes to its profits, which is expressed in the P/S ratio
- If rising margins are to be expected, for example because of economies of scale, the fair price-to-sales ratio is adjusted upward. If there is increased pressure on margins the price-to-sales ratio should be discounted. Especially in cyclical industries, margins are often very high in boom phases, and low to negative during economic downturns.
</t>
        </r>
      </text>
    </comment>
    <comment ref="B270" authorId="1" shapeId="0" xr:uid="{2BCD6904-9667-4DD3-9361-0A260A1B3A31}">
      <text>
        <r>
          <rPr>
            <b/>
            <u/>
            <sz val="9"/>
            <color indexed="81"/>
            <rFont val="Tahoma"/>
            <family val="2"/>
          </rPr>
          <t>Author:
CFA LVL 2:</t>
        </r>
        <r>
          <rPr>
            <sz val="9"/>
            <color indexed="81"/>
            <rFont val="Tahoma"/>
            <family val="2"/>
          </rPr>
          <t xml:space="preserve">
Ratio: Price per share / (Cash flow operations / Shares outstanding)
Evaluates the price of a company's stock as compared to the amount of cash flow it generates.
Rationales for using P/CF:
Cash flow are less subject to manipulation by management than earnings.
P/CF offers investors a different look at a company's value than the P/E ratio, because the P/CF ratio uses a denominator that excludes the effects of depreciation and the accounting differences related to depreciation. Additionally, it turns the attention to how much cash a company generates relative to its stock price rather than what it records in earnings relative to stock price.
Because cash flow is generally more stable than earnings, thus, P/CF is more stable than P/E.
Using price to cash flow rather than P/E addresses the issue of differences in accounting conservatism between companies (differences in the quality of earnings).
Differences in price to cash flow may be related to differences in long-run average returns, according to empirical research
- Drawbacks:
Use of cash flow has increased over time, thus some companies have increased their use of accounting methods that enhance cash flow measures.
Operating cash flow, can be enhanced by securitizing accounts receivable to speed up a company’s operating cash inflow or by outsourcing the payment of accounts payable to slow down the company’s operating cash outflow (while the outsource company continues to make timely payments and provides financing to cover any timing differences). Mulford and Comiskey (2005) describe a number of opportunistic accounting choices that companies can make to increase their reported operating cash flow.
Operating cash flow from the Statement of Cash Flows under IFRS may not be comparable to operating cash flow under US GAAP. Why? 
 IFRS allows more flexibility in classification of interest paid, interest received, and dividends received. Under US GAAP, all three of these items are classified in operating cash flow; but under IFRS, companies have the option to classify them as operating or investing (for interest and dividends received) and as operating or financing (for interest paid).
- Determining Cash Flow
In practice, we use CFO for the Price-to-cash flow calculation. 
 Remember depreciation and amortization are the major non-cash charges that are added to net income in the process of calculating cash flow from operations. However, as mentioned before, US GAAP &amp; IFRS account for certain items differently so you have to be diligent when comparing (i.e., you have to make the necessary adjustments)
• IFRS show flexibility in classifying interest payments, interest receipts, and dividend receipts across operating, investing, and financing.
• US GAAP requires companies to classify interest payments, interest receipts, and dividend receipts as operating cash flows.
</t>
        </r>
        <r>
          <rPr>
            <b/>
            <u/>
            <sz val="9"/>
            <color indexed="81"/>
            <rFont val="Tahoma"/>
            <family val="2"/>
          </rPr>
          <t>HOW TO PICK EQUALITY SHARES - OAKLEY</t>
        </r>
        <r>
          <rPr>
            <sz val="9"/>
            <color indexed="81"/>
            <rFont val="Tahoma"/>
            <family val="2"/>
          </rPr>
          <t xml:space="preserve">
</t>
        </r>
        <r>
          <rPr>
            <u/>
            <sz val="9"/>
            <color indexed="81"/>
            <rFont val="Tahoma"/>
            <family val="2"/>
          </rPr>
          <t>Formula =</t>
        </r>
        <r>
          <rPr>
            <sz val="9"/>
            <color indexed="81"/>
            <rFont val="Tahoma"/>
            <family val="2"/>
          </rPr>
          <t xml:space="preserve"> Price to free cash flow = Share price / free cash flow per share
As with the PE ratio, you can turn this calculation upside down to get the free cash flow yield. A sustainable free cash flow yield of 10% or more might be seen as an attractive share. Ideally you want to invest in a company where the free cash flow yield is more than the dividend yield to have a degree of comfort that the company has enough spare cash to pay you.
</t>
        </r>
        <r>
          <rPr>
            <b/>
            <u/>
            <sz val="9"/>
            <color indexed="81"/>
            <rFont val="Tahoma"/>
            <family val="2"/>
          </rPr>
          <t xml:space="preserve">
ART OF COMPANY VAL</t>
        </r>
        <r>
          <rPr>
            <sz val="9"/>
            <color indexed="81"/>
            <rFont val="Tahoma"/>
            <family val="2"/>
          </rPr>
          <t xml:space="preserve">:
</t>
        </r>
        <r>
          <rPr>
            <u/>
            <sz val="9"/>
            <color indexed="81"/>
            <rFont val="Tahoma"/>
            <family val="2"/>
          </rPr>
          <t>Formula</t>
        </r>
        <r>
          <rPr>
            <sz val="9"/>
            <color indexed="81"/>
            <rFont val="Tahoma"/>
            <family val="2"/>
          </rPr>
          <t xml:space="preserve"> = (Market capitalization / Operating cash flow) or (Share price / Operating cash flow per share)
- As a rule, the operating cash flow displays a higher volatility than net profit, as changes in working capital can alter the cash flow considerably depending on the cyclicality and growth dynamics of the business. To remove these disruptive factors, the operating cash flow can be used before changes in working capital. This figure, also known as ‘cash earnings’, is calculated by adjusting net profit for non-cash expenditure and one-off effects.</t>
        </r>
      </text>
    </comment>
    <comment ref="B272" authorId="1" shapeId="0" xr:uid="{DAD3EFBD-FDD4-4855-94C1-5BBBB58D44FC}">
      <text>
        <r>
          <rPr>
            <b/>
            <sz val="9"/>
            <color indexed="81"/>
            <rFont val="Tahoma"/>
            <family val="2"/>
          </rPr>
          <t xml:space="preserve">Author:
</t>
        </r>
        <r>
          <rPr>
            <sz val="9"/>
            <color indexed="81"/>
            <rFont val="Tahoma"/>
            <family val="2"/>
          </rPr>
          <t xml:space="preserve">
</t>
        </r>
        <r>
          <rPr>
            <b/>
            <u/>
            <sz val="9"/>
            <color indexed="81"/>
            <rFont val="Tahoma"/>
            <family val="2"/>
          </rPr>
          <t>ELLIOT &amp; ELLIOT:</t>
        </r>
        <r>
          <rPr>
            <sz val="9"/>
            <color indexed="81"/>
            <rFont val="Tahoma"/>
            <family val="2"/>
          </rPr>
          <t xml:space="preserve">
Ratio: Market Price per share / EPS       OR,  Total Price / Earnings...  (Where earnings is normally the company's ne profit).  
The PE ratio is a market-based measure and a high ratio indicates that investors are relatively confident in the maintainability and quality of the earnings of the entity. Entities in certain sectors (e.g. the retail sector) tend to have higher PE ratios than those in other sectors (e.g. the construction sector). Higher PE ratios imply a greater level of market confidence, which usually means that (given the attitude an average investor takes to risk) the entity with a higher PE ratio operates in a sector which is less cyclical.
The PE ratio for a company will reflect investors’ confidence and hopes about the international scene, the national economy and the industry sector, as well as about the current year’s performance of the company as disclosed in its financial report. It is difficult to interpret a PE ratio in isolation without a certain amount of information about the company, its competitors and the industry within which it operates. For example, a </t>
        </r>
        <r>
          <rPr>
            <u/>
            <sz val="9"/>
            <color indexed="81"/>
            <rFont val="Tahoma"/>
            <family val="2"/>
          </rPr>
          <t>high PE ratio might reflect investor confidence in the existing management team</t>
        </r>
        <r>
          <rPr>
            <sz val="9"/>
            <color indexed="81"/>
            <rFont val="Tahoma"/>
            <family val="2"/>
          </rPr>
          <t>:</t>
        </r>
        <r>
          <rPr>
            <u/>
            <sz val="9"/>
            <color indexed="81"/>
            <rFont val="Tahoma"/>
            <family val="2"/>
          </rPr>
          <t xml:space="preserve"> people are willing to pay a high multiple for expected earnings because of the underlying strength of the company.</t>
        </r>
        <r>
          <rPr>
            <sz val="9"/>
            <color indexed="81"/>
            <rFont val="Tahoma"/>
            <family val="2"/>
          </rPr>
          <t xml:space="preserve"> Conversely, it might also reflect lack of investor confidence in the existing management, but an anticipation of a takeover bid which will result in transfer of the company assets to another company with better prospects of achieving growth in earnings than has the existing team. A low PE ratio might indicate a lack of confidence in the current management or a feeling that even a new management might find problems that are not easily surmounted. For example, there might be extremely high gearing, with little prospect of organic growth in earnings or new capital inputs from rights issues to reduce it. These reasons for a difference in the PE ratios of companies, even though they are in the
same industry, are market-based and not simply a function of earnings. However, both thecurrent earnings per share figure and the individual shareholder’s expectation of future growth relative to that of other companies also have an impact on the share price
Manipulating EPS:
The appropriateness of EPS as a performance measure can be influenced by the subjectivity of the directors when preparing the financial statements. For example, their remuneration may be based on the growth in EPS. Looking at calculation of the EPS of 3.05 (rounded) we can see that it is affected by:
●  the number of shares in issue which can be changed by issuing bonus shares, share splits and reverse share splits;
●  the profit which can be manipulated by adjusting accrued liabilities, depreciation, amortisation and impairment charges.  Simply buying back one-sixth of the shares can lift the EPS by more than 10%. 
</t>
        </r>
        <r>
          <rPr>
            <b/>
            <sz val="9"/>
            <color indexed="81"/>
            <rFont val="Tahoma"/>
            <family val="2"/>
          </rPr>
          <t xml:space="preserve">
</t>
        </r>
        <r>
          <rPr>
            <b/>
            <u/>
            <sz val="9"/>
            <color indexed="81"/>
            <rFont val="Tahoma"/>
            <family val="2"/>
          </rPr>
          <t>SUBRA:</t>
        </r>
        <r>
          <rPr>
            <sz val="9"/>
            <color indexed="81"/>
            <rFont val="Tahoma"/>
            <family val="2"/>
          </rPr>
          <t xml:space="preserve">
Higher price-to-earnings and price-to-book ratios benefit a company in several ways. 
These include the ability to raise a given amount of equity capital by issuing fewer shares and the ability to use common stock as a means of payment for acquisitions. However, increasing stock valuations expose existing and especially new common shareholders to increasing risks, including the risk of stagnating or reversing stock valuations. This occurs because, unlike in early stages of a bull market, prices can potentially deviate from company fundamentals in reflecting upward price momentum. </t>
        </r>
        <r>
          <rPr>
            <u/>
            <sz val="9"/>
            <color indexed="81"/>
            <rFont val="Tahoma"/>
            <family val="2"/>
          </rPr>
          <t>When stock valuations reflect this price momentum, experience shows it is promptly erased once information on the fundamentals fails to support the high stock price</t>
        </r>
        <r>
          <rPr>
            <sz val="9"/>
            <color indexed="81"/>
            <rFont val="Tahoma"/>
            <family val="2"/>
          </rPr>
          <t xml:space="preserve">. Assessing price momentum, as important and crucial as it is for equity investing, cannot be gauged by means of the analysis tools here. They involve the study of market expectations and cycles.
</t>
        </r>
        <r>
          <rPr>
            <b/>
            <u/>
            <sz val="9"/>
            <color indexed="81"/>
            <rFont val="Tahoma"/>
            <family val="2"/>
          </rPr>
          <t>WILLIAM PIKE:</t>
        </r>
        <r>
          <rPr>
            <sz val="9"/>
            <color indexed="81"/>
            <rFont val="Tahoma"/>
            <family val="2"/>
          </rPr>
          <t xml:space="preserve"> 
There are no rules about how much one should pay for any given amount of earnings per share, or dividends per share. In the example from Table 4.1 it is not clear whether Company C or Company B is worth more today. Making that judgment is the “art” of investing. Only after thorough analysis of a company and by long experience of studying the relationship between the price of a stock per share and its expected earnings per share, called the price-to-earnings ratio, does one begin to develop a sense of what a stock is really “worth.”
If we assume a stock is selling at $100 per share, and its earnings per share are $10, then the price-to-earnings ratio, often referred to as the price-earnings ratio, or just the P/E, would be “ten times,” or just “ten.”
In other words, investors are willing to pay 10x current earnings per share (or 20x the current dividend) for a share of JMC stock. In Wall Street language one would say, “Investors are willing to pay 10 times earnings for JMC,” or, “JMC’s price-to-earnings ratio is 10x,” or, “The investment community is capitalizing JMC’s earnings at 10 times.” Note the use of the word capitalize . Again, this is a word with many meanings. In this case, it refers to what price-to-earnings ratio investors are willing to pay for a share of JMC stock.
 Ihis is the main reason why initial stockholders of a company want the company to go public—because the public’s willingness to pay a high price-to-earnings ratio enables the original stockholders to receive in cash today what they would not otherwise get for years, if ever, in dividends.
Other terminology you will see in P/E discussions include: “NTM” which means the earnings expected over the Next Twelve Months, and “LTM” which means earnings reported over the latest or Last Twelve Months. For instance, a discussion of LTM EPS in early April of 2013 would include the earnings reported for the first quarter of 2013 (the quarter ending on 3-31-13), and the earnings for the last three quarters of 2012. In early April 2013, the NTM estimate refers to an earnings estimate for the remaining three quarters of 2013 and the first quarter of 2014. The term “Trailing 12” means the last12 months (same thing as LTM).  You might be wondering, “Where do these estimates come from?” Investment banks such as Morgan Stanley, Goldman Sachs, and others, employ analysts to follow stocks and issue earnings estimates and stock ratings on the companies they follow. Many of these earnings estimates are available to the public. All of the published estimates for a particular company are then aggregated by data providers such as FactSet, Bloomberg, and Thomson, to arrive at a consensus estimate. The consensus can be the average or the median estimate. Consensus estimates are available from a variety of internet services such as Yahoo! Finance. Some brokers like Ameritrade also provide consensus earnings estimates for their clients. Other data providers such as FactSet, Bloomberg, and Thomson, which are available for an expensive monthly subscription fee, have a broader database.*
Value investor and CEO of Berkshire Hathaway, Warren Buffet, has noted that using a trailing P/E ratio (which incorporates past year’s earnings) is akin to “investing by using the rearview mirror.” (Mauboussin, Michael. More Than You Know: Finding Financial Wisdom in Unconventional Places. New York: Columbia Business School Publishing, 2008.) This is because the price of a stock reflects investors’ expectations of future performance. For this reason, forecasted earnings—rather than past year’s earnings—should be used when looking at P/E ratios. When forecasted earnings is used, the calculated P/E is referred to as a “forward P/E.”
If the price/earnings ratio stays the same over a period of time, then a stock’s move will be entirely the result of the changes in earnings.The stock price can also change if the market (investors) believes the stock deserves to trade at a higher or lower multiple.
What determines the gain (or loss) in a stock is not the initial absolute price level of the stock, but is either (1) the percentage change in earnings if the P/E stays the same, as was the case here, or (2) the change in the P/E if the earnings level stays the same. Usually, of course it is a combination of the two, but in any case, the total profit earned by the investor is independent of the absolute price level at which the stock began, or the number of shares the investor was able to buy.
The P/E an investor will be willing to pay for a stock is also related to the risk, or his confidence in his projected earnings growth. For example, an investor who is highly confident that a company will grow at a 10% annual rate would likely be willing to pay a higher P/E than another investor who also thinks that the company’s most likely growth rate is 10%, but is less confident in her estimate because she is worried that an unexpected competitor may emerge, which increases the risk that her 10% earnings growth forecast will not be met.
If two companies were identical today except that they were expected to have different earnings growth rates, the P/E would still be the best way to judge which stock is cheaper, but now the comparison is more difficult. In this case, it is more useful to determine which stock is cheaper by comparing the current price to the expected earnings a few years out (in other words EPS). 
company with the faster growth rate should have the higher P/E. But there is no absolute measure of what P/E an investor should pay for a given growth rate. There have been many studies attempting to determine what P/E should be paid for a given growth rate of earnings or dividends, but there have always been too many “other” factors for such studies to be very useful. This does not mean that investors should not try to compare growth rates to P/Es. Studying this relationship for a number of stocks you follow is an excellent way to increase your comfort level with those P/Es and stock prices, even though you probably will not find the perfect formula.  In practice, most investors do not try to calculate a mathematically “correct” P/E. Rather, by watching the prices, earnings, and P/Es of a group of stocks over a period of time, they develop a feel for how the stocks behave, both individually and compared to each other.
be happening to the company, or the industry it serves, or in the economy in general, that could cause an increase or decrease in the company’s growth rate or other factors that impact the P/E? What might happen to change investors’ confidence that the forecasted growth rate can be achieved? For example, if a major competitor went out of business, investors might not only expect a company’s future growth rate to be faster, but in addition, investors would have more confidence in their forecasts of company earnings because there is less fear of competition. Conversely, if a company were dependent on a raw material that was getting harder to obtain and subject to steep price increases, then investors’ confidence in their earnings estimates would be lower and the stock might sell at a lower P/E.  A second step in trying to determine a P/E for a company is to look at the P/Es of similar companies and then consider what is different between the companies and why one should have a higher or lower P/E than the others. Looking at the computer software industry for example, some small companies with one or two good products might be growing very rapidly initially, but when they get bigger they will find themselves competing against the giant software companies that have a larger market share. As the smaller companies find it difficult to compete successfully against the larger, dominant companies, their growth might come to an abrupt halt. So the smaller companies, although growing rapidly now, may deserve a lower P/E than their current growth rate would suggest. Many small software companies encountering this problem ultimately sell themselves to a large software company. So investors in small software companies should look at recent software company buyouts to see what was the typical P/E or range of P/Es that the acquiring company paid.  The third step is to compare the P/E of the stock you are analyzing to the P/E of the stock market as a whole. P/Es are affected by broad market conditions. When interest rates are low, P/Es in general tend to be high. An old rule of thumb says that at times when interest rates are low, the P/E should be twice the expected growth rate of earnings. For example, if a company’s earnings had been growing at a rate of 10% a year and were expected to continue to grow at that rate, a P/E of 20x would be considered reasonable. Of course, companies never grow at exactly the same rate each year, and in fact growth rates often come in spurts and then slow down. So even if a company’s growth rate had “averaged” 10% a year, investors will still have to make a judgment as to whether they feel comfortable paying a P/E of twice the growth rate.  When interest rates are high, stocks generally sell at lower P/Es, often at P/Es that are less than their growth rate. For example, a company that had been growing at 10% a year might trade at a P/E of 9x or less.  In sum, investors trying to decide what P/E to pay for a stock, or at what P/E to sell the stock, can look at: (1) the company’s historical P/Es, (2) comparable companies’ P/Es and (3) relative P/Es, as a guide. They should also look at broad market trends to see if P/Es in general are rising or falling. By comparing past conditions with current conditions, investors will often have a good basis for determining an appropriate price/earnings ratio today.
The historical P/E range of a stock can only be considered a reasonable guide to the future P/E range if: (1) the growth rate of earnings is expected to remain about the same as it was; (2) nothing has changed in the company or the industry it serves, or the economy in general to affect one’s confidence in his earnings estimates; and (3) the whole market’s evaluation of P/Es has not changed. That is a big set of “ifs,” and reminds us that there are no simple quantitative rules for stock selection. Investing is arguably more an art than a science.
</t>
        </r>
        <r>
          <rPr>
            <b/>
            <u/>
            <sz val="9"/>
            <color indexed="81"/>
            <rFont val="Tahoma"/>
            <family val="2"/>
          </rPr>
          <t>CFA lvl 2:</t>
        </r>
        <r>
          <rPr>
            <sz val="9"/>
            <color indexed="81"/>
            <rFont val="Tahoma"/>
            <family val="2"/>
          </rPr>
          <t xml:space="preserve">
In 2012, Merill calculated that 81% of its respondents considered P/E when investing. 
When calculating P/E, be careful of: 
- Temporary, non-recurring components of earnngs that are company specific (must be removed). Also if there are costs such as (amorotisation or restructing costs) then that could be potentially added back onto earnings. You want core earnings. Note: Nonrecurring items (i.e., gains and losses from the sale of assets, asset write-downs, goodwill impairment, provisions for future losses, and changes in accounting estimates) often appear in the income from continuing operations portion of a business’s income statement. Do not take the info from the income statement at face value. You have to decide whether or not an item should be included or excluded. 
- Temporary components of earnings that are considered cyclical - for instance retail stores consider xmas sales. Molodovsky Effect = P/Es tend to be high on depressed EPS (at the bottom of the cycle)... lower EPS = higher P/E. Thus important to normalise and use "mid cycle". 
-Differences in accounting methods when different companies' stocks are being compared. 
Normalising P/E ... the different ways include:
1) Using Historical Average EPS = Average EPS of the most recent cycle. However, this method does not account for changes in the a business cycle. 
2) Average ROE = Normalised EPS is calculated (ROE) from the most recent full cycle, multiplied by current book value per share.... (Average ROE) x (current Book Value Per Share)
a. This method, which uses recent book value per share, reflects more accurately the effect on EPS of growth / shrinkage in the company’s size. For that reason, the method of average ROE is preferred. When reported current book value does not adequately reflect company size in relation to past values (because of items such as large write-downs), the analyst can make appropriate accounting adjustments. This method reflects more accurately the growth and shrinkage of a company's </t>
        </r>
        <r>
          <rPr>
            <b/>
            <sz val="9"/>
            <color indexed="81"/>
            <rFont val="Tahoma"/>
            <family val="2"/>
          </rPr>
          <t>size. Thus, this method is preferred for normalising</t>
        </r>
        <r>
          <rPr>
            <sz val="9"/>
            <color indexed="81"/>
            <rFont val="Tahoma"/>
            <family val="2"/>
          </rPr>
          <t xml:space="preserve">. 
3) Total assets x long-run return on total assets. 
4) Shareholder equity x long-run return on total shareholders' equity. 
When looking to compare between two companies that use different accounting methods... For example: comparing a company that uses the (LIFO) method of inventory accounting as permitted by US GAAP (but not by IFRS) with another company that uses the FIFO) method, you should adjust earnings to provide comparability in all ratio and valuation analyses. In general, any adjustment made to a company’s reported financials for purposes of financial statement analysis should be incorporated into an analysis of P/E and other multiples. 
Dealing with extremely low, 0 or negative EPS: use of an inverse price ratio—that is, the reciprocal of the original ratio, which places price in the denominator. The use of inverse price multiples addresses the issue of consistent ranking because price is never negative. In the case of the P/E, the inverse price ratio is earnings to price (E/P), known as the earnings yield. Ranked by earnings yield from highest to lowest, the securities are correctly ranked from cheapest to most costly in terms of the amount of earnings one unit of currency buys. OR, you could normalise.
</t>
        </r>
        <r>
          <rPr>
            <b/>
            <u/>
            <sz val="9"/>
            <color indexed="81"/>
            <rFont val="Tahoma"/>
            <family val="2"/>
          </rPr>
          <t xml:space="preserve">
INVESTMENT BANKING &gt; LBOS ETC
</t>
        </r>
        <r>
          <rPr>
            <sz val="9"/>
            <color indexed="81"/>
            <rFont val="Tahoma"/>
            <family val="2"/>
          </rPr>
          <t xml:space="preserve">
- We know: companies with higher P/Es than their peers tend to have higher earnings growth expectations. </t>
        </r>
        <r>
          <rPr>
            <u/>
            <sz val="9"/>
            <color indexed="81"/>
            <rFont val="Tahoma"/>
            <family val="2"/>
          </rPr>
          <t>Ratio is particularly relevant for mature companies that have a demonstrated ability to consistently grow earning</t>
        </r>
        <r>
          <rPr>
            <sz val="9"/>
            <color indexed="81"/>
            <rFont val="Tahoma"/>
            <family val="2"/>
          </rPr>
          <t xml:space="preserve">s.
- Net income (and EPS) is net of interest expense and, therefore, dependent on capital structure. As a result, two otherwise similar companies in terms of size and operating margins can have substantially different net income margins (and consequently P/E ratios) due to differences in leverage. Similarly, accounting discrepancies, such as for depreciation or taxes, can also produce meaningful disparities in P/E ratios among comparable companies.
</t>
        </r>
        <r>
          <rPr>
            <b/>
            <u/>
            <sz val="9"/>
            <color indexed="81"/>
            <rFont val="Tahoma"/>
            <family val="2"/>
          </rPr>
          <t>EQUITY MARKETs</t>
        </r>
        <r>
          <rPr>
            <sz val="9"/>
            <color indexed="81"/>
            <rFont val="Tahoma"/>
            <family val="2"/>
          </rPr>
          <t xml:space="preserve">
Using the P/E is infeasible when the company being valued displays negative earnings. To overcome this problem, one solution is to rely on a cash flow measure such as FCFE. If FCFE is also negative, then using the P/B may be the next solution because the book value of equity is more stable than earnings or FCFE. However, even the book value of equity can be negative. The only ratio left is the P/S, whose denominator is always positive.
</t>
        </r>
        <r>
          <rPr>
            <b/>
            <u/>
            <sz val="9"/>
            <color indexed="81"/>
            <rFont val="Tahoma"/>
            <family val="2"/>
          </rPr>
          <t xml:space="preserve">
APPLIED EQUITY:</t>
        </r>
        <r>
          <rPr>
            <sz val="9"/>
            <color indexed="81"/>
            <rFont val="Tahoma"/>
            <family val="2"/>
          </rPr>
          <t xml:space="preserve">
The P/E can correct in two ways, of course. Prices can drop or earnings can grow (or both). How does the P/E usually correct? Not by increasing fundamentals (the denominator of the ratio), but by decreasing stock prices (the numerator of the ratio). The über-growth stories supporting high-P/E stocks need to be thoughtfully investigated when considering a buy or hold recommendation for a stock with high relative valuation. 
Although research shows that portfolios of low-P/E stocks outperform portfolios of high-P/E stocks over the long term, the outperformance is driven by just a few stocks in the portfolio. When the market takes a stock’s price down and its P/E falls into the single digits, it indicates widespread pessimism about the company’s future prospects. The market is more often right than wrong in this regard, so stocks with very low P/Es and/or high dividend yields need to be thoroughly investigated to make sure you’re not dealing with a toxic story—a company whose profit model is severely broken and is priced by the market for ongoing failure.
There are 2 circumstances when high relative valuation multiples make sense. 1) s when the stock is expected to grow rapidly in the future (Amazon had a P/E ratio of 124 as of year-end 2011 because investors believe it will continue to grow fast for many years). 2) circumstance supporting high relative valuation is when the company earns a large spread of return on invested capital (ROIC) over its weighted average cost of capital (WACC).</t>
        </r>
      </text>
    </comment>
    <comment ref="B273" authorId="1" shapeId="0" xr:uid="{66E36CD6-F8E6-4BC6-B60B-899D420E14C0}">
      <text>
        <r>
          <rPr>
            <b/>
            <sz val="9"/>
            <color indexed="81"/>
            <rFont val="Tahoma"/>
            <family val="2"/>
          </rPr>
          <t xml:space="preserve">Author:
</t>
        </r>
        <r>
          <rPr>
            <sz val="9"/>
            <color indexed="81"/>
            <rFont val="Tahoma"/>
            <family val="2"/>
          </rPr>
          <t xml:space="preserve">
</t>
        </r>
        <r>
          <rPr>
            <b/>
            <u/>
            <sz val="9"/>
            <color indexed="81"/>
            <rFont val="Tahoma"/>
            <family val="2"/>
          </rPr>
          <t>ELLIOT &amp; ELLIOT:</t>
        </r>
        <r>
          <rPr>
            <sz val="9"/>
            <color indexed="81"/>
            <rFont val="Tahoma"/>
            <family val="2"/>
          </rPr>
          <t xml:space="preserve">
Ratio: Market Price per share / EPS       OR,  Total Price / Earnings...  (Where earnings is normally the company's ne profit).  
The PE ratio is a market-based measure and a high ratio indicates that investors are relatively confident in the maintainability and quality of the earnings of the entity. Entities in certain sectors (e.g. the retail sector) tend to have higher PE ratios than those in other sectors (e.g. the construction sector). Higher PE ratios imply a greater level of market confidence, which usually means that (given the attitude an average investor takes to risk) the entity with a higher PE ratio operates in a sector which is less cyclical.
The PE ratio for a company will reflect investors’ confidence and hopes about the international scene, the national economy and the industry sector, as well as about the current year’s performance of the company as disclosed in its financial report. It is difficult to interpret a PE ratio in isolation without a certain amount of information about the company, its competitors and the industry within which it operates. For example, a </t>
        </r>
        <r>
          <rPr>
            <u/>
            <sz val="9"/>
            <color indexed="81"/>
            <rFont val="Tahoma"/>
            <family val="2"/>
          </rPr>
          <t>high PE ratio might reflect investor confidence in the existing management team</t>
        </r>
        <r>
          <rPr>
            <sz val="9"/>
            <color indexed="81"/>
            <rFont val="Tahoma"/>
            <family val="2"/>
          </rPr>
          <t>:</t>
        </r>
        <r>
          <rPr>
            <u/>
            <sz val="9"/>
            <color indexed="81"/>
            <rFont val="Tahoma"/>
            <family val="2"/>
          </rPr>
          <t xml:space="preserve"> people are willing to pay a high multiple for expected earnings because of the underlying strength of the company.</t>
        </r>
        <r>
          <rPr>
            <sz val="9"/>
            <color indexed="81"/>
            <rFont val="Tahoma"/>
            <family val="2"/>
          </rPr>
          <t xml:space="preserve"> Conversely, it might also reflect lack of investor confidence in the existing management, but an anticipation of a takeover bid which will result in transfer of the company assets to another company with better prospects of achieving growth in earnings than has the existing team. A low PE ratio might indicate a lack of confidence in the current management or a feeling that even a new management might find problems that are not easily surmounted. For example, there might be extremely high gearing, with little prospect of organic growth in earnings or new capital inputs from rights issues to reduce it. These reasons for a difference in the PE ratios of companies, even though they are in the
same industry, are market-based and not simply a function of earnings. However, both thecurrent earnings per share figure and the individual shareholder’s expectation of future growth relative to that of other companies also have an impact on the share price
Manipulating EPS:
The appropriateness of EPS as a performance measure can be influenced by the subjectivity of the directors when preparing the financial statements. For example, their remuneration may be based on the growth in EPS. Looking at calculation of the EPS of 3.05 (rounded) we can see that it is affected by:
●  the number of shares in issue which can be changed by issuing bonus shares, share splits and reverse share splits;
●  the profit which can be manipulated by adjusting accrued liabilities, depreciation, amortisation and impairment charges.  Simply buying back one-sixth of the shares can lift the EPS by more than 10%. 
</t>
        </r>
        <r>
          <rPr>
            <b/>
            <sz val="9"/>
            <color indexed="81"/>
            <rFont val="Tahoma"/>
            <family val="2"/>
          </rPr>
          <t xml:space="preserve">
</t>
        </r>
        <r>
          <rPr>
            <b/>
            <u/>
            <sz val="9"/>
            <color indexed="81"/>
            <rFont val="Tahoma"/>
            <family val="2"/>
          </rPr>
          <t>SUBRA:</t>
        </r>
        <r>
          <rPr>
            <sz val="9"/>
            <color indexed="81"/>
            <rFont val="Tahoma"/>
            <family val="2"/>
          </rPr>
          <t xml:space="preserve">
Higher price-to-earnings and price-to-book ratios benefit a company in several ways. 
These include the ability to raise a given amount of equity capital by issuing fewer shares and the ability to use common stock as a means of payment for acquisitions. However, increasing stock valuations expose existing and especially new common shareholders to increasing risks, including the risk of stagnating or reversing stock valuations. This occurs because, unlike in early stages of a bull market, prices can potentially deviate from company fundamentals in reflecting upward price momentum. </t>
        </r>
        <r>
          <rPr>
            <u/>
            <sz val="9"/>
            <color indexed="81"/>
            <rFont val="Tahoma"/>
            <family val="2"/>
          </rPr>
          <t>When stock valuations reflect this price momentum, experience shows it is promptly erased once information on the fundamentals fails to support the high stock price</t>
        </r>
        <r>
          <rPr>
            <sz val="9"/>
            <color indexed="81"/>
            <rFont val="Tahoma"/>
            <family val="2"/>
          </rPr>
          <t xml:space="preserve">. Assessing price momentum, as important and crucial as it is for equity investing, cannot be gauged by means of the analysis tools here. They involve the study of market expectations and cycles.
</t>
        </r>
        <r>
          <rPr>
            <b/>
            <u/>
            <sz val="9"/>
            <color indexed="81"/>
            <rFont val="Tahoma"/>
            <family val="2"/>
          </rPr>
          <t>WILLIAM PIKE:</t>
        </r>
        <r>
          <rPr>
            <sz val="9"/>
            <color indexed="81"/>
            <rFont val="Tahoma"/>
            <family val="2"/>
          </rPr>
          <t xml:space="preserve"> 
There are no rules about how much one should pay for any given amount of earnings per share, or dividends per share. In the example from Table 4.1 it is not clear whether Company C or Company B is worth more today. Making that judgment is the “art” of investing. Only after thorough analysis of a company and by long experience of studying the relationship between the price of a stock per share and its expected earnings per share, called the price-to-earnings ratio, does one begin to develop a sense of what a stock is really “worth.”
If we assume a stock is selling at $100 per share, and its earnings per share are $10, then the price-to-earnings ratio, often referred to as the price-earnings ratio, or just the P/E, would be “ten times,” or just “ten.”
In other words, investors are willing to pay 10x current earnings per share (or 20x the current dividend) for a share of JMC stock. In Wall Street language one would say, “Investors are willing to pay 10 times earnings for JMC,” or, “JMC’s price-to-earnings ratio is 10x,” or, “The investment community is capitalizing JMC’s earnings at 10 times.” Note the use of the word capitalize . Again, this is a word with many meanings. In this case, it refers to what price-to-earnings ratio investors are willing to pay for a share of JMC stock.
 Ihis is the main reason why initial stockholders of a company want the company to go public—because the public’s willingness to pay a high price-to-earnings ratio enables the original stockholders to receive in cash today what they would not otherwise get for years, if ever, in dividends.
Other terminology you will see in P/E discussions include: “NTM” which means the earnings expected over the Next Twelve Months, and “LTM” which means earnings reported over the latest or Last Twelve Months. For instance, a discussion of LTM EPS in early April of 2013 would include the earnings reported for the first quarter of 2013 (the quarter ending on 3-31-13), and the earnings for the last three quarters of 2012. In early April 2013, the NTM estimate refers to an earnings estimate for the remaining three quarters of 2013 and the first quarter of 2014. The term “Trailing 12” means the last12 months (same thing as LTM).  You might be wondering, “Where do these estimates come from?” Investment banks such as Morgan Stanley, Goldman Sachs, and others, employ analysts to follow stocks and issue earnings estimates and stock ratings on the companies they follow. Many of these earnings estimates are available to the public. All of the published estimates for a particular company are then aggregated by data providers such as FactSet, Bloomberg, and Thomson, to arrive at a consensus estimate. The consensus can be the average or the median estimate. Consensus estimates are available from a variety of internet services such as Yahoo! Finance. Some brokers like Ameritrade also provide consensus earnings estimates for their clients. Other data providers such as FactSet, Bloomberg, and Thomson, which are available for an expensive monthly subscription fee, have a broader database.*
Value investor and CEO of Berkshire Hathaway, Warren Buffet, has noted that using a trailing P/E ratio (which incorporates past year’s earnings) is akin to “investing by using the rearview mirror.” (Mauboussin, Michael. More Than You Know: Finding Financial Wisdom in Unconventional Places. New York: Columbia Business School Publishing, 2008.) This is because the price of a stock reflects investors’ expectations of future performance. For this reason, forecasted earnings—rather than past year’s earnings—should be used when looking at P/E ratios. When forecasted earnings is used, the calculated P/E is referred to as a “forward P/E.”
If the price/earnings ratio stays the same over a period of time, then a stock’s move will be entirely the result of the changes in earnings.The stock price can also change if the market (investors) believes the stock deserves to trade at a higher or lower multiple.
What determines the gain (or loss) in a stock is not the initial absolute price level of the stock, but is either (1) the percentage change in earnings if the P/E stays the same, as was the case here, or (2) the change in the P/E if the earnings level stays the same. Usually, of course it is a combination of the two, but in any case, the total profit earned by the investor is independent of the absolute price level at which the stock began, or the number of shares the investor was able to buy.
The P/E an investor will be willing to pay for a stock is also related to the risk, or his confidence in his projected earnings growth. For example, an investor who is highly confident that a company will grow at a 10% annual rate would likely be willing to pay a higher P/E than another investor who also thinks that the company’s most likely growth rate is 10%, but is less confident in her estimate because she is worried that an unexpected competitor may emerge, which increases the risk that her 10% earnings growth forecast will not be met.
If two companies were identical today except that they were expected to have different earnings growth rates, the P/E would still be the best way to judge which stock is cheaper, but now the comparison is more difficult. In this case, it is more useful to determine which stock is cheaper by comparing the current price to the expected earnings a few years out (in other words EPS). 
company with the faster growth rate should have the higher P/E. But there is no absolute measure of what P/E an investor should pay for a given growth rate. There have been many studies attempting to determine what P/E should be paid for a given growth rate of earnings or dividends, but there have always been too many “other” factors for such studies to be very useful. This does not mean that investors should not try to compare growth rates to P/Es. Studying this relationship for a number of stocks you follow is an excellent way to increase your comfort level with those P/Es and stock prices, even though you probably will not find the perfect formula.  In practice, most investors do not try to calculate a mathematically “correct” P/E. Rather, by watching the prices, earnings, and P/Es of a group of stocks over a period of time, they develop a feel for how the stocks behave, both individually and compared to each other.
be happening to the company, or the industry it serves, or in the economy in general, that could cause an increase or decrease in the company’s growth rate or other factors that impact the P/E? What might happen to change investors’ confidence that the forecasted growth rate can be achieved? For example, if a major competitor went out of business, investors might not only expect a company’s future growth rate to be faster, but in addition, investors would have more confidence in their forecasts of company earnings because there is less fear of competition. Conversely, if a company were dependent on a raw material that was getting harder to obtain and subject to steep price increases, then investors’ confidence in their earnings estimates would be lower and the stock might sell at a lower P/E.  A second step in trying to determine a P/E for a company is to look at the P/Es of similar companies and then consider what is different between the companies and why one should have a higher or lower P/E than the others. Looking at the computer software industry for example, some small companies with one or two good products might be growing very rapidly initially, but when they get bigger they will find themselves competing against the giant software companies that have a larger market share. As the smaller companies find it difficult to compete successfully against the larger, dominant companies, their growth might come to an abrupt halt. So the smaller companies, although growing rapidly now, may deserve a lower P/E than their current growth rate would suggest. Many small software companies encountering this problem ultimately sell themselves to a large software company. So investors in small software companies should look at recent software company buyouts to see what was the typical P/E or range of P/Es that the acquiring company paid.  The third step is to compare the P/E of the stock you are analyzing to the P/E of the stock market as a whole. P/Es are affected by broad market conditions. When interest rates are low, P/Es in general tend to be high. An old rule of thumb says that at times when interest rates are low, the P/E should be twice the expected growth rate of earnings. For example, if a company’s earnings had been growing at a rate of 10% a year and were expected to continue to grow at that rate, a P/E of 20x would be considered reasonable. Of course, companies never grow at exactly the same rate each year, and in fact growth rates often come in spurts and then slow down. So even if a company’s growth rate had “averaged” 10% a year, investors will still have to make a judgment as to whether they feel comfortable paying a P/E of twice the growth rate.  When interest rates are high, stocks generally sell at lower P/Es, often at P/Es that are less than their growth rate. For example, a company that had been growing at 10% a year might trade at a P/E of 9x or less.  In sum, investors trying to decide what P/E to pay for a stock, or at what P/E to sell the stock, can look at: (1) the company’s historical P/Es, (2) comparable companies’ P/Es and (3) relative P/Es, as a guide. They should also look at broad market trends to see if P/Es in general are rising or falling. By comparing past conditions with current conditions, investors will often have a good basis for determining an appropriate price/earnings ratio today.
The historical P/E range of a stock can only be considered a reasonable guide to the future P/E range if: (1) the growth rate of earnings is expected to remain about the same as it was; (2) nothing has changed in the company or the industry it serves, or the economy in general to affect one’s confidence in his earnings estimates; and (3) the whole market’s evaluation of P/Es has not changed. That is a big set of “ifs,” and reminds us that there are no simple quantitative rules for stock selection. Investing is arguably more an art than a science.
</t>
        </r>
        <r>
          <rPr>
            <b/>
            <u/>
            <sz val="9"/>
            <color indexed="81"/>
            <rFont val="Tahoma"/>
            <family val="2"/>
          </rPr>
          <t>CFA lvl 2:</t>
        </r>
        <r>
          <rPr>
            <sz val="9"/>
            <color indexed="81"/>
            <rFont val="Tahoma"/>
            <family val="2"/>
          </rPr>
          <t xml:space="preserve">
In 2012, Merill calculated that 81% of its respondents considered P/E when investing. 
When calculating P/E, be careful of: 
- Temporary, non-recurring components of earnngs that are company specific (must be removed). Also if there are costs such as (amorotisation or restructing costs) then that could be potentially added back onto earnings. You want core earnings. Note: Nonrecurring items (i.e., gains and losses from the sale of assets, asset write-downs, goodwill impairment, provisions for future losses, and changes in accounting estimates) often appear in the income from continuing operations portion of a business’s income statement. Do not take the info from the income statement at face value. You have to decide whether or not an item should be included or excluded. 
- Temporary components of earnings that are considered cyclical - for instance retail stores consider xmas sales. Molodovsky Effect = P/Es tend to be high on depressed EPS (at the bottom of the cycle)... lower EPS = higher P/E. Thus important to normalise and use "mid cycle". 
-Differences in accounting methods when different companies' stocks are being compared. 
Normalising P/E ... the different ways include:
1) Using Historical Average EPS = Average EPS of the most recent cycle. However, this method does not account for changes in the a business cycle. 
2) Average ROE = Normalised EPS is calculated (ROE) from the most recent full cycle, multiplied by current book value per share.... (Average ROE) x (current Book Value Per Share)
a. This method, which uses recent book value per share, reflects more accurately the effect on EPS of growth / shrinkage in the company’s size. For that reason, the method of average ROE is preferred. When reported current book value does not adequately reflect company size in relation to past values (because of items such as large write-downs), the analyst can make appropriate accounting adjustments. This method reflects more accurately the growth and shrinkage of a company's </t>
        </r>
        <r>
          <rPr>
            <b/>
            <sz val="9"/>
            <color indexed="81"/>
            <rFont val="Tahoma"/>
            <family val="2"/>
          </rPr>
          <t>size. Thus, this method is preferred for normalising</t>
        </r>
        <r>
          <rPr>
            <sz val="9"/>
            <color indexed="81"/>
            <rFont val="Tahoma"/>
            <family val="2"/>
          </rPr>
          <t xml:space="preserve">. 
3) Total assets x long-run return on total assets. 
4) Shareholder equity x long-run return on total shareholders' equity. 
When looking to compare between two companies that use different accounting methods... For example: comparing a company that uses the (LIFO) method of inventory accounting as permitted by US GAAP (but not by IFRS) with another company that uses the FIFO) method, you should adjust earnings to provide comparability in all ratio and valuation analyses. In general, any adjustment made to a company’s reported financials for purposes of financial statement analysis should be incorporated into an analysis of P/E and other multiples. 
Dealing with extremely low, 0 or negative EPS: use of an inverse price ratio—that is, the reciprocal of the original ratio, which places price in the denominator. The use of inverse price multiples addresses the issue of consistent ranking because price is never negative. In the case of the P/E, the inverse price ratio is earnings to price (E/P), known as the earnings yield. Ranked by earnings yield from highest to lowest, the securities are correctly ranked from cheapest to most costly in terms of the amount of earnings one unit of currency buys. OR, you could normalise.
</t>
        </r>
        <r>
          <rPr>
            <b/>
            <u/>
            <sz val="9"/>
            <color indexed="81"/>
            <rFont val="Tahoma"/>
            <family val="2"/>
          </rPr>
          <t xml:space="preserve">
INVESTMENT BANKING &gt; LBOS ETC
</t>
        </r>
        <r>
          <rPr>
            <sz val="9"/>
            <color indexed="81"/>
            <rFont val="Tahoma"/>
            <family val="2"/>
          </rPr>
          <t xml:space="preserve">
- We know: companies with higher P/Es than their peers tend to have higher earnings growth expectations. </t>
        </r>
        <r>
          <rPr>
            <u/>
            <sz val="9"/>
            <color indexed="81"/>
            <rFont val="Tahoma"/>
            <family val="2"/>
          </rPr>
          <t>Ratio is particularly relevant for mature companies that have a demonstrated ability to consistently grow earning</t>
        </r>
        <r>
          <rPr>
            <sz val="9"/>
            <color indexed="81"/>
            <rFont val="Tahoma"/>
            <family val="2"/>
          </rPr>
          <t xml:space="preserve">s.
- Net income (and EPS) is net of interest expense and, therefore, dependent on capital structure. As a result, two otherwise similar companies in terms of size and operating margins can have substantially different net income margins (and consequently P/E ratios) due to differences in leverage. Similarly, accounting discrepancies, such as for depreciation or taxes, can also produce meaningful disparities in P/E ratios among comparable companies.
</t>
        </r>
        <r>
          <rPr>
            <b/>
            <u/>
            <sz val="9"/>
            <color indexed="81"/>
            <rFont val="Tahoma"/>
            <family val="2"/>
          </rPr>
          <t>EQUITY MARKETs</t>
        </r>
        <r>
          <rPr>
            <sz val="9"/>
            <color indexed="81"/>
            <rFont val="Tahoma"/>
            <family val="2"/>
          </rPr>
          <t xml:space="preserve">
Using the P/E is infeasible when the company being valued displays negative earnings. To overcome this problem, one solution is to rely on a cash flow measure such as FCFE. If FCFE is also negative, then using the P/B may be the next solution because the book value of equity is more stable than earnings or FCFE. However, even the book value of equity can be negative. The only ratio left is the P/S, whose denominator is always positive.
</t>
        </r>
        <r>
          <rPr>
            <b/>
            <u/>
            <sz val="9"/>
            <color indexed="81"/>
            <rFont val="Tahoma"/>
            <family val="2"/>
          </rPr>
          <t xml:space="preserve">
APPLIED EQUITY:</t>
        </r>
        <r>
          <rPr>
            <sz val="9"/>
            <color indexed="81"/>
            <rFont val="Tahoma"/>
            <family val="2"/>
          </rPr>
          <t xml:space="preserve">
The P/E can correct in two ways, of course. Prices can drop or earnings can grow (or both). How does the P/E usually correct? Not by increasing fundamentals (the denominator of the ratio), but by decreasing stock prices (the numerator of the ratio). The über-growth stories supporting high-P/E stocks need to be thoughtfully investigated when considering a buy or hold recommendation for a stock with high relative valuation. 
Although research shows that portfolios of low-P/E stocks outperform portfolios of high-P/E stocks over the long term, the outperformance is driven by just a few stocks in the portfolio. When the market takes a stock’s price down and its P/E falls into the single digits, it indicates widespread pessimism about the company’s future prospects. The market is more often right than wrong in this regard, so stocks with very low P/Es and/or high dividend yields need to be thoroughly investigated to make sure you’re not dealing with a toxic story—a company whose profit model is severely broken and is priced by the market for ongoing failure.
There are 2 circumstances when high relative valuation multiples make sense. 1) s when the stock is expected to grow rapidly in the future (Amazon had a P/E ratio of 124 as of year-end 2011 because investors believe it will continue to grow fast for many years). 2) circumstance supporting high relative valuation is when the company earns a large spread of return on invested capital (ROIC) over its weighted average cost of capital (WACC).</t>
        </r>
      </text>
    </comment>
    <comment ref="B274" authorId="0" shapeId="0" xr:uid="{50CBFDC3-31AC-47C0-952B-35D9CACCCE0F}">
      <text>
        <r>
          <rPr>
            <b/>
            <sz val="9"/>
            <color indexed="81"/>
            <rFont val="Tahoma"/>
            <family val="2"/>
          </rPr>
          <t>Faition Burrniku:</t>
        </r>
        <r>
          <rPr>
            <sz val="9"/>
            <color indexed="81"/>
            <rFont val="Tahoma"/>
            <family val="2"/>
          </rPr>
          <t xml:space="preserve">
</t>
        </r>
        <r>
          <rPr>
            <b/>
            <u/>
            <sz val="9"/>
            <color indexed="81"/>
            <rFont val="Tahoma"/>
            <family val="2"/>
          </rPr>
          <t xml:space="preserve">
MICHAEL M. https://www.slideshare.net/jonfweber/what-does-an-ev-ebitda-multiple-mean
</t>
        </r>
        <r>
          <rPr>
            <sz val="9"/>
            <color indexed="81"/>
            <rFont val="Tahoma"/>
            <family val="2"/>
          </rPr>
          <t xml:space="preserve">- When E/P is higher than the after-tax interest expense, a buyback adds to earnings per share. Assuming no chance in price, this lowers P/E. </t>
        </r>
      </text>
    </comment>
    <comment ref="B336" authorId="0" shapeId="0" xr:uid="{47289B4B-3A50-4E5A-831F-751FEBD301DD}">
      <text>
        <r>
          <rPr>
            <b/>
            <sz val="9"/>
            <color indexed="81"/>
            <rFont val="Tahoma"/>
            <family val="2"/>
          </rPr>
          <t xml:space="preserve">Faition Burrniku:
</t>
        </r>
        <r>
          <rPr>
            <sz val="9"/>
            <color indexed="81"/>
            <rFont val="Tahoma"/>
            <family val="2"/>
          </rPr>
          <t xml:space="preserve">
CAPEX = Capex = ∆GPPE, or: ∆NPPE + Depreciation</t>
        </r>
      </text>
    </comment>
    <comment ref="B337" authorId="0" shapeId="0" xr:uid="{F71B64C7-B0E2-4AFB-B9EB-D792D65DC436}">
      <text>
        <r>
          <rPr>
            <b/>
            <sz val="9"/>
            <color indexed="81"/>
            <rFont val="Tahoma"/>
            <family val="2"/>
          </rPr>
          <t xml:space="preserve">Faition Burrniku:
</t>
        </r>
        <r>
          <rPr>
            <sz val="9"/>
            <color indexed="81"/>
            <rFont val="Tahoma"/>
            <family val="2"/>
          </rPr>
          <t xml:space="preserve">
CAPEX = Capex = ∆GPPE, or: ∆NPPE + Depreciation</t>
        </r>
      </text>
    </comment>
    <comment ref="B339" authorId="1" shapeId="0" xr:uid="{204965C8-2B4D-42B9-BABE-ABF6D0784D7E}">
      <text>
        <r>
          <rPr>
            <b/>
            <sz val="9"/>
            <color indexed="81"/>
            <rFont val="Tahoma"/>
            <family val="2"/>
          </rPr>
          <t>Author:</t>
        </r>
        <r>
          <rPr>
            <sz val="9"/>
            <color indexed="81"/>
            <rFont val="Tahoma"/>
            <family val="2"/>
          </rPr>
          <t xml:space="preserve">
</t>
        </r>
        <r>
          <rPr>
            <b/>
            <u/>
            <sz val="9"/>
            <color indexed="81"/>
            <rFont val="Tahoma"/>
            <family val="2"/>
          </rPr>
          <t>CFA LVL 2:</t>
        </r>
        <r>
          <rPr>
            <sz val="9"/>
            <color indexed="81"/>
            <rFont val="Tahoma"/>
            <family val="2"/>
          </rPr>
          <t xml:space="preserve">
</t>
        </r>
        <r>
          <rPr>
            <u/>
            <sz val="9"/>
            <color indexed="81"/>
            <rFont val="Tahoma"/>
            <family val="2"/>
          </rPr>
          <t>Formula</t>
        </r>
        <r>
          <rPr>
            <sz val="9"/>
            <color indexed="81"/>
            <rFont val="Tahoma"/>
            <family val="2"/>
          </rPr>
          <t xml:space="preserve">: EBIT(1 – Tax rate) + Dep – FCInv – Change in WCInv.  
- Non-cash charges? Do not need to make any non-cash charges when starting with EBIT or EBITDA since many noncash charges are made after computing EBIT or EBITDA, so they do not need to be added back when calculating FCFF based on EBIT or EBITDA. 
- No after-tax interest expense? “EBIT = Earnings before interests and taxes”
- EBIT is before charging interest expenses, so you would not need to add back something that hasn’t been charged.
- "Investments in Fixed Capital": = These investments are capital expenditures for long-term assets, such as (PP&amp;E) necessary to support the company’s operations. This may also include intangible assets (i.e., trademarks)   Statement of cash flows is an excellent source of information on capital expenditures as well as on sales of fixed capital. That said, be aware that some companies can acquire fixed capital without using cash (i.e., through an exchange for stock or debt). These transactions won’t appear on the cash flow statement, but will be disclosed in the footnotes.
- Change in Working Capital or investment in Working Cap : =  This is the net investment in current assets (such as accounts receivable) less current liabilities (such as accounts payable). (i.e., current assets – current liabilities).  You can find this information by examining either the company’s balance sheet or its statement of cash flows.
</t>
        </r>
      </text>
    </comment>
    <comment ref="B363" authorId="0" shapeId="0" xr:uid="{6072AAF3-0064-415B-B39C-C61B7292EBA0}">
      <text>
        <r>
          <rPr>
            <b/>
            <sz val="9"/>
            <color indexed="81"/>
            <rFont val="Tahoma"/>
            <family val="2"/>
          </rPr>
          <t>Faition Burrniku:</t>
        </r>
        <r>
          <rPr>
            <sz val="9"/>
            <color indexed="81"/>
            <rFont val="Tahoma"/>
            <family val="2"/>
          </rPr>
          <t xml:space="preserve">
</t>
        </r>
        <r>
          <rPr>
            <sz val="11"/>
            <color indexed="81"/>
            <rFont val="Tahoma"/>
            <family val="2"/>
          </rPr>
          <t>Cash return on invested capital, representing cash returns divided by the average of gross capital (GCI) invested for the last 12 months. 
Cash returns = underlying operating profit before share based payments (subject to tax), and then adjusted for depreciation on property, plant and equipment, depreciation on right-of-useassets and amortisation on intangible assets. 
GCI represents gross property, plant and equipment and right-of-useassets, plus software and other intangibles excluding the goodwill created on the acquisition of the Group by KKR(£906,445,000) + net working capital.</t>
        </r>
      </text>
    </comment>
    <comment ref="B364" authorId="0" shapeId="0" xr:uid="{AE8763CF-98C2-4226-AA9D-58AC8D9CE0D7}">
      <text>
        <r>
          <rPr>
            <b/>
            <sz val="9"/>
            <color indexed="81"/>
            <rFont val="Tahoma"/>
            <family val="2"/>
          </rPr>
          <t>Faition Burrniku:</t>
        </r>
        <r>
          <rPr>
            <sz val="9"/>
            <color indexed="81"/>
            <rFont val="Tahoma"/>
            <family val="2"/>
          </rPr>
          <t xml:space="preserve">
</t>
        </r>
        <r>
          <rPr>
            <sz val="11"/>
            <color indexed="81"/>
            <rFont val="Tahoma"/>
            <family val="2"/>
          </rPr>
          <t>Cash return on invested capital, representing cash returns divided by the average of gross capital (GCI) invested for the last 12 months. 
Cash returns = underlying operating profit before share based payments (subject to tax), and then adjusted for depreciation on property, plant and equipment, depreciation on right-of-useassets and amortisation on intangible assets. 
GCI represents gross property, plant and equipment and right-of-useassets, plus software and other intangibles excluding the goodwill created on the acquisition of the Group by KKR(£906,445,000) + net working capital.</t>
        </r>
      </text>
    </comment>
    <comment ref="C384" authorId="0" shapeId="0" xr:uid="{33168630-987A-4B8C-AB1D-98DEC1005466}">
      <text>
        <r>
          <rPr>
            <b/>
            <sz val="9"/>
            <color indexed="81"/>
            <rFont val="Tahoma"/>
            <family val="2"/>
          </rPr>
          <t>Faition Burrniku:</t>
        </r>
        <r>
          <rPr>
            <sz val="9"/>
            <color indexed="81"/>
            <rFont val="Tahoma"/>
            <family val="2"/>
          </rPr>
          <t xml:space="preserve">
</t>
        </r>
        <r>
          <rPr>
            <sz val="12"/>
            <color indexed="81"/>
            <rFont val="Tahoma"/>
            <family val="2"/>
          </rPr>
          <t xml:space="preserve">Grown 8% yoy. 33m pets &gt; pets@home
</t>
        </r>
      </text>
    </comment>
    <comment ref="B395" authorId="0" shapeId="0" xr:uid="{11926FA8-1402-43F1-9435-701A3A03B565}">
      <text>
        <r>
          <rPr>
            <b/>
            <sz val="9"/>
            <color indexed="81"/>
            <rFont val="Tahoma"/>
            <family val="2"/>
          </rPr>
          <t>Faition Burrniku:</t>
        </r>
        <r>
          <rPr>
            <sz val="9"/>
            <color indexed="81"/>
            <rFont val="Tahoma"/>
            <family val="2"/>
          </rPr>
          <t xml:space="preserve">
</t>
        </r>
        <r>
          <rPr>
            <sz val="10"/>
            <color indexed="81"/>
            <rFont val="Tahoma"/>
            <family val="2"/>
          </rPr>
          <t xml:space="preserve">Source: https://www.ons.gov.uk/peoplepopulationandcommunity/populationandmigration/populationestimates/articles/overviewoftheukpopulation/2020 </t>
        </r>
        <r>
          <rPr>
            <sz val="9"/>
            <color indexed="81"/>
            <rFont val="Tahoma"/>
            <family val="2"/>
          </rPr>
          <t xml:space="preserve">
</t>
        </r>
      </text>
    </comment>
    <comment ref="C419" authorId="0" shapeId="0" xr:uid="{F6714A9A-FD93-4822-8D11-54DC3A4EC5B3}">
      <text>
        <r>
          <rPr>
            <b/>
            <sz val="9"/>
            <color indexed="81"/>
            <rFont val="Tahoma"/>
            <family val="2"/>
          </rPr>
          <t>Faition Burrniku:</t>
        </r>
        <r>
          <rPr>
            <sz val="9"/>
            <color indexed="81"/>
            <rFont val="Tahoma"/>
            <family val="2"/>
          </rPr>
          <t xml:space="preserve">
</t>
        </r>
        <r>
          <rPr>
            <sz val="12"/>
            <color indexed="81"/>
            <rFont val="Tahoma"/>
            <family val="2"/>
          </rPr>
          <t>Sources:
1 PetsatHome data and UK market reports.
2 Includes pet products and grooming spend.
3 Includes online spend from pet products.
4 Veterinary includes First Opinion market</t>
        </r>
      </text>
    </comment>
    <comment ref="C420" authorId="0" shapeId="0" xr:uid="{61C94125-06E2-4598-A1A6-48B3EB7820FD}">
      <text>
        <r>
          <rPr>
            <b/>
            <sz val="9"/>
            <color indexed="81"/>
            <rFont val="Tahoma"/>
            <family val="2"/>
          </rPr>
          <t>Faition Burrniku:</t>
        </r>
        <r>
          <rPr>
            <sz val="9"/>
            <color indexed="81"/>
            <rFont val="Tahoma"/>
            <family val="2"/>
          </rPr>
          <t xml:space="preserve">
</t>
        </r>
        <r>
          <rPr>
            <sz val="11"/>
            <color indexed="81"/>
            <rFont val="Tahoma"/>
            <family val="2"/>
          </rPr>
          <t xml:space="preserve">
Food growing 4%</t>
        </r>
      </text>
    </comment>
    <comment ref="E420" authorId="0" shapeId="0" xr:uid="{207CFCA1-68DA-4A55-A559-DBB3224B022D}">
      <text>
        <r>
          <rPr>
            <b/>
            <sz val="9"/>
            <color indexed="81"/>
            <rFont val="Tahoma"/>
            <family val="2"/>
          </rPr>
          <t>Faition Burrniku:</t>
        </r>
        <r>
          <rPr>
            <sz val="9"/>
            <color indexed="81"/>
            <rFont val="Tahoma"/>
            <family val="2"/>
          </rPr>
          <t xml:space="preserve">
</t>
        </r>
        <r>
          <rPr>
            <sz val="11"/>
            <color indexed="81"/>
            <rFont val="Tahoma"/>
            <family val="2"/>
          </rPr>
          <t>Growing c.3%</t>
        </r>
      </text>
    </comment>
    <comment ref="C421" authorId="0" shapeId="0" xr:uid="{EC2995FF-F760-4E5F-A143-0A067930B1ED}">
      <text>
        <r>
          <rPr>
            <b/>
            <sz val="9"/>
            <color indexed="81"/>
            <rFont val="Tahoma"/>
            <family val="2"/>
          </rPr>
          <t>Faition Burrniku:</t>
        </r>
        <r>
          <rPr>
            <sz val="9"/>
            <color indexed="81"/>
            <rFont val="Tahoma"/>
            <family val="2"/>
          </rPr>
          <t xml:space="preserve">
</t>
        </r>
        <r>
          <rPr>
            <sz val="11"/>
            <color indexed="81"/>
            <rFont val="Tahoma"/>
            <family val="2"/>
          </rPr>
          <t xml:space="preserve">
Growing 4%</t>
        </r>
      </text>
    </comment>
    <comment ref="D421" authorId="0" shapeId="0" xr:uid="{528060C3-3F94-4789-B091-3C2F028683AA}">
      <text>
        <r>
          <rPr>
            <b/>
            <sz val="9"/>
            <color indexed="81"/>
            <rFont val="Tahoma"/>
            <family val="2"/>
          </rPr>
          <t>Faition Burrniku:</t>
        </r>
        <r>
          <rPr>
            <sz val="9"/>
            <color indexed="81"/>
            <rFont val="Tahoma"/>
            <family val="2"/>
          </rPr>
          <t xml:space="preserve">
</t>
        </r>
        <r>
          <rPr>
            <sz val="11"/>
            <color indexed="81"/>
            <rFont val="Tahoma"/>
            <family val="2"/>
          </rPr>
          <t xml:space="preserve">
Growing 4%</t>
        </r>
      </text>
    </comment>
    <comment ref="E421" authorId="0" shapeId="0" xr:uid="{A6ECCBCB-329A-40C1-8EF6-1D3403E551D8}">
      <text>
        <r>
          <rPr>
            <b/>
            <sz val="9"/>
            <color indexed="81"/>
            <rFont val="Tahoma"/>
            <family val="2"/>
          </rPr>
          <t>Faition Burrniku:</t>
        </r>
        <r>
          <rPr>
            <sz val="9"/>
            <color indexed="81"/>
            <rFont val="Tahoma"/>
            <family val="2"/>
          </rPr>
          <t xml:space="preserve">
</t>
        </r>
        <r>
          <rPr>
            <sz val="11"/>
            <color indexed="81"/>
            <rFont val="Tahoma"/>
            <family val="2"/>
          </rPr>
          <t>Growing c.3%</t>
        </r>
      </text>
    </comment>
    <comment ref="E422" authorId="0" shapeId="0" xr:uid="{C2E49A9E-56C3-4270-BDA5-CF2D791EB8B8}">
      <text>
        <r>
          <rPr>
            <b/>
            <sz val="9"/>
            <color indexed="81"/>
            <rFont val="Tahoma"/>
            <family val="2"/>
          </rPr>
          <t>Faition Burrniku:</t>
        </r>
        <r>
          <rPr>
            <sz val="9"/>
            <color indexed="81"/>
            <rFont val="Tahoma"/>
            <family val="2"/>
          </rPr>
          <t xml:space="preserve">
</t>
        </r>
        <r>
          <rPr>
            <sz val="11"/>
            <color indexed="81"/>
            <rFont val="Tahoma"/>
            <family val="2"/>
          </rPr>
          <t>Growing c.4%</t>
        </r>
      </text>
    </comment>
    <comment ref="C423" authorId="0" shapeId="0" xr:uid="{375B06B6-D996-4F97-899C-1876C6783D4D}">
      <text>
        <r>
          <rPr>
            <b/>
            <sz val="9"/>
            <color indexed="81"/>
            <rFont val="Tahoma"/>
            <family val="2"/>
          </rPr>
          <t>Faition Burrniku:</t>
        </r>
        <r>
          <rPr>
            <sz val="9"/>
            <color indexed="81"/>
            <rFont val="Tahoma"/>
            <family val="2"/>
          </rPr>
          <t xml:space="preserve">
</t>
        </r>
        <r>
          <rPr>
            <sz val="11"/>
            <color indexed="81"/>
            <rFont val="Tahoma"/>
            <family val="2"/>
          </rPr>
          <t xml:space="preserve">
Growing 2%</t>
        </r>
      </text>
    </comment>
    <comment ref="E423" authorId="0" shapeId="0" xr:uid="{B86DF5A9-A315-44EA-89A1-E3EAD5C69956}">
      <text>
        <r>
          <rPr>
            <b/>
            <sz val="9"/>
            <color indexed="81"/>
            <rFont val="Tahoma"/>
            <family val="2"/>
          </rPr>
          <t>Faition Burrniku:</t>
        </r>
        <r>
          <rPr>
            <sz val="9"/>
            <color indexed="81"/>
            <rFont val="Tahoma"/>
            <family val="2"/>
          </rPr>
          <t xml:space="preserve">
</t>
        </r>
        <r>
          <rPr>
            <sz val="11"/>
            <color indexed="81"/>
            <rFont val="Tahoma"/>
            <family val="2"/>
          </rPr>
          <t>Growing c.5%</t>
        </r>
      </text>
    </comment>
    <comment ref="C426" authorId="0" shapeId="0" xr:uid="{E8AA21F4-6E9D-48C2-A9D5-C92252E40B22}">
      <text>
        <r>
          <rPr>
            <b/>
            <sz val="9"/>
            <color indexed="81"/>
            <rFont val="Tahoma"/>
            <family val="2"/>
          </rPr>
          <t>Faition Burrniku:</t>
        </r>
        <r>
          <rPr>
            <sz val="9"/>
            <color indexed="81"/>
            <rFont val="Tahoma"/>
            <family val="2"/>
          </rPr>
          <t xml:space="preserve">
https://www.statista.com/statistics/318888/numbers-of-veterinarians-in-the-uk/ &amp;
 https://petkeen.com/veterinarian-statistics-uk/#:~:text=There%20are%2029%2C000%20vets%20in,an%20average%20of%20%C2%A342%2C500.</t>
        </r>
      </text>
    </comment>
    <comment ref="D436" authorId="0" shapeId="0" xr:uid="{7D070ACA-6BA7-46A9-9F25-C2974612D822}">
      <text>
        <r>
          <rPr>
            <b/>
            <sz val="9"/>
            <color indexed="81"/>
            <rFont val="Tahoma"/>
            <family val="2"/>
          </rPr>
          <t>Faition Burrniku:</t>
        </r>
        <r>
          <rPr>
            <sz val="9"/>
            <color indexed="81"/>
            <rFont val="Tahoma"/>
            <family val="2"/>
          </rPr>
          <t xml:space="preserve">
</t>
        </r>
        <r>
          <rPr>
            <sz val="11"/>
            <color indexed="81"/>
            <rFont val="Tahoma"/>
            <family val="2"/>
          </rPr>
          <t xml:space="preserve">
293 practices are accredited under the RCVS Practice Standards Scheme (PSS), with a further 57 currently enrolled to become accredited. This is a voluntary scheme, which through setting standards and carrying out regular assessments, aims to promote and maintain the highest standards of veterinary care.
The Group has, in conjunction with the VetCompass research team at the Royal Veterinary College, secured a research grant from PetPlan UK. This will facilitate research into antibiotic prescribing behaviours which will advance the profession’s knowledge of this critical subjec that has implications for both human and animal health.
We are the biggest grant giver to the rescue sector in the UK through the Pets at Home Foundation and our VIP Lifelines scheme. </t>
        </r>
      </text>
    </comment>
    <comment ref="M436" authorId="0" shapeId="0" xr:uid="{4D9A9C01-4976-4F07-ACD3-DF78C71FEA64}">
      <text>
        <r>
          <rPr>
            <b/>
            <sz val="9"/>
            <color indexed="81"/>
            <rFont val="Tahoma"/>
            <family val="2"/>
          </rPr>
          <t>Faition Burrniku:</t>
        </r>
        <r>
          <rPr>
            <sz val="9"/>
            <color indexed="81"/>
            <rFont val="Tahoma"/>
            <family val="2"/>
          </rPr>
          <t xml:space="preserve">
</t>
        </r>
        <r>
          <rPr>
            <sz val="11"/>
            <color indexed="81"/>
            <rFont val="Tahoma"/>
            <family val="2"/>
          </rPr>
          <t xml:space="preserve">
293 practices are accredited under the RCVS Practice Standards Scheme (PSS), with a further 57 currently enrolled to become accredited. This is a voluntary scheme, which through setting standards and carrying out regular assessments, aims to promote and maintain the highest standards of veterinary care.
The Group has, in conjunction with the VetCompass research team at the Royal Veterinary College, secured a research grant from PetPlan UK. This will facilitate research into antibiotic prescribing behaviours which will advance the profession’s knowledge of this critical subjec that has implications for both human and animal health.
We are the biggest grant giver to the rescue sector in the UK through the Pets at Home Foundation and our VIP Lifelines scheme. </t>
        </r>
      </text>
    </comment>
    <comment ref="M438" authorId="0" shapeId="0" xr:uid="{4140C340-3EDD-4DDE-A325-17BE695E1DE2}">
      <text>
        <r>
          <rPr>
            <b/>
            <sz val="9"/>
            <color indexed="81"/>
            <rFont val="Tahoma"/>
            <family val="2"/>
          </rPr>
          <t>Faition Burrniku:</t>
        </r>
        <r>
          <rPr>
            <sz val="9"/>
            <color indexed="81"/>
            <rFont val="Tahoma"/>
            <family val="2"/>
          </rPr>
          <t xml:space="preserve">
Group has disposed of the Specialist Referral Group which formed part of the Vet Group CGU. The relative amount of goodwill allocated to the disposal ishighly judgemental and impacts both the remaining carrying value of the Vet Group CGU goodwill and the profit recognised on the sale of the specialist
Referral group. </t>
        </r>
      </text>
    </comment>
    <comment ref="B443" authorId="0" shapeId="0" xr:uid="{4B629D2A-9010-49E4-BFEF-CD5B5CBA287F}">
      <text>
        <r>
          <rPr>
            <sz val="9"/>
            <color indexed="81"/>
            <rFont val="Tahoma"/>
            <family val="2"/>
          </rPr>
          <t xml:space="preserve">
Revenue net of discounts and VAT from core online, sales, subscriptions and order to store.
with pet population, there isn’t any national body that record pet population. PETS have to use a combination of different factors through their own VIP database and model it. 
- Click &amp; collect removes courier cost. 
- We will see high level of capital for the next 2 years.  But then dropping down in the range of 45 – 50 ongoing. 
- 1 in 5 orders are placed through click and collect. 
</t>
        </r>
      </text>
    </comment>
    <comment ref="C452" authorId="0" shapeId="0" xr:uid="{28892F52-2ABC-4410-9029-2B226B5075B4}">
      <text>
        <r>
          <rPr>
            <sz val="9"/>
            <color indexed="81"/>
            <rFont val="Tahoma"/>
            <family val="2"/>
          </rPr>
          <t xml:space="preserve">
10 years + </t>
        </r>
      </text>
    </comment>
    <comment ref="C459" authorId="0" shapeId="0" xr:uid="{DFE3543D-8666-4B55-BC1F-D535B927C95E}">
      <text>
        <r>
          <rPr>
            <b/>
            <sz val="9"/>
            <color indexed="81"/>
            <rFont val="Tahoma"/>
            <family val="2"/>
          </rPr>
          <t>Faition Burrniku:</t>
        </r>
        <r>
          <rPr>
            <sz val="9"/>
            <color indexed="81"/>
            <rFont val="Tahoma"/>
            <family val="2"/>
          </rPr>
          <t xml:space="preserve">
Additional corporat eloan is no required, but is available after 1 year if needed</t>
        </r>
      </text>
    </comment>
    <comment ref="C469" authorId="0" shapeId="0" xr:uid="{BFD24B47-CE0F-4A2A-9366-211B039EC849}">
      <text>
        <r>
          <rPr>
            <b/>
            <sz val="9"/>
            <color indexed="81"/>
            <rFont val="Tahoma"/>
            <family val="2"/>
          </rPr>
          <t xml:space="preserve">Faition Burrniku:
</t>
        </r>
        <r>
          <rPr>
            <sz val="9"/>
            <color indexed="81"/>
            <rFont val="Tahoma"/>
            <family val="2"/>
          </rPr>
          <t xml:space="preserve">
</t>
        </r>
        <r>
          <rPr>
            <sz val="11"/>
            <color indexed="81"/>
            <rFont val="Tahoma"/>
            <family val="2"/>
          </rPr>
          <t>Online penetration of pet products c22%; our share at c17%, +200bps over the past year</t>
        </r>
      </text>
    </comment>
    <comment ref="B488" authorId="0" shapeId="0" xr:uid="{5F9917FC-9B47-43B3-A74A-732111B2A23D}">
      <text>
        <r>
          <rPr>
            <b/>
            <sz val="9"/>
            <color indexed="81"/>
            <rFont val="Tahoma"/>
            <family val="2"/>
          </rPr>
          <t>Faition Burrniku:</t>
        </r>
        <r>
          <rPr>
            <sz val="9"/>
            <color indexed="81"/>
            <rFont val="Tahoma"/>
            <family val="2"/>
          </rPr>
          <t xml:space="preserve">
Revenue net of discounts and VAT from core online, sales, subscriptions and order to store.</t>
        </r>
      </text>
    </comment>
    <comment ref="B490" authorId="0" shapeId="0" xr:uid="{7FA83DDB-D037-4F24-AC00-060B319FCECC}">
      <text>
        <r>
          <rPr>
            <b/>
            <sz val="9"/>
            <color indexed="81"/>
            <rFont val="Tahoma"/>
            <family val="2"/>
          </rPr>
          <t>Faition Burrniku:</t>
        </r>
        <r>
          <rPr>
            <sz val="9"/>
            <color indexed="81"/>
            <rFont val="Tahoma"/>
            <family val="2"/>
          </rPr>
          <t xml:space="preserve">
Not provided due to IR department being a bunch of jokers. </t>
        </r>
      </text>
    </comment>
    <comment ref="B494" authorId="1" shapeId="0" xr:uid="{2E78322B-CC5E-45A2-802A-6404DEAE416F}">
      <text>
        <r>
          <rPr>
            <b/>
            <sz val="9"/>
            <color indexed="81"/>
            <rFont val="Tahoma"/>
            <family val="2"/>
          </rPr>
          <t>Author:</t>
        </r>
        <r>
          <rPr>
            <sz val="9"/>
            <color indexed="81"/>
            <rFont val="Tahoma"/>
            <family val="2"/>
          </rPr>
          <t xml:space="preserve">
Formula = Number of Sales / Total Number of Visitors
</t>
        </r>
      </text>
    </comment>
    <comment ref="B495" authorId="0" shapeId="0" xr:uid="{12A7DAFB-2044-4C50-AB4C-C3D87D118C5E}">
      <text>
        <r>
          <rPr>
            <b/>
            <sz val="9"/>
            <color indexed="81"/>
            <rFont val="Tahoma"/>
            <family val="2"/>
          </rPr>
          <t>Faition Burrniku:</t>
        </r>
        <r>
          <rPr>
            <sz val="9"/>
            <color indexed="81"/>
            <rFont val="Tahoma"/>
            <family val="2"/>
          </rPr>
          <t xml:space="preserve">
Formula:  Total Revenue / Number of Transactions
</t>
        </r>
      </text>
    </comment>
    <comment ref="D500" authorId="0" shapeId="0" xr:uid="{95911931-6452-4369-9D8A-D2FEBB276F35}">
      <text>
        <r>
          <rPr>
            <b/>
            <sz val="9"/>
            <color indexed="81"/>
            <rFont val="Tahoma"/>
            <family val="2"/>
          </rPr>
          <t>Faition Burrniku:</t>
        </r>
        <r>
          <rPr>
            <sz val="9"/>
            <color indexed="81"/>
            <rFont val="Tahoma"/>
            <family val="2"/>
          </rPr>
          <t xml:space="preserve">
</t>
        </r>
        <r>
          <rPr>
            <sz val="12"/>
            <color indexed="81"/>
            <rFont val="Tahoma"/>
            <family val="2"/>
          </rPr>
          <t xml:space="preserve">
Customers who transact across the full range of products and services spend up to 9x more each year compared to store-only shoppers</t>
        </r>
      </text>
    </comment>
    <comment ref="E500" authorId="2" shapeId="0" xr:uid="{00000000-0006-0000-0200-000008000000}">
      <text>
        <r>
          <rPr>
            <b/>
            <sz val="9"/>
            <color indexed="81"/>
            <rFont val="Tahoma"/>
            <family val="2"/>
          </rPr>
          <t xml:space="preserve">Fation Burrniku:
</t>
        </r>
        <r>
          <rPr>
            <b/>
            <sz val="12"/>
            <color indexed="81"/>
            <rFont val="Tahoma"/>
            <family val="2"/>
          </rPr>
          <t xml:space="preserve">
</t>
        </r>
        <r>
          <rPr>
            <sz val="12"/>
            <color indexed="81"/>
            <rFont val="Tahoma"/>
            <family val="2"/>
          </rPr>
          <t xml:space="preserve">
In FY20, only around 16% of our 5.6m active members shopped with us across both products and services – representing considerable headroom. </t>
        </r>
      </text>
    </comment>
    <comment ref="L500" authorId="0" shapeId="0" xr:uid="{BCF6DC3B-44FC-42BB-A8C0-FD73A3651CEF}">
      <text>
        <r>
          <rPr>
            <b/>
            <sz val="9"/>
            <color indexed="81"/>
            <rFont val="Tahoma"/>
            <family val="2"/>
          </rPr>
          <t>Faition Burrniku:</t>
        </r>
        <r>
          <rPr>
            <sz val="9"/>
            <color indexed="81"/>
            <rFont val="Tahoma"/>
            <family val="2"/>
          </rPr>
          <t xml:space="preserve">
</t>
        </r>
        <r>
          <rPr>
            <sz val="12"/>
            <color indexed="81"/>
            <rFont val="Tahoma"/>
            <family val="2"/>
          </rPr>
          <t xml:space="preserve">
Customers who transact across the full range of products and services spend up to 9x more each year compared to store-only shoppers</t>
        </r>
      </text>
    </comment>
    <comment ref="D502" authorId="0" shapeId="0" xr:uid="{118AC310-FD80-4ECF-BC5D-CFD7B54C63D5}">
      <text>
        <r>
          <rPr>
            <b/>
            <sz val="9"/>
            <color indexed="81"/>
            <rFont val="Tahoma"/>
            <family val="2"/>
          </rPr>
          <t>Faition Burrniku:</t>
        </r>
        <r>
          <rPr>
            <sz val="9"/>
            <color indexed="81"/>
            <rFont val="Tahoma"/>
            <family val="2"/>
          </rPr>
          <t xml:space="preserve">
</t>
        </r>
        <r>
          <rPr>
            <sz val="11"/>
            <color indexed="81"/>
            <rFont val="Tahoma"/>
            <family val="2"/>
          </rPr>
          <t xml:space="preserve">
accounting for approximately 70% of retail revenues. over 8 years of proprietary data.
Our VIP loyalty club now has 6.2m active members, having grown 9% in
the year. This has been in part driven by the continued success of our Puppy
and Kitten clubs, which help introduce customers to all parts of our pet care
ecosystem and foster long-term customer relationships.</t>
        </r>
      </text>
    </comment>
    <comment ref="E503" authorId="0" shapeId="0" xr:uid="{B736E90E-657B-42AC-B81E-31FBB569E372}">
      <text>
        <r>
          <rPr>
            <b/>
            <sz val="9"/>
            <color indexed="81"/>
            <rFont val="Tahoma"/>
            <family val="2"/>
          </rPr>
          <t xml:space="preserve">Faition Burrniku:
</t>
        </r>
        <r>
          <rPr>
            <sz val="9"/>
            <color indexed="81"/>
            <rFont val="Tahoma"/>
            <family val="2"/>
          </rPr>
          <t xml:space="preserve">
75% of all store revenues are spent by VIPs, with over seven years’
worth of proprietary transactional data</t>
        </r>
      </text>
    </comment>
    <comment ref="D504" authorId="0" shapeId="0" xr:uid="{1FC7D4D8-257A-4F5A-A30D-09A53F099062}">
      <text>
        <r>
          <rPr>
            <b/>
            <sz val="9"/>
            <color indexed="81"/>
            <rFont val="Tahoma"/>
            <family val="2"/>
          </rPr>
          <t>Faition Burrniku:</t>
        </r>
        <r>
          <rPr>
            <sz val="9"/>
            <color indexed="81"/>
            <rFont val="Tahoma"/>
            <family val="2"/>
          </rPr>
          <t xml:space="preserve">
</t>
        </r>
        <r>
          <rPr>
            <sz val="11"/>
            <color indexed="81"/>
            <rFont val="Tahoma"/>
            <family val="2"/>
          </rPr>
          <t xml:space="preserve">21% Growth in number of subscription customers
</t>
        </r>
      </text>
    </comment>
    <comment ref="M504" authorId="0" shapeId="0" xr:uid="{5078E8D4-F112-4FA0-BC54-3781D132AD0C}">
      <text>
        <r>
          <rPr>
            <b/>
            <sz val="9"/>
            <color indexed="81"/>
            <rFont val="Tahoma"/>
            <family val="2"/>
          </rPr>
          <t>Faition Burrniku:</t>
        </r>
        <r>
          <rPr>
            <sz val="9"/>
            <color indexed="81"/>
            <rFont val="Tahoma"/>
            <family val="2"/>
          </rPr>
          <t xml:space="preserve">
+45% YoY</t>
        </r>
      </text>
    </comment>
    <comment ref="B505" authorId="0" shapeId="0" xr:uid="{95C17ADF-51ED-4289-B093-D10AA4DA1496}">
      <text>
        <r>
          <rPr>
            <b/>
            <sz val="9"/>
            <color indexed="81"/>
            <rFont val="Tahoma"/>
            <family val="2"/>
          </rPr>
          <t>Faition Burrniku:</t>
        </r>
        <r>
          <rPr>
            <sz val="9"/>
            <color indexed="81"/>
            <rFont val="Tahoma"/>
            <family val="2"/>
          </rPr>
          <t xml:space="preserve">
</t>
        </r>
        <r>
          <rPr>
            <b/>
            <u/>
            <sz val="9"/>
            <color indexed="81"/>
            <rFont val="Tahoma"/>
            <family val="2"/>
          </rPr>
          <t>Annual 2020:</t>
        </r>
        <r>
          <rPr>
            <sz val="9"/>
            <color indexed="81"/>
            <rFont val="Tahoma"/>
            <family val="2"/>
          </rPr>
          <t xml:space="preserve">
We launched the VIP Puppy Club in 2017 and currently have c20% of the total UK puppy population signed up. 
Alongside the kitten equivalent, these free to join clubs provide a programme of expert advice and exclusive offers designed to introduce pet owners to all parts of our pet care ecosystem in an engaging way. By capturing pet specific data such as name, age and breed, we are able to personalise the customer journey to the individual pet in follow up communications via both email and direct mail. 
Customers benefit from an attractive suite of special offers for signing up, including 10% off their first shop in-store, a free bag of private label Advanced Nutrition food, their first month of flea &amp; worm treatments for free, £50 off a Complete Care healthplan at a Vets4Pets practice and 50% off a full puppy groom. 
</t>
        </r>
        <r>
          <rPr>
            <b/>
            <sz val="9"/>
            <color indexed="81"/>
            <rFont val="Tahoma"/>
            <family val="2"/>
          </rPr>
          <t xml:space="preserve">We have seen customers who join the Puppy Club spend up to 23% more in their first year with us when compared to those puppies not in the club, with that spend uplift continuing even after they become a junior dog (i.e. &gt;12 months old). </t>
        </r>
        <r>
          <rPr>
            <sz val="9"/>
            <color indexed="81"/>
            <rFont val="Tahoma"/>
            <family val="2"/>
          </rPr>
          <t xml:space="preserve">
With the puppy and kitten population in the UK remaining broadly flat at c2m each year, we are becoming increasingly focused on acquiring these customers as soon as possible and then nurturing lifelong relationships with them.</t>
        </r>
      </text>
    </comment>
    <comment ref="D505" authorId="0" shapeId="0" xr:uid="{55843B75-7583-4D45-A73B-F276EDB19F73}">
      <text>
        <r>
          <rPr>
            <b/>
            <sz val="9"/>
            <color indexed="81"/>
            <rFont val="Tahoma"/>
            <family val="2"/>
          </rPr>
          <t xml:space="preserve">Faition Burrniku
</t>
        </r>
        <r>
          <rPr>
            <sz val="9"/>
            <color indexed="81"/>
            <rFont val="Tahoma"/>
            <family val="2"/>
          </rPr>
          <t xml:space="preserve">
- 61% growth from last year</t>
        </r>
      </text>
    </comment>
    <comment ref="B510" authorId="2" shapeId="0" xr:uid="{00000000-0006-0000-0200-000006000000}">
      <text>
        <r>
          <rPr>
            <b/>
            <sz val="9"/>
            <color indexed="81"/>
            <rFont val="Tahoma"/>
            <family val="2"/>
          </rPr>
          <t>Fation Burrniku:</t>
        </r>
        <r>
          <rPr>
            <sz val="9"/>
            <color indexed="81"/>
            <rFont val="Tahoma"/>
            <family val="2"/>
          </rPr>
          <t xml:space="preserve">
What we are measuring The increase in spend from VIP loyalty club members across the Group year on year. This includes all spend across both Retail and Vet Group businesses. 
Why is it important? Our VIP loyalty club of 6+m active pet owners is a unique asset providing data and insight to help us increase share of wallet, attract and retain customers, and encourage further spend across our ecosystem of products and services.
 Future plans 
Continued investment in our data capabilities is a key underpin of our future growth plans. We intend to develop deep actionable insights so we can better serve the needs of pet owners and deliver more personalised content and offers relevant to each individual pet</t>
        </r>
      </text>
    </comment>
    <comment ref="D510" authorId="0" shapeId="0" xr:uid="{9BA6EE78-5310-405B-AE2B-D3B3BDBF4611}">
      <text>
        <r>
          <rPr>
            <b/>
            <sz val="9"/>
            <color indexed="81"/>
            <rFont val="Tahoma"/>
            <family val="2"/>
          </rPr>
          <t xml:space="preserve">Faition Burrniku:
- </t>
        </r>
        <r>
          <rPr>
            <sz val="9"/>
            <color indexed="81"/>
            <rFont val="Tahoma"/>
            <family val="2"/>
          </rPr>
          <t xml:space="preserve">VIP customer sales are shown on a rolling 12-month basis and include gross spend at First Opinion vet practices.
</t>
        </r>
        <r>
          <rPr>
            <sz val="9"/>
            <color indexed="81"/>
            <rFont val="Tahoma"/>
            <family val="2"/>
          </rPr>
          <t xml:space="preserve">
- c26% VIPs who shop across more than one channel
- 70% of revenues come from VIPs
</t>
        </r>
      </text>
    </comment>
    <comment ref="B511" authorId="0" shapeId="0" xr:uid="{11382EFE-571A-40C2-A915-B9789FDDE23E}">
      <text>
        <r>
          <rPr>
            <b/>
            <sz val="9"/>
            <color indexed="81"/>
            <rFont val="Tahoma"/>
            <family val="2"/>
          </rPr>
          <t>Faition Burrniku:</t>
        </r>
        <r>
          <rPr>
            <sz val="9"/>
            <color indexed="81"/>
            <rFont val="Tahoma"/>
            <family val="2"/>
          </rPr>
          <t xml:space="preserve">
</t>
        </r>
        <r>
          <rPr>
            <sz val="11"/>
            <color indexed="81"/>
            <rFont val="Tahoma"/>
            <family val="2"/>
          </rPr>
          <t>This includes spend across all brands and includes the gross customer sales made by Joint Venture vet practices, rather than the fee income received by Pets at Home.
By growing customer sales across all parts of our business ahead of the market, we are able to gain market share. In particular, this means focusing on the sales made by First Opinion vet practices, whether they be under the Joint Venture or company managed model.</t>
        </r>
      </text>
    </comment>
    <comment ref="D513" authorId="0" shapeId="0" xr:uid="{7529DCB6-F409-4649-8080-F15318FE4685}">
      <text>
        <r>
          <rPr>
            <b/>
            <sz val="9"/>
            <color indexed="81"/>
            <rFont val="Tahoma"/>
            <family val="2"/>
          </rPr>
          <t>Faition Burrniku:</t>
        </r>
        <r>
          <rPr>
            <sz val="9"/>
            <color indexed="81"/>
            <rFont val="Tahoma"/>
            <family val="2"/>
          </rPr>
          <t xml:space="preserve">
</t>
        </r>
        <r>
          <rPr>
            <sz val="14"/>
            <color indexed="81"/>
            <rFont val="Tahoma"/>
            <family val="2"/>
          </rPr>
          <t xml:space="preserve">
We now have over 1 million customers
signed up to one of our subscription
plans, offering customers a convenient
way to shop with us, and increasing the
quality and visibility of our sales profile.</t>
        </r>
      </text>
    </comment>
    <comment ref="D519" authorId="0" shapeId="0" xr:uid="{8B8F2442-3825-4D13-A6A6-29BF0E570622}">
      <text>
        <r>
          <rPr>
            <b/>
            <sz val="9"/>
            <color indexed="81"/>
            <rFont val="Tahoma"/>
            <family val="2"/>
          </rPr>
          <t xml:space="preserve">Faition Burrniku:
</t>
        </r>
        <r>
          <rPr>
            <b/>
            <sz val="11"/>
            <color indexed="81"/>
            <rFont val="Tahoma"/>
            <family val="2"/>
          </rPr>
          <t xml:space="preserve">
</t>
        </r>
        <r>
          <rPr>
            <sz val="11"/>
            <color indexed="81"/>
            <rFont val="Tahoma"/>
            <family val="2"/>
          </rPr>
          <t>Driven by decreased footfall due to COVID-19 related restrictions, however more than offset by increased Average Transaction Value.</t>
        </r>
        <r>
          <rPr>
            <b/>
            <sz val="9"/>
            <color indexed="81"/>
            <rFont val="Tahoma"/>
            <family val="2"/>
          </rPr>
          <t xml:space="preserve">
</t>
        </r>
        <r>
          <rPr>
            <sz val="9"/>
            <color indexed="81"/>
            <rFont val="Tahoma"/>
            <family val="2"/>
          </rPr>
          <t xml:space="preserve">
</t>
        </r>
        <r>
          <rPr>
            <b/>
            <sz val="11"/>
            <color indexed="81"/>
            <rFont val="Tahoma"/>
            <family val="2"/>
          </rPr>
          <t xml:space="preserve">What we are measuring
</t>
        </r>
        <r>
          <rPr>
            <sz val="11"/>
            <color indexed="81"/>
            <rFont val="Tahoma"/>
            <family val="2"/>
          </rPr>
          <t xml:space="preserve">- Growth in the number of customer transactions across the Group year on year. This includes transactions in-store, online, in our grooming salons, and visits to all First Opinion vet practices.
</t>
        </r>
        <r>
          <rPr>
            <b/>
            <sz val="11"/>
            <color indexed="81"/>
            <rFont val="Tahoma"/>
            <family val="2"/>
          </rPr>
          <t xml:space="preserve">Why is it important? 
</t>
        </r>
        <r>
          <rPr>
            <sz val="11"/>
            <color indexed="81"/>
            <rFont val="Tahoma"/>
            <family val="2"/>
          </rPr>
          <t xml:space="preserve">- By providing complete pet care, more customers will visit our locations more frequently and transact more often. 
</t>
        </r>
        <r>
          <rPr>
            <b/>
            <sz val="11"/>
            <color indexed="81"/>
            <rFont val="Tahoma"/>
            <family val="2"/>
          </rPr>
          <t xml:space="preserve">Future plans 
</t>
        </r>
        <r>
          <rPr>
            <sz val="11"/>
            <color indexed="81"/>
            <rFont val="Tahoma"/>
            <family val="2"/>
          </rPr>
          <t>- We will continue bringing our Retail and Vet Group businesses closer together, making it convenient and affordable for customers to shop across our brands. In addition, we will look to expand our pet care ecosystem by considering attractive adjacencies</t>
        </r>
        <r>
          <rPr>
            <sz val="9"/>
            <color indexed="81"/>
            <rFont val="Tahoma"/>
            <family val="2"/>
          </rPr>
          <t xml:space="preserve">
</t>
        </r>
      </text>
    </comment>
    <comment ref="D520" authorId="0" shapeId="0" xr:uid="{474C235C-B9CD-40B6-B0EA-174B7785738C}">
      <text>
        <r>
          <rPr>
            <b/>
            <sz val="9"/>
            <color indexed="81"/>
            <rFont val="Tahoma"/>
            <family val="2"/>
          </rPr>
          <t>Faition Burrniku:</t>
        </r>
        <r>
          <rPr>
            <sz val="9"/>
            <color indexed="81"/>
            <rFont val="Tahoma"/>
            <family val="2"/>
          </rPr>
          <t xml:space="preserve">
</t>
        </r>
        <r>
          <rPr>
            <sz val="11"/>
            <color indexed="81"/>
            <rFont val="Tahoma"/>
            <family val="2"/>
          </rPr>
          <t xml:space="preserve">Reflecting the disposal of our Specialist Referral hospitals and the strong growth seen in pet product sales.
</t>
        </r>
        <r>
          <rPr>
            <b/>
            <sz val="11"/>
            <color indexed="81"/>
            <rFont val="Tahoma"/>
            <family val="2"/>
          </rPr>
          <t xml:space="preserve">What we are measuring </t>
        </r>
        <r>
          <rPr>
            <sz val="11"/>
            <color indexed="81"/>
            <rFont val="Tahoma"/>
            <family val="2"/>
          </rPr>
          <t xml:space="preserve">
- The proportion of total customer sales contributed by our various pet care services. This is defined as gross customer sales made by both Joint Venture and company managed First Opinion vet practices, grooming salons, omnichannel subscriptions, pet sales and pet insurance commissions. 
</t>
        </r>
        <r>
          <rPr>
            <b/>
            <sz val="11"/>
            <color indexed="81"/>
            <rFont val="Tahoma"/>
            <family val="2"/>
          </rPr>
          <t xml:space="preserve">Why is it important? </t>
        </r>
        <r>
          <rPr>
            <sz val="11"/>
            <color indexed="81"/>
            <rFont val="Tahoma"/>
            <family val="2"/>
          </rPr>
          <t xml:space="preserve">
- The ability to offer customers pet care services in addition to pet products is a key competitive differentiator for the Group.
 </t>
        </r>
        <r>
          <rPr>
            <b/>
            <sz val="11"/>
            <color indexed="81"/>
            <rFont val="Tahoma"/>
            <family val="2"/>
          </rPr>
          <t xml:space="preserve">Future plans </t>
        </r>
        <r>
          <rPr>
            <sz val="11"/>
            <color indexed="81"/>
            <rFont val="Tahoma"/>
            <family val="2"/>
          </rPr>
          <t xml:space="preserve">
- Generating sales from services is an essential part of being a pet care business and not just a retailer. We will continue to focus on helping our First Opinion vet practices to mature, whilst also growing the number of customers signed up to our subscription platforms.</t>
        </r>
      </text>
    </comment>
    <comment ref="D521" authorId="0" shapeId="0" xr:uid="{5C6EE33F-1EFF-4EE9-BF1E-BDD703C861ED}">
      <text>
        <r>
          <rPr>
            <b/>
            <sz val="9"/>
            <color indexed="81"/>
            <rFont val="Tahoma"/>
            <family val="2"/>
          </rPr>
          <t>Faition Burrniku:</t>
        </r>
        <r>
          <rPr>
            <sz val="9"/>
            <color indexed="81"/>
            <rFont val="Tahoma"/>
            <family val="2"/>
          </rPr>
          <t xml:space="preserve">
</t>
        </r>
        <r>
          <rPr>
            <sz val="14"/>
            <color indexed="81"/>
            <rFont val="Tahoma"/>
            <family val="2"/>
          </rPr>
          <t>Pets at Home has a relatively stable supplier base. Strong relationships have been built over a number of years and the buying, technical and innovation teams work closely together to create unique products for pets and their owners. Over 95% of food product purchases and over 50% of accessory product purchases are from UK based suppliers, The sourcing office in Hong Kong manages the day to day relationships with our supplier partners in this region. During the year our usual face to face meetings and live conference events were all moved to virtual formats. We held virtual conferences in October for our UK suppliers and in December for our suppliers in Asia. These conferences provide a platform to share our key strategic messages and the suppliers have an opportunity to ask questions, raise concerns and opportunity areas</t>
        </r>
        <r>
          <rPr>
            <sz val="9"/>
            <color indexed="81"/>
            <rFont val="Tahoma"/>
            <family val="2"/>
          </rPr>
          <t>.</t>
        </r>
      </text>
    </comment>
    <comment ref="C530" authorId="0" shapeId="0" xr:uid="{378DCE28-8929-4382-B939-6C3D730EF631}">
      <text>
        <r>
          <rPr>
            <b/>
            <sz val="9"/>
            <color indexed="81"/>
            <rFont val="Tahoma"/>
            <family val="2"/>
          </rPr>
          <t xml:space="preserve">Faition Burrniku:
</t>
        </r>
        <r>
          <rPr>
            <u/>
            <sz val="11"/>
            <color indexed="81"/>
            <rFont val="Tahoma"/>
            <family val="2"/>
          </rPr>
          <t xml:space="preserve">
IMPORTANT</t>
        </r>
        <r>
          <rPr>
            <sz val="9"/>
            <color indexed="81"/>
            <rFont val="Tahoma"/>
            <family val="2"/>
          </rPr>
          <t xml:space="preserve">
</t>
        </r>
        <r>
          <rPr>
            <sz val="11"/>
            <color indexed="81"/>
            <rFont val="Tahoma"/>
            <family val="2"/>
          </rPr>
          <t xml:space="preserve">
Owners with subscription plan have 2x the number of visits vs non-healthcare plan clients (i.e., this compares dog owner with a sub plan with a vet client without a plan) </t>
        </r>
      </text>
    </comment>
    <comment ref="B535" authorId="0" shapeId="0" xr:uid="{71150392-73A6-4E0C-B807-D221415D4DB2}">
      <text>
        <r>
          <rPr>
            <b/>
            <sz val="9"/>
            <color indexed="81"/>
            <rFont val="Tahoma"/>
            <family val="2"/>
          </rPr>
          <t>Faition Burrniku:</t>
        </r>
        <r>
          <rPr>
            <sz val="9"/>
            <color indexed="81"/>
            <rFont val="Tahoma"/>
            <family val="2"/>
          </rPr>
          <t xml:space="preserve">
</t>
        </r>
        <r>
          <rPr>
            <sz val="11"/>
            <color indexed="81"/>
            <rFont val="Tahoma"/>
            <family val="2"/>
          </rPr>
          <t xml:space="preserve">Pets @ Home Definition:
‘Like-for-like’ sales growth comprises total revenue in a financial period compared to revenue achieved in a prior period, for stores, online operations,
grooming salons, vet practices &amp; referral centres that have been trading for 52 weeks or more. 
</t>
        </r>
        <r>
          <rPr>
            <b/>
            <u/>
            <sz val="11"/>
            <color indexed="81"/>
            <rFont val="Tahoma"/>
            <family val="2"/>
          </rPr>
          <t xml:space="preserve">
Investopedia Definition:</t>
        </r>
        <r>
          <rPr>
            <sz val="11"/>
            <color indexed="81"/>
            <rFont val="Tahoma"/>
            <family val="2"/>
          </rPr>
          <t xml:space="preserve">
- Like-for-like sales are also referred to as comparable-store sales, comps, same-store sales, or identical-store sales. It basically states, what was the increase in revenue from this period from the previous period removing expansion &amp; acquisitions. 
- in other words, it measures the growth of a retail business on a like-for-like business &gt;where it excludes stores that were not operating during that same period last year. 
- Retail companies use the like-for-like metric most often for their insight into existing stores versus newly opened stores. If a retail company has a high like-for-like store sales growth rate and a high total revenue growth rate, it can be seen as a sign that established stores are driving growth. If a company has an average like-for-like store sales growth rate but a high total revenue growth rate, it can be a sign that new stores or new products are drawing shoppers' attention.</t>
        </r>
      </text>
    </comment>
    <comment ref="B554" authorId="0" shapeId="0" xr:uid="{1CB67BDB-E198-41B6-B31B-AEB7A5B5094F}">
      <text>
        <r>
          <rPr>
            <b/>
            <sz val="9"/>
            <color indexed="81"/>
            <rFont val="Tahoma"/>
            <family val="2"/>
          </rPr>
          <t>Faition Burrniku:</t>
        </r>
        <r>
          <rPr>
            <sz val="9"/>
            <color indexed="81"/>
            <rFont val="Tahoma"/>
            <family val="2"/>
          </rPr>
          <t xml:space="preserve">
</t>
        </r>
        <r>
          <rPr>
            <sz val="12"/>
            <color indexed="81"/>
            <rFont val="Tahoma"/>
            <family val="2"/>
          </rPr>
          <t xml:space="preserve">
Group’s results are shown as three segments that represent the size of the respective businesses and our internal reporting structures; Retail (includes products purchased online and in-store, pet sales, grooming services and insurance products), Vet Group (includes First Opinion practices and Specialist Referral centres) and Central (includes Group costs, finance expenses and the Group’s telehealth business).</t>
        </r>
      </text>
    </comment>
    <comment ref="C558" authorId="0" shapeId="0" xr:uid="{D98C8254-0BB1-4EF3-9047-4BF68423597A}">
      <text>
        <r>
          <rPr>
            <b/>
            <sz val="9"/>
            <color indexed="81"/>
            <rFont val="Tahoma"/>
            <family val="2"/>
          </rPr>
          <t>Faition Burrniku:</t>
        </r>
        <r>
          <rPr>
            <sz val="9"/>
            <color indexed="81"/>
            <rFont val="Tahoma"/>
            <family val="2"/>
          </rPr>
          <t xml:space="preserve">
</t>
        </r>
        <r>
          <rPr>
            <sz val="11"/>
            <color indexed="81"/>
            <rFont val="Tahoma"/>
            <family val="2"/>
          </rPr>
          <t xml:space="preserve">
Retail EBIT was £79.5m (FY20: £89.3m) with an operating margin of 7.8% (FY20: 9.5%). Whilst we saw sustained strong trading in our second half across both stores and online this has been offset by the revenue and cost implications of COVID-19. Operating cost growth, excluding depreciation and amortisation, was 16.2% to £316.8m (FY20: £272.5m). We have continued to pay all our rents throughout the year, and our program of rent negotiations continues</t>
        </r>
      </text>
    </comment>
    <comment ref="C569" authorId="0" shapeId="0" xr:uid="{018B9FA5-28BE-426D-ADA4-1F7D2D50A4F7}">
      <text>
        <r>
          <rPr>
            <b/>
            <sz val="9"/>
            <color indexed="81"/>
            <rFont val="Tahoma"/>
            <family val="2"/>
          </rPr>
          <t>Faition Burrniku:</t>
        </r>
        <r>
          <rPr>
            <sz val="9"/>
            <color indexed="81"/>
            <rFont val="Tahoma"/>
            <family val="2"/>
          </rPr>
          <t xml:space="preserve">
</t>
        </r>
        <r>
          <rPr>
            <sz val="11"/>
            <color indexed="81"/>
            <rFont val="Tahoma"/>
            <family val="2"/>
          </rPr>
          <t>Underlying Vet Group EBIT was £36.0m (FY20: £30.6m) with an operating margin of 29.2% (FY20: 25.2%). 
Operating costs in the Vet Group, excluding depreciation and amortisation, were £15.1m (FY20: £16.1m), a decrease of 5.8% on the prior year. The year-on-year change in operating costs reflects achieved cost efficiencies across several areas, as well as the disposal of the Specialist Group part way through the year. Within Vet Group non-underlying items, we recognised £30.2m in relation to the profit on disposal of the Specialist Group (FY20: £nil) on 31 December 2020, as well as non-underlying operating costs of £1.9m in relation to the accounting treatment of the ownership structure of the Specialist Group (FY20: £1.0m), consistent with our accounting practices since acquisition.</t>
        </r>
        <r>
          <rPr>
            <sz val="9"/>
            <color indexed="81"/>
            <rFont val="Tahoma"/>
            <family val="2"/>
          </rPr>
          <t xml:space="preserve">
</t>
        </r>
      </text>
    </comment>
    <comment ref="C584" authorId="0" shapeId="0" xr:uid="{5C4024E2-3184-4137-9323-88B3E83C40D5}">
      <text>
        <r>
          <rPr>
            <b/>
            <sz val="9"/>
            <color indexed="81"/>
            <rFont val="Tahoma"/>
            <family val="2"/>
          </rPr>
          <t>Faition Burrniku:</t>
        </r>
        <r>
          <rPr>
            <sz val="9"/>
            <color indexed="81"/>
            <rFont val="Tahoma"/>
            <family val="2"/>
          </rPr>
          <t xml:space="preserve">
</t>
        </r>
        <r>
          <rPr>
            <sz val="11"/>
            <color indexed="81"/>
            <rFont val="Tahoma"/>
            <family val="2"/>
          </rPr>
          <t xml:space="preserve">
Central costs, including Group overheads and colleagues, increased to £9.6m (FY20: £8.6m), partly driven by investment in our Group capability and the small amount of costs associated with The Vet Connection, acquired on 30 November 2020.</t>
        </r>
      </text>
    </comment>
    <comment ref="C651" authorId="0" shapeId="0" xr:uid="{4B1F1EE1-8340-4F28-BA73-DB0C3E8075E4}">
      <text>
        <r>
          <rPr>
            <b/>
            <sz val="9"/>
            <color indexed="81"/>
            <rFont val="Tahoma"/>
            <family val="2"/>
          </rPr>
          <t>Faition Burrniku:</t>
        </r>
        <r>
          <rPr>
            <sz val="9"/>
            <color indexed="81"/>
            <rFont val="Tahoma"/>
            <family val="2"/>
          </rPr>
          <t xml:space="preserve">
</t>
        </r>
        <r>
          <rPr>
            <sz val="12"/>
            <color indexed="81"/>
            <rFont val="Tahoma"/>
            <family val="2"/>
          </rPr>
          <t>Rent = 70.3
Interest charge = 12.8
but shouldn’t interest charge be 7.8?</t>
        </r>
      </text>
    </comment>
    <comment ref="C662" authorId="0" shapeId="0" xr:uid="{E39547E7-F587-47CF-B098-54EB7AAA4793}">
      <text>
        <r>
          <rPr>
            <b/>
            <sz val="9"/>
            <color indexed="81"/>
            <rFont val="Tahoma"/>
            <family val="2"/>
          </rPr>
          <t>Faition Burrniku:</t>
        </r>
        <r>
          <rPr>
            <sz val="9"/>
            <color indexed="81"/>
            <rFont val="Tahoma"/>
            <family val="2"/>
          </rPr>
          <t xml:space="preserve">
ADD BACK RENT </t>
        </r>
        <r>
          <rPr>
            <sz val="11"/>
            <color indexed="81"/>
            <rFont val="Tahoma"/>
            <family val="2"/>
          </rPr>
          <t>= 70.3</t>
        </r>
      </text>
    </comment>
    <comment ref="C665" authorId="0" shapeId="0" xr:uid="{07C42D9D-47AE-4585-8360-59E78A0DDCA1}">
      <text>
        <r>
          <rPr>
            <b/>
            <sz val="9"/>
            <color indexed="81"/>
            <rFont val="Tahoma"/>
            <family val="2"/>
          </rPr>
          <t>Faition Burrniku:</t>
        </r>
        <r>
          <rPr>
            <sz val="9"/>
            <color indexed="81"/>
            <rFont val="Tahoma"/>
            <family val="2"/>
          </rPr>
          <t xml:space="preserve">
</t>
        </r>
        <r>
          <rPr>
            <sz val="10"/>
            <color indexed="81"/>
            <rFont val="Tahoma"/>
            <family val="2"/>
          </rPr>
          <t xml:space="preserve">
Interest Charge = 12.8</t>
        </r>
      </text>
    </comment>
    <comment ref="D701" authorId="0" shapeId="0" xr:uid="{4CBDBB8A-0760-419F-9FB0-509B1E7CD2F2}">
      <text>
        <r>
          <rPr>
            <b/>
            <sz val="9"/>
            <color indexed="81"/>
            <rFont val="Tahoma"/>
            <family val="2"/>
          </rPr>
          <t>Faition Burrniku:</t>
        </r>
        <r>
          <rPr>
            <sz val="9"/>
            <color indexed="81"/>
            <rFont val="Tahoma"/>
            <family val="2"/>
          </rPr>
          <t xml:space="preserve">
POST IFRS
</t>
        </r>
      </text>
    </comment>
    <comment ref="C1028" authorId="0" shapeId="0" xr:uid="{315D1B5E-D5E6-4E02-BD2E-896A8B0A8928}">
      <text>
        <r>
          <rPr>
            <b/>
            <sz val="9"/>
            <color indexed="81"/>
            <rFont val="Tahoma"/>
            <family val="2"/>
          </rPr>
          <t>Faition Burrniku:</t>
        </r>
        <r>
          <rPr>
            <sz val="9"/>
            <color indexed="81"/>
            <rFont val="Tahoma"/>
            <family val="2"/>
          </rPr>
          <t xml:space="preserve">
included within revenue and relate to charges for support services offered in such areas as clinical development, promotion and methods of operation as well as service activities including accountancy, legal and property. In accordance with IFRS 15, revenue in the 52 week period ended 25 March 2021 and the 52 week period ended 26 March 2020 excludes irrecoverable fee income from Joint Venture veterinary practices. </t>
        </r>
      </text>
    </comment>
    <comment ref="L1028" authorId="0" shapeId="0" xr:uid="{EF3ED829-6D48-4333-8747-11FE7E4EAB79}">
      <text>
        <r>
          <rPr>
            <b/>
            <sz val="9"/>
            <color indexed="81"/>
            <rFont val="Tahoma"/>
            <family val="2"/>
          </rPr>
          <t>Faition Burrniku:</t>
        </r>
        <r>
          <rPr>
            <sz val="9"/>
            <color indexed="81"/>
            <rFont val="Tahoma"/>
            <family val="2"/>
          </rPr>
          <t xml:space="preserve">
Fees for services provided to related party veterinary practices are included within revenue and relate to charges for support services offered in such areas as clinical development, promotion and methods of operation as well as service activities including accountancy, legal and property. In accordance with IFRS 15, revenue in the 28 week period ended 7 October 2021, the 52 week period ended 25 March 2021 and the 28 week period ended 8 October 2020 excludes irrecoverable fee income from Joint Venture veterinary practices.</t>
        </r>
      </text>
    </comment>
    <comment ref="L1037" authorId="0" shapeId="0" xr:uid="{CF6C2312-9458-4608-8BB4-BFE90BF444DB}">
      <text>
        <r>
          <rPr>
            <b/>
            <sz val="9"/>
            <color indexed="81"/>
            <rFont val="Tahoma"/>
            <family val="2"/>
          </rPr>
          <t xml:space="preserve">Faition Burrniku:
</t>
        </r>
        <r>
          <rPr>
            <sz val="9"/>
            <color indexed="81"/>
            <rFont val="Tahoma"/>
            <family val="2"/>
          </rPr>
          <t xml:space="preserve">
Funding for new practices represents the amounts advanced by the Group to support veterinary practice opening costs. The funding is short term and the related party Joint Venture veterinary practice draws down their own bank funding to settle these amounts outstanding with the Group shortly after opening.</t>
        </r>
      </text>
    </comment>
    <comment ref="L1038" authorId="0" shapeId="0" xr:uid="{A8208E41-A8CD-4CE4-BA20-390A559B6755}">
      <text>
        <r>
          <rPr>
            <b/>
            <sz val="9"/>
            <color indexed="81"/>
            <rFont val="Tahoma"/>
            <family val="2"/>
          </rPr>
          <t>Faition Burrniku:</t>
        </r>
        <r>
          <rPr>
            <sz val="9"/>
            <color indexed="81"/>
            <rFont val="Tahoma"/>
            <family val="2"/>
          </rPr>
          <t xml:space="preserve">
Operating loans represent amounts advanced to related party Joint Venture veterinary practices to support their working capital requirements and longer term growth. The loans advanced to the practices are interest free and either repayable on demand or repayable within 90 days of demand. No facility exists and the levels of loans are monitored in relation to review of the practice’s performance against business plan. Based on the projected cash flow forecast on a practice by practice basis, the funding is often expected to be required for a number of years. As practices generate cash on a monthly basis it is applied to the repayment of brought forward operating loans. For immature practices,
loan balances may increase due to operating requirements. The balances above are shown net of allowances for expected credit losses held for operating loans of £5.2m (25 March 2021: £6.2m, 8 October 2020: £7.4m). 
</t>
        </r>
      </text>
    </comment>
    <comment ref="C1040" authorId="0" shapeId="0" xr:uid="{C2ED1958-B932-49DD-A35D-AB4140B46773}">
      <text>
        <r>
          <rPr>
            <b/>
            <sz val="9"/>
            <color indexed="81"/>
            <rFont val="Tahoma"/>
            <family val="2"/>
          </rPr>
          <t>Faition Burrniku:</t>
        </r>
        <r>
          <rPr>
            <sz val="9"/>
            <color indexed="81"/>
            <rFont val="Tahoma"/>
            <family val="2"/>
          </rPr>
          <t xml:space="preserve">
Operating loans represent amounts advanced to related party Joint Venture veterinary practices to support their working capital requirements
and longer term growth. The loans advanced to the practices are interest free and either repayable on demand or repayable within 90 days of
demand. No facility exists and the levels of loans are monitored in relation to review of the practices performance against business plan. Based
on the projected cash flow forecast on a practice by practice basis, the funding is often expected to be required for a number of years. As
practices generate cash on a monthly basis it is applied to the repayment of brought forward operating loans. For immature practices, loan
balances may increase due to operating requirements. The balances above are shown net of allowances for expected credit losses held for
operating loans of £6.2m (26 March 2020: £8.0m).</t>
        </r>
      </text>
    </comment>
    <comment ref="L1055" authorId="0" shapeId="0" xr:uid="{C8C76A5B-77FA-443D-8A84-A1438A869F7D}">
      <text>
        <r>
          <rPr>
            <b/>
            <sz val="9"/>
            <color indexed="81"/>
            <rFont val="Tahoma"/>
            <family val="2"/>
          </rPr>
          <t>Faition Burrniku:</t>
        </r>
        <r>
          <rPr>
            <sz val="9"/>
            <color indexed="81"/>
            <rFont val="Tahoma"/>
            <family val="2"/>
          </rPr>
          <t xml:space="preserve">
Trading balances represent costs incurred/income received by the Group in relation to the services provided to the
veterinary practices that have yet to be recharged.</t>
        </r>
      </text>
    </comment>
    <comment ref="C1057" authorId="0" shapeId="0" xr:uid="{DAE6B0EE-1641-4D3C-9BB1-AEABBB5C6D2F}">
      <text>
        <r>
          <rPr>
            <b/>
            <sz val="9"/>
            <color indexed="81"/>
            <rFont val="Tahoma"/>
            <family val="2"/>
          </rPr>
          <t>Faition Burrniku:</t>
        </r>
        <r>
          <rPr>
            <sz val="9"/>
            <color indexed="81"/>
            <rFont val="Tahoma"/>
            <family val="2"/>
          </rPr>
          <t xml:space="preserve">
- During the period, the Group had in place certain guarantees over the bank loans taken out by a number of veterinary practice companies
in which it holds an investment in non-participatory share capital. At the end of the period, the total amount of bank overdrafts and loans
guaranteed by the Group amounted to £12.8m (26 March 2020: £10.9m).
- Fees for services provided to related party veterinary practices are included within revenue and relate to charges for support services offered in
such areas as clinical development, promotion and methods of operation as well as service activities including accountancy, legal and property.
In accordance with IFRS 15, revenue in the 52 week period ended 25 March 2021 and the 52 week period ended 26 March 2020 excludes
irrecoverable fee income from Joint Venture veterinary practices.
- Funding for new practices represents the amounts advanced by the Group to support veterinary practice opening costs. The funding is short
term and the related party Joint Venture veterinary practice draws down their own bank funding to settle these amounts outstanding with the
Group shortly after opening.
- Trading balances represent costs incurred and income received by the Group in relation to the services provided to the Joint Venture veterinary
practices that have yet to be recharged.
- Operating loans represent amounts advanced to related party Joint Venture veterinary practices to support their working capital requirements
and longer term growth. The loans advanced to the practices are interest free and either repayable on demand or repayable within 90 days of
demand. No facility exists and the levels of loans are monitored in relation to review of the practices performance against business plan. Based
on the projected cash flow forecast on a practice by practice basis, the funding is often expected to be required for a number of years. As
practices generate cash on a monthly basis it is applied to the repayment of brought forward operating loans. For immature practices, loan
balances may increase due to operating requirements. The balances above are shown net of allowances for expected credit losses held for
operating loans of £6.2m (26 March 2020: £8.0m).
Loans to Joint Venture veterinary practices are provided to Joint Venture veterinary practice companies trading under the Companion Care and
Vets4Pets brands, in which the Group’s share interest is non-participatory. These loans represent a long term investment in the Joint Venture,
supporting their initial set up and working capital, and are held at amortised cost under IFRS 9. The balances above are shown net of allowances
for expected credit losses held for operating loans of £1.2m (26 March 2020: £nil).
In the 52 week period ended 25 March 2021, the value of loans written off recognised in the income statement amounted to £1.4m which
relates to operating loans. In the 52 week period ended 26 March 2020 the value of loans written off recognised in the income statement
amounted to £9.0m, which relates to operating loans £7.2m, initial set up loans £1.1m and other loans £0.7m.
At 25 March 2021, the Group had a commitment to increase the loan funding to Joint Venture companies of £0.8m (26 March 2020: £0.8m); this
increase in funding is written into the Joint Venture agreements and becomes payable when certain criteria are met.
The Group is a guarantor for the lease for veterinary practices that are not located within Pets at Home stores. </t>
        </r>
      </text>
    </comment>
    <comment ref="C1062" authorId="0" shapeId="0" xr:uid="{3C1AE741-2868-401A-A1D3-8414E0320EC2}">
      <text>
        <r>
          <rPr>
            <b/>
            <sz val="9"/>
            <color indexed="81"/>
            <rFont val="Tahoma"/>
            <family val="2"/>
          </rPr>
          <t>Faition Burrniku:</t>
        </r>
        <r>
          <rPr>
            <sz val="9"/>
            <color indexed="81"/>
            <rFont val="Tahoma"/>
            <family val="2"/>
          </rPr>
          <t xml:space="preserve">
Management have conducted a full impairment review which has been undertaken on the Group’s cash generating units of which the
Company’s investments form part. The results of this review are disclosed in note 13, including a sensitivity analysis. In this review, the goodwill
on consolidation balance of £958.4m at 25 March 2021 exceeds the investments held in subsidiary undertakings of £936.2m, and therefore
management have concluded that under IAS 36, no impairment has been identified with regard to the Company’s investments in subsidiaries</t>
        </r>
      </text>
    </comment>
    <comment ref="B1088" authorId="0" shapeId="0" xr:uid="{CFBB4A98-D10E-49BF-AD7D-3A6ACF78B3F3}">
      <text>
        <r>
          <rPr>
            <b/>
            <sz val="9"/>
            <color indexed="81"/>
            <rFont val="Tahoma"/>
            <family val="2"/>
          </rPr>
          <t>Faition Burrniku:</t>
        </r>
        <r>
          <rPr>
            <sz val="9"/>
            <color indexed="81"/>
            <rFont val="Tahoma"/>
            <family val="2"/>
          </rPr>
          <t xml:space="preserve">
</t>
        </r>
        <r>
          <rPr>
            <b/>
            <sz val="9"/>
            <color indexed="81"/>
            <rFont val="Tahoma"/>
            <family val="2"/>
          </rPr>
          <t xml:space="preserve">2021:
</t>
        </r>
        <r>
          <rPr>
            <sz val="9"/>
            <color indexed="81"/>
            <rFont val="Tahoma"/>
            <family val="2"/>
          </rPr>
          <t xml:space="preserve">
Loans to Joint Venture veterinary practices of £11.3m (2020: £13.3m) are provided to Joint Venture veterinary practice companies trading under
the Companion Care and Vets4Pets brands, in which the Group’s share interest is non-participatory. These loans represent a long term
investment in the Joint Venture, supporting their initial set up and working capital, and are held at amortised cost under IFRS 9. The carrying
value is cost as the impact of discounting future cash flows at a market rate of interest has been assessed as not material. Under the terms of the
loans provided to veterinary companies trading under the Companion Care and Vets4Pets brands the loans attract varying interest rates
between 2% and 3%. There is no set date for repayment of the loans due to the Group.
</t>
        </r>
        <r>
          <rPr>
            <b/>
            <sz val="9"/>
            <color indexed="81"/>
            <rFont val="Tahoma"/>
            <family val="2"/>
          </rPr>
          <t xml:space="preserve">Loans to Joint Venture veterinary practices – other loans
</t>
        </r>
        <r>
          <rPr>
            <sz val="9"/>
            <color indexed="81"/>
            <rFont val="Tahoma"/>
            <family val="2"/>
          </rPr>
          <t xml:space="preserve">
Loans to Joint Venture veterinary practices – other loans of £3.3m (2020: £4.0m) represent loan balances to Joint Venture veterinary practices.
These loans are unsecured, typically for five to seven years and attract an interest rate of LIBOR plus 2.8%. The loans are accounted for at
amortised cost under IFRS 9. The carrying value is considered to be cost as the impact of discounting future cash flows at a market rate of
interest has been assessed as not material. The loans are typically to support capacity expansion. The balances have been assessed under the
criteria set out in note 1.15 as fully performing, and any expected credit losses are immaterial (2020: £nil).</t>
        </r>
      </text>
    </comment>
    <comment ref="C1291" authorId="0" shapeId="0" xr:uid="{1C80B3A0-9BC0-41B8-B07E-0524AFF910A2}">
      <text>
        <r>
          <rPr>
            <b/>
            <sz val="9"/>
            <color indexed="81"/>
            <rFont val="Tahoma"/>
            <family val="2"/>
          </rPr>
          <t>Faition Burrniku:</t>
        </r>
        <r>
          <rPr>
            <sz val="9"/>
            <color indexed="81"/>
            <rFont val="Tahoma"/>
            <family val="2"/>
          </rPr>
          <t xml:space="preserve">
</t>
        </r>
        <r>
          <rPr>
            <b/>
            <u/>
            <sz val="14"/>
            <color indexed="81"/>
            <rFont val="Tahoma"/>
            <family val="2"/>
          </rPr>
          <t>Annual Bonus:</t>
        </r>
        <r>
          <rPr>
            <sz val="14"/>
            <color indexed="81"/>
            <rFont val="Tahoma"/>
            <family val="2"/>
          </rPr>
          <t xml:space="preserve">
- Based on: Profit Before Tax (PBT) (75%) and Group Free Cash Flow (FCF) (25%). 
- The underlying PBT target range was set between £74.8m and £83.8m. Actual PBT of £87.5m was in excess of the maximum target. The Group Free Cash Flow target range was set between £35.6m and £41.6m. Actual Free Cash Flow of £67.4m was also in excess of the maximum target. 
- Therefore, the formulaic outcome was equal to £526,285/100% of salary for the CEO and £365,235/100% of salary for the CFO (rather than 170% and 150%, respectively, as permitted in the policy).
- For FY22: maximum bonus opportunity increases from 100% to 170% of salary for the CEO and from 100% to 150% of salary for the CFO.
- For FY22: &gt; Alongside the existing PBT and FCF measures we are introducing a third Pet Care Plans subscriptions metric. Pet Care Plans are a key driver of future growth, they create predictability through repeat orders and provide high margin revenue. The weightings for FY22 will be PBT (60%), FCF (20%) and Pet Care Plans (20%). 
LTIPS:
- A baseline performance underpin applies, which requires absolute TSR performance to be positive over the first three years of the vesting period. If the underpin is not achieved, the awards lapse in full. Executives may only be awarded a maximum of 75% of salary.</t>
        </r>
        <r>
          <rPr>
            <sz val="9"/>
            <color indexed="81"/>
            <rFont val="Tahoma"/>
            <family val="2"/>
          </rPr>
          <t xml:space="preserve">
</t>
        </r>
      </text>
    </comment>
    <comment ref="F1291" authorId="0" shapeId="0" xr:uid="{97734C06-31A0-4B55-BE2D-12EC17D27C47}">
      <text>
        <r>
          <rPr>
            <b/>
            <sz val="9"/>
            <color indexed="81"/>
            <rFont val="Tahoma"/>
            <family val="2"/>
          </rPr>
          <t xml:space="preserve">Faition Burrniku:
</t>
        </r>
        <r>
          <rPr>
            <sz val="9"/>
            <color indexed="81"/>
            <rFont val="Tahoma"/>
            <family val="2"/>
          </rPr>
          <t xml:space="preserve">
For FY18, the annual bonus was based on EBITDA (75%) and free cash flow (25%):</t>
        </r>
      </text>
    </comment>
    <comment ref="C1301" authorId="0" shapeId="0" xr:uid="{687B5DDB-B37B-42B0-B865-FA81503CCAC9}">
      <text>
        <r>
          <rPr>
            <b/>
            <sz val="9"/>
            <color indexed="81"/>
            <rFont val="Tahoma"/>
            <family val="2"/>
          </rPr>
          <t>Faition Burrniku:</t>
        </r>
        <r>
          <rPr>
            <sz val="9"/>
            <color indexed="81"/>
            <rFont val="Tahoma"/>
            <family val="2"/>
          </rPr>
          <t xml:space="preserve">
</t>
        </r>
        <r>
          <rPr>
            <sz val="11"/>
            <color indexed="81"/>
            <rFont val="Tahoma"/>
            <family val="2"/>
          </rPr>
          <t xml:space="preserve"> 
- Based on: Profit Before Tax (PBT) (75%) and Group Free Cash Flow (FCF) (25%). 
- The underlying PBT target range was set between £74.8m and £83.8m. Actual PBT of £87.5m was in excess of the maximum target. The Group Free Cash Flow target range was set between £35.6m and £41.6m. Actual Free Cash Flow of £67.4m was also in excess of the maximum target. 
- Therefore, the formulaic outcome was equal to £526,285/100% of salary for the CEO and £365,235/100% of salary for the CFO (rather than 170% and 150%, respectively, as permitted in the policy).
- For FY22: maximum bonus opportunity increases from 100% to 170% of salary for the CEO and from 100% to 150% of salary for the CFO.
- For FY22: &gt; Alongside the existing PBT and FCF measures we are introducing a third Pet Care Plans subscriptions metric. Pet Care Plans are a key driver of future growth, they create predictability through repeat orders and provide high margin revenue. The weightings for FY22 will be PBT (60%), FCF (20%) and Pet Care Plans (20%).
LTIPS:
- A baseline performance underpin applies, which requires absolute TSR performance to be positive over the first three years of the vesting period. If the underpin is not achieved, the awards lapse in full. Executives may only be awarded a maximum of 75% of salary.</t>
        </r>
      </text>
    </comment>
    <comment ref="D1321" authorId="0" shapeId="0" xr:uid="{C1D74767-EF16-4C33-9387-04C67EA7627D}">
      <text>
        <r>
          <rPr>
            <b/>
            <sz val="9"/>
            <color indexed="81"/>
            <rFont val="Tahoma"/>
            <family val="2"/>
          </rPr>
          <t>Faition Burrniku:</t>
        </r>
        <r>
          <rPr>
            <sz val="9"/>
            <color indexed="81"/>
            <rFont val="Tahoma"/>
            <family val="2"/>
          </rPr>
          <t xml:space="preserve">
13.61%</t>
        </r>
      </text>
    </comment>
    <comment ref="L1321" authorId="0" shapeId="0" xr:uid="{C050E58B-8933-4F7C-97F5-54C31D7350F5}">
      <text>
        <r>
          <rPr>
            <b/>
            <sz val="9"/>
            <color indexed="81"/>
            <rFont val="Tahoma"/>
            <family val="2"/>
          </rPr>
          <t>Faition Burrniku:</t>
        </r>
        <r>
          <rPr>
            <sz val="9"/>
            <color indexed="81"/>
            <rFont val="Tahoma"/>
            <family val="2"/>
          </rPr>
          <t xml:space="preserve">
9.99%
</t>
        </r>
      </text>
    </comment>
    <comment ref="D1323" authorId="0" shapeId="0" xr:uid="{5B84B929-CFC2-4382-823E-1DAC119E16A9}">
      <text>
        <r>
          <rPr>
            <b/>
            <sz val="9"/>
            <color indexed="81"/>
            <rFont val="Tahoma"/>
            <family val="2"/>
          </rPr>
          <t>Faition Burrniku:</t>
        </r>
        <r>
          <rPr>
            <sz val="9"/>
            <color indexed="81"/>
            <rFont val="Tahoma"/>
            <family val="2"/>
          </rPr>
          <t xml:space="preserve">
11.07%</t>
        </r>
      </text>
    </comment>
    <comment ref="D1324" authorId="0" shapeId="0" xr:uid="{5ACEAEC7-39E4-4B50-B2E1-409EC590CBA6}">
      <text>
        <r>
          <rPr>
            <b/>
            <sz val="9"/>
            <color indexed="81"/>
            <rFont val="Tahoma"/>
            <family val="2"/>
          </rPr>
          <t>Faition Burrniku:</t>
        </r>
        <r>
          <rPr>
            <sz val="9"/>
            <color indexed="81"/>
            <rFont val="Tahoma"/>
            <family val="2"/>
          </rPr>
          <t xml:space="preserve">
5.91%</t>
        </r>
      </text>
    </comment>
    <comment ref="L1325" authorId="0" shapeId="0" xr:uid="{5CF1A35C-FF9E-45D7-AE47-8826C08F11B5}">
      <text>
        <r>
          <rPr>
            <b/>
            <sz val="9"/>
            <color indexed="81"/>
            <rFont val="Tahoma"/>
            <family val="2"/>
          </rPr>
          <t>Faition Burrniku:</t>
        </r>
        <r>
          <rPr>
            <sz val="9"/>
            <color indexed="81"/>
            <rFont val="Tahoma"/>
            <family val="2"/>
          </rPr>
          <t xml:space="preserve">
5.08%</t>
        </r>
      </text>
    </comment>
    <comment ref="D1326" authorId="0" shapeId="0" xr:uid="{1E65140B-A0A6-4E64-BA6D-AAA56CDFFBAD}">
      <text>
        <r>
          <rPr>
            <b/>
            <sz val="9"/>
            <color indexed="81"/>
            <rFont val="Tahoma"/>
            <family val="2"/>
          </rPr>
          <t>Faition Burrniku:</t>
        </r>
        <r>
          <rPr>
            <sz val="9"/>
            <color indexed="81"/>
            <rFont val="Tahoma"/>
            <family val="2"/>
          </rPr>
          <t xml:space="preserve">
4.96%</t>
        </r>
      </text>
    </comment>
  </commentList>
</comments>
</file>

<file path=xl/sharedStrings.xml><?xml version="1.0" encoding="utf-8"?>
<sst xmlns="http://schemas.openxmlformats.org/spreadsheetml/2006/main" count="2091" uniqueCount="1565">
  <si>
    <t>AIM</t>
  </si>
  <si>
    <t>Admission Date</t>
  </si>
  <si>
    <t>Company Name</t>
  </si>
  <si>
    <t>Country of Incorporation</t>
  </si>
  <si>
    <t>Market</t>
  </si>
  <si>
    <t>Company Market Cap (£m)</t>
  </si>
  <si>
    <t>Specialisation</t>
  </si>
  <si>
    <t>Ticker Symbol</t>
  </si>
  <si>
    <t>Cvs Group Plc</t>
  </si>
  <si>
    <t>United Kingdom</t>
  </si>
  <si>
    <t xml:space="preserve">AIM </t>
  </si>
  <si>
    <t>582.9</t>
  </si>
  <si>
    <t>veterinary practices, veterinary diagnostic businesses, pet crematoria and an online pharmacy and retail busines</t>
  </si>
  <si>
    <t>CVSG</t>
  </si>
  <si>
    <t>Pets At Home Group Plc</t>
  </si>
  <si>
    <t xml:space="preserve">Main Market </t>
  </si>
  <si>
    <t>1,287</t>
  </si>
  <si>
    <t>retailer of pet food, pet products and pet-related services. </t>
  </si>
  <si>
    <t>PETS</t>
  </si>
  <si>
    <t>Premier Veterinary Group Plc</t>
  </si>
  <si>
    <t>3.68</t>
  </si>
  <si>
    <t>operates various veterinary practices and provides non-medical services to other veterinary practices. </t>
  </si>
  <si>
    <t>PVG</t>
  </si>
  <si>
    <t>MAIN MARKET</t>
  </si>
  <si>
    <t>Income Statement</t>
  </si>
  <si>
    <t>CVS Group</t>
  </si>
  <si>
    <t>Revenue</t>
  </si>
  <si>
    <t>Cost of sales</t>
  </si>
  <si>
    <t>Gross profit</t>
  </si>
  <si>
    <t>Administrative expenses</t>
  </si>
  <si>
    <t>Operating profit</t>
  </si>
  <si>
    <t>Other finance expense</t>
  </si>
  <si>
    <t>Profit before income tax</t>
  </si>
  <si>
    <t>Income tax expense</t>
  </si>
  <si>
    <t>Profit for the period attributable to owners of the Parent Company</t>
  </si>
  <si>
    <t>Basic</t>
  </si>
  <si>
    <t>7.0p</t>
  </si>
  <si>
    <t>1.2p</t>
  </si>
  <si>
    <t>11.6p</t>
  </si>
  <si>
    <t>Diluted</t>
  </si>
  <si>
    <t>Profit for the period</t>
  </si>
  <si>
    <t>Other comprehensive income</t>
  </si>
  <si>
    <t>-</t>
  </si>
  <si>
    <t>Exchange differences on translation of foreign operations</t>
  </si>
  <si>
    <t>Other comprehensive income for the period, net of tax</t>
  </si>
  <si>
    <t>Total comprehensive income for the period attributable to owners of the Parent Company</t>
  </si>
  <si>
    <t>Balance Sheet</t>
  </si>
  <si>
    <t>Non-current assets</t>
  </si>
  <si>
    <t>Intangible assets</t>
  </si>
  <si>
    <t>Property, plant and equipment</t>
  </si>
  <si>
    <t>Right-of-use asset</t>
  </si>
  <si>
    <t>Investments</t>
  </si>
  <si>
    <t>Deferred income tax assets</t>
  </si>
  <si>
    <t>Derivative Financial Instrument</t>
  </si>
  <si>
    <t>Current assets</t>
  </si>
  <si>
    <t>Inventories</t>
  </si>
  <si>
    <t>Trade and other receivables</t>
  </si>
  <si>
    <t>Cash and cash equivalents</t>
  </si>
  <si>
    <t>Total assets</t>
  </si>
  <si>
    <t>Current liabilities</t>
  </si>
  <si>
    <t>Trade and other payables</t>
  </si>
  <si>
    <t>Current income tax liabilities</t>
  </si>
  <si>
    <t>Borrowings</t>
  </si>
  <si>
    <t>Non-current liabilities</t>
  </si>
  <si>
    <t>Deferred income tax liabilities</t>
  </si>
  <si>
    <t>Total liabilities</t>
  </si>
  <si>
    <t>Net assets</t>
  </si>
  <si>
    <t>Share capital</t>
  </si>
  <si>
    <t>Share premium</t>
  </si>
  <si>
    <t>Capital redemption reserve</t>
  </si>
  <si>
    <t>Revaluation reserve</t>
  </si>
  <si>
    <t>Merger reserve</t>
  </si>
  <si>
    <t>Retained earnings</t>
  </si>
  <si>
    <t>Total equity</t>
  </si>
  <si>
    <t>Free cash flow</t>
  </si>
  <si>
    <t>Taxation paid</t>
  </si>
  <si>
    <t>Interest paid</t>
  </si>
  <si>
    <t>Net cash generated from operating activities</t>
  </si>
  <si>
    <t>Cash flows from investing activities</t>
  </si>
  <si>
    <t>Acquisitions (net of cash)</t>
  </si>
  <si>
    <t>Purchase of property, plant and equipment</t>
  </si>
  <si>
    <t>Purchase of intangible assets</t>
  </si>
  <si>
    <t>Net cash used in investing activities</t>
  </si>
  <si>
    <t>Cash flows from financing activities</t>
  </si>
  <si>
    <t>Dividends paid</t>
  </si>
  <si>
    <t>Proceeds from issue of ordinary shares</t>
  </si>
  <si>
    <t>Debt issuance costs</t>
  </si>
  <si>
    <t>Repayment of lease liabilities</t>
  </si>
  <si>
    <t>Net cash (used in)/generated from financing activities</t>
  </si>
  <si>
    <t>Net (decrease) in cash and cash equivalents</t>
  </si>
  <si>
    <t>Cash and cash equivalents at start of period</t>
  </si>
  <si>
    <t>Cash and cash equivalents at end of period</t>
  </si>
  <si>
    <t>16.0p</t>
  </si>
  <si>
    <t>18.5p</t>
  </si>
  <si>
    <t>15.9p</t>
  </si>
  <si>
    <t>18.2p</t>
  </si>
  <si>
    <t>Derivative financial instruments</t>
  </si>
  <si>
    <t>Proceeds from share issue</t>
  </si>
  <si>
    <t>11.3p</t>
  </si>
  <si>
    <t>Locations</t>
  </si>
  <si>
    <t>Scotland &amp; North east</t>
  </si>
  <si>
    <t>Northern Ireland</t>
  </si>
  <si>
    <t>North west</t>
  </si>
  <si>
    <t>Yorkshire</t>
  </si>
  <si>
    <t>East Midlands</t>
  </si>
  <si>
    <t>West Midlands</t>
  </si>
  <si>
    <t>East of england</t>
  </si>
  <si>
    <t>South West &amp; Wales</t>
  </si>
  <si>
    <t xml:space="preserve">South East </t>
  </si>
  <si>
    <t>London</t>
  </si>
  <si>
    <t xml:space="preserve">The Netherlands </t>
  </si>
  <si>
    <t>The Republic of Ireland</t>
  </si>
  <si>
    <t>Vet Practices</t>
  </si>
  <si>
    <t>Crematoria</t>
  </si>
  <si>
    <t>Labs</t>
  </si>
  <si>
    <t>Total</t>
  </si>
  <si>
    <t>Total 19</t>
  </si>
  <si>
    <t>Healthy Pet Subs</t>
  </si>
  <si>
    <t>Subs</t>
  </si>
  <si>
    <t>Like for Like Sales Performance</t>
  </si>
  <si>
    <t>Segments</t>
  </si>
  <si>
    <t>Veterinary Practices</t>
  </si>
  <si>
    <t>Laboratories</t>
  </si>
  <si>
    <t>Animed Direct</t>
  </si>
  <si>
    <t>HPC customers</t>
  </si>
  <si>
    <t xml:space="preserve">Lab Tests performed </t>
  </si>
  <si>
    <t>Cremations</t>
  </si>
  <si>
    <t>Unqiue Customers</t>
  </si>
  <si>
    <t>Richard Connel (Chairman)</t>
  </si>
  <si>
    <t>Simon Innes (CEO)</t>
  </si>
  <si>
    <t>Mike McCollum (NON-Exec)</t>
  </si>
  <si>
    <t>Deborah Kemp (Non-exec)</t>
  </si>
  <si>
    <t>David Harris (Comp Sec)</t>
  </si>
  <si>
    <t>Salary</t>
  </si>
  <si>
    <t>Benefits in</t>
  </si>
  <si>
    <t>Pension</t>
  </si>
  <si>
    <t>Performance bonus</t>
  </si>
  <si>
    <t>Value of LTIP</t>
  </si>
  <si>
    <t>Remuneration</t>
  </si>
  <si>
    <t>Richard Fairman (CFO) appointed 1 Aug 2018</t>
  </si>
  <si>
    <t>N Perrin (resigned 28 sep 2018)</t>
  </si>
  <si>
    <t>Major Shareholders</t>
  </si>
  <si>
    <t xml:space="preserve">Canaccord Genuity Group Inc </t>
  </si>
  <si>
    <t xml:space="preserve">JPMorgan Chase &amp; Co </t>
  </si>
  <si>
    <t xml:space="preserve">Octopus Investments Limited </t>
  </si>
  <si>
    <t xml:space="preserve">The Goldman Sachs Group Inc </t>
  </si>
  <si>
    <t xml:space="preserve">Connor, Clark &amp; Lunn </t>
  </si>
  <si>
    <t xml:space="preserve">Invesco </t>
  </si>
  <si>
    <t xml:space="preserve">Ameriprise Financial </t>
  </si>
  <si>
    <t xml:space="preserve">NN Group NV </t>
  </si>
  <si>
    <t>Slater Investment</t>
  </si>
  <si>
    <t xml:space="preserve">BlackRock Inc </t>
  </si>
  <si>
    <t># of shares</t>
  </si>
  <si>
    <t>total issued</t>
  </si>
  <si>
    <t>Like for Like sales performance</t>
  </si>
  <si>
    <t>Head Office:</t>
  </si>
  <si>
    <t>Bank Facilities &amp; Borrowings</t>
  </si>
  <si>
    <t xml:space="preserve"> </t>
  </si>
  <si>
    <t>Group</t>
  </si>
  <si>
    <t>Within one year or on demand</t>
  </si>
  <si>
    <t>Between one and two years</t>
  </si>
  <si>
    <t>Between two and three years</t>
  </si>
  <si>
    <t>Cash Flow Statement</t>
  </si>
  <si>
    <t>Employee Expenses</t>
  </si>
  <si>
    <t>Wages &amp; Salaries</t>
  </si>
  <si>
    <t>Social Security Costs</t>
  </si>
  <si>
    <t>Other pension Costs</t>
  </si>
  <si>
    <t>Share-based payments</t>
  </si>
  <si>
    <t>Veterinary surgeons &amp; pathologists</t>
  </si>
  <si>
    <t>Nurses, practice ancillaries and technicians</t>
  </si>
  <si>
    <t>Crematorium Staff</t>
  </si>
  <si>
    <t>Central Support</t>
  </si>
  <si>
    <t>Key Management Compensation</t>
  </si>
  <si>
    <t>Salaries &amp; other short-term employee benefits</t>
  </si>
  <si>
    <t>Post-employment benefits</t>
  </si>
  <si>
    <t xml:space="preserve"> Directors’ remuneration and key management compensation</t>
  </si>
  <si>
    <t>Salaries and other short-term employee benefits</t>
  </si>
  <si>
    <t>Company contributions to money purchase scheme</t>
  </si>
  <si>
    <t xml:space="preserve">Shares </t>
  </si>
  <si>
    <t xml:space="preserve">Weighted average number of Ordinary shares in issue </t>
  </si>
  <si>
    <t xml:space="preserve">djustment for contingently issuable shares – LTIPs </t>
  </si>
  <si>
    <t>Adjustment for contingently issuable shares – SAYE schemes</t>
  </si>
  <si>
    <t xml:space="preserve">Weighted average number of Ordinary shares for diluted earnings per share </t>
  </si>
  <si>
    <t>70,506,476 66</t>
  </si>
  <si>
    <t xml:space="preserve"> Expense by Nature</t>
  </si>
  <si>
    <t xml:space="preserve">Amortisation and impairment of intangible assets </t>
  </si>
  <si>
    <t xml:space="preserve">Depreciation of property, plant and equipment </t>
  </si>
  <si>
    <t xml:space="preserve">Employee benefit expenses </t>
  </si>
  <si>
    <t xml:space="preserve">Cost of inventories recognised as an expense (included in cost of sales) </t>
  </si>
  <si>
    <t xml:space="preserve">Repairs and maintenance expenditure on property, plant and equipment </t>
  </si>
  <si>
    <t xml:space="preserve">Trade receivables impairment charge </t>
  </si>
  <si>
    <t>Operating lease rentals payable</t>
  </si>
  <si>
    <t xml:space="preserve">Other expenses </t>
  </si>
  <si>
    <t>Total Expenses &amp; Admin Expenses</t>
  </si>
  <si>
    <t xml:space="preserve"> Finance Expense</t>
  </si>
  <si>
    <t>Interest expense, Bank Loans &amp; Overdraft</t>
  </si>
  <si>
    <t>Amortisation of debt arrangement fees</t>
  </si>
  <si>
    <t xml:space="preserve"> Share Award </t>
  </si>
  <si>
    <t xml:space="preserve"> Executive Share Award</t>
  </si>
  <si>
    <t>In 2018, The following was applied:</t>
  </si>
  <si>
    <t>Now:</t>
  </si>
  <si>
    <t>Adjusted EBITDA</t>
  </si>
  <si>
    <t xml:space="preserve">Operating profit as reported </t>
  </si>
  <si>
    <t xml:space="preserve">Adjustments for: </t>
  </si>
  <si>
    <t>Amortisation and depreciation</t>
  </si>
  <si>
    <t xml:space="preserve">Costs of business acquisitions </t>
  </si>
  <si>
    <t xml:space="preserve">Exceptional items </t>
  </si>
  <si>
    <t>Free Cash Flow (Company Calculation)</t>
  </si>
  <si>
    <t>Cash Generated From Operations</t>
  </si>
  <si>
    <t xml:space="preserve">Capex - Replacement </t>
  </si>
  <si>
    <t>Taxation Paid</t>
  </si>
  <si>
    <t>Interest Paid</t>
  </si>
  <si>
    <t>Capex - Development</t>
  </si>
  <si>
    <t>Acquisitions</t>
  </si>
  <si>
    <t>Proceeds from ordinary shares</t>
  </si>
  <si>
    <t>Dividends Paid</t>
  </si>
  <si>
    <t>Debt issuance costs amortisation</t>
  </si>
  <si>
    <t>Acquired Finance Leases</t>
  </si>
  <si>
    <t>(Increase)/Decrease in net debt</t>
  </si>
  <si>
    <t>Cash in Hand &amp; at Bank</t>
  </si>
  <si>
    <t>Net Debt</t>
  </si>
  <si>
    <t>CAPEX</t>
  </si>
  <si>
    <t>Maintenance Capex</t>
  </si>
  <si>
    <t>Investment Capex</t>
  </si>
  <si>
    <t>Total Capex</t>
  </si>
  <si>
    <t>PETS @ HOME</t>
  </si>
  <si>
    <t>Impairment losses on receivables</t>
  </si>
  <si>
    <t>Selling and distribution expenses</t>
  </si>
  <si>
    <t>Financial income</t>
  </si>
  <si>
    <t>Financial expense</t>
  </si>
  <si>
    <t>Profit before tax</t>
  </si>
  <si>
    <t>Taxation</t>
  </si>
  <si>
    <t>Equity holders of the parent - basic</t>
  </si>
  <si>
    <t>13.5p</t>
  </si>
  <si>
    <t>6.1p</t>
  </si>
  <si>
    <t>Equity holders of the parent- diluted</t>
  </si>
  <si>
    <t>13.2p</t>
  </si>
  <si>
    <t>6.0p</t>
  </si>
  <si>
    <t>Items that are or may be recycled subsequently into profit or loss:</t>
  </si>
  <si>
    <t>Foreign exchange translation differences</t>
  </si>
  <si>
    <t>Effective portion of changes in fair value of cash flow hedges</t>
  </si>
  <si>
    <t>Other comprehensive income for the period, before income tax</t>
  </si>
  <si>
    <t>Income tax on other comprehensive income</t>
  </si>
  <si>
    <t>Other comprehensive income for the period, net of income tax</t>
  </si>
  <si>
    <t>Total comprehensive income for the period</t>
  </si>
  <si>
    <t>Right-of-use assets</t>
  </si>
  <si>
    <t>Other non-current assets</t>
  </si>
  <si>
    <t>Other financial assets</t>
  </si>
  <si>
    <t>Lease liabilities</t>
  </si>
  <si>
    <t>Corporation tax</t>
  </si>
  <si>
    <t>Provisions</t>
  </si>
  <si>
    <t>Other financial liabilities</t>
  </si>
  <si>
    <t>Other interest-bearing loans and borrowings</t>
  </si>
  <si>
    <t>Other payables</t>
  </si>
  <si>
    <t>Deferred tax liabilities</t>
  </si>
  <si>
    <t>Equity attributable to equity holders of the parent</t>
  </si>
  <si>
    <t>Ordinary share capital</t>
  </si>
  <si>
    <t>Consolidation reserve</t>
  </si>
  <si>
    <t>Translation reserve</t>
  </si>
  <si>
    <t>Cash flow hedging reserve</t>
  </si>
  <si>
    <t>Total Current Assets</t>
  </si>
  <si>
    <t>Total Non-current Assets</t>
  </si>
  <si>
    <t>Total Current Liabilities</t>
  </si>
  <si>
    <t>Total Non-current Liabilities</t>
  </si>
  <si>
    <t>Adjustments for:</t>
  </si>
  <si>
    <t>Depreciation and amortisation</t>
  </si>
  <si>
    <t>Non-underlying impairment</t>
  </si>
  <si>
    <t>Settlement of 'put &amp; call' liabilities (growth element)</t>
  </si>
  <si>
    <t>Share based payment charges</t>
  </si>
  <si>
    <t>Decrease/(increase) in trade and other receivables</t>
  </si>
  <si>
    <t>Decrease/(increase) in inventories</t>
  </si>
  <si>
    <t>Increase in trade and other payables</t>
  </si>
  <si>
    <t>(Decrease)/increase in provisions</t>
  </si>
  <si>
    <t>(Decrease)/increase in working capital relating to non-underlying items</t>
  </si>
  <si>
    <t>Tax paid</t>
  </si>
  <si>
    <t>Net cash flow from operating activities</t>
  </si>
  <si>
    <t>Proceeds from the sale of property, plant and equipment</t>
  </si>
  <si>
    <t>Interest received</t>
  </si>
  <si>
    <t>Investment in other financial assets</t>
  </si>
  <si>
    <t>Loans issued</t>
  </si>
  <si>
    <t>Acquisition of subsidiaries, net of cash acquired (underlying)</t>
  </si>
  <si>
    <t>Acquisition of subsidiaries, net of cash acquired (non-underlying)</t>
  </si>
  <si>
    <t>Other costs associated with acquisition of subsidiaries (non-underlying)</t>
  </si>
  <si>
    <t>Repayment of borrowings owed by JV practices in advance of acquisition of subsidiaries (underlying)</t>
  </si>
  <si>
    <t>Repayment of borrowings owed by JV practices in advance of acquisition of subsidiaries (non-underlying)</t>
  </si>
  <si>
    <t>Acquisition of property, plant and equipment and other intangible assets</t>
  </si>
  <si>
    <t>Equity dividends paid</t>
  </si>
  <si>
    <t>Proceeds from new loan</t>
  </si>
  <si>
    <t>Repayment of borrowings</t>
  </si>
  <si>
    <t>Debt issue costs</t>
  </si>
  <si>
    <t>Capital lease payments</t>
  </si>
  <si>
    <t>                                 -</t>
  </si>
  <si>
    <t>Settlement of 'put and call' liabilities (minimum amount)</t>
  </si>
  <si>
    <t>Purchase of own shares</t>
  </si>
  <si>
    <t>Finance lease obligations</t>
  </si>
  <si>
    <t>Interest paid on lease obligations</t>
  </si>
  <si>
    <t>Net cash used in financing activities</t>
  </si>
  <si>
    <t>Net increase in cash and cash equivalents</t>
  </si>
  <si>
    <t>Cash and cash equivalents at beginning of period</t>
  </si>
  <si>
    <t>Retail</t>
  </si>
  <si>
    <t>Central</t>
  </si>
  <si>
    <t>Underlying operating profit/(loss)</t>
  </si>
  <si>
    <t>Depreciation of property, plant and equipment</t>
  </si>
  <si>
    <t>Depreciation of right-of-use assets</t>
  </si>
  <si>
    <t>Amortisation of intangible assets</t>
  </si>
  <si>
    <t>Underlying EBITDA</t>
  </si>
  <si>
    <t>Vet Group</t>
  </si>
  <si>
    <t>Retail - Food</t>
  </si>
  <si>
    <t>Retail - Accessories</t>
  </si>
  <si>
    <t>Retail - Services</t>
  </si>
  <si>
    <t>Vet Group - First Opinion fee income</t>
  </si>
  <si>
    <t>Vet Group - Company managed practices</t>
  </si>
  <si>
    <t>Vet Group - Other income</t>
  </si>
  <si>
    <t>Vet Group - Specialist</t>
  </si>
  <si>
    <t xml:space="preserve">Segment </t>
  </si>
  <si>
    <t>Expenses</t>
  </si>
  <si>
    <t>Non-underlying items</t>
  </si>
  <si>
    <t>Write off and provisions for operating loans, initial set-up loans, and trading balances with Joint Venture veterinary practices</t>
  </si>
  <si>
    <t>Other costs associated with the purchase of Joint Venture veterinary practices</t>
  </si>
  <si>
    <t>Impairment of right-of-use assets following acquisition of Joint Venture veterinary practices</t>
  </si>
  <si>
    <t>Impairment of property, plant &amp; equipment and intangible assets following acquisition of Joint Venture veterinary practices</t>
  </si>
  <si>
    <t>Increase in fair value of put and call liability</t>
  </si>
  <si>
    <t>Closure of Barkers stores</t>
  </si>
  <si>
    <t>Aborted property and acquisition costs</t>
  </si>
  <si>
    <t>Total non-underlying items</t>
  </si>
  <si>
    <t>Underlying items</t>
  </si>
  <si>
    <t>Depreciation of property plant and equipment</t>
  </si>
  <si>
    <t>Interest on lease liabilities</t>
  </si>
  <si>
    <t>Rentals under operating leases:</t>
  </si>
  <si>
    <t>Hire of plant and machinery</t>
  </si>
  <si>
    <t>Property</t>
  </si>
  <si>
    <t>Other income</t>
  </si>
  <si>
    <t>Employees</t>
  </si>
  <si>
    <t>Sales and distribution - FTE</t>
  </si>
  <si>
    <t>Administration - FTE</t>
  </si>
  <si>
    <t>Sales and distribution - total</t>
  </si>
  <si>
    <t>Administration - total</t>
  </si>
  <si>
    <t>Employee Cost</t>
  </si>
  <si>
    <t>Wages and salaries</t>
  </si>
  <si>
    <t>Social security costs</t>
  </si>
  <si>
    <t>Contributions to defined pension contribution plans</t>
  </si>
  <si>
    <t>Executive Directors' emoluments including social security costs</t>
  </si>
  <si>
    <t>Non-Executive Directors' emoluments including social security costs</t>
  </si>
  <si>
    <t>Executive Directors' amounts receivable under share options</t>
  </si>
  <si>
    <t>Executive Directors' pension contributions</t>
  </si>
  <si>
    <t>Total Directors' remuneration</t>
  </si>
  <si>
    <t>Executive Management Team emoluments including social security costs</t>
  </si>
  <si>
    <t>Executive Management Team amounts receivable under share options</t>
  </si>
  <si>
    <t>Executive Management Team pension contributions</t>
  </si>
  <si>
    <t>Total Executive Management Team remuneration</t>
  </si>
  <si>
    <t>Dilutive potential ordinary shares</t>
  </si>
  <si>
    <t>Diluted weighted average number of shares</t>
  </si>
  <si>
    <t>Shares</t>
  </si>
  <si>
    <t>Interest receivable on loans to Joint Venture veterinary practices</t>
  </si>
  <si>
    <t>Other interest receivable</t>
  </si>
  <si>
    <t>Total finance income</t>
  </si>
  <si>
    <t>Bank loans at effective interest rate</t>
  </si>
  <si>
    <t>Interest expense on lease liability</t>
  </si>
  <si>
    <t>Other interest expense</t>
  </si>
  <si>
    <t>Total finance expense</t>
  </si>
  <si>
    <t>Finance Income &amp; Expense</t>
  </si>
  <si>
    <t>Equipment</t>
  </si>
  <si>
    <t>Additions</t>
  </si>
  <si>
    <t>Depreciation charge for the period</t>
  </si>
  <si>
    <t>Impairment (non-underlying)</t>
  </si>
  <si>
    <t>Leases</t>
  </si>
  <si>
    <t>Less than one year</t>
  </si>
  <si>
    <t>Between one and five years</t>
  </si>
  <si>
    <t>More than 5 years</t>
  </si>
  <si>
    <t>Total undiscounted lease liabilities</t>
  </si>
  <si>
    <t>Carrying value of lease liabilities included in the statement of financial position</t>
  </si>
  <si>
    <t>Current</t>
  </si>
  <si>
    <t>Non-current</t>
  </si>
  <si>
    <t>Maturity Analysis - contractual undiscounted Cash Flows</t>
  </si>
  <si>
    <t>Finished goods</t>
  </si>
  <si>
    <t>Unsecured bank loans</t>
  </si>
  <si>
    <t>Within one year or repayable on demand</t>
  </si>
  <si>
    <t>Between two and five years</t>
  </si>
  <si>
    <t>Remuneration More Detail</t>
  </si>
  <si>
    <t>Food</t>
  </si>
  <si>
    <t>Grooming</t>
  </si>
  <si>
    <t>£2.5bn</t>
  </si>
  <si>
    <t>Cash flow hedges - reclassified to profit and loss</t>
  </si>
  <si>
    <t>Loss/(profit) on disposal of property, plant &amp; equipment</t>
  </si>
  <si>
    <t>Disposal of subsidiary, net of cash disposed</t>
  </si>
  <si>
    <t>Loans Repaid</t>
  </si>
  <si>
    <t>Decrease in IPO related trade and other payables (i)</t>
  </si>
  <si>
    <t>Loan repayment on acquisition</t>
  </si>
  <si>
    <t>Issue costs</t>
  </si>
  <si>
    <t>Tax Received</t>
  </si>
  <si>
    <t>6 months</t>
  </si>
  <si>
    <t>VIP customer sales</t>
  </si>
  <si>
    <t>Schroders plc</t>
  </si>
  <si>
    <t>Merian Global Investors (UK) Limited</t>
  </si>
  <si>
    <t xml:space="preserve">Blackrock Inc </t>
  </si>
  <si>
    <t xml:space="preserve">Nordea 1 SICAV </t>
  </si>
  <si>
    <t xml:space="preserve">Norges Bank </t>
  </si>
  <si>
    <t xml:space="preserve">Morgan Stanley </t>
  </si>
  <si>
    <t>Portland Hill Asset Management Ltd</t>
  </si>
  <si>
    <t xml:space="preserve"> Below 3% </t>
  </si>
  <si>
    <t>Base salary</t>
  </si>
  <si>
    <t xml:space="preserve">Benefits </t>
  </si>
  <si>
    <t xml:space="preserve">Pension </t>
  </si>
  <si>
    <t>Total fixed pay</t>
  </si>
  <si>
    <t xml:space="preserve">Bonus maximum </t>
  </si>
  <si>
    <t xml:space="preserve">Total variable pay </t>
  </si>
  <si>
    <t xml:space="preserve">Total </t>
  </si>
  <si>
    <t>Mike Iddon</t>
  </si>
  <si>
    <t xml:space="preserve">Dennis Millard </t>
  </si>
  <si>
    <t>Paul Moody</t>
  </si>
  <si>
    <t xml:space="preserve">Stanislas Laurent </t>
  </si>
  <si>
    <t xml:space="preserve">Sharon Flood </t>
  </si>
  <si>
    <t>Prof Susan Dawson</t>
  </si>
  <si>
    <t>Director Holdings</t>
  </si>
  <si>
    <t>Deferred tax assets</t>
  </si>
  <si>
    <t>Costs to acquire right-of-use assets</t>
  </si>
  <si>
    <t>Profit on disposal of subsidiary</t>
  </si>
  <si>
    <t>19.8p</t>
  </si>
  <si>
    <t>19.4p</t>
  </si>
  <si>
    <t>Disposal of subsidiaries, net of cash disposed (non-underlying)</t>
  </si>
  <si>
    <t>Loss/Profit on disposal of subsidiary</t>
  </si>
  <si>
    <t>24.7p</t>
  </si>
  <si>
    <t>27.3p</t>
  </si>
  <si>
    <t>24.5p</t>
  </si>
  <si>
    <t>27.1p</t>
  </si>
  <si>
    <t>Net movement on cash flow hedge</t>
  </si>
  <si>
    <t>Cost of hedging reserve</t>
  </si>
  <si>
    <t>Deferred tax on cash flow hedge and available-for-sale financial assets</t>
  </si>
  <si>
    <t>Comprehensive Income</t>
  </si>
  <si>
    <t>Current income tax receivable</t>
  </si>
  <si>
    <t>Lease Liabilities</t>
  </si>
  <si>
    <t>Treasury reserve</t>
  </si>
  <si>
    <t>Cash Flow Hedge</t>
  </si>
  <si>
    <t>Cost hedging reserve</t>
  </si>
  <si>
    <t>Total finance costs</t>
  </si>
  <si>
    <t>Amortisation</t>
  </si>
  <si>
    <t>Depreciation and impairment of property, plant and equipment and right-of-use assets</t>
  </si>
  <si>
    <t>Share option expense</t>
  </si>
  <si>
    <t>Increase in inventories</t>
  </si>
  <si>
    <t>(Decrease)/increase in trade and other payables</t>
  </si>
  <si>
    <t>Total cash flows from operating activities</t>
  </si>
  <si>
    <t>Business combinations (net of cash acquired)</t>
  </si>
  <si>
    <t>Purchase of other investments</t>
  </si>
  <si>
    <t>Repayment of obligation under right-of-use asset</t>
  </si>
  <si>
    <t>Proceeds from treasury shares</t>
  </si>
  <si>
    <t>8.1p</t>
  </si>
  <si>
    <t>Exceptional items1</t>
  </si>
  <si>
    <t>Increase of borrowings</t>
  </si>
  <si>
    <t>KPI</t>
  </si>
  <si>
    <t>Proportion of VIPs who shop across more than 1 channel</t>
  </si>
  <si>
    <t>Active VIP loyalty Club</t>
  </si>
  <si>
    <t>6.2m</t>
  </si>
  <si>
    <t>Of stores have a vet practice and grooming salon</t>
  </si>
  <si>
    <t>Products in our extended online range</t>
  </si>
  <si>
    <t>10,500+</t>
  </si>
  <si>
    <t>Remote consultations each year</t>
  </si>
  <si>
    <t>1,000,000+</t>
  </si>
  <si>
    <t>5.6m</t>
  </si>
  <si>
    <t>Annual spend by VIPs who shop across our ecosystem vs those who shop only in-store</t>
  </si>
  <si>
    <t>&gt;8x</t>
  </si>
  <si>
    <t>9,600+</t>
  </si>
  <si>
    <t>Specialist referral centres</t>
  </si>
  <si>
    <t>Joint Venture First Opinion practices</t>
  </si>
  <si>
    <t>£90m</t>
  </si>
  <si>
    <t>Annual customer revenue from subscriptions</t>
  </si>
  <si>
    <t>10,100+</t>
  </si>
  <si>
    <t>Cases treated by our specialists</t>
  </si>
  <si>
    <t>Acessories</t>
  </si>
  <si>
    <t>Vet</t>
  </si>
  <si>
    <t>£2.7bn</t>
  </si>
  <si>
    <t>£850m</t>
  </si>
  <si>
    <t>£252m</t>
  </si>
  <si>
    <t>% of store colleagues who own a pet</t>
  </si>
  <si>
    <t>90%+</t>
  </si>
  <si>
    <t>Financials</t>
  </si>
  <si>
    <t>Vet Group Revenue</t>
  </si>
  <si>
    <t>c. 23%</t>
  </si>
  <si>
    <t>£6.2bn</t>
  </si>
  <si>
    <t>£2.9bn</t>
  </si>
  <si>
    <t>£900m</t>
  </si>
  <si>
    <t>£300m?</t>
  </si>
  <si>
    <t>£2.1bn</t>
  </si>
  <si>
    <t>Year-on-Year growth in advanced nutrition food H2</t>
  </si>
  <si>
    <t>c. 4%</t>
  </si>
  <si>
    <t>$92.0m</t>
  </si>
  <si>
    <t>$68.2m</t>
  </si>
  <si>
    <t>$57.6m</t>
  </si>
  <si>
    <t xml:space="preserve">Pet Care centres </t>
  </si>
  <si>
    <t>Number of customer transactions</t>
  </si>
  <si>
    <t>Customer sales from services</t>
  </si>
  <si>
    <t>Locations offering a retail store, Groom Room salon and First Opinion vet practice all in one place</t>
  </si>
  <si>
    <t xml:space="preserve">Suppliers </t>
  </si>
  <si>
    <t>400+</t>
  </si>
  <si>
    <t>Total Revenue</t>
  </si>
  <si>
    <t>Total Gross Profit</t>
  </si>
  <si>
    <t>Operating Profit/Loss</t>
  </si>
  <si>
    <t>Segment operating profit</t>
  </si>
  <si>
    <t>Net financing expense</t>
  </si>
  <si>
    <t>Total Op Profit</t>
  </si>
  <si>
    <t>Central – Veterinary telehealth services</t>
  </si>
  <si>
    <t>Depreciation &amp; Amortisation</t>
  </si>
  <si>
    <t>Basic weighted average number of shares</t>
  </si>
  <si>
    <t>Dividend</t>
  </si>
  <si>
    <t>Declared and paid during the period</t>
  </si>
  <si>
    <t xml:space="preserve">Final dividend </t>
  </si>
  <si>
    <t>Interim Dividend</t>
  </si>
  <si>
    <t>Goodwill</t>
  </si>
  <si>
    <t>Consideration</t>
  </si>
  <si>
    <t>Less: Fair value of assets acquired</t>
  </si>
  <si>
    <t>Goodwill arising on acquisition</t>
  </si>
  <si>
    <t>Revolving credit facility (face value)</t>
  </si>
  <si>
    <t>Debt &amp; Net Debt</t>
  </si>
  <si>
    <t>Debt due within one year at face value</t>
  </si>
  <si>
    <t>Debt due after one year at face valuu</t>
  </si>
  <si>
    <t>Net debt</t>
  </si>
  <si>
    <t>Dilapidation provision</t>
  </si>
  <si>
    <t>BGN</t>
  </si>
  <si>
    <t>Provisions made during the period</t>
  </si>
  <si>
    <t>Provisions utilised during the period</t>
  </si>
  <si>
    <t>Provisions released during the period</t>
  </si>
  <si>
    <t>END</t>
  </si>
  <si>
    <t>Closed stores provision</t>
  </si>
  <si>
    <t>Provisions for exit and closure costs relating to Joint Venture veterinary practices</t>
  </si>
  <si>
    <t>RSP value at grant / LTIPs</t>
  </si>
  <si>
    <t>Grooming Salons</t>
  </si>
  <si>
    <t>First Opinion vet practices, located both in-store and in standalone locations</t>
  </si>
  <si>
    <t>Gross Margin</t>
  </si>
  <si>
    <t>Operating Margin</t>
  </si>
  <si>
    <t>Operating cashflow</t>
  </si>
  <si>
    <t>Group underlying free cashflow</t>
  </si>
  <si>
    <t>Operating lease rentals</t>
  </si>
  <si>
    <t>Depreciation &amp; amortisation</t>
  </si>
  <si>
    <t>Underlying operating profit</t>
  </si>
  <si>
    <t>Finance income</t>
  </si>
  <si>
    <t>Finance expense</t>
  </si>
  <si>
    <t>Underlying PBT</t>
  </si>
  <si>
    <t>Tax</t>
  </si>
  <si>
    <t>Interest</t>
  </si>
  <si>
    <t>Capex</t>
  </si>
  <si>
    <t>Pruchase of own shares</t>
  </si>
  <si>
    <t>Opening net cash/(debt) (pre-IFRS16)</t>
  </si>
  <si>
    <t>Underlying free cashflow</t>
  </si>
  <si>
    <t>Ordinary dividends paid</t>
  </si>
  <si>
    <t>Disposals</t>
  </si>
  <si>
    <t>Non-underlying cash outflow</t>
  </si>
  <si>
    <t>IFRS 16 &amp; Post IFRS 16</t>
  </si>
  <si>
    <t>Pre IFRS 16</t>
  </si>
  <si>
    <t>Post IFRS 16</t>
  </si>
  <si>
    <t>Add back rent</t>
  </si>
  <si>
    <t>Lease interest payments</t>
  </si>
  <si>
    <t>Costs to acquire ROU assets</t>
  </si>
  <si>
    <t>Change</t>
  </si>
  <si>
    <t>Pet care services (grooming salons, pet sales + pet insurance)</t>
  </si>
  <si>
    <t>Percentage of total retail</t>
  </si>
  <si>
    <t>Accessories (Pet homes and habitats, toys, collars, leads, clothing, other accessories, health, hygiene products + cat litter)</t>
  </si>
  <si>
    <t>Vet Group Stand Alone Locations</t>
  </si>
  <si>
    <t>First Opinion practices inside Pets at Home stores</t>
  </si>
  <si>
    <t xml:space="preserve">Growth in the global veterinary telehealth market </t>
  </si>
  <si>
    <t>Percentage of total retail revenue</t>
  </si>
  <si>
    <t>Total Stores</t>
  </si>
  <si>
    <t>new client registrations across our First Opinion veterinary practices</t>
  </si>
  <si>
    <t>Significant Shareholders</t>
  </si>
  <si>
    <t>Jupiter Fund Management Plc</t>
  </si>
  <si>
    <t>JPMorgan Asset Management Holdings Inc</t>
  </si>
  <si>
    <t>Dennis Millard</t>
  </si>
  <si>
    <t>Stanislas Laurent</t>
  </si>
  <si>
    <t>Sharon Flood</t>
  </si>
  <si>
    <t>Karen Whitworth</t>
  </si>
  <si>
    <t>Ian Burke (New Chairman)</t>
  </si>
  <si>
    <t>Tony DeNunzio (previous chairman from 2010 - 2020)</t>
  </si>
  <si>
    <t>Closing net cash/(debt)</t>
  </si>
  <si>
    <t>Market Share of UK pet Market</t>
  </si>
  <si>
    <t>Share of FO vet market</t>
  </si>
  <si>
    <t>Share of online pet market</t>
  </si>
  <si>
    <t>Grooming (CAGR)</t>
  </si>
  <si>
    <t>Omnichannel (CAGR)</t>
  </si>
  <si>
    <t>First Opinion Vets (CAGR)</t>
  </si>
  <si>
    <t>Stores (CAGR)</t>
  </si>
  <si>
    <t>Share of Pet Food</t>
  </si>
  <si>
    <t>c.19%</t>
  </si>
  <si>
    <t>Share of Accessories</t>
  </si>
  <si>
    <t>c.45%</t>
  </si>
  <si>
    <t>Average basket value Online?</t>
  </si>
  <si>
    <t>Customer Sales</t>
  </si>
  <si>
    <t>Online:</t>
  </si>
  <si>
    <t>Core online (collect in store + deliver to home)</t>
  </si>
  <si>
    <t>Subscriptions (easy repeat/Flea + worm)</t>
  </si>
  <si>
    <t>Order in Store (collect in store + deliver to home)</t>
  </si>
  <si>
    <t>c.70%</t>
  </si>
  <si>
    <t>c.20%</t>
  </si>
  <si>
    <t>c.5%</t>
  </si>
  <si>
    <t xml:space="preserve">Licenced medicine </t>
  </si>
  <si>
    <t>Proportion of advanced nutrition dry dog food online revenue on subscription</t>
  </si>
  <si>
    <t>Retention</t>
  </si>
  <si>
    <t xml:space="preserve">Vet Frequency </t>
  </si>
  <si>
    <t>VIPs signed up to a Pet Care Plan</t>
  </si>
  <si>
    <t>UK cats &amp; dogs signed up to Flea &amp; Wormsubscription</t>
  </si>
  <si>
    <t>Vet clients signed up to a Healthplan</t>
  </si>
  <si>
    <t>17% (1m out of 6.2m)</t>
  </si>
  <si>
    <t>c.1% (0.2m out of c.25m)</t>
  </si>
  <si>
    <t>35% (0.8m out of 2.3m)</t>
  </si>
  <si>
    <t>26% (1.6m out of 6.2m)</t>
  </si>
  <si>
    <t>3.7m</t>
  </si>
  <si>
    <t>Like-for-Like sales</t>
  </si>
  <si>
    <t>Fee income from JV vet practices</t>
  </si>
  <si>
    <t>Specialist Referral centres</t>
  </si>
  <si>
    <t>Company managed practices</t>
  </si>
  <si>
    <t>Other veterinary income</t>
  </si>
  <si>
    <t>Total Retail Revenue</t>
  </si>
  <si>
    <t>CROIC (Pets at Home Calc)</t>
  </si>
  <si>
    <t>Existing store estate</t>
  </si>
  <si>
    <t>Distribution</t>
  </si>
  <si>
    <t>New stores and groomers</t>
  </si>
  <si>
    <t>Other</t>
  </si>
  <si>
    <t>Return on investment figures</t>
  </si>
  <si>
    <t>Revenue from VIP customers</t>
  </si>
  <si>
    <t>Members of the VIP Puppy and Kitten Club</t>
  </si>
  <si>
    <t>c.34%</t>
  </si>
  <si>
    <t>c20%</t>
  </si>
  <si>
    <t>inventory written off to the income statement</t>
  </si>
  <si>
    <t>Rental income from related parties</t>
  </si>
  <si>
    <t>Expenses relating to short-term leases</t>
  </si>
  <si>
    <t># all shares</t>
  </si>
  <si>
    <t>Other financial assets and liabilities</t>
  </si>
  <si>
    <t>Investments in Joint Venture veterinary practices</t>
  </si>
  <si>
    <t>Loans to Joint Venture veterinary practices – initial set up loans</t>
  </si>
  <si>
    <t>Loans to Joint Venture veterinary practices – other loans</t>
  </si>
  <si>
    <t>Other investments</t>
  </si>
  <si>
    <t>Other receivables</t>
  </si>
  <si>
    <t>Interest rate swaps</t>
  </si>
  <si>
    <t>Gross loan value</t>
  </si>
  <si>
    <t>Net repayment and further advances</t>
  </si>
  <si>
    <t>Expected credit loss</t>
  </si>
  <si>
    <t>Carrying value of loan</t>
  </si>
  <si>
    <t>Commentary:</t>
  </si>
  <si>
    <t>Effective tax rate</t>
  </si>
  <si>
    <t>Tax charge on above</t>
  </si>
  <si>
    <t>Gross property, plant and equipment</t>
  </si>
  <si>
    <t>Gross right-of-use assets</t>
  </si>
  <si>
    <t>Intangibles</t>
  </si>
  <si>
    <t>Less KKR goodwill</t>
  </si>
  <si>
    <t>Net working capital</t>
  </si>
  <si>
    <t>GCI</t>
  </si>
  <si>
    <t>Cash Returns</t>
  </si>
  <si>
    <t>Depreciation on tangible fixed assets</t>
  </si>
  <si>
    <t>Property Rental Costs</t>
  </si>
  <si>
    <t>Capitalised op leases</t>
  </si>
  <si>
    <t>Profit on disposal of subsidiary (non-underlying item)</t>
  </si>
  <si>
    <t xml:space="preserve">Total Non-underlying items </t>
  </si>
  <si>
    <t>On Acquisition</t>
  </si>
  <si>
    <t>End</t>
  </si>
  <si>
    <t>Customer lists and ‘know how’</t>
  </si>
  <si>
    <t>Software</t>
  </si>
  <si>
    <t>Analysis of expected credit loss by risk category</t>
  </si>
  <si>
    <t>Low</t>
  </si>
  <si>
    <t>Medium</t>
  </si>
  <si>
    <t>High</t>
  </si>
  <si>
    <t>Gross carrying amount</t>
  </si>
  <si>
    <t>Loss allowance</t>
  </si>
  <si>
    <t>Net carrying amount</t>
  </si>
  <si>
    <t xml:space="preserve">Amounts owed by Joint Venture veterinary practices </t>
  </si>
  <si>
    <t>Loans Written Off</t>
  </si>
  <si>
    <t>Release of impairment recognised during the period</t>
  </si>
  <si>
    <t>UK population</t>
  </si>
  <si>
    <t>Average Life of Dog</t>
  </si>
  <si>
    <t>Managed by Pets at Home</t>
  </si>
  <si>
    <t>6.8m</t>
  </si>
  <si>
    <t>6.0m</t>
  </si>
  <si>
    <t>110m+</t>
  </si>
  <si>
    <t>Joint Venture veterinary practice transactions</t>
  </si>
  <si>
    <t>Transactions</t>
  </si>
  <si>
    <t>Fees for services provided to Joint Venture veterinary practices</t>
  </si>
  <si>
    <t>Rental and other occupancy charges to Joint Venture veterinary practices</t>
  </si>
  <si>
    <t>Total income from Joint Venture veterinary practices</t>
  </si>
  <si>
    <t xml:space="preserve">Consideration for Joint Venture veterinary practices acquired </t>
  </si>
  <si>
    <t>Balances</t>
  </si>
  <si>
    <t>Included within trade and other receivables (note 17):</t>
  </si>
  <si>
    <t>Funding for new practices</t>
  </si>
  <si>
    <t>Operating loans</t>
  </si>
  <si>
    <t>Gross value of operating loans</t>
  </si>
  <si>
    <t>Allowance for expected credit losses held for operating loans</t>
  </si>
  <si>
    <t>Net operating loans</t>
  </si>
  <si>
    <t>Included within other financial assets and liabilities (note 16):</t>
  </si>
  <si>
    <t>Gross value of initial set up loans</t>
  </si>
  <si>
    <t>Allowance for expected credit losses held for initial set up loans</t>
  </si>
  <si>
    <t>Net initial set up loans</t>
  </si>
  <si>
    <t>Loans to other related parties – other loans</t>
  </si>
  <si>
    <t>Gross value of other loans</t>
  </si>
  <si>
    <t>Allowance for expected credit losses held for other loans</t>
  </si>
  <si>
    <t>Net other loans</t>
  </si>
  <si>
    <t>Included within trade and other payables</t>
  </si>
  <si>
    <t>Trading balances</t>
  </si>
  <si>
    <t>Total amounts receivable from veterinary practices (before provisions)</t>
  </si>
  <si>
    <t>Investments in subsidiaries</t>
  </si>
  <si>
    <t>Company</t>
  </si>
  <si>
    <t>Net cash flow from operating activities (per cash flow statement)</t>
  </si>
  <si>
    <t>Settlement of put &amp; call liabilities (growth element)</t>
  </si>
  <si>
    <t>Pre-tax underlying operating cash flow</t>
  </si>
  <si>
    <t>Tax Paid</t>
  </si>
  <si>
    <t>Interest Received</t>
  </si>
  <si>
    <t>Acquisition of PPE &amp; Intangible Assets</t>
  </si>
  <si>
    <t xml:space="preserve">Proceeds from sale of PPE </t>
  </si>
  <si>
    <t>Proceeds from sale of PPE (non-underlying)</t>
  </si>
  <si>
    <t>Cost to acquire ROU assets</t>
  </si>
  <si>
    <t>Omnichannel Revenue</t>
  </si>
  <si>
    <t>Sales per Store</t>
  </si>
  <si>
    <t>Impairment gains on receivables</t>
  </si>
  <si>
    <t>Cost</t>
  </si>
  <si>
    <t xml:space="preserve">On acquisition </t>
  </si>
  <si>
    <t>£2.8bn</t>
  </si>
  <si>
    <t>£5.9bn</t>
  </si>
  <si>
    <t>Share of Grooming</t>
  </si>
  <si>
    <t>c.10%</t>
  </si>
  <si>
    <t>c.17%</t>
  </si>
  <si>
    <t>c.42%</t>
  </si>
  <si>
    <t>Flea subscription</t>
  </si>
  <si>
    <t>15kg bag of Wainwrights dry dog food</t>
  </si>
  <si>
    <t>Full groom for a large breed dog</t>
  </si>
  <si>
    <t>Popular accessories ranging from</t>
  </si>
  <si>
    <t>Vet practice consultation fees set locally by JVPs</t>
  </si>
  <si>
    <t>Specialist procedures in Referral hospitals often</t>
  </si>
  <si>
    <t>£4 per month</t>
  </si>
  <si>
    <t>c.£39</t>
  </si>
  <si>
    <t>£5-20</t>
  </si>
  <si>
    <t>£65+</t>
  </si>
  <si>
    <t>£2000+</t>
  </si>
  <si>
    <t>13 years</t>
  </si>
  <si>
    <t>Vets 10+ years</t>
  </si>
  <si>
    <t>Maturity of Vets</t>
  </si>
  <si>
    <t>Financials of mature vets</t>
  </si>
  <si>
    <t>£38-44</t>
  </si>
  <si>
    <t>PetsAtHome Own Brands</t>
  </si>
  <si>
    <t>WainWrights</t>
  </si>
  <si>
    <t xml:space="preserve">Proportion of Profit making vet practices </t>
  </si>
  <si>
    <t>35-90k+</t>
  </si>
  <si>
    <t>Cats</t>
  </si>
  <si>
    <t>Aquaria</t>
  </si>
  <si>
    <t>Other Macro Pet Analysis</t>
  </si>
  <si>
    <t>1-1.5m</t>
  </si>
  <si>
    <t>Net Book</t>
  </si>
  <si>
    <t>40 Winks</t>
  </si>
  <si>
    <t>3M</t>
  </si>
  <si>
    <t>4pets</t>
  </si>
  <si>
    <t>3 Peaks</t>
  </si>
  <si>
    <t>#</t>
  </si>
  <si>
    <t>Zylkene</t>
  </si>
  <si>
    <t>Zoo Med</t>
  </si>
  <si>
    <t>Zolux</t>
  </si>
  <si>
    <t>ZenPet</t>
  </si>
  <si>
    <t>Zee Dog</t>
  </si>
  <si>
    <t>Zee Cat</t>
  </si>
  <si>
    <t>Z</t>
  </si>
  <si>
    <t>YuMOVE</t>
  </si>
  <si>
    <t>YuDIGEST</t>
  </si>
  <si>
    <t>YuDerm</t>
  </si>
  <si>
    <t>YuCALM</t>
  </si>
  <si>
    <t>YAKERS</t>
  </si>
  <si>
    <t>Yeowww! Cat</t>
  </si>
  <si>
    <t>Y</t>
  </si>
  <si>
    <t>Xeno</t>
  </si>
  <si>
    <t>X</t>
  </si>
  <si>
    <t>World's Best</t>
  </si>
  <si>
    <t>Woof And Brew</t>
  </si>
  <si>
    <t>Woodlands</t>
  </si>
  <si>
    <t>Winalot</t>
  </si>
  <si>
    <t>Willow's</t>
  </si>
  <si>
    <t>Wildwash</t>
  </si>
  <si>
    <t>Wild Things</t>
  </si>
  <si>
    <t>Wildlife World</t>
  </si>
  <si>
    <t>Whiskas</t>
  </si>
  <si>
    <t>Whimzees</t>
  </si>
  <si>
    <t>Welpi</t>
  </si>
  <si>
    <t>Wellness</t>
  </si>
  <si>
    <t>Webbox</t>
  </si>
  <si>
    <t>Wainwright's Dog</t>
  </si>
  <si>
    <t>Wainwright's Cat</t>
  </si>
  <si>
    <t>Wahl</t>
  </si>
  <si>
    <t>Wagg</t>
  </si>
  <si>
    <t>Wag-A-Tude</t>
  </si>
  <si>
    <t>Wafcol</t>
  </si>
  <si>
    <t>W</t>
  </si>
  <si>
    <t>Vivitreats</t>
  </si>
  <si>
    <t>Vivexotic</t>
  </si>
  <si>
    <t>Vitapet</t>
  </si>
  <si>
    <t>Vitalin</t>
  </si>
  <si>
    <t>Vitakraft</t>
  </si>
  <si>
    <t>Vision</t>
  </si>
  <si>
    <t>Virbac</t>
  </si>
  <si>
    <t>Vetzyme</t>
  </si>
  <si>
    <t>Vet's Kitchen</t>
  </si>
  <si>
    <t>Vet's Best</t>
  </si>
  <si>
    <t>VETIQ</t>
  </si>
  <si>
    <t>Vetericyn</t>
  </si>
  <si>
    <t>Vetbed</t>
  </si>
  <si>
    <t>Vetark</t>
  </si>
  <si>
    <t>Vet Sect</t>
  </si>
  <si>
    <t>Verm-X</t>
  </si>
  <si>
    <t>Veloxa</t>
  </si>
  <si>
    <t>Vapet</t>
  </si>
  <si>
    <t>Vanish</t>
  </si>
  <si>
    <t>Vamoosh</t>
  </si>
  <si>
    <t>V</t>
  </si>
  <si>
    <t>Urinaid</t>
  </si>
  <si>
    <t>Uri Balance</t>
  </si>
  <si>
    <t>Urban Pup</t>
  </si>
  <si>
    <t>U</t>
  </si>
  <si>
    <t>Tweet Tweet</t>
  </si>
  <si>
    <t>Truline</t>
  </si>
  <si>
    <t>Tropix</t>
  </si>
  <si>
    <t>Tropiclean</t>
  </si>
  <si>
    <t>Tropica</t>
  </si>
  <si>
    <t>Trixie</t>
  </si>
  <si>
    <t>Trill</t>
  </si>
  <si>
    <t>Tramps</t>
  </si>
  <si>
    <t>Tractive</t>
  </si>
  <si>
    <t>Toplife</t>
  </si>
  <si>
    <t>Tiny Friends Farm</t>
  </si>
  <si>
    <t>Tidyz</t>
  </si>
  <si>
    <t>Thundershirt</t>
  </si>
  <si>
    <t>Thrive</t>
  </si>
  <si>
    <t>The Hutch Company</t>
  </si>
  <si>
    <t>Tetra</t>
  </si>
  <si>
    <t>Tastybone</t>
  </si>
  <si>
    <t>Taste of the Wild</t>
  </si>
  <si>
    <t>Tall Tails</t>
  </si>
  <si>
    <t>T</t>
  </si>
  <si>
    <t>Synoquin</t>
  </si>
  <si>
    <t>Sydeco</t>
  </si>
  <si>
    <t>Surosolve</t>
  </si>
  <si>
    <t>Sureflap</t>
  </si>
  <si>
    <t>Super Solvitax</t>
  </si>
  <si>
    <t>Super Bird</t>
  </si>
  <si>
    <t>Supa</t>
  </si>
  <si>
    <t>Suet To Go</t>
  </si>
  <si>
    <t>STV</t>
  </si>
  <si>
    <t>Strikeback</t>
  </si>
  <si>
    <t>Stride</t>
  </si>
  <si>
    <t>Step Up</t>
  </si>
  <si>
    <t>Staykil</t>
  </si>
  <si>
    <t>Starmark</t>
  </si>
  <si>
    <t>Spot</t>
  </si>
  <si>
    <t>SPORTSPET</t>
  </si>
  <si>
    <t>Spongebob</t>
  </si>
  <si>
    <t>Spikes</t>
  </si>
  <si>
    <t>Sophie Allport</t>
  </si>
  <si>
    <t>Sonotix</t>
  </si>
  <si>
    <t>Soopa</t>
  </si>
  <si>
    <t>So-Kleen</t>
  </si>
  <si>
    <t>Snugglesafe</t>
  </si>
  <si>
    <t>Smoofl</t>
  </si>
  <si>
    <t>Smartbones</t>
  </si>
  <si>
    <t>Small 'n' Furry</t>
  </si>
  <si>
    <t>Slurps</t>
  </si>
  <si>
    <t>Skout's Honor</t>
  </si>
  <si>
    <t>Skinner's</t>
  </si>
  <si>
    <t>Sivocat</t>
  </si>
  <si>
    <t>Simple Solution</t>
  </si>
  <si>
    <t>Silentnight</t>
  </si>
  <si>
    <t>Sheba</t>
  </si>
  <si>
    <t>Sharples</t>
  </si>
  <si>
    <t>Sesame Street</t>
  </si>
  <si>
    <t>Seriously Good</t>
  </si>
  <si>
    <t>Seresto</t>
  </si>
  <si>
    <t>Seraquin</t>
  </si>
  <si>
    <t>Selective</t>
  </si>
  <si>
    <t>Sea Monkeys</t>
  </si>
  <si>
    <t>Scrumbles</t>
  </si>
  <si>
    <t>Scruffs</t>
  </si>
  <si>
    <t>Science Selective</t>
  </si>
  <si>
    <t>Scandinavian Pet Design</t>
  </si>
  <si>
    <t>Scalibor Protectorband</t>
  </si>
  <si>
    <t>Savic</t>
  </si>
  <si>
    <t>Sanicat</t>
  </si>
  <si>
    <t>Samylin</t>
  </si>
  <si>
    <t>Safebed</t>
  </si>
  <si>
    <t>S</t>
  </si>
  <si>
    <t>Ruffwear</t>
  </si>
  <si>
    <t>Ruff 'N' Tumble</t>
  </si>
  <si>
    <t>Ruffer And Tuffer</t>
  </si>
  <si>
    <t>RSPB</t>
  </si>
  <si>
    <t>Royal Canin Veterinary</t>
  </si>
  <si>
    <t>Royal Canin</t>
  </si>
  <si>
    <t>Royal British Legion</t>
  </si>
  <si>
    <t>Rosewood</t>
  </si>
  <si>
    <t>Roadrunner</t>
  </si>
  <si>
    <t>Rest in Pets</t>
  </si>
  <si>
    <t>Resploot</t>
  </si>
  <si>
    <t>Reptology</t>
  </si>
  <si>
    <t>Repashy</t>
  </si>
  <si>
    <t>RelaxoPet</t>
  </si>
  <si>
    <t>Red Dingo</t>
  </si>
  <si>
    <t>Rayware</t>
  </si>
  <si>
    <t>Rainforest Cages</t>
  </si>
  <si>
    <t>RAC</t>
  </si>
  <si>
    <t>R</t>
  </si>
  <si>
    <t>Quiko</t>
  </si>
  <si>
    <t>Queezibics</t>
  </si>
  <si>
    <t>Q</t>
  </si>
  <si>
    <t>Purr and Miaow</t>
  </si>
  <si>
    <t>Purina One</t>
  </si>
  <si>
    <t>Purely</t>
  </si>
  <si>
    <t>Pure Pet Food</t>
  </si>
  <si>
    <t>Puppy Stim</t>
  </si>
  <si>
    <t>Protexin Veterinary</t>
  </si>
  <si>
    <t>PROREP</t>
  </si>
  <si>
    <t>Pronefra</t>
  </si>
  <si>
    <t>Promax</t>
  </si>
  <si>
    <t>ProDen</t>
  </si>
  <si>
    <t>PRO PLAN VET DIET</t>
  </si>
  <si>
    <t>PRO PLAN</t>
  </si>
  <si>
    <t>PRIMAX</t>
  </si>
  <si>
    <t>Pretty Bird</t>
  </si>
  <si>
    <t>Precision</t>
  </si>
  <si>
    <t>Pooch And Mutt</t>
  </si>
  <si>
    <t>Pond Choice</t>
  </si>
  <si>
    <t>Play'N'Squeak</t>
  </si>
  <si>
    <t>Platinum Plus</t>
  </si>
  <si>
    <t>Plaqueoff</t>
  </si>
  <si>
    <t>Planet Dog</t>
  </si>
  <si>
    <t>Pickle's</t>
  </si>
  <si>
    <t>Pettex</t>
  </si>
  <si>
    <t>Petstages</t>
  </si>
  <si>
    <t>Petsafe</t>
  </si>
  <si>
    <t>Pets Parcel</t>
  </si>
  <si>
    <t>Pet's Menu</t>
  </si>
  <si>
    <t>Pets At Home Foundation</t>
  </si>
  <si>
    <t>Pets At Home</t>
  </si>
  <si>
    <t>Petrageous Designs</t>
  </si>
  <si>
    <t>Petpat</t>
  </si>
  <si>
    <t>Petmate</t>
  </si>
  <si>
    <t>Petlife</t>
  </si>
  <si>
    <t>Petkin</t>
  </si>
  <si>
    <t>PetAg</t>
  </si>
  <si>
    <t>Pet Teezer</t>
  </si>
  <si>
    <t>Pet Remedy</t>
  </si>
  <si>
    <t>Pet Rebellion</t>
  </si>
  <si>
    <t>Pet Qwerks</t>
  </si>
  <si>
    <t>Pet Mate</t>
  </si>
  <si>
    <t>Pet Kit</t>
  </si>
  <si>
    <t>Pet Head</t>
  </si>
  <si>
    <t>Pet Gear</t>
  </si>
  <si>
    <t>Pet Dent</t>
  </si>
  <si>
    <t>Pet Brands</t>
  </si>
  <si>
    <t>Pet Book Publishing</t>
  </si>
  <si>
    <t>Pero</t>
  </si>
  <si>
    <t>Perfect Fit</t>
  </si>
  <si>
    <t>Percuro</t>
  </si>
  <si>
    <t>Pepper's</t>
  </si>
  <si>
    <t>Peppa Pig</t>
  </si>
  <si>
    <t>Penn Plax</t>
  </si>
  <si>
    <t>Pedigree</t>
  </si>
  <si>
    <t>Peckish</t>
  </si>
  <si>
    <t>Pawise</t>
  </si>
  <si>
    <t>Paw Patrol</t>
  </si>
  <si>
    <t>Paw Buddy</t>
  </si>
  <si>
    <t>Party Dog</t>
  </si>
  <si>
    <t>Panzym</t>
  </si>
  <si>
    <t>Panacur</t>
  </si>
  <si>
    <t>Pampuss</t>
  </si>
  <si>
    <t>Pack'n'Pride</t>
  </si>
  <si>
    <t>P</t>
  </si>
  <si>
    <t>Oxbow</t>
  </si>
  <si>
    <t>Outward Hound</t>
  </si>
  <si>
    <t>OurPets</t>
  </si>
  <si>
    <t>O'Tom</t>
  </si>
  <si>
    <t>Otodex</t>
  </si>
  <si>
    <t>Organic Poultry Feeds</t>
  </si>
  <si>
    <t>Optixcare</t>
  </si>
  <si>
    <t>On Defence</t>
  </si>
  <si>
    <t>Oggi's Oven</t>
  </si>
  <si>
    <t>O</t>
  </si>
  <si>
    <t>Nylabone</t>
  </si>
  <si>
    <t>NoMow</t>
  </si>
  <si>
    <t>No Scratch</t>
  </si>
  <si>
    <t>Nite Ize</t>
  </si>
  <si>
    <t>Nina Ottosson</t>
  </si>
  <si>
    <t>Naturo</t>
  </si>
  <si>
    <t>Natures Variety</t>
  </si>
  <si>
    <t>Nature's Touch</t>
  </si>
  <si>
    <t>Natures Menu</t>
  </si>
  <si>
    <t>Nature's Harvest</t>
  </si>
  <si>
    <t>Nature's Calling</t>
  </si>
  <si>
    <t>Naturediet</t>
  </si>
  <si>
    <t>Nature First</t>
  </si>
  <si>
    <t>Naturals</t>
  </si>
  <si>
    <t>Natural Vetcare</t>
  </si>
  <si>
    <t>Natura Nourish</t>
  </si>
  <si>
    <t>N</t>
  </si>
  <si>
    <t>My Living World</t>
  </si>
  <si>
    <t>My Favourites</t>
  </si>
  <si>
    <t>Mr Rope</t>
  </si>
  <si>
    <t>Monkfield</t>
  </si>
  <si>
    <t>Moderna</t>
  </si>
  <si>
    <t>Misfits</t>
  </si>
  <si>
    <t>Ministry of Pet</t>
  </si>
  <si>
    <t>Mikki</t>
  </si>
  <si>
    <t>Midwest Homes for Pets</t>
  </si>
  <si>
    <t>MicrocynAH</t>
  </si>
  <si>
    <t>Microclimate</t>
  </si>
  <si>
    <t>Meowing Heads</t>
  </si>
  <si>
    <t>MeatyWay</t>
  </si>
  <si>
    <t>Meatiful</t>
  </si>
  <si>
    <t>MDC</t>
  </si>
  <si>
    <t>Mason Cash</t>
  </si>
  <si>
    <t>Marriages</t>
  </si>
  <si>
    <t>Marina</t>
  </si>
  <si>
    <t>Malacetic</t>
  </si>
  <si>
    <t>Magnet And Steel</t>
  </si>
  <si>
    <t>M</t>
  </si>
  <si>
    <t>Lypex</t>
  </si>
  <si>
    <t>Lucky Reptile</t>
  </si>
  <si>
    <t>Lubrithal</t>
  </si>
  <si>
    <t>Love Fish</t>
  </si>
  <si>
    <t>Logic</t>
  </si>
  <si>
    <t>Living World</t>
  </si>
  <si>
    <t>Little Rascals</t>
  </si>
  <si>
    <t>Little BigPaw</t>
  </si>
  <si>
    <t>Litter Kwitter</t>
  </si>
  <si>
    <t>Lintbells</t>
  </si>
  <si>
    <t>Lily's Kitchen</t>
  </si>
  <si>
    <t>Lickimat</t>
  </si>
  <si>
    <t>Leucillin</t>
  </si>
  <si>
    <t>Laughing Dog</t>
  </si>
  <si>
    <t>Lafeber</t>
  </si>
  <si>
    <t>L</t>
  </si>
  <si>
    <t>Kurgo</t>
  </si>
  <si>
    <t>KONG</t>
  </si>
  <si>
    <t>Komodo</t>
  </si>
  <si>
    <t>Kiwi Walker</t>
  </si>
  <si>
    <t>Kitty Friend</t>
  </si>
  <si>
    <t>Kittyrama</t>
  </si>
  <si>
    <t>King British</t>
  </si>
  <si>
    <t>Keep It Simple</t>
  </si>
  <si>
    <t>Kaytee</t>
  </si>
  <si>
    <t>Katalax</t>
  </si>
  <si>
    <t>Kaminox</t>
  </si>
  <si>
    <t>Kalmaid</t>
  </si>
  <si>
    <t>K and H Bedding</t>
  </si>
  <si>
    <t>Kagesan</t>
  </si>
  <si>
    <t>K-9 Pursuits</t>
  </si>
  <si>
    <t>K</t>
  </si>
  <si>
    <t>JW Pet</t>
  </si>
  <si>
    <t>Just for Puppy</t>
  </si>
  <si>
    <t>Just the Job</t>
  </si>
  <si>
    <t>Julius-K9</t>
  </si>
  <si>
    <t>JR Pure</t>
  </si>
  <si>
    <t>JR Pet Products</t>
  </si>
  <si>
    <t>Joules</t>
  </si>
  <si>
    <t>Jolly Moggy</t>
  </si>
  <si>
    <t>Johnsons</t>
  </si>
  <si>
    <t>Java Wood</t>
  </si>
  <si>
    <t>Java Jungle</t>
  </si>
  <si>
    <t>James Wellbeloved</t>
  </si>
  <si>
    <t>Jackson Galaxy</t>
  </si>
  <si>
    <t>J</t>
  </si>
  <si>
    <t>Interpet</t>
  </si>
  <si>
    <t>Innocent Hound</t>
  </si>
  <si>
    <t>Innocent Cat</t>
  </si>
  <si>
    <t>IFetch</t>
  </si>
  <si>
    <t>Iams</t>
  </si>
  <si>
    <t>I</t>
  </si>
  <si>
    <t>Hyperdrug</t>
  </si>
  <si>
    <t>Hutch Company</t>
  </si>
  <si>
    <t>Hurtta</t>
  </si>
  <si>
    <t>HUNTER</t>
  </si>
  <si>
    <t>HOWND</t>
  </si>
  <si>
    <t>House of Paws</t>
  </si>
  <si>
    <t>Hollings</t>
  </si>
  <si>
    <t>Hi-Travel</t>
  </si>
  <si>
    <t>Hill's Science Plan</t>
  </si>
  <si>
    <t>Hill's Prescription Diet</t>
  </si>
  <si>
    <t>Hilife</t>
  </si>
  <si>
    <t>Hikari</t>
  </si>
  <si>
    <t>Hide and Seek</t>
  </si>
  <si>
    <t>Hibiscrub</t>
  </si>
  <si>
    <t>Hepatosyl</t>
  </si>
  <si>
    <t>Haypigs</t>
  </si>
  <si>
    <t>Hatchwells</t>
  </si>
  <si>
    <t>Harvest</t>
  </si>
  <si>
    <t>Harrison's Bird Foods</t>
  </si>
  <si>
    <t>Harringtons</t>
  </si>
  <si>
    <t>Happy Pet</t>
  </si>
  <si>
    <t>Happy Little Bird</t>
  </si>
  <si>
    <t>Happy Beaks</t>
  </si>
  <si>
    <t>HandiScoop</t>
  </si>
  <si>
    <t>Handibags</t>
  </si>
  <si>
    <t>Halti</t>
  </si>
  <si>
    <t>Habistat</t>
  </si>
  <si>
    <t>H</t>
  </si>
  <si>
    <t>GWF Nutrition</t>
  </si>
  <si>
    <t>Groomers</t>
  </si>
  <si>
    <t>Groom Room</t>
  </si>
  <si>
    <t>Groom Professional</t>
  </si>
  <si>
    <t>Greenies</t>
  </si>
  <si>
    <t>Green and Wild's</t>
  </si>
  <si>
    <t>Green Pantry</t>
  </si>
  <si>
    <t>Grannick's</t>
  </si>
  <si>
    <t>Gourmet</t>
  </si>
  <si>
    <t>Good Girl</t>
  </si>
  <si>
    <t>Good Boy</t>
  </si>
  <si>
    <t>Go Cat Feather Toys</t>
  </si>
  <si>
    <t>Go Cat</t>
  </si>
  <si>
    <t>Glo</t>
  </si>
  <si>
    <t>GF Pet</t>
  </si>
  <si>
    <t>Gen7</t>
  </si>
  <si>
    <t>Gelert Country Choice</t>
  </si>
  <si>
    <t>G</t>
  </si>
  <si>
    <t>Furminator</t>
  </si>
  <si>
    <t>Fruit Cups</t>
  </si>
  <si>
    <t>Frontline Plus</t>
  </si>
  <si>
    <t>Frontline</t>
  </si>
  <si>
    <t>Friendly Dog Collars</t>
  </si>
  <si>
    <t>Friendly</t>
  </si>
  <si>
    <t>Four Paws</t>
  </si>
  <si>
    <t>Forthglade</t>
  </si>
  <si>
    <t>Formula H</t>
  </si>
  <si>
    <t>Fluval</t>
  </si>
  <si>
    <t>Flutter Butter</t>
  </si>
  <si>
    <t>Flexi</t>
  </si>
  <si>
    <t>Flexadin</t>
  </si>
  <si>
    <t>Flecta Vizlite</t>
  </si>
  <si>
    <t>Fishmonger's Finest</t>
  </si>
  <si>
    <t>Fish4Dogs</t>
  </si>
  <si>
    <t>Fish 4 Life</t>
  </si>
  <si>
    <t>Findables</t>
  </si>
  <si>
    <t>Filtabac</t>
  </si>
  <si>
    <t>Ferplast</t>
  </si>
  <si>
    <t>Felix</t>
  </si>
  <si>
    <t>Feliway</t>
  </si>
  <si>
    <t>Felisept</t>
  </si>
  <si>
    <t>Felight</t>
  </si>
  <si>
    <t>Feelwells</t>
  </si>
  <si>
    <t>Febreze</t>
  </si>
  <si>
    <t>Featherland Paradise</t>
  </si>
  <si>
    <t>FatFace</t>
  </si>
  <si>
    <t>F Duerr and Sons Ltd</t>
  </si>
  <si>
    <t>F</t>
  </si>
  <si>
    <t>EZVIZ</t>
  </si>
  <si>
    <t>Ezydog</t>
  </si>
  <si>
    <t>Exo Terra</t>
  </si>
  <si>
    <t>ExmaRid</t>
  </si>
  <si>
    <t>Evolution Aqua</t>
  </si>
  <si>
    <t>Eukanuba Vet Diet</t>
  </si>
  <si>
    <t>Eukanuba</t>
  </si>
  <si>
    <t>Enzymatic</t>
  </si>
  <si>
    <t>Encore</t>
  </si>
  <si>
    <t>Elite</t>
  </si>
  <si>
    <t>Edgard &amp; Cooper</t>
  </si>
  <si>
    <t>Eden</t>
  </si>
  <si>
    <t>EcoGrain</t>
  </si>
  <si>
    <t>Easidri</t>
  </si>
  <si>
    <t>Easeflex</t>
  </si>
  <si>
    <t>Earthbound</t>
  </si>
  <si>
    <t>E</t>
  </si>
  <si>
    <t>Drontal</t>
  </si>
  <si>
    <t>Dronspot</t>
  </si>
  <si>
    <t>Droncit</t>
  </si>
  <si>
    <t>Dreamies</t>
  </si>
  <si>
    <t>Dr John</t>
  </si>
  <si>
    <t>Dorwest Herbs ltd</t>
  </si>
  <si>
    <t>Douxo</t>
  </si>
  <si>
    <t>Dogit</t>
  </si>
  <si>
    <t>Dog Walk</t>
  </si>
  <si>
    <t>Dog Rocks</t>
  </si>
  <si>
    <t>Dog Life</t>
  </si>
  <si>
    <t>Dog Games</t>
  </si>
  <si>
    <t>Dog Expert</t>
  </si>
  <si>
    <t>Dodson And Horrell</t>
  </si>
  <si>
    <t>Doc and Phoebe</t>
  </si>
  <si>
    <t>DK</t>
  </si>
  <si>
    <t>Disney</t>
  </si>
  <si>
    <t>Dermallay</t>
  </si>
  <si>
    <t>Dentifresh</t>
  </si>
  <si>
    <t>Dentalife</t>
  </si>
  <si>
    <t>Dentagen</t>
  </si>
  <si>
    <t>Denes Natural Pet Care</t>
  </si>
  <si>
    <t>Denamarin</t>
  </si>
  <si>
    <t>DeltaTherm</t>
  </si>
  <si>
    <t>Deli</t>
  </si>
  <si>
    <t>Defenders</t>
  </si>
  <si>
    <t>Davies</t>
  </si>
  <si>
    <t>Danish Design</t>
  </si>
  <si>
    <t>D</t>
  </si>
  <si>
    <t>Cystaid</t>
  </si>
  <si>
    <t>Cunipic</t>
  </si>
  <si>
    <t>Crave</t>
  </si>
  <si>
    <t>Cranimals</t>
  </si>
  <si>
    <t>Country Pursuit</t>
  </si>
  <si>
    <t>Cosmic</t>
  </si>
  <si>
    <t>Cosequin</t>
  </si>
  <si>
    <t>Cool Club</t>
  </si>
  <si>
    <t>Company Of Animals</t>
  </si>
  <si>
    <t>Coatex</t>
  </si>
  <si>
    <t>CleanAural</t>
  </si>
  <si>
    <t>Clean Paws</t>
  </si>
  <si>
    <t>Clean'n'Tidy</t>
  </si>
  <si>
    <t>Classic</t>
  </si>
  <si>
    <t>Cimicat</t>
  </si>
  <si>
    <t>Ciano</t>
  </si>
  <si>
    <t>Chudleys</t>
  </si>
  <si>
    <t>Chappie</t>
  </si>
  <si>
    <t>CET</t>
  </si>
  <si>
    <t>Cesar</t>
  </si>
  <si>
    <t>Catsan</t>
  </si>
  <si>
    <t>Cat's Best</t>
  </si>
  <si>
    <t>Catit</t>
  </si>
  <si>
    <t>Cat Mate</t>
  </si>
  <si>
    <t>Cat Malt</t>
  </si>
  <si>
    <t>Carefresh</t>
  </si>
  <si>
    <t>Capstar</t>
  </si>
  <si>
    <t>Canovel</t>
  </si>
  <si>
    <t>Canophera</t>
  </si>
  <si>
    <t>Canikur</t>
  </si>
  <si>
    <t>Canada Pooch</t>
  </si>
  <si>
    <t>Canac</t>
  </si>
  <si>
    <t>C</t>
  </si>
  <si>
    <t>Butcher's</t>
  </si>
  <si>
    <t>Burns</t>
  </si>
  <si>
    <t>Burgess Excel</t>
  </si>
  <si>
    <t>Buffalo</t>
  </si>
  <si>
    <t>Bucktons</t>
  </si>
  <si>
    <t>Breeder Celect</t>
  </si>
  <si>
    <t>Bow Wow</t>
  </si>
  <si>
    <t>Boredom Breaker</t>
  </si>
  <si>
    <t>Bonio</t>
  </si>
  <si>
    <t>Bob Martin</t>
  </si>
  <si>
    <t>Blink!</t>
  </si>
  <si>
    <t>Blagdon</t>
  </si>
  <si>
    <t>Biospotix</t>
  </si>
  <si>
    <t>BiOrb</t>
  </si>
  <si>
    <t>BIOGANCE</t>
  </si>
  <si>
    <t>Bio-catolet</t>
  </si>
  <si>
    <t>Billy + Margot</t>
  </si>
  <si>
    <t>Beyond</t>
  </si>
  <si>
    <t>BETA</t>
  </si>
  <si>
    <t>Best Of Breed</t>
  </si>
  <si>
    <t>Berties</t>
  </si>
  <si>
    <t>Beloved</t>
  </si>
  <si>
    <t>Bella Bowls</t>
  </si>
  <si>
    <t>Beco</t>
  </si>
  <si>
    <t>Becks Bird Barn</t>
  </si>
  <si>
    <t>Bec</t>
  </si>
  <si>
    <t>Beaphar</t>
  </si>
  <si>
    <t>Beaks</t>
  </si>
  <si>
    <t>Battles</t>
  </si>
  <si>
    <t>Baskerville</t>
  </si>
  <si>
    <t>Barking Heads</t>
  </si>
  <si>
    <t>Barking Bakery</t>
  </si>
  <si>
    <t>Barbour</t>
  </si>
  <si>
    <t>Bakers</t>
  </si>
  <si>
    <t>Back 2 Nature</t>
  </si>
  <si>
    <t>Baby Bea</t>
  </si>
  <si>
    <t>B and D</t>
  </si>
  <si>
    <t>B</t>
  </si>
  <si>
    <t>AVA</t>
  </si>
  <si>
    <t>Autarky</t>
  </si>
  <si>
    <t>Arthri Aid</t>
  </si>
  <si>
    <t>Arm And Hammer</t>
  </si>
  <si>
    <t>Arkwrights</t>
  </si>
  <si>
    <t>Arden Grange</t>
  </si>
  <si>
    <t>Arcadia</t>
  </si>
  <si>
    <t>Aquarian</t>
  </si>
  <si>
    <t>Aquapaw</t>
  </si>
  <si>
    <t>Aqua Town</t>
  </si>
  <si>
    <t>Aqua One</t>
  </si>
  <si>
    <t>Applaws</t>
  </si>
  <si>
    <t>API</t>
  </si>
  <si>
    <t>Antos</t>
  </si>
  <si>
    <t>Animology</t>
  </si>
  <si>
    <t>Ancol</t>
  </si>
  <si>
    <t>All Good Things</t>
  </si>
  <si>
    <t>All for Paws</t>
  </si>
  <si>
    <t>Alfalfa King</t>
  </si>
  <si>
    <t>Aktivait</t>
  </si>
  <si>
    <t>Agriselect</t>
  </si>
  <si>
    <t>Adventuros</t>
  </si>
  <si>
    <t>Advantage</t>
  </si>
  <si>
    <t>Adios</t>
  </si>
  <si>
    <t>Adaptil</t>
  </si>
  <si>
    <t>AATU</t>
  </si>
  <si>
    <t>A</t>
  </si>
  <si>
    <t>Brands</t>
  </si>
  <si>
    <t>Rental income from sub-leasing right-of-use assets to third parties</t>
  </si>
  <si>
    <t>390+</t>
  </si>
  <si>
    <t>4.4m</t>
  </si>
  <si>
    <t>4.5m</t>
  </si>
  <si>
    <t>£2.146bn</t>
  </si>
  <si>
    <t>£834m</t>
  </si>
  <si>
    <t>£232m</t>
  </si>
  <si>
    <t>Insurance</t>
  </si>
  <si>
    <t>Advanced Nutrition</t>
  </si>
  <si>
    <t>c.16%</t>
  </si>
  <si>
    <t>c.14%</t>
  </si>
  <si>
    <t>c.15%</t>
  </si>
  <si>
    <t>c.39%</t>
  </si>
  <si>
    <t>c.11%</t>
  </si>
  <si>
    <t>c.7.3%</t>
  </si>
  <si>
    <t>c.36%</t>
  </si>
  <si>
    <t>Brands (counted on website)</t>
  </si>
  <si>
    <t>Members of the clubs typically spend vs non-members</t>
  </si>
  <si>
    <t>Penentration of private label of food revenue</t>
  </si>
  <si>
    <t>Average trade creditors of the Group’s operations</t>
  </si>
  <si>
    <t>50 days</t>
  </si>
  <si>
    <t>49 days</t>
  </si>
  <si>
    <t>48 days</t>
  </si>
  <si>
    <t>47 days</t>
  </si>
  <si>
    <t>Mike Iddon (CFO)</t>
  </si>
  <si>
    <t>Peter Pritchard (CEO) / Ian Kellet (Old CEO)</t>
  </si>
  <si>
    <t>Tessa Green</t>
  </si>
  <si>
    <t>~303</t>
  </si>
  <si>
    <t>~139</t>
  </si>
  <si>
    <t>200k</t>
  </si>
  <si>
    <t>Number of subscription customers (pet care plan &gt; insurance)</t>
  </si>
  <si>
    <t>Vets between 7-9 years</t>
  </si>
  <si>
    <t>Vets between 5-6 years</t>
  </si>
  <si>
    <t>Vets between 3-4 years</t>
  </si>
  <si>
    <t>Vets between 1-2 years</t>
  </si>
  <si>
    <t>Vets between 0-1 years</t>
  </si>
  <si>
    <t>Store customer</t>
  </si>
  <si>
    <t>Omnichannel customer (store + online)</t>
  </si>
  <si>
    <t>Omnichannel + vet customer</t>
  </si>
  <si>
    <t>Omnichannel + vet + grooming customer</t>
  </si>
  <si>
    <t>Spend + frequency</t>
  </si>
  <si>
    <t>~£100-125 (6x a year)</t>
  </si>
  <si>
    <t>~£200-300 (12x)</t>
  </si>
  <si>
    <t>~£200-600 (24x)</t>
  </si>
  <si>
    <t>~£400-1,000 (&gt;35x)</t>
  </si>
  <si>
    <t>Types of customers (figures obtained from investor 2021 + 2018 investor presentations)</t>
  </si>
  <si>
    <t>Previous year cost</t>
  </si>
  <si>
    <t>PP&amp;E</t>
  </si>
  <si>
    <t>Freehold property</t>
  </si>
  <si>
    <t>On acquisition</t>
  </si>
  <si>
    <t>Total Cost</t>
  </si>
  <si>
    <t>Depreciation charge</t>
  </si>
  <si>
    <t>Leasehold improvements</t>
  </si>
  <si>
    <t>Fixtures, fittings, tools and equipment</t>
  </si>
  <si>
    <t>Impairment</t>
  </si>
  <si>
    <t>Balance</t>
  </si>
  <si>
    <t>Total Charge</t>
  </si>
  <si>
    <t>Impairment (underlying)</t>
  </si>
  <si>
    <t>Current Amortisation</t>
  </si>
  <si>
    <t xml:space="preserve">Amortisation Charge </t>
  </si>
  <si>
    <t>Working Capital (include provisions)</t>
  </si>
  <si>
    <t>Fee (15-17%)</t>
  </si>
  <si>
    <t>Revenue (mature vet &gt; 10yr+)</t>
  </si>
  <si>
    <t>Loans (small business loan from commercial bank)</t>
  </si>
  <si>
    <t>JV Partner (Personal Loan)</t>
  </si>
  <si>
    <t>30-60k</t>
  </si>
  <si>
    <t>JVP has 100% entitlement to dividends when debts repaid &amp; capital proceeds at exit. Also no Equity stake at Pets@Home</t>
  </si>
  <si>
    <t>Loan provided by Pets@Home (Set up loan + additional Loan)</t>
  </si>
  <si>
    <t>Salary (take salary from year 1)</t>
  </si>
  <si>
    <t>FCF conversion (FCF/EBITDA)</t>
  </si>
  <si>
    <t>Pre IFRS 16 (OTHER SIDE IS POST)</t>
  </si>
  <si>
    <t>IFRS 16 Adj</t>
  </si>
  <si>
    <t>Impairment testing</t>
  </si>
  <si>
    <t>Trade receivables</t>
  </si>
  <si>
    <t>Amounts owed by Joint Venture veterinary practices - funding for new practices</t>
  </si>
  <si>
    <t>Amounts owed by Joint Venture veterinary practices - operating loans</t>
  </si>
  <si>
    <t>Amounts owed by Group undertakings</t>
  </si>
  <si>
    <t>Prepayments</t>
  </si>
  <si>
    <t>Accrued income</t>
  </si>
  <si>
    <t>Trade payables</t>
  </si>
  <si>
    <t>Accruals</t>
  </si>
  <si>
    <t>Amounts owed to Joint Venture veterinary practices</t>
  </si>
  <si>
    <t>Other payables including tax and social security</t>
  </si>
  <si>
    <t>Amounts owed to Group undertakings</t>
  </si>
  <si>
    <t>Deferred income in relation to lease incentives</t>
  </si>
  <si>
    <t xml:space="preserve">Vet </t>
  </si>
  <si>
    <t>NIBCL (non-interest bearing current liabilities)</t>
  </si>
  <si>
    <t>Current Assets</t>
  </si>
  <si>
    <t>Net Working Cap = Current Assets - NIBCL (non-interest bearing current liabilities)</t>
  </si>
  <si>
    <t>NOPAT (EBITA - Cash Taxes)</t>
  </si>
  <si>
    <t>EBITA (removing non-underlying items)</t>
  </si>
  <si>
    <t>EBIT (removing non-underlying items)</t>
  </si>
  <si>
    <t>Customer Revenue per colleague (Total Retail)</t>
  </si>
  <si>
    <t>Customer sales per colleague (Vet)</t>
  </si>
  <si>
    <t xml:space="preserve">Total vet employees? </t>
  </si>
  <si>
    <t>Change in Net Working Capital (include provisions)</t>
  </si>
  <si>
    <t>Free Cash Flow to Firm (EBIT Calc)</t>
  </si>
  <si>
    <t>NOPAT (EBIT) (1-T)</t>
  </si>
  <si>
    <t>After-tax cost of debt</t>
  </si>
  <si>
    <t>PetsAtHome FCF Calc</t>
  </si>
  <si>
    <t>Net Capex (Change in Gross PPE/intangibles/ROU - Depreciation or Net PP&amp;E) &gt; thus no need to add back depreciation to FCF</t>
  </si>
  <si>
    <t>Gross Intangibles</t>
  </si>
  <si>
    <t>Depreciation + Amortisation (does not include rent expense which is tied to deprecation via IFRS16)</t>
  </si>
  <si>
    <t>Capex (Change in Gross PPE/intangibles/ROU/Investments in Vet) &gt; thus we need to add back depreciation</t>
  </si>
  <si>
    <t>EBITDA Group (Post-IFRS) &gt; includes depreciation of Right-of-use assets</t>
  </si>
  <si>
    <t>EBITDA Group (Pre-IFRS &amp; using EBIT with removed underlying items)</t>
  </si>
  <si>
    <t>Net Debt (if positive = net cash)</t>
  </si>
  <si>
    <t>How many UK households</t>
  </si>
  <si>
    <t>Labrador Retriever</t>
  </si>
  <si>
    <t xml:space="preserve">Most Popular Dog Breed </t>
  </si>
  <si>
    <t>Dogs (most popular pet)</t>
  </si>
  <si>
    <t>How many mature vets etc.  (Cash, expenditure fee etc etc)</t>
  </si>
  <si>
    <t>4-5m</t>
  </si>
  <si>
    <t>12-12.5m</t>
  </si>
  <si>
    <t xml:space="preserve">33-34m </t>
  </si>
  <si>
    <t>Dog life-time-value (LTV)</t>
  </si>
  <si>
    <t>Cat life-time-value (LTV)</t>
  </si>
  <si>
    <t>11.5-12.2m</t>
  </si>
  <si>
    <t>2-3.5m</t>
  </si>
  <si>
    <t>Small Mammals (Guinea pigs, Hamsters, Gerbils etc)</t>
  </si>
  <si>
    <t xml:space="preserve">Birds (indoor birds, domestic fowls, pigeons etc) </t>
  </si>
  <si>
    <t>1-2m</t>
  </si>
  <si>
    <t>Reptiles (Snakes, Tortoises, frogs, salamanders etc)</t>
  </si>
  <si>
    <t>Large Mammals (Horses, Ponies, etc)</t>
  </si>
  <si>
    <t>0.4-0.6</t>
  </si>
  <si>
    <t>Total UK pet population (excl. fish &amp; insects)</t>
  </si>
  <si>
    <t>Insects</t>
  </si>
  <si>
    <t>0.2-1m</t>
  </si>
  <si>
    <t>15 years</t>
  </si>
  <si>
    <t>Average Spend on Dog (excl. initial costs)</t>
  </si>
  <si>
    <t xml:space="preserve">Cat Litter (roughly 30% of cats are indoor) &gt; £10-15 a month </t>
  </si>
  <si>
    <t>Cat Food (roughly £10-15 per month)</t>
  </si>
  <si>
    <t>Cat Insurance (£10-20 a month)</t>
  </si>
  <si>
    <t>£120-180</t>
  </si>
  <si>
    <t>£120-240</t>
  </si>
  <si>
    <t>Cat Treats (£3-7 a month)</t>
  </si>
  <si>
    <t>£36-84</t>
  </si>
  <si>
    <t>Average Life of Cat (excl. initial costs)</t>
  </si>
  <si>
    <t>Cat Flea Treatment (£10-15 every 3 months)</t>
  </si>
  <si>
    <t>£40-60</t>
  </si>
  <si>
    <t>Average Spend on Cat life-time-cost (varies between indoor/outdoor due to cat litter). Outdoor c.£450, indoor c.£610</t>
  </si>
  <si>
    <t>30-30.5m</t>
  </si>
  <si>
    <t>UK population (yoy change)</t>
  </si>
  <si>
    <t>How many UK households (yoy change)</t>
  </si>
  <si>
    <t>0.5-1%</t>
  </si>
  <si>
    <t xml:space="preserve">UK pet marrket size (according to PetsAtHome). </t>
  </si>
  <si>
    <t>Pet Info</t>
  </si>
  <si>
    <t>Macro Pet Analysis (Stats from PETS/Online)</t>
  </si>
  <si>
    <t>Penetration of private label of Accessories revenue</t>
  </si>
  <si>
    <t>£6.1bn</t>
  </si>
  <si>
    <t>CAGRS</t>
  </si>
  <si>
    <t>Other Online metrics but not provided</t>
  </si>
  <si>
    <t>£5.9-6bn</t>
  </si>
  <si>
    <t>£260-270m</t>
  </si>
  <si>
    <t>£2-2.1bn</t>
  </si>
  <si>
    <t>£1.8-2bn</t>
  </si>
  <si>
    <t>£5.5-6bn</t>
  </si>
  <si>
    <t>c.10%?</t>
  </si>
  <si>
    <t xml:space="preserve">Market Share (question marks at the end of figures = not confirmed) </t>
  </si>
  <si>
    <t>VIPs shopping across more than one channel</t>
  </si>
  <si>
    <t>Non-current Assets (with KKR goodwill)</t>
  </si>
  <si>
    <t>Non-current Assets (without KKR goodwill)</t>
  </si>
  <si>
    <t>ROIC (using Net working cap with NIBCL &amp; NOPAT &gt;EBIT (1-T)) &amp; Including KKR Goodwill</t>
  </si>
  <si>
    <t>ROIC (using Net working cap with NIBCL &amp; NOPAT &gt;EBIT (1-T)) &amp; Excluding KKR Goodwill</t>
  </si>
  <si>
    <t>Fulfillment from store (click and collect + ship from strore)</t>
  </si>
  <si>
    <t>Business Systems and omnichannel</t>
  </si>
  <si>
    <t>Average Life of rabbit</t>
  </si>
  <si>
    <t>8-12 yrs</t>
  </si>
  <si>
    <t>Rabbit life-time-value (LTV) &gt; assuming 10yrs avg life</t>
  </si>
  <si>
    <t>Average Spend on rabbit (excl. initial costs)  Monthly cost of £12-18</t>
  </si>
  <si>
    <t>£144-£216</t>
  </si>
  <si>
    <t>£1,440-2,160</t>
  </si>
  <si>
    <t>39% (combined)</t>
  </si>
  <si>
    <t>Cat Food (Whiskas 1+ Adult Complete Dry Cat Food with Chicken 7kg) all 1-time purchases</t>
  </si>
  <si>
    <t xml:space="preserve">PETS (£14.99)  </t>
  </si>
  <si>
    <t>Amazon (£13.97)</t>
  </si>
  <si>
    <t>Zooplus (£14.79)</t>
  </si>
  <si>
    <t>Dog Food (Harringtons Complete Adult Dry Dog Food with Lamb and Rice 15kg) all 1-time purchases</t>
  </si>
  <si>
    <t xml:space="preserve">PETS (£27.99)  </t>
  </si>
  <si>
    <t>Amazon (£25.50)</t>
  </si>
  <si>
    <t>Zooplus (£26.99)</t>
  </si>
  <si>
    <t>Dog Food &gt; (PETS own brand Wainwright's Complete Dry Puppy Food Lamb and Brown Rice 2kg) All 1 time purchase</t>
  </si>
  <si>
    <t xml:space="preserve">PETS (£9.99)  </t>
  </si>
  <si>
    <t>Amazon (£21.70)</t>
  </si>
  <si>
    <t>Zooplus Don’t sell</t>
  </si>
  <si>
    <t>Valuation</t>
  </si>
  <si>
    <t>Profitability</t>
  </si>
  <si>
    <t xml:space="preserve">Op Margin </t>
  </si>
  <si>
    <t xml:space="preserve">Efficiency </t>
  </si>
  <si>
    <t>Retail Gross Margin</t>
  </si>
  <si>
    <t>Retail Op Margin</t>
  </si>
  <si>
    <t>Vet Gross Margin</t>
  </si>
  <si>
    <t>Vet Op Margin</t>
  </si>
  <si>
    <t>Stores</t>
  </si>
  <si>
    <t>Customer sales made by all 1st opinion vet practices</t>
  </si>
  <si>
    <t xml:space="preserve">Customer sales by just JVs </t>
  </si>
  <si>
    <t>Food Revenue (pet food / treats)</t>
  </si>
  <si>
    <t>Segments more detail:</t>
  </si>
  <si>
    <t>Net Debt/Equity</t>
  </si>
  <si>
    <t>Dividend Yield</t>
  </si>
  <si>
    <t xml:space="preserve">Solvency </t>
  </si>
  <si>
    <t xml:space="preserve">Liquid </t>
  </si>
  <si>
    <t>Cash-to-current assets</t>
  </si>
  <si>
    <t>Cash to Current Liabilities (Cash Ratio)</t>
  </si>
  <si>
    <t>Quick Ratio (Acid Test) (Defence internal Ratio)</t>
  </si>
  <si>
    <t>Accounts Receivable Turnover</t>
  </si>
  <si>
    <t>Inventory Turnover (Avg Inventories Turnover)</t>
  </si>
  <si>
    <t>Days' In sales Receivables</t>
  </si>
  <si>
    <t>Days' Sales In Inventory</t>
  </si>
  <si>
    <t>Approx. Conversion Period</t>
  </si>
  <si>
    <t>Cash Conversion Cycle (Net Trade Cycle)</t>
  </si>
  <si>
    <t>Days' In Payables</t>
  </si>
  <si>
    <t>Accounts payable turnover</t>
  </si>
  <si>
    <t xml:space="preserve">Leverage </t>
  </si>
  <si>
    <t>Net Debt/Equity &gt; (Post IFRS)</t>
  </si>
  <si>
    <t>Net Debt (if positive = net cash &gt; (Post IFRS)</t>
  </si>
  <si>
    <t xml:space="preserve">Debt to total Capital </t>
  </si>
  <si>
    <t xml:space="preserve">Total Debt to equity </t>
  </si>
  <si>
    <t xml:space="preserve">Current Ratio </t>
  </si>
  <si>
    <t>Goodwill Ratio</t>
  </si>
  <si>
    <t>Ian Burke</t>
  </si>
  <si>
    <t>Peter Pritchard</t>
  </si>
  <si>
    <t>Tony DeNunzio (Chairman for 10 yrs, but retired in 2020)</t>
  </si>
  <si>
    <t>Ian Kellett (Old CEO)</t>
  </si>
  <si>
    <t>Dividend Payout Ratio</t>
  </si>
  <si>
    <t>Dividend Per Share</t>
  </si>
  <si>
    <t>Market Cap</t>
  </si>
  <si>
    <t>Book Value</t>
  </si>
  <si>
    <t>Enterprise Value (EV)</t>
  </si>
  <si>
    <t>Price Per Share</t>
  </si>
  <si>
    <t>Interest Coverage</t>
  </si>
  <si>
    <t>Cash Flow Coverage Ratio</t>
  </si>
  <si>
    <t>EV/NOPAT</t>
  </si>
  <si>
    <t>Net Debt/Cash</t>
  </si>
  <si>
    <t>Price-to-Earnings (PE Ratio) Trailing</t>
  </si>
  <si>
    <t>Price-to-cash Flow</t>
  </si>
  <si>
    <t>EPS</t>
  </si>
  <si>
    <t>Earnings Yield (E/P) &gt; inverted P/E</t>
  </si>
  <si>
    <t>Price-to-sales (P/S or PSR)</t>
  </si>
  <si>
    <t>Price-to-book</t>
  </si>
  <si>
    <t>CFROIC (Gross Cash Flow / Gross Asset)</t>
  </si>
  <si>
    <t xml:space="preserve">Equity Risk Premium </t>
  </si>
  <si>
    <t>Cost of equity (using CAPM)</t>
  </si>
  <si>
    <t>WACC</t>
  </si>
  <si>
    <t>Risk-free Rate (10yr Gilt)</t>
  </si>
  <si>
    <t>Beta (5y monthly)</t>
  </si>
  <si>
    <t>Equity-to-assets</t>
  </si>
  <si>
    <t>Debt-to-assets</t>
  </si>
  <si>
    <t>Growth (10% &gt; EPS of 0.22 &gt; According to analyst consensus) Or… Rentention ratio x ROE</t>
  </si>
  <si>
    <t>Retention Rate</t>
  </si>
  <si>
    <t>D/E (ROC - i (1-t))</t>
  </si>
  <si>
    <t>ROC</t>
  </si>
  <si>
    <t xml:space="preserve">ROE (ROC + D/E (ROC - after-tax cost of debt) </t>
  </si>
  <si>
    <t>After-tax cost of debt: (Interest Expense on Debt / BV of Debt)</t>
  </si>
  <si>
    <t>Forecasting</t>
  </si>
  <si>
    <t>Rent per store</t>
  </si>
  <si>
    <t>Q1 (Apr-Jun)</t>
  </si>
  <si>
    <t>Q2 (July-Sep)</t>
  </si>
  <si>
    <t>Q3 (Oct-Dec)</t>
  </si>
  <si>
    <t>Q4 (Jan-Mar)</t>
  </si>
  <si>
    <t>6 yr CARG</t>
  </si>
  <si>
    <t>3 yr CARG</t>
  </si>
  <si>
    <t>YOY change in revenue</t>
  </si>
  <si>
    <t xml:space="preserve">Customer sales minus revenue </t>
  </si>
  <si>
    <t>31st March 2020</t>
  </si>
  <si>
    <t>Operating costs</t>
  </si>
  <si>
    <t>Operating profit margin</t>
  </si>
  <si>
    <t>Est. Increase in pets going fwd (based on future hosueholds)</t>
  </si>
  <si>
    <t>Interest charge</t>
  </si>
  <si>
    <t>PBT</t>
  </si>
  <si>
    <t>Active Vets (based on various sources)</t>
  </si>
  <si>
    <t xml:space="preserve">Forecast (Sum of parts) &gt; mgmt noted 2/3rds of 900m customer sales to come from retail and 1/3 to come from vet </t>
  </si>
  <si>
    <t>Average Transaction Value</t>
  </si>
  <si>
    <t>Conversion Rate</t>
  </si>
  <si>
    <t>Cost of acquisition</t>
  </si>
  <si>
    <t>Customer sales (target of 2.3bn in medium term)</t>
  </si>
  <si>
    <t>Price comparison</t>
  </si>
  <si>
    <t>27,000-29,000</t>
  </si>
  <si>
    <t>7m</t>
  </si>
  <si>
    <t>£115m</t>
  </si>
  <si>
    <t>FCF Calc</t>
  </si>
  <si>
    <t>Employee Cost (split between cogs &amp; admin)</t>
  </si>
  <si>
    <t>Price-to-Earnings (PE Ratio) Fwd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</si>
</sst>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8" formatCode="&quot;£&quot;#,##0.00;[Red]\-&quot;£&quot;#,##0.00"/>
    <numFmt numFmtId="43" formatCode="_-* #,##0.00_-;\-* #,##0.00_-;_-* &quot;-&quot;??_-;_-@_-"/>
    <numFmt numFmtId="164" formatCode="_-* #,##0_-;\-* #,##0_-;_-* &quot;-&quot;??_-;_-@_-"/>
    <numFmt numFmtId="165" formatCode="0.000"/>
    <numFmt numFmtId="166" formatCode="0.0"/>
    <numFmt numFmtId="167" formatCode="#,##0.0"/>
    <numFmt numFmtId="168" formatCode="0.000%"/>
    <numFmt numFmtId="169" formatCode="&quot;£&quot;#,##0.000;[Red]\-&quot;£&quot;#,##0.000"/>
    <numFmt numFmtId="170" formatCode="0.0%"/>
  </numFmts>
  <fonts count="27" x14ac:knownFonts="1">
    <font>
      <sz val="11"/>
      <color theme="1"/>
      <name val="Calibri"/>
      <family val="2"/>
    </font>
    <font>
      <b/>
      <sz val="11"/>
      <color theme="0"/>
      <name val="Calibri"/>
      <family val="2"/>
    </font>
    <font>
      <b/>
      <sz val="11"/>
      <color theme="1"/>
      <name val="Calibri"/>
      <family val="2"/>
    </font>
    <font>
      <b/>
      <sz val="10"/>
      <color theme="1"/>
      <name val="Calibri"/>
      <family val="2"/>
    </font>
    <font>
      <sz val="9"/>
      <color theme="1"/>
      <name val="Calibri"/>
      <family val="2"/>
    </font>
    <font>
      <sz val="9"/>
      <color rgb="FF000000"/>
      <name val="Calibri"/>
      <family val="2"/>
    </font>
    <font>
      <sz val="10"/>
      <color theme="1"/>
      <name val="Calibri"/>
      <family val="2"/>
    </font>
    <font>
      <sz val="11"/>
      <color theme="1"/>
      <name val="Calibri"/>
      <family val="2"/>
    </font>
    <font>
      <sz val="11"/>
      <color theme="0"/>
      <name val="Calibri"/>
      <family val="2"/>
    </font>
    <font>
      <sz val="9"/>
      <color indexed="81"/>
      <name val="Tahoma"/>
      <family val="2"/>
    </font>
    <font>
      <b/>
      <sz val="9"/>
      <color indexed="81"/>
      <name val="Tahoma"/>
      <family val="2"/>
    </font>
    <font>
      <sz val="11"/>
      <color indexed="81"/>
      <name val="Tahoma"/>
      <family val="2"/>
    </font>
    <font>
      <b/>
      <sz val="12"/>
      <color indexed="81"/>
      <name val="Tahoma"/>
      <family val="2"/>
    </font>
    <font>
      <sz val="12"/>
      <color indexed="81"/>
      <name val="Tahoma"/>
      <family val="2"/>
    </font>
    <font>
      <sz val="14"/>
      <color indexed="81"/>
      <name val="Tahoma"/>
      <family val="2"/>
    </font>
    <font>
      <b/>
      <sz val="11"/>
      <color indexed="81"/>
      <name val="Tahoma"/>
      <family val="2"/>
    </font>
    <font>
      <sz val="10"/>
      <color indexed="81"/>
      <name val="Tahoma"/>
      <family val="2"/>
    </font>
    <font>
      <b/>
      <u/>
      <sz val="11"/>
      <color indexed="81"/>
      <name val="Tahoma"/>
      <family val="2"/>
    </font>
    <font>
      <u/>
      <sz val="12"/>
      <color indexed="81"/>
      <name val="Tahoma"/>
      <family val="2"/>
    </font>
    <font>
      <b/>
      <u/>
      <sz val="14"/>
      <color indexed="81"/>
      <name val="Tahoma"/>
      <family val="2"/>
    </font>
    <font>
      <u/>
      <sz val="11"/>
      <color indexed="81"/>
      <name val="Tahoma"/>
      <family val="2"/>
    </font>
    <font>
      <b/>
      <u/>
      <sz val="9"/>
      <color indexed="81"/>
      <name val="Tahoma"/>
      <family val="2"/>
    </font>
    <font>
      <u/>
      <sz val="9"/>
      <color indexed="81"/>
      <name val="Tahoma"/>
      <family val="2"/>
    </font>
    <font>
      <b/>
      <sz val="11"/>
      <color theme="1"/>
      <name val="Calibri"/>
      <family val="2"/>
      <scheme val="minor"/>
    </font>
    <font>
      <i/>
      <sz val="9"/>
      <color indexed="81"/>
      <name val="Tahoma"/>
      <family val="2"/>
    </font>
    <font>
      <u val="double"/>
      <sz val="9"/>
      <color indexed="81"/>
      <name val="Tahoma"/>
      <family val="2"/>
    </font>
    <font>
      <i/>
      <sz val="11"/>
      <color theme="1"/>
      <name val="Calibri"/>
      <family val="2"/>
    </font>
  </fonts>
  <fills count="6">
    <fill>
      <patternFill patternType="none"/>
    </fill>
    <fill>
      <patternFill patternType="gray125"/>
    </fill>
    <fill>
      <patternFill patternType="solid">
        <fgColor rgb="FF00206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FFFF00"/>
        <bgColor indexed="64"/>
      </patternFill>
    </fill>
  </fills>
  <borders count="13">
    <border>
      <left/>
      <right/>
      <top/>
      <bottom/>
      <diagonal/>
    </border>
    <border>
      <left/>
      <right/>
      <top/>
      <bottom style="medium">
        <color rgb="FF002060"/>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121">
    <xf numFmtId="0" fontId="0" fillId="0" borderId="0" xfId="0"/>
    <xf numFmtId="0" fontId="1" fillId="2" borderId="0" xfId="0" applyFont="1" applyFill="1" applyAlignment="1">
      <alignment horizontal="center"/>
    </xf>
    <xf numFmtId="0" fontId="2" fillId="3" borderId="0" xfId="0" applyFont="1" applyFill="1" applyAlignment="1">
      <alignment horizontal="center"/>
    </xf>
    <xf numFmtId="0" fontId="3" fillId="0" borderId="1" xfId="0" applyFont="1" applyBorder="1" applyAlignment="1">
      <alignment horizontal="right"/>
    </xf>
    <xf numFmtId="14" fontId="4" fillId="0" borderId="0" xfId="0" applyNumberFormat="1" applyFont="1" applyAlignment="1">
      <alignment horizontal="center"/>
    </xf>
    <xf numFmtId="0" fontId="5" fillId="0" borderId="0" xfId="0" applyFont="1" applyAlignment="1">
      <alignment horizontal="right" vertical="center"/>
    </xf>
    <xf numFmtId="0" fontId="4" fillId="0" borderId="0" xfId="0" applyFont="1" applyAlignment="1">
      <alignment horizontal="right"/>
    </xf>
    <xf numFmtId="0" fontId="6" fillId="0" borderId="0" xfId="0" applyFont="1" applyAlignment="1">
      <alignment horizontal="right"/>
    </xf>
    <xf numFmtId="14" fontId="4" fillId="0" borderId="0" xfId="0" applyNumberFormat="1" applyFont="1" applyAlignment="1">
      <alignment horizontal="right"/>
    </xf>
    <xf numFmtId="0" fontId="0" fillId="0" borderId="0" xfId="0" applyAlignment="1">
      <alignment horizontal="center"/>
    </xf>
    <xf numFmtId="0" fontId="3" fillId="0" borderId="1" xfId="0" applyFont="1" applyBorder="1" applyAlignment="1">
      <alignment horizontal="center"/>
    </xf>
    <xf numFmtId="0" fontId="2" fillId="4" borderId="0" xfId="0" applyFont="1" applyFill="1" applyAlignment="1">
      <alignment horizontal="center"/>
    </xf>
    <xf numFmtId="0" fontId="0" fillId="0" borderId="0" xfId="0" applyAlignment="1">
      <alignment horizontal="right"/>
    </xf>
    <xf numFmtId="15" fontId="2" fillId="0" borderId="1" xfId="0" applyNumberFormat="1" applyFont="1" applyBorder="1"/>
    <xf numFmtId="0" fontId="0" fillId="0" borderId="1" xfId="0" applyBorder="1"/>
    <xf numFmtId="0" fontId="2" fillId="0" borderId="0" xfId="0" applyFont="1"/>
    <xf numFmtId="0" fontId="0" fillId="0" borderId="1" xfId="0" applyFill="1" applyBorder="1"/>
    <xf numFmtId="0" fontId="0" fillId="0" borderId="0" xfId="0" applyFont="1"/>
    <xf numFmtId="0" fontId="0" fillId="0" borderId="1" xfId="0" applyFont="1" applyBorder="1"/>
    <xf numFmtId="0" fontId="2" fillId="0" borderId="1" xfId="0" applyFont="1" applyBorder="1"/>
    <xf numFmtId="0" fontId="2" fillId="0" borderId="1" xfId="0" applyFont="1" applyFill="1" applyBorder="1"/>
    <xf numFmtId="0" fontId="0" fillId="0" borderId="0" xfId="0" applyAlignment="1">
      <alignment horizontal="left"/>
    </xf>
    <xf numFmtId="164" fontId="0" fillId="0" borderId="0" xfId="1" applyNumberFormat="1" applyFont="1"/>
    <xf numFmtId="10" fontId="0" fillId="0" borderId="0" xfId="1" applyNumberFormat="1" applyFont="1"/>
    <xf numFmtId="3" fontId="0" fillId="0" borderId="0" xfId="0" applyNumberFormat="1"/>
    <xf numFmtId="10" fontId="0" fillId="0" borderId="0" xfId="0" applyNumberFormat="1"/>
    <xf numFmtId="9" fontId="0" fillId="0" borderId="0" xfId="0" applyNumberFormat="1"/>
    <xf numFmtId="0" fontId="0" fillId="0" borderId="2" xfId="0" applyBorder="1"/>
    <xf numFmtId="10" fontId="2" fillId="0" borderId="0" xfId="1" applyNumberFormat="1" applyFont="1"/>
    <xf numFmtId="164" fontId="0" fillId="0" borderId="1" xfId="1" applyNumberFormat="1" applyFont="1" applyBorder="1"/>
    <xf numFmtId="164" fontId="2" fillId="0" borderId="0" xfId="1" applyNumberFormat="1" applyFont="1"/>
    <xf numFmtId="3" fontId="0" fillId="0" borderId="1" xfId="0" applyNumberFormat="1" applyBorder="1"/>
    <xf numFmtId="4" fontId="0" fillId="0" borderId="0" xfId="0" applyNumberFormat="1"/>
    <xf numFmtId="4" fontId="2" fillId="0" borderId="0" xfId="0" applyNumberFormat="1" applyFont="1"/>
    <xf numFmtId="4" fontId="0" fillId="0" borderId="1" xfId="0" applyNumberFormat="1" applyBorder="1"/>
    <xf numFmtId="0" fontId="0" fillId="0" borderId="1" xfId="0" applyBorder="1" applyAlignment="1">
      <alignment horizontal="right"/>
    </xf>
    <xf numFmtId="15" fontId="0" fillId="0" borderId="0" xfId="0" applyNumberFormat="1"/>
    <xf numFmtId="3" fontId="2" fillId="0" borderId="0" xfId="0" applyNumberFormat="1" applyFont="1"/>
    <xf numFmtId="0" fontId="0" fillId="0" borderId="0" xfId="0" applyBorder="1"/>
    <xf numFmtId="6" fontId="0" fillId="0" borderId="0" xfId="0" applyNumberFormat="1"/>
    <xf numFmtId="165" fontId="0" fillId="0" borderId="0" xfId="0" applyNumberFormat="1"/>
    <xf numFmtId="2" fontId="0" fillId="0" borderId="0" xfId="0" applyNumberFormat="1"/>
    <xf numFmtId="2" fontId="2" fillId="0" borderId="0" xfId="0" applyNumberFormat="1" applyFont="1"/>
    <xf numFmtId="166" fontId="0" fillId="0" borderId="0" xfId="0" applyNumberFormat="1"/>
    <xf numFmtId="166" fontId="2" fillId="0" borderId="0" xfId="0" applyNumberFormat="1" applyFont="1"/>
    <xf numFmtId="2" fontId="0" fillId="0" borderId="1" xfId="0" applyNumberFormat="1" applyBorder="1"/>
    <xf numFmtId="6" fontId="2" fillId="0" borderId="0" xfId="0" applyNumberFormat="1" applyFont="1"/>
    <xf numFmtId="2" fontId="0" fillId="0" borderId="0" xfId="0" applyNumberFormat="1" applyFont="1"/>
    <xf numFmtId="167" fontId="0" fillId="0" borderId="0" xfId="0" applyNumberFormat="1"/>
    <xf numFmtId="167" fontId="0" fillId="0" borderId="1" xfId="0" applyNumberFormat="1" applyBorder="1"/>
    <xf numFmtId="0" fontId="0" fillId="0" borderId="0" xfId="0" applyFont="1" applyAlignment="1">
      <alignment horizontal="right"/>
    </xf>
    <xf numFmtId="16" fontId="0" fillId="0" borderId="0" xfId="0" applyNumberFormat="1"/>
    <xf numFmtId="15" fontId="2" fillId="0" borderId="0" xfId="0" applyNumberFormat="1" applyFont="1" applyBorder="1"/>
    <xf numFmtId="4" fontId="0" fillId="0" borderId="0" xfId="0" applyNumberFormat="1" applyFont="1"/>
    <xf numFmtId="3" fontId="0" fillId="0" borderId="0" xfId="0" applyNumberFormat="1" applyFont="1"/>
    <xf numFmtId="9" fontId="0" fillId="0" borderId="0" xfId="0" applyNumberFormat="1" applyAlignment="1">
      <alignment horizontal="right"/>
    </xf>
    <xf numFmtId="3" fontId="0" fillId="0" borderId="0" xfId="0" applyNumberFormat="1" applyAlignment="1">
      <alignment horizontal="right"/>
    </xf>
    <xf numFmtId="4" fontId="0" fillId="0" borderId="0" xfId="0" applyNumberFormat="1" applyAlignment="1">
      <alignment horizontal="right"/>
    </xf>
    <xf numFmtId="0" fontId="0" fillId="0" borderId="0" xfId="0" applyAlignment="1">
      <alignment horizontal="left" indent="4"/>
    </xf>
    <xf numFmtId="8" fontId="0" fillId="0" borderId="0" xfId="0" applyNumberFormat="1" applyAlignment="1">
      <alignment horizontal="right"/>
    </xf>
    <xf numFmtId="167" fontId="0" fillId="0" borderId="0" xfId="0" applyNumberFormat="1" applyBorder="1"/>
    <xf numFmtId="6" fontId="0" fillId="0" borderId="1" xfId="0" applyNumberFormat="1" applyBorder="1"/>
    <xf numFmtId="10" fontId="0" fillId="0" borderId="0" xfId="2" applyNumberFormat="1" applyFont="1"/>
    <xf numFmtId="4" fontId="2" fillId="0" borderId="1" xfId="0" applyNumberFormat="1" applyFont="1" applyBorder="1"/>
    <xf numFmtId="10" fontId="0" fillId="0" borderId="0" xfId="2" applyNumberFormat="1" applyFont="1" applyAlignment="1">
      <alignment horizontal="right"/>
    </xf>
    <xf numFmtId="10" fontId="2" fillId="0" borderId="0" xfId="0" applyNumberFormat="1" applyFont="1"/>
    <xf numFmtId="2" fontId="0" fillId="0" borderId="0" xfId="0" applyNumberFormat="1" applyBorder="1"/>
    <xf numFmtId="0" fontId="0" fillId="0" borderId="0" xfId="0" applyBorder="1" applyAlignment="1">
      <alignment horizontal="right"/>
    </xf>
    <xf numFmtId="4" fontId="0" fillId="0" borderId="0" xfId="0" applyNumberFormat="1" applyBorder="1"/>
    <xf numFmtId="0" fontId="2" fillId="0" borderId="0" xfId="0" applyFont="1" applyBorder="1"/>
    <xf numFmtId="15" fontId="2" fillId="0" borderId="0" xfId="0" applyNumberFormat="1" applyFont="1" applyBorder="1" applyAlignment="1">
      <alignment horizontal="center"/>
    </xf>
    <xf numFmtId="9" fontId="0" fillId="0" borderId="0" xfId="2" applyFont="1"/>
    <xf numFmtId="10" fontId="2" fillId="0" borderId="0" xfId="2" applyNumberFormat="1" applyFont="1"/>
    <xf numFmtId="9" fontId="0" fillId="0" borderId="0" xfId="0" applyNumberFormat="1" applyFont="1" applyBorder="1"/>
    <xf numFmtId="6" fontId="0" fillId="0" borderId="0" xfId="0" applyNumberFormat="1" applyAlignment="1">
      <alignment horizontal="right"/>
    </xf>
    <xf numFmtId="17" fontId="0" fillId="0" borderId="0" xfId="0" applyNumberFormat="1" applyAlignment="1">
      <alignment horizontal="right"/>
    </xf>
    <xf numFmtId="166" fontId="0" fillId="0" borderId="1" xfId="0" applyNumberFormat="1" applyBorder="1"/>
    <xf numFmtId="1" fontId="0" fillId="0" borderId="0" xfId="0" applyNumberFormat="1"/>
    <xf numFmtId="1" fontId="0" fillId="0" borderId="2" xfId="0" applyNumberFormat="1" applyBorder="1"/>
    <xf numFmtId="10" fontId="0" fillId="0" borderId="0" xfId="0" applyNumberFormat="1" applyAlignment="1">
      <alignment horizontal="right"/>
    </xf>
    <xf numFmtId="2" fontId="0" fillId="0" borderId="0" xfId="2" applyNumberFormat="1" applyFont="1"/>
    <xf numFmtId="1" fontId="0" fillId="0" borderId="0" xfId="0" applyNumberFormat="1" applyFont="1"/>
    <xf numFmtId="1" fontId="0" fillId="0" borderId="1" xfId="0" applyNumberFormat="1" applyBorder="1"/>
    <xf numFmtId="166" fontId="0" fillId="0" borderId="0" xfId="0" applyNumberFormat="1" applyFont="1"/>
    <xf numFmtId="1" fontId="2" fillId="0" borderId="0" xfId="0" applyNumberFormat="1" applyFont="1"/>
    <xf numFmtId="4" fontId="0" fillId="5" borderId="0" xfId="0" applyNumberFormat="1" applyFill="1"/>
    <xf numFmtId="0" fontId="0" fillId="5" borderId="0" xfId="0" applyFill="1"/>
    <xf numFmtId="15" fontId="2" fillId="0" borderId="1" xfId="0" applyNumberFormat="1" applyFont="1" applyBorder="1" applyAlignment="1">
      <alignment horizontal="right"/>
    </xf>
    <xf numFmtId="0" fontId="0" fillId="0" borderId="0" xfId="0" applyFill="1" applyBorder="1"/>
    <xf numFmtId="166" fontId="0" fillId="0" borderId="0" xfId="0" applyNumberFormat="1" applyFill="1" applyBorder="1"/>
    <xf numFmtId="166" fontId="2" fillId="0" borderId="1" xfId="0" applyNumberFormat="1" applyFont="1" applyBorder="1"/>
    <xf numFmtId="166" fontId="0" fillId="0" borderId="1" xfId="0" applyNumberFormat="1" applyFont="1" applyBorder="1"/>
    <xf numFmtId="166" fontId="0" fillId="0" borderId="0" xfId="0" applyNumberFormat="1" applyFont="1" applyFill="1" applyBorder="1"/>
    <xf numFmtId="168" fontId="0" fillId="0" borderId="0" xfId="2" applyNumberFormat="1" applyFont="1"/>
    <xf numFmtId="168" fontId="0" fillId="0" borderId="0" xfId="2" applyNumberFormat="1" applyFont="1" applyAlignment="1">
      <alignment horizontal="right"/>
    </xf>
    <xf numFmtId="0" fontId="2" fillId="0" borderId="1" xfId="0" applyFont="1" applyBorder="1" applyAlignment="1">
      <alignment horizontal="right"/>
    </xf>
    <xf numFmtId="169" fontId="0" fillId="0" borderId="0" xfId="0" applyNumberFormat="1" applyAlignment="1">
      <alignment horizontal="right"/>
    </xf>
    <xf numFmtId="170" fontId="0" fillId="0" borderId="0" xfId="2" applyNumberFormat="1" applyFont="1"/>
    <xf numFmtId="0" fontId="23" fillId="0" borderId="0" xfId="0" applyFont="1"/>
    <xf numFmtId="166" fontId="0" fillId="0" borderId="0" xfId="0" applyNumberFormat="1" applyAlignment="1">
      <alignment horizontal="right"/>
    </xf>
    <xf numFmtId="17" fontId="2" fillId="0" borderId="1" xfId="0" applyNumberFormat="1" applyFont="1" applyBorder="1"/>
    <xf numFmtId="0" fontId="2" fillId="0" borderId="0" xfId="0" applyFont="1" applyAlignment="1">
      <alignment horizontal="right"/>
    </xf>
    <xf numFmtId="0" fontId="2" fillId="0" borderId="0" xfId="0" applyFont="1" applyAlignment="1">
      <alignment horizontal="left"/>
    </xf>
    <xf numFmtId="167" fontId="2" fillId="0" borderId="0" xfId="0" applyNumberFormat="1" applyFont="1"/>
    <xf numFmtId="0" fontId="26" fillId="0" borderId="0" xfId="0" applyFont="1" applyAlignment="1">
      <alignment horizontal="left"/>
    </xf>
    <xf numFmtId="170" fontId="26" fillId="0" borderId="0" xfId="2" applyNumberFormat="1" applyFont="1"/>
    <xf numFmtId="0" fontId="8" fillId="2" borderId="0" xfId="0" applyFont="1" applyFill="1" applyAlignment="1">
      <alignment horizontal="center"/>
    </xf>
    <xf numFmtId="15" fontId="2" fillId="0" borderId="0" xfId="0" applyNumberFormat="1" applyFont="1" applyBorder="1" applyAlignment="1">
      <alignment horizontal="center"/>
    </xf>
    <xf numFmtId="0" fontId="2" fillId="0" borderId="0" xfId="0" applyFont="1" applyAlignment="1">
      <alignment horizontal="center"/>
    </xf>
    <xf numFmtId="0" fontId="0" fillId="0" borderId="0" xfId="0" applyAlignment="1">
      <alignment horizontal="righ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201706</xdr:colOff>
      <xdr:row>219</xdr:row>
      <xdr:rowOff>112059</xdr:rowOff>
    </xdr:from>
    <xdr:to>
      <xdr:col>5</xdr:col>
      <xdr:colOff>112059</xdr:colOff>
      <xdr:row>227</xdr:row>
      <xdr:rowOff>78442</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06824" y="38357735"/>
          <a:ext cx="6252882" cy="14903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bank facilities consist of £190.0m are available to support the Group's organic and acquisitive growth initiatives over the coming years. These facilities are provided by a syndicate of three banks, RBS, HSBC and AIB, and comprise the following elements:</a:t>
          </a:r>
        </a:p>
        <a:p>
          <a:endParaRPr lang="en-GB" sz="1100"/>
        </a:p>
        <a:p>
          <a:r>
            <a:rPr lang="en-GB" sz="1100"/>
            <a:t>·      a fixed term loan of £95.0m, repayable on 23 November 2021 via a single bullet repayment; and</a:t>
          </a:r>
        </a:p>
        <a:p>
          <a:r>
            <a:rPr lang="en-GB" sz="1100"/>
            <a:t>·      a six-year revolving credit facility ("RCF") of £95.0m that runs to 23 November 2021. In addition the Group has a £5.0m overdraft facility renewable annually.</a:t>
          </a:r>
        </a:p>
        <a:p>
          <a:endParaRPr lang="en-GB" sz="1100"/>
        </a:p>
      </xdr:txBody>
    </xdr:sp>
    <xdr:clientData/>
  </xdr:twoCellAnchor>
  <xdr:twoCellAnchor editAs="oneCell">
    <xdr:from>
      <xdr:col>1</xdr:col>
      <xdr:colOff>78441</xdr:colOff>
      <xdr:row>284</xdr:row>
      <xdr:rowOff>33617</xdr:rowOff>
    </xdr:from>
    <xdr:to>
      <xdr:col>2</xdr:col>
      <xdr:colOff>717528</xdr:colOff>
      <xdr:row>296</xdr:row>
      <xdr:rowOff>99998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83559" y="50179941"/>
          <a:ext cx="6152381" cy="2352381"/>
        </a:xfrm>
        <a:prstGeom prst="rect">
          <a:avLst/>
        </a:prstGeom>
        <a:ln>
          <a:solidFill>
            <a:schemeClr val="tx1"/>
          </a:solidFill>
        </a:ln>
      </xdr:spPr>
    </xdr:pic>
    <xdr:clientData/>
  </xdr:twoCellAnchor>
  <xdr:twoCellAnchor editAs="oneCell">
    <xdr:from>
      <xdr:col>1</xdr:col>
      <xdr:colOff>0</xdr:colOff>
      <xdr:row>343</xdr:row>
      <xdr:rowOff>0</xdr:rowOff>
    </xdr:from>
    <xdr:to>
      <xdr:col>2</xdr:col>
      <xdr:colOff>705754</xdr:colOff>
      <xdr:row>355</xdr:row>
      <xdr:rowOff>171143</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605118" y="52813324"/>
          <a:ext cx="6219048" cy="2457143"/>
        </a:xfrm>
        <a:prstGeom prst="rect">
          <a:avLst/>
        </a:prstGeom>
      </xdr:spPr>
    </xdr:pic>
    <xdr:clientData/>
  </xdr:twoCellAnchor>
  <xdr:twoCellAnchor editAs="oneCell">
    <xdr:from>
      <xdr:col>1</xdr:col>
      <xdr:colOff>22412</xdr:colOff>
      <xdr:row>301</xdr:row>
      <xdr:rowOff>1</xdr:rowOff>
    </xdr:from>
    <xdr:to>
      <xdr:col>2</xdr:col>
      <xdr:colOff>775785</xdr:colOff>
      <xdr:row>336</xdr:row>
      <xdr:rowOff>75358</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627530" y="53384825"/>
          <a:ext cx="6266667" cy="6742857"/>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459440</xdr:colOff>
      <xdr:row>1360</xdr:row>
      <xdr:rowOff>123265</xdr:rowOff>
    </xdr:from>
    <xdr:to>
      <xdr:col>1</xdr:col>
      <xdr:colOff>4583205</xdr:colOff>
      <xdr:row>1373</xdr:row>
      <xdr:rowOff>156784</xdr:rowOff>
    </xdr:to>
    <xdr:pic>
      <xdr:nvPicPr>
        <xdr:cNvPr id="2" name="Picture 1">
          <a:extLst>
            <a:ext uri="{FF2B5EF4-FFF2-40B4-BE49-F238E27FC236}">
              <a16:creationId xmlns:a16="http://schemas.microsoft.com/office/drawing/2014/main" id="{D4AD50B2-5CD6-45BF-94B0-DFE207D9F1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4558" y="366611647"/>
          <a:ext cx="4123765" cy="25100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4896968</xdr:colOff>
      <xdr:row>1358</xdr:row>
      <xdr:rowOff>78440</xdr:rowOff>
    </xdr:from>
    <xdr:to>
      <xdr:col>2</xdr:col>
      <xdr:colOff>34910</xdr:colOff>
      <xdr:row>1374</xdr:row>
      <xdr:rowOff>0</xdr:rowOff>
    </xdr:to>
    <xdr:pic>
      <xdr:nvPicPr>
        <xdr:cNvPr id="3" name="Picture 2">
          <a:extLst>
            <a:ext uri="{FF2B5EF4-FFF2-40B4-BE49-F238E27FC236}">
              <a16:creationId xmlns:a16="http://schemas.microsoft.com/office/drawing/2014/main" id="{E476F962-2BF5-4A0A-BB25-3016B5A8D2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02086" y="366185822"/>
          <a:ext cx="3094118" cy="296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56029</xdr:colOff>
      <xdr:row>1387</xdr:row>
      <xdr:rowOff>89647</xdr:rowOff>
    </xdr:from>
    <xdr:to>
      <xdr:col>1</xdr:col>
      <xdr:colOff>4043247</xdr:colOff>
      <xdr:row>1401</xdr:row>
      <xdr:rowOff>78441</xdr:rowOff>
    </xdr:to>
    <xdr:pic>
      <xdr:nvPicPr>
        <xdr:cNvPr id="5" name="Picture 9">
          <a:extLst>
            <a:ext uri="{FF2B5EF4-FFF2-40B4-BE49-F238E27FC236}">
              <a16:creationId xmlns:a16="http://schemas.microsoft.com/office/drawing/2014/main" id="{6AC12449-576D-47C3-B6CB-F4C23F19B3B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61147" y="371755147"/>
          <a:ext cx="3987218" cy="2655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4314266</xdr:colOff>
      <xdr:row>1388</xdr:row>
      <xdr:rowOff>11207</xdr:rowOff>
    </xdr:from>
    <xdr:to>
      <xdr:col>1</xdr:col>
      <xdr:colOff>7552765</xdr:colOff>
      <xdr:row>1402</xdr:row>
      <xdr:rowOff>2827</xdr:rowOff>
    </xdr:to>
    <xdr:pic>
      <xdr:nvPicPr>
        <xdr:cNvPr id="6" name="Picture 13">
          <a:extLst>
            <a:ext uri="{FF2B5EF4-FFF2-40B4-BE49-F238E27FC236}">
              <a16:creationId xmlns:a16="http://schemas.microsoft.com/office/drawing/2014/main" id="{6F6117EC-A2D4-4CF0-87E8-9A920699BB6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19384" y="371867207"/>
          <a:ext cx="3238499" cy="265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358589</xdr:colOff>
      <xdr:row>1387</xdr:row>
      <xdr:rowOff>145676</xdr:rowOff>
    </xdr:from>
    <xdr:to>
      <xdr:col>5</xdr:col>
      <xdr:colOff>851647</xdr:colOff>
      <xdr:row>1402</xdr:row>
      <xdr:rowOff>148370</xdr:rowOff>
    </xdr:to>
    <xdr:pic>
      <xdr:nvPicPr>
        <xdr:cNvPr id="7" name="Picture 11">
          <a:extLst>
            <a:ext uri="{FF2B5EF4-FFF2-40B4-BE49-F238E27FC236}">
              <a16:creationId xmlns:a16="http://schemas.microsoft.com/office/drawing/2014/main" id="{F638056C-F30A-4BB7-A2DC-02A02BF065A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19883" y="371811176"/>
          <a:ext cx="3843617" cy="28601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347382</xdr:colOff>
      <xdr:row>1410</xdr:row>
      <xdr:rowOff>44825</xdr:rowOff>
    </xdr:from>
    <xdr:to>
      <xdr:col>1</xdr:col>
      <xdr:colOff>3906634</xdr:colOff>
      <xdr:row>1422</xdr:row>
      <xdr:rowOff>156882</xdr:rowOff>
    </xdr:to>
    <xdr:pic>
      <xdr:nvPicPr>
        <xdr:cNvPr id="8" name="Picture 21">
          <a:extLst>
            <a:ext uri="{FF2B5EF4-FFF2-40B4-BE49-F238E27FC236}">
              <a16:creationId xmlns:a16="http://schemas.microsoft.com/office/drawing/2014/main" id="{4044DFB8-E824-48DA-A6AB-DE4D9887B7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47382" y="377077943"/>
          <a:ext cx="4164370" cy="2398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4359088</xdr:colOff>
      <xdr:row>1410</xdr:row>
      <xdr:rowOff>100854</xdr:rowOff>
    </xdr:from>
    <xdr:to>
      <xdr:col>3</xdr:col>
      <xdr:colOff>808163</xdr:colOff>
      <xdr:row>1422</xdr:row>
      <xdr:rowOff>33617</xdr:rowOff>
    </xdr:to>
    <xdr:pic>
      <xdr:nvPicPr>
        <xdr:cNvPr id="9" name="Picture 22">
          <a:extLst>
            <a:ext uri="{FF2B5EF4-FFF2-40B4-BE49-F238E27FC236}">
              <a16:creationId xmlns:a16="http://schemas.microsoft.com/office/drawing/2014/main" id="{C93EDA98-3954-4930-99E1-5B5CB8033BD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64206" y="377133972"/>
          <a:ext cx="5884428" cy="2218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512754</xdr:colOff>
      <xdr:row>1358</xdr:row>
      <xdr:rowOff>44824</xdr:rowOff>
    </xdr:from>
    <xdr:to>
      <xdr:col>7</xdr:col>
      <xdr:colOff>67234</xdr:colOff>
      <xdr:row>1377</xdr:row>
      <xdr:rowOff>20584</xdr:rowOff>
    </xdr:to>
    <xdr:pic>
      <xdr:nvPicPr>
        <xdr:cNvPr id="13" name="Picture 12">
          <a:extLst>
            <a:ext uri="{FF2B5EF4-FFF2-40B4-BE49-F238E27FC236}">
              <a16:creationId xmlns:a16="http://schemas.microsoft.com/office/drawing/2014/main" id="{9958371B-914B-4C44-8BE8-04E5AE4ACF65}"/>
            </a:ext>
          </a:extLst>
        </xdr:cNvPr>
        <xdr:cNvPicPr>
          <a:picLocks noChangeAspect="1"/>
        </xdr:cNvPicPr>
      </xdr:nvPicPr>
      <xdr:blipFill>
        <a:blip xmlns:r="http://schemas.openxmlformats.org/officeDocument/2006/relationships" r:embed="rId8"/>
        <a:stretch>
          <a:fillRect/>
        </a:stretch>
      </xdr:blipFill>
      <xdr:spPr>
        <a:xfrm>
          <a:off x="9074048" y="366152206"/>
          <a:ext cx="4810039" cy="3595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ets@Home%20FCF%20Calc" TargetMode="External"/><Relationship Id="rId1" Type="http://schemas.openxmlformats.org/officeDocument/2006/relationships/hyperlink" Target="mailto:Pets@Home%20FCF%20Calc"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13"/>
  <sheetViews>
    <sheetView workbookViewId="0">
      <selection activeCell="G20" sqref="G20"/>
    </sheetView>
  </sheetViews>
  <sheetFormatPr defaultRowHeight="15" x14ac:dyDescent="0.25"/>
  <cols>
    <col min="2" max="2" width="13.28515625" bestFit="1" customWidth="1"/>
    <col min="3" max="3" width="23.5703125" bestFit="1" customWidth="1"/>
    <col min="4" max="4" width="20.5703125" bestFit="1" customWidth="1"/>
    <col min="5" max="5" width="11.28515625" bestFit="1" customWidth="1"/>
    <col min="6" max="6" width="22.28515625" bestFit="1" customWidth="1"/>
    <col min="7" max="7" width="93" bestFit="1" customWidth="1"/>
    <col min="8" max="8" width="11.7109375" bestFit="1" customWidth="1"/>
  </cols>
  <sheetData>
    <row r="3" spans="2:8" x14ac:dyDescent="0.25">
      <c r="C3" s="1" t="s">
        <v>1546</v>
      </c>
      <c r="G3" s="2" t="s">
        <v>0</v>
      </c>
    </row>
    <row r="5" spans="2:8" ht="15.75" thickBot="1" x14ac:dyDescent="0.3">
      <c r="B5" s="3" t="s">
        <v>1</v>
      </c>
      <c r="C5" s="3" t="s">
        <v>2</v>
      </c>
      <c r="D5" s="3" t="s">
        <v>3</v>
      </c>
      <c r="E5" s="3" t="s">
        <v>4</v>
      </c>
      <c r="F5" s="3" t="s">
        <v>5</v>
      </c>
      <c r="G5" s="3" t="s">
        <v>6</v>
      </c>
      <c r="H5" s="3" t="s">
        <v>7</v>
      </c>
    </row>
    <row r="6" spans="2:8" x14ac:dyDescent="0.25">
      <c r="B6" s="4">
        <v>39365</v>
      </c>
      <c r="C6" s="5" t="s">
        <v>8</v>
      </c>
      <c r="D6" s="6" t="s">
        <v>9</v>
      </c>
      <c r="E6" s="6" t="s">
        <v>10</v>
      </c>
      <c r="F6" s="6" t="s">
        <v>11</v>
      </c>
      <c r="G6" s="7" t="s">
        <v>12</v>
      </c>
      <c r="H6" s="6" t="s">
        <v>13</v>
      </c>
    </row>
    <row r="8" spans="2:8" x14ac:dyDescent="0.25">
      <c r="B8" s="4"/>
      <c r="C8" s="6"/>
      <c r="D8" s="6"/>
      <c r="E8" s="6"/>
      <c r="F8" s="6"/>
      <c r="G8" s="2" t="s">
        <v>23</v>
      </c>
    </row>
    <row r="9" spans="2:8" x14ac:dyDescent="0.25">
      <c r="B9" s="9"/>
    </row>
    <row r="10" spans="2:8" ht="15.75" thickBot="1" x14ac:dyDescent="0.3">
      <c r="B10" s="10" t="s">
        <v>1</v>
      </c>
      <c r="C10" s="3" t="s">
        <v>2</v>
      </c>
      <c r="D10" s="3" t="s">
        <v>3</v>
      </c>
      <c r="E10" s="3" t="s">
        <v>4</v>
      </c>
      <c r="F10" s="3" t="s">
        <v>5</v>
      </c>
      <c r="G10" s="3" t="s">
        <v>6</v>
      </c>
      <c r="H10" s="3" t="s">
        <v>7</v>
      </c>
    </row>
    <row r="12" spans="2:8" x14ac:dyDescent="0.25">
      <c r="B12" s="4">
        <v>42062</v>
      </c>
      <c r="C12" s="6" t="s">
        <v>19</v>
      </c>
      <c r="D12" s="6" t="s">
        <v>9</v>
      </c>
      <c r="E12" s="6" t="s">
        <v>15</v>
      </c>
      <c r="F12" s="6" t="s">
        <v>20</v>
      </c>
      <c r="G12" s="8" t="s">
        <v>21</v>
      </c>
      <c r="H12" s="6" t="s">
        <v>22</v>
      </c>
    </row>
    <row r="13" spans="2:8" x14ac:dyDescent="0.25">
      <c r="B13" s="4">
        <v>41715</v>
      </c>
      <c r="C13" s="6" t="s">
        <v>14</v>
      </c>
      <c r="D13" s="6" t="s">
        <v>9</v>
      </c>
      <c r="E13" s="6" t="s">
        <v>15</v>
      </c>
      <c r="F13" s="6" t="s">
        <v>16</v>
      </c>
      <c r="G13" s="8" t="s">
        <v>17</v>
      </c>
      <c r="H13" s="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401"/>
  <sheetViews>
    <sheetView topLeftCell="A262" zoomScale="85" zoomScaleNormal="85" workbookViewId="0">
      <selection activeCell="B29" sqref="B29"/>
    </sheetView>
  </sheetViews>
  <sheetFormatPr defaultRowHeight="15" x14ac:dyDescent="0.25"/>
  <cols>
    <col min="2" max="2" width="82.7109375" bestFit="1" customWidth="1"/>
    <col min="3" max="3" width="14.140625" customWidth="1"/>
    <col min="4" max="4" width="10.140625" customWidth="1"/>
    <col min="5" max="5" width="12.42578125" bestFit="1" customWidth="1"/>
    <col min="6" max="6" width="10.85546875" bestFit="1" customWidth="1"/>
    <col min="7" max="7" width="9.7109375" bestFit="1" customWidth="1"/>
    <col min="8" max="8" width="14.5703125" customWidth="1"/>
    <col min="9" max="9" width="12.85546875" bestFit="1" customWidth="1"/>
    <col min="12" max="12" width="9.7109375" bestFit="1" customWidth="1"/>
    <col min="13" max="13" width="15" customWidth="1"/>
    <col min="14" max="14" width="9.7109375" bestFit="1" customWidth="1"/>
    <col min="15" max="15" width="13.5703125" customWidth="1"/>
    <col min="16" max="16" width="27.140625" customWidth="1"/>
  </cols>
  <sheetData>
    <row r="1" spans="2:15" x14ac:dyDescent="0.25">
      <c r="B1" s="11" t="s">
        <v>25</v>
      </c>
      <c r="C1" s="11"/>
      <c r="D1" s="11"/>
    </row>
    <row r="3" spans="2:15" x14ac:dyDescent="0.25">
      <c r="B3" s="106" t="s">
        <v>24</v>
      </c>
      <c r="C3" s="106"/>
      <c r="D3" s="106"/>
      <c r="E3" s="106"/>
      <c r="F3" s="106"/>
      <c r="G3" s="106"/>
      <c r="H3" s="106"/>
      <c r="I3" s="106"/>
      <c r="J3" s="106"/>
      <c r="K3" s="106"/>
      <c r="L3" s="106"/>
      <c r="M3" s="106"/>
      <c r="N3" s="106"/>
      <c r="O3" s="106"/>
    </row>
    <row r="6" spans="2:15" ht="15.75" thickBot="1" x14ac:dyDescent="0.3">
      <c r="C6" s="13">
        <v>44377</v>
      </c>
      <c r="D6" s="13">
        <v>44012</v>
      </c>
      <c r="E6" s="13">
        <v>43646</v>
      </c>
      <c r="F6" s="13">
        <v>43281</v>
      </c>
      <c r="G6" s="13">
        <v>42916</v>
      </c>
      <c r="H6" s="13">
        <v>42551</v>
      </c>
      <c r="I6" s="13">
        <v>42185</v>
      </c>
      <c r="L6" s="13">
        <v>44561</v>
      </c>
      <c r="M6" s="13">
        <v>44196</v>
      </c>
      <c r="N6" s="13">
        <v>43830</v>
      </c>
      <c r="O6" s="13">
        <v>43465</v>
      </c>
    </row>
    <row r="7" spans="2:15" x14ac:dyDescent="0.25">
      <c r="B7" t="s">
        <v>26</v>
      </c>
      <c r="C7" s="17">
        <v>510.1</v>
      </c>
      <c r="D7" s="17">
        <v>427.8</v>
      </c>
      <c r="E7">
        <v>406.5</v>
      </c>
      <c r="F7">
        <v>327.3</v>
      </c>
      <c r="G7">
        <v>271.8</v>
      </c>
      <c r="H7">
        <v>218.1</v>
      </c>
      <c r="I7">
        <v>167.3</v>
      </c>
      <c r="L7">
        <v>273.7</v>
      </c>
      <c r="M7">
        <v>245.6</v>
      </c>
      <c r="N7">
        <v>224.5</v>
      </c>
      <c r="O7">
        <v>195.1</v>
      </c>
    </row>
    <row r="8" spans="2:15" ht="15.75" thickBot="1" x14ac:dyDescent="0.3">
      <c r="B8" t="s">
        <v>27</v>
      </c>
      <c r="C8" s="14">
        <v>-288.2</v>
      </c>
      <c r="D8" s="14">
        <v>-257.7</v>
      </c>
      <c r="E8" s="14">
        <v>-237.6</v>
      </c>
      <c r="F8" s="14">
        <v>-175.7</v>
      </c>
      <c r="G8" s="14">
        <v>-147.30000000000001</v>
      </c>
      <c r="H8" s="14">
        <v>-111.8</v>
      </c>
      <c r="I8" s="14">
        <v>-88.2</v>
      </c>
      <c r="L8" s="14">
        <v>-159.30000000000001</v>
      </c>
      <c r="M8" s="14">
        <v>-140.19999999999999</v>
      </c>
      <c r="N8" s="14">
        <v>-142.5</v>
      </c>
      <c r="O8" s="14">
        <v>-113.2</v>
      </c>
    </row>
    <row r="9" spans="2:15" s="15" customFormat="1" x14ac:dyDescent="0.25">
      <c r="B9" s="15" t="s">
        <v>28</v>
      </c>
      <c r="C9" s="15">
        <f>SUM(C7:C8)</f>
        <v>221.90000000000003</v>
      </c>
      <c r="D9" s="15">
        <f>SUM(D7:D8)</f>
        <v>170.10000000000002</v>
      </c>
      <c r="E9" s="15">
        <v>168.9</v>
      </c>
      <c r="F9" s="15">
        <v>151.6</v>
      </c>
      <c r="G9" s="15">
        <v>124.5</v>
      </c>
      <c r="H9" s="15">
        <v>106.3</v>
      </c>
      <c r="I9" s="15">
        <v>79.099999999999994</v>
      </c>
      <c r="L9" s="15">
        <f>SUM(L7:L8)</f>
        <v>114.39999999999998</v>
      </c>
      <c r="M9" s="15">
        <f>SUM(M7:M8)</f>
        <v>105.4</v>
      </c>
      <c r="N9" s="15">
        <v>82</v>
      </c>
      <c r="O9" s="15">
        <v>81.900000000000006</v>
      </c>
    </row>
    <row r="11" spans="2:15" ht="15.75" thickBot="1" x14ac:dyDescent="0.3">
      <c r="B11" t="s">
        <v>29</v>
      </c>
      <c r="C11" s="14">
        <v>-181.8</v>
      </c>
      <c r="D11" s="14">
        <v>-151.6</v>
      </c>
      <c r="E11" s="14">
        <v>-153.30000000000001</v>
      </c>
      <c r="F11" s="14">
        <v>-133.9</v>
      </c>
      <c r="G11" s="14">
        <v>-107.3</v>
      </c>
      <c r="H11" s="18">
        <v>-94.5</v>
      </c>
      <c r="I11" s="18">
        <v>-69.3</v>
      </c>
      <c r="L11" s="14">
        <v>-88.1</v>
      </c>
      <c r="M11" s="14">
        <v>-87</v>
      </c>
      <c r="N11" s="14">
        <v>-70.900000000000006</v>
      </c>
      <c r="O11" s="14">
        <v>-78.5</v>
      </c>
    </row>
    <row r="12" spans="2:15" s="15" customFormat="1" x14ac:dyDescent="0.25">
      <c r="B12" s="15" t="s">
        <v>30</v>
      </c>
      <c r="C12" s="15">
        <f>SUM(C9:C11)</f>
        <v>40.100000000000023</v>
      </c>
      <c r="D12" s="15">
        <f>SUM(D9:D11)</f>
        <v>18.500000000000028</v>
      </c>
      <c r="E12" s="15">
        <v>15.6</v>
      </c>
      <c r="F12" s="15">
        <v>17.7</v>
      </c>
      <c r="G12" s="15">
        <v>17.2</v>
      </c>
      <c r="H12" s="15">
        <v>11.8</v>
      </c>
      <c r="I12" s="15">
        <v>9.8000000000000007</v>
      </c>
      <c r="L12" s="15">
        <f>SUM(L9:L11)</f>
        <v>26.299999999999983</v>
      </c>
      <c r="M12" s="15">
        <f>SUM(M9:M11)</f>
        <v>18.400000000000006</v>
      </c>
      <c r="N12" s="15">
        <v>11.1</v>
      </c>
      <c r="O12" s="15">
        <v>3.4</v>
      </c>
    </row>
    <row r="14" spans="2:15" ht="15.75" thickBot="1" x14ac:dyDescent="0.3">
      <c r="B14" t="s">
        <v>31</v>
      </c>
      <c r="C14" s="14">
        <v>-7</v>
      </c>
      <c r="D14" s="14">
        <v>-8.6</v>
      </c>
      <c r="E14" s="14">
        <v>-3.9</v>
      </c>
      <c r="F14" s="16">
        <v>-3.6</v>
      </c>
      <c r="G14" s="14">
        <v>-2.7</v>
      </c>
      <c r="H14" s="14">
        <v>-2.7</v>
      </c>
      <c r="I14" s="14">
        <v>-1.3</v>
      </c>
      <c r="L14" s="14">
        <v>-3.4</v>
      </c>
      <c r="M14" s="14">
        <v>-3.6</v>
      </c>
      <c r="N14" s="14">
        <v>-4.4000000000000004</v>
      </c>
      <c r="O14" s="14">
        <v>-1.8</v>
      </c>
    </row>
    <row r="15" spans="2:15" s="15" customFormat="1" x14ac:dyDescent="0.25">
      <c r="B15" s="15" t="s">
        <v>32</v>
      </c>
      <c r="C15" s="15">
        <f>SUM(C12:C14)</f>
        <v>33.100000000000023</v>
      </c>
      <c r="D15" s="15">
        <f>SUM(D12:D14)</f>
        <v>9.9000000000000288</v>
      </c>
      <c r="E15" s="15">
        <f>SUM(E12:E14)</f>
        <v>11.7</v>
      </c>
      <c r="F15" s="15">
        <v>14.1</v>
      </c>
      <c r="G15" s="15">
        <v>14.5</v>
      </c>
      <c r="H15" s="15">
        <v>9.1</v>
      </c>
      <c r="I15" s="15">
        <v>8.5</v>
      </c>
      <c r="L15" s="15">
        <f>SUM(L12:L14)</f>
        <v>22.899999999999984</v>
      </c>
      <c r="M15" s="15">
        <f>SUM(M12:M14)</f>
        <v>14.800000000000006</v>
      </c>
      <c r="N15" s="15">
        <v>6.7</v>
      </c>
      <c r="O15" s="15">
        <v>1.6</v>
      </c>
    </row>
    <row r="17" spans="2:15" ht="15.75" thickBot="1" x14ac:dyDescent="0.3">
      <c r="B17" t="s">
        <v>33</v>
      </c>
      <c r="C17" s="14">
        <v>-13.8</v>
      </c>
      <c r="D17" s="14">
        <v>-4.2</v>
      </c>
      <c r="E17" s="14">
        <v>-3.5</v>
      </c>
      <c r="F17" s="14">
        <v>-3.4</v>
      </c>
      <c r="G17" s="14">
        <v>-3</v>
      </c>
      <c r="H17" s="14">
        <v>-2.1</v>
      </c>
      <c r="I17" s="14">
        <v>-1.7</v>
      </c>
      <c r="L17" s="14">
        <v>-5.4</v>
      </c>
      <c r="M17" s="14">
        <v>-3.5</v>
      </c>
      <c r="N17" s="14">
        <v>-1.8</v>
      </c>
      <c r="O17" s="14">
        <v>-0.8</v>
      </c>
    </row>
    <row r="18" spans="2:15" s="15" customFormat="1" x14ac:dyDescent="0.25">
      <c r="B18" s="15" t="s">
        <v>34</v>
      </c>
      <c r="C18" s="15">
        <f>SUM(C15:C17)</f>
        <v>19.300000000000022</v>
      </c>
      <c r="D18" s="15">
        <f>SUM(D15:D17)</f>
        <v>5.7000000000000286</v>
      </c>
      <c r="E18" s="15">
        <v>8.1999999999999993</v>
      </c>
      <c r="F18" s="15">
        <v>10.7</v>
      </c>
      <c r="G18" s="15">
        <v>11.5</v>
      </c>
      <c r="H18" s="15">
        <v>7</v>
      </c>
      <c r="I18" s="15">
        <v>6.8</v>
      </c>
      <c r="L18" s="15">
        <f>SUM(L15:L17)</f>
        <v>17.499999999999986</v>
      </c>
      <c r="M18" s="15">
        <f>SUM(M15:M17)</f>
        <v>11.300000000000006</v>
      </c>
      <c r="N18" s="15">
        <v>4.9000000000000004</v>
      </c>
      <c r="O18" s="15">
        <v>0.8</v>
      </c>
    </row>
    <row r="20" spans="2:15" x14ac:dyDescent="0.25">
      <c r="B20" t="s">
        <v>35</v>
      </c>
      <c r="C20" s="12" t="s">
        <v>422</v>
      </c>
      <c r="D20" s="12" t="s">
        <v>445</v>
      </c>
      <c r="E20" s="12" t="s">
        <v>38</v>
      </c>
      <c r="F20" s="12" t="s">
        <v>92</v>
      </c>
      <c r="G20" s="12" t="s">
        <v>93</v>
      </c>
      <c r="H20" s="12" t="s">
        <v>38</v>
      </c>
      <c r="I20" s="12" t="s">
        <v>38</v>
      </c>
      <c r="L20" s="50" t="s">
        <v>421</v>
      </c>
      <c r="M20" s="50" t="s">
        <v>92</v>
      </c>
      <c r="N20" s="12" t="s">
        <v>36</v>
      </c>
      <c r="O20" s="12" t="s">
        <v>37</v>
      </c>
    </row>
    <row r="21" spans="2:15" x14ac:dyDescent="0.25">
      <c r="B21" t="s">
        <v>39</v>
      </c>
      <c r="C21" s="12" t="s">
        <v>424</v>
      </c>
      <c r="D21" s="12" t="s">
        <v>445</v>
      </c>
      <c r="E21" s="12" t="s">
        <v>38</v>
      </c>
      <c r="F21" s="12" t="s">
        <v>94</v>
      </c>
      <c r="G21" s="12" t="s">
        <v>95</v>
      </c>
      <c r="H21" s="12" t="s">
        <v>98</v>
      </c>
      <c r="I21" s="12" t="s">
        <v>98</v>
      </c>
      <c r="L21" s="12" t="s">
        <v>423</v>
      </c>
      <c r="M21" s="12" t="s">
        <v>94</v>
      </c>
      <c r="N21" s="12" t="s">
        <v>36</v>
      </c>
      <c r="O21" s="12" t="s">
        <v>37</v>
      </c>
    </row>
    <row r="23" spans="2:15" x14ac:dyDescent="0.25">
      <c r="B23" t="s">
        <v>428</v>
      </c>
    </row>
    <row r="24" spans="2:15" x14ac:dyDescent="0.25">
      <c r="B24" t="s">
        <v>40</v>
      </c>
      <c r="C24">
        <f>C18</f>
        <v>19.300000000000022</v>
      </c>
      <c r="D24">
        <f>D18</f>
        <v>5.7000000000000286</v>
      </c>
      <c r="E24">
        <v>8.1999999999999993</v>
      </c>
      <c r="F24">
        <v>10.7</v>
      </c>
      <c r="G24">
        <v>11.5</v>
      </c>
      <c r="H24" s="17">
        <v>7</v>
      </c>
      <c r="I24" s="17">
        <v>6.8</v>
      </c>
      <c r="L24">
        <f>L18</f>
        <v>17.499999999999986</v>
      </c>
      <c r="M24">
        <f>M18</f>
        <v>11.300000000000006</v>
      </c>
      <c r="N24">
        <v>4.9000000000000004</v>
      </c>
      <c r="O24">
        <v>0.8</v>
      </c>
    </row>
    <row r="25" spans="2:15" x14ac:dyDescent="0.25">
      <c r="B25" t="s">
        <v>425</v>
      </c>
      <c r="C25">
        <v>0.9</v>
      </c>
      <c r="D25">
        <v>-1.5</v>
      </c>
      <c r="L25">
        <v>1</v>
      </c>
      <c r="M25">
        <v>0.1</v>
      </c>
    </row>
    <row r="26" spans="2:15" x14ac:dyDescent="0.25">
      <c r="B26" t="s">
        <v>426</v>
      </c>
      <c r="C26">
        <v>-0.4</v>
      </c>
      <c r="D26">
        <v>0.5</v>
      </c>
      <c r="L26">
        <v>-0.1</v>
      </c>
      <c r="M26">
        <v>-0.1</v>
      </c>
    </row>
    <row r="27" spans="2:15" x14ac:dyDescent="0.25">
      <c r="B27" s="17" t="s">
        <v>427</v>
      </c>
      <c r="C27">
        <v>-0.1</v>
      </c>
      <c r="D27">
        <v>0.2</v>
      </c>
      <c r="E27">
        <v>-0.1</v>
      </c>
      <c r="F27">
        <v>0.1</v>
      </c>
      <c r="G27">
        <v>0.2</v>
      </c>
      <c r="I27">
        <v>-0.1</v>
      </c>
      <c r="L27" s="17">
        <v>-0.2</v>
      </c>
      <c r="M27" s="15" t="s">
        <v>42</v>
      </c>
      <c r="N27">
        <v>-0.1</v>
      </c>
      <c r="O27" t="s">
        <v>42</v>
      </c>
    </row>
    <row r="28" spans="2:15" x14ac:dyDescent="0.25">
      <c r="B28" t="s">
        <v>43</v>
      </c>
      <c r="C28">
        <v>-0.7</v>
      </c>
      <c r="D28">
        <v>0.6</v>
      </c>
      <c r="E28">
        <v>0.2</v>
      </c>
      <c r="L28">
        <v>-0.5</v>
      </c>
      <c r="M28">
        <v>0.1</v>
      </c>
      <c r="N28">
        <v>0.4</v>
      </c>
      <c r="O28" t="s">
        <v>42</v>
      </c>
    </row>
    <row r="29" spans="2:15" x14ac:dyDescent="0.25">
      <c r="B29" t="s">
        <v>44</v>
      </c>
      <c r="C29">
        <v>-0.3</v>
      </c>
      <c r="D29">
        <v>-0.2</v>
      </c>
      <c r="E29">
        <v>0.1</v>
      </c>
      <c r="F29">
        <v>0.1</v>
      </c>
      <c r="G29">
        <v>0.2</v>
      </c>
      <c r="I29">
        <v>-0.1</v>
      </c>
      <c r="L29">
        <v>0.2</v>
      </c>
      <c r="M29">
        <v>0.1</v>
      </c>
      <c r="N29">
        <v>0.3</v>
      </c>
      <c r="O29" t="s">
        <v>42</v>
      </c>
    </row>
    <row r="30" spans="2:15" x14ac:dyDescent="0.25">
      <c r="B30" t="s">
        <v>45</v>
      </c>
      <c r="C30" s="12">
        <f>SUM(C29+C24)</f>
        <v>19.000000000000021</v>
      </c>
      <c r="D30" s="12">
        <f>SUM(D29+D24)</f>
        <v>5.5000000000000284</v>
      </c>
      <c r="E30">
        <v>8.3000000000000007</v>
      </c>
      <c r="F30">
        <f>SUM(F29+F24)</f>
        <v>10.799999999999999</v>
      </c>
      <c r="G30">
        <f>SUM(G29+G24)</f>
        <v>11.7</v>
      </c>
      <c r="H30">
        <f>SUM(H29+H24)</f>
        <v>7</v>
      </c>
      <c r="I30">
        <f>SUM(I29+I24)</f>
        <v>6.7</v>
      </c>
      <c r="L30" s="12">
        <f>SUM(L29+L24)</f>
        <v>17.699999999999985</v>
      </c>
      <c r="M30" s="12">
        <f>SUM(M29+M24)</f>
        <v>11.400000000000006</v>
      </c>
      <c r="N30" s="12">
        <f>SUM(N29+N24)</f>
        <v>5.2</v>
      </c>
      <c r="O30">
        <v>0.8</v>
      </c>
    </row>
    <row r="33" spans="2:17" x14ac:dyDescent="0.25">
      <c r="B33" s="106" t="s">
        <v>46</v>
      </c>
      <c r="C33" s="106"/>
      <c r="D33" s="106"/>
      <c r="E33" s="106"/>
      <c r="F33" s="106"/>
      <c r="G33" s="106"/>
      <c r="H33" s="106"/>
      <c r="I33" s="106"/>
      <c r="J33" s="106"/>
      <c r="K33" s="106"/>
      <c r="L33" s="106"/>
      <c r="M33" s="106"/>
      <c r="N33" s="106"/>
      <c r="O33" s="106"/>
    </row>
    <row r="36" spans="2:17" ht="15.75" thickBot="1" x14ac:dyDescent="0.3">
      <c r="C36" s="13">
        <v>44377</v>
      </c>
      <c r="D36" s="13">
        <v>44012</v>
      </c>
      <c r="E36" s="13">
        <v>43646</v>
      </c>
      <c r="F36" s="13">
        <v>43281</v>
      </c>
      <c r="G36" s="13">
        <v>42916</v>
      </c>
      <c r="H36" s="13">
        <v>42551</v>
      </c>
      <c r="I36" s="13">
        <v>42185</v>
      </c>
      <c r="L36" s="13">
        <v>44561</v>
      </c>
      <c r="M36" s="13">
        <v>44196</v>
      </c>
      <c r="N36" s="13">
        <v>43830</v>
      </c>
      <c r="O36" s="13">
        <v>43465</v>
      </c>
    </row>
    <row r="38" spans="2:17" x14ac:dyDescent="0.25">
      <c r="B38" t="s">
        <v>48</v>
      </c>
      <c r="C38">
        <v>228.4</v>
      </c>
      <c r="D38">
        <v>229.8</v>
      </c>
      <c r="E38">
        <v>244.5</v>
      </c>
      <c r="F38">
        <v>203.5</v>
      </c>
      <c r="G38">
        <v>167.2</v>
      </c>
      <c r="H38">
        <v>131.5</v>
      </c>
      <c r="I38">
        <v>79.2</v>
      </c>
      <c r="L38">
        <v>217.2</v>
      </c>
      <c r="M38">
        <v>231.1</v>
      </c>
      <c r="N38">
        <v>240.1</v>
      </c>
      <c r="O38">
        <v>251.2</v>
      </c>
      <c r="P38" s="15"/>
      <c r="Q38" s="15"/>
    </row>
    <row r="39" spans="2:17" x14ac:dyDescent="0.25">
      <c r="B39" t="s">
        <v>49</v>
      </c>
      <c r="C39" s="15">
        <v>57.4</v>
      </c>
      <c r="D39" s="15">
        <v>51.6</v>
      </c>
      <c r="E39">
        <v>51.4</v>
      </c>
      <c r="F39">
        <v>47.9</v>
      </c>
      <c r="G39">
        <v>43</v>
      </c>
      <c r="H39">
        <v>32.799999999999997</v>
      </c>
      <c r="I39">
        <v>20</v>
      </c>
      <c r="L39">
        <v>61.9</v>
      </c>
      <c r="M39">
        <v>53</v>
      </c>
      <c r="N39">
        <v>52.6</v>
      </c>
      <c r="O39">
        <v>49.9</v>
      </c>
    </row>
    <row r="40" spans="2:17" x14ac:dyDescent="0.25">
      <c r="B40" t="s">
        <v>50</v>
      </c>
      <c r="C40">
        <v>97.2</v>
      </c>
      <c r="D40">
        <v>98.1</v>
      </c>
      <c r="E40" t="s">
        <v>42</v>
      </c>
      <c r="L40">
        <v>98.9</v>
      </c>
      <c r="M40">
        <v>98.5</v>
      </c>
      <c r="N40">
        <v>111.7</v>
      </c>
      <c r="O40" t="s">
        <v>42</v>
      </c>
    </row>
    <row r="41" spans="2:17" x14ac:dyDescent="0.25">
      <c r="B41" t="s">
        <v>51</v>
      </c>
      <c r="C41">
        <v>0.1</v>
      </c>
      <c r="D41">
        <v>0.1</v>
      </c>
      <c r="E41">
        <v>0.1</v>
      </c>
      <c r="F41">
        <v>0.1</v>
      </c>
      <c r="G41">
        <v>0.1</v>
      </c>
      <c r="H41">
        <v>0.1</v>
      </c>
      <c r="I41">
        <v>0.1</v>
      </c>
      <c r="L41" s="15">
        <v>17.100000000000001</v>
      </c>
      <c r="M41" s="15">
        <v>0.1</v>
      </c>
      <c r="N41">
        <v>0.1</v>
      </c>
      <c r="O41">
        <v>0.1</v>
      </c>
      <c r="P41" s="15"/>
      <c r="Q41" s="15"/>
    </row>
    <row r="42" spans="2:17" x14ac:dyDescent="0.25">
      <c r="B42" t="s">
        <v>52</v>
      </c>
      <c r="C42" s="15" t="s">
        <v>42</v>
      </c>
      <c r="D42" s="15">
        <v>1.1000000000000001</v>
      </c>
      <c r="E42">
        <v>0.2</v>
      </c>
      <c r="F42">
        <v>0.6</v>
      </c>
      <c r="G42">
        <v>2.1</v>
      </c>
      <c r="H42">
        <v>1.8</v>
      </c>
      <c r="I42">
        <v>1.8</v>
      </c>
      <c r="L42">
        <v>0.5</v>
      </c>
      <c r="N42" t="s">
        <v>42</v>
      </c>
      <c r="O42">
        <v>0.6</v>
      </c>
    </row>
    <row r="43" spans="2:17" ht="15.75" thickBot="1" x14ac:dyDescent="0.3">
      <c r="B43" t="s">
        <v>53</v>
      </c>
      <c r="C43" s="14"/>
      <c r="D43" s="14"/>
      <c r="E43" s="14">
        <v>0.1</v>
      </c>
      <c r="F43" s="18">
        <v>0.2</v>
      </c>
      <c r="G43" s="18">
        <v>0.1</v>
      </c>
      <c r="H43" s="14"/>
      <c r="I43" s="14"/>
      <c r="L43" s="14" t="s">
        <v>42</v>
      </c>
      <c r="M43" s="14">
        <v>2.2000000000000002</v>
      </c>
      <c r="N43" s="14" t="s">
        <v>42</v>
      </c>
      <c r="O43" s="14">
        <v>0.2</v>
      </c>
    </row>
    <row r="44" spans="2:17" s="15" customFormat="1" x14ac:dyDescent="0.25">
      <c r="B44" s="15" t="s">
        <v>47</v>
      </c>
      <c r="C44" s="15">
        <f>SUM(C38:C43)</f>
        <v>383.1</v>
      </c>
      <c r="D44" s="15">
        <f>SUM(D38:D43)</f>
        <v>380.70000000000005</v>
      </c>
      <c r="E44" s="15">
        <v>296.3</v>
      </c>
      <c r="F44" s="15">
        <f>SUM(F38:F43)</f>
        <v>252.29999999999998</v>
      </c>
      <c r="G44" s="15">
        <f>SUM(G38:G43)</f>
        <v>212.49999999999997</v>
      </c>
      <c r="H44" s="15">
        <f>SUM(H38:H43)</f>
        <v>166.20000000000002</v>
      </c>
      <c r="I44" s="15">
        <f>SUM(I38:I43)</f>
        <v>101.1</v>
      </c>
      <c r="L44" s="15">
        <f>SUM(L38:L43)</f>
        <v>395.6</v>
      </c>
      <c r="M44" s="15">
        <f>SUM(M38:M43)</f>
        <v>384.90000000000003</v>
      </c>
      <c r="N44" s="15">
        <v>404.5</v>
      </c>
      <c r="O44" s="15">
        <v>302</v>
      </c>
    </row>
    <row r="47" spans="2:17" x14ac:dyDescent="0.25">
      <c r="B47" t="s">
        <v>55</v>
      </c>
      <c r="C47" s="15">
        <v>19.5</v>
      </c>
      <c r="D47" s="15">
        <v>18.7</v>
      </c>
      <c r="E47">
        <v>17</v>
      </c>
      <c r="F47">
        <v>13.5</v>
      </c>
      <c r="G47">
        <v>12.5</v>
      </c>
      <c r="H47">
        <v>9.6999999999999993</v>
      </c>
      <c r="I47">
        <v>5.8</v>
      </c>
      <c r="L47">
        <v>22.6</v>
      </c>
      <c r="M47">
        <v>19.600000000000001</v>
      </c>
      <c r="N47">
        <v>19.100000000000001</v>
      </c>
      <c r="O47">
        <v>15.9</v>
      </c>
      <c r="P47" s="15"/>
      <c r="Q47" s="15"/>
    </row>
    <row r="48" spans="2:17" x14ac:dyDescent="0.25">
      <c r="B48" t="s">
        <v>56</v>
      </c>
      <c r="C48">
        <v>48.1</v>
      </c>
      <c r="D48">
        <v>43.4</v>
      </c>
      <c r="E48">
        <v>51.6</v>
      </c>
      <c r="F48">
        <v>38.200000000000003</v>
      </c>
      <c r="G48">
        <v>30.9</v>
      </c>
      <c r="H48" s="17">
        <v>23.8</v>
      </c>
      <c r="I48" s="17">
        <v>17.100000000000001</v>
      </c>
      <c r="L48" s="17">
        <v>49.5</v>
      </c>
      <c r="M48" s="17">
        <v>44.2</v>
      </c>
      <c r="N48">
        <v>42.8</v>
      </c>
      <c r="O48">
        <v>45.5</v>
      </c>
    </row>
    <row r="49" spans="2:17" x14ac:dyDescent="0.25">
      <c r="B49" s="17" t="s">
        <v>429</v>
      </c>
      <c r="C49">
        <v>0.1</v>
      </c>
      <c r="D49" t="s">
        <v>42</v>
      </c>
      <c r="H49" s="17"/>
      <c r="I49" s="17"/>
      <c r="L49" s="17">
        <v>2.4</v>
      </c>
      <c r="M49" s="17">
        <v>0.3</v>
      </c>
    </row>
    <row r="50" spans="2:17" ht="15.75" thickBot="1" x14ac:dyDescent="0.3">
      <c r="B50" t="s">
        <v>57</v>
      </c>
      <c r="C50" s="14">
        <v>33.700000000000003</v>
      </c>
      <c r="D50" s="14">
        <v>21.5</v>
      </c>
      <c r="E50" s="14">
        <v>12.5</v>
      </c>
      <c r="F50" s="14">
        <v>15</v>
      </c>
      <c r="G50" s="14">
        <v>6.8</v>
      </c>
      <c r="H50" s="14">
        <v>6.7</v>
      </c>
      <c r="I50" s="14">
        <v>3</v>
      </c>
      <c r="L50" s="14">
        <v>21.8</v>
      </c>
      <c r="M50" s="14">
        <v>40.6</v>
      </c>
      <c r="N50" s="14">
        <v>6.9</v>
      </c>
      <c r="O50" s="14">
        <v>12.7</v>
      </c>
    </row>
    <row r="51" spans="2:17" s="15" customFormat="1" x14ac:dyDescent="0.25">
      <c r="B51" s="15" t="s">
        <v>54</v>
      </c>
      <c r="C51" s="15">
        <f>SUM(C47:C50)</f>
        <v>101.39999999999999</v>
      </c>
      <c r="D51" s="15">
        <f>SUM(D47:D50)</f>
        <v>83.6</v>
      </c>
      <c r="E51" s="15">
        <v>81.099999999999994</v>
      </c>
      <c r="F51" s="15">
        <f>SUM(F47:F50)</f>
        <v>66.7</v>
      </c>
      <c r="G51" s="15">
        <f>SUM(G47:G50)</f>
        <v>50.199999999999996</v>
      </c>
      <c r="H51" s="15">
        <f t="shared" ref="H51:I51" si="0">SUM(H47:H50)</f>
        <v>40.200000000000003</v>
      </c>
      <c r="I51" s="15">
        <f t="shared" si="0"/>
        <v>25.900000000000002</v>
      </c>
      <c r="L51" s="15">
        <f>SUM(L47:L50)</f>
        <v>96.3</v>
      </c>
      <c r="M51" s="15">
        <f>SUM(M47:M50)</f>
        <v>104.70000000000002</v>
      </c>
      <c r="N51" s="15">
        <v>68.8</v>
      </c>
      <c r="O51" s="15">
        <v>74.099999999999994</v>
      </c>
      <c r="P51"/>
      <c r="Q51"/>
    </row>
    <row r="52" spans="2:17" ht="15.75" thickBot="1" x14ac:dyDescent="0.3">
      <c r="C52" s="14"/>
      <c r="D52" s="14"/>
      <c r="E52" s="14"/>
      <c r="F52" s="14"/>
      <c r="G52" s="14"/>
      <c r="H52" s="14"/>
      <c r="I52" s="14"/>
      <c r="L52" s="14"/>
      <c r="M52" s="14"/>
      <c r="N52" s="14"/>
      <c r="O52" s="14"/>
    </row>
    <row r="53" spans="2:17" s="15" customFormat="1" x14ac:dyDescent="0.25">
      <c r="B53" s="15" t="s">
        <v>58</v>
      </c>
      <c r="C53" s="15">
        <f>C51+C44</f>
        <v>484.5</v>
      </c>
      <c r="D53" s="15">
        <f>D51+D44</f>
        <v>464.30000000000007</v>
      </c>
      <c r="E53" s="15">
        <v>377.4</v>
      </c>
      <c r="F53" s="15">
        <f>SUM(F51+F44)</f>
        <v>319</v>
      </c>
      <c r="G53" s="15">
        <f>SUM(G51+G44)</f>
        <v>262.7</v>
      </c>
      <c r="H53" s="15">
        <f t="shared" ref="H53:I53" si="1">SUM(H51+H44)</f>
        <v>206.40000000000003</v>
      </c>
      <c r="I53" s="15">
        <f t="shared" si="1"/>
        <v>127</v>
      </c>
      <c r="L53" s="15">
        <f>L51+L44</f>
        <v>491.90000000000003</v>
      </c>
      <c r="M53" s="15">
        <f>M51+M44</f>
        <v>489.6</v>
      </c>
      <c r="N53" s="15">
        <v>473.3</v>
      </c>
      <c r="O53" s="15">
        <v>376.1</v>
      </c>
      <c r="P53"/>
      <c r="Q53"/>
    </row>
    <row r="55" spans="2:17" x14ac:dyDescent="0.25">
      <c r="B55" s="17" t="s">
        <v>250</v>
      </c>
      <c r="C55">
        <v>-3.9</v>
      </c>
      <c r="D55">
        <v>-5</v>
      </c>
      <c r="L55" s="15">
        <v>-3</v>
      </c>
      <c r="M55" s="15">
        <v>-4.5</v>
      </c>
    </row>
    <row r="56" spans="2:17" x14ac:dyDescent="0.25">
      <c r="B56" t="s">
        <v>60</v>
      </c>
      <c r="C56">
        <v>-86</v>
      </c>
      <c r="D56">
        <v>-87.7</v>
      </c>
      <c r="E56">
        <v>-73.7</v>
      </c>
      <c r="F56">
        <v>-53.9</v>
      </c>
      <c r="G56">
        <v>-48.2</v>
      </c>
      <c r="H56">
        <v>-43</v>
      </c>
      <c r="I56">
        <v>-30.4</v>
      </c>
      <c r="L56">
        <v>-77.400000000000006</v>
      </c>
      <c r="M56">
        <v>-100.8</v>
      </c>
      <c r="N56">
        <v>-79.7</v>
      </c>
      <c r="O56">
        <v>-63</v>
      </c>
    </row>
    <row r="57" spans="2:17" x14ac:dyDescent="0.25">
      <c r="B57" t="s">
        <v>61</v>
      </c>
      <c r="C57" t="s">
        <v>42</v>
      </c>
      <c r="D57">
        <v>-0.4</v>
      </c>
      <c r="E57">
        <v>-4.9000000000000004</v>
      </c>
      <c r="F57">
        <v>-3.6</v>
      </c>
      <c r="G57">
        <v>-2.9</v>
      </c>
      <c r="H57" s="15">
        <v>-2.2999999999999998</v>
      </c>
      <c r="I57" s="15">
        <v>-1.7</v>
      </c>
      <c r="N57">
        <v>-2.1</v>
      </c>
      <c r="O57">
        <v>-2</v>
      </c>
    </row>
    <row r="58" spans="2:17" x14ac:dyDescent="0.25">
      <c r="B58" t="s">
        <v>430</v>
      </c>
      <c r="C58">
        <v>-8.6</v>
      </c>
      <c r="D58">
        <v>-8.8000000000000007</v>
      </c>
      <c r="H58" s="15"/>
      <c r="I58" s="15"/>
      <c r="L58">
        <v>-8.6</v>
      </c>
      <c r="M58">
        <v>-9</v>
      </c>
    </row>
    <row r="59" spans="2:17" ht="15.75" thickBot="1" x14ac:dyDescent="0.3">
      <c r="B59" t="s">
        <v>62</v>
      </c>
      <c r="C59" s="14" t="s">
        <v>42</v>
      </c>
      <c r="D59" s="14">
        <v>-0.1</v>
      </c>
      <c r="E59" s="14">
        <v>-0.3</v>
      </c>
      <c r="F59" s="14">
        <v>-0.5</v>
      </c>
      <c r="G59" s="14">
        <v>-3.3</v>
      </c>
      <c r="H59" s="14">
        <v>-30.4</v>
      </c>
      <c r="I59" s="14">
        <v>-14.1</v>
      </c>
      <c r="L59" s="14"/>
      <c r="M59" s="14"/>
      <c r="N59" s="14">
        <v>-0.2</v>
      </c>
      <c r="O59" s="14">
        <v>-0.4</v>
      </c>
    </row>
    <row r="60" spans="2:17" s="15" customFormat="1" x14ac:dyDescent="0.25">
      <c r="B60" s="15" t="s">
        <v>59</v>
      </c>
      <c r="C60" s="15">
        <f>SUM(C55:C59)</f>
        <v>-98.5</v>
      </c>
      <c r="D60" s="15">
        <f>SUM(D55:D59)</f>
        <v>-102</v>
      </c>
      <c r="E60" s="15">
        <v>-78.900000000000006</v>
      </c>
      <c r="F60" s="15">
        <f>SUM(F56:F59)</f>
        <v>-58</v>
      </c>
      <c r="G60" s="15">
        <f>SUM(G56:G59)</f>
        <v>-54.4</v>
      </c>
      <c r="H60" s="15">
        <v>-75.7</v>
      </c>
      <c r="I60" s="15">
        <v>-46.2</v>
      </c>
      <c r="L60" s="15">
        <f>SUM(L55:L59)</f>
        <v>-89</v>
      </c>
      <c r="M60" s="15">
        <f>SUM(M55:M59)</f>
        <v>-114.3</v>
      </c>
      <c r="N60" s="15">
        <v>-82</v>
      </c>
      <c r="O60" s="15">
        <v>-65.400000000000006</v>
      </c>
      <c r="P60"/>
      <c r="Q60"/>
    </row>
    <row r="62" spans="2:17" x14ac:dyDescent="0.25">
      <c r="B62" t="s">
        <v>60</v>
      </c>
      <c r="E62" t="s">
        <v>42</v>
      </c>
      <c r="F62" s="17">
        <v>-83.5</v>
      </c>
      <c r="G62" s="17">
        <v>-103.5</v>
      </c>
      <c r="N62">
        <v>-103.3</v>
      </c>
      <c r="O62" t="s">
        <v>42</v>
      </c>
    </row>
    <row r="63" spans="2:17" x14ac:dyDescent="0.25">
      <c r="B63" t="s">
        <v>62</v>
      </c>
      <c r="C63">
        <v>-83.9</v>
      </c>
      <c r="D63">
        <v>-83.5</v>
      </c>
      <c r="E63">
        <v>-114.2</v>
      </c>
      <c r="F63">
        <v>-19.8</v>
      </c>
      <c r="G63">
        <v>-16.8</v>
      </c>
      <c r="H63">
        <v>-69.400000000000006</v>
      </c>
      <c r="I63">
        <v>-35.1</v>
      </c>
      <c r="L63">
        <v>-84.1</v>
      </c>
      <c r="M63">
        <v>-83.7</v>
      </c>
      <c r="N63">
        <v>-103.5</v>
      </c>
      <c r="O63">
        <v>-129.1</v>
      </c>
    </row>
    <row r="64" spans="2:17" x14ac:dyDescent="0.25">
      <c r="B64" t="s">
        <v>96</v>
      </c>
      <c r="C64">
        <v>-0.4</v>
      </c>
      <c r="D64">
        <v>-0.9</v>
      </c>
      <c r="H64">
        <v>-0.1</v>
      </c>
      <c r="I64">
        <v>-0.1</v>
      </c>
      <c r="M64" s="15">
        <v>-0.9</v>
      </c>
    </row>
    <row r="65" spans="2:17" x14ac:dyDescent="0.25">
      <c r="B65" t="s">
        <v>430</v>
      </c>
      <c r="C65">
        <v>-90.2</v>
      </c>
      <c r="D65">
        <v>-89.8</v>
      </c>
      <c r="L65">
        <v>-92.4</v>
      </c>
      <c r="M65">
        <v>-90.4</v>
      </c>
      <c r="Q65" s="51"/>
    </row>
    <row r="66" spans="2:17" ht="15.75" thickBot="1" x14ac:dyDescent="0.3">
      <c r="B66" t="s">
        <v>64</v>
      </c>
      <c r="C66" s="14">
        <v>-20.399999999999999</v>
      </c>
      <c r="D66" s="14">
        <v>-21.5</v>
      </c>
      <c r="E66" s="14">
        <v>-21.2</v>
      </c>
      <c r="F66" s="14"/>
      <c r="G66" s="14"/>
      <c r="H66" s="14">
        <v>-14.6</v>
      </c>
      <c r="I66" s="14">
        <v>-6.5</v>
      </c>
      <c r="L66" s="14">
        <v>-21.1</v>
      </c>
      <c r="M66" s="14">
        <v>-20.9</v>
      </c>
      <c r="N66" s="14">
        <v>-19.3</v>
      </c>
      <c r="O66" s="14">
        <v>-26.3</v>
      </c>
    </row>
    <row r="67" spans="2:17" s="15" customFormat="1" x14ac:dyDescent="0.25">
      <c r="B67" s="15" t="s">
        <v>63</v>
      </c>
      <c r="C67" s="15">
        <f>SUM(C62:C66)</f>
        <v>-194.9</v>
      </c>
      <c r="D67" s="15">
        <f>SUM(D62:D66)</f>
        <v>-195.7</v>
      </c>
      <c r="E67" s="15">
        <v>-135.4</v>
      </c>
      <c r="F67" s="15">
        <f>SUM(F62:F66)</f>
        <v>-103.3</v>
      </c>
      <c r="G67" s="15">
        <f>SUM(G62:G66)</f>
        <v>-120.3</v>
      </c>
      <c r="H67" s="15">
        <f t="shared" ref="H67:I67" si="2">SUM(H62:H66)</f>
        <v>-84.1</v>
      </c>
      <c r="I67" s="15">
        <f t="shared" si="2"/>
        <v>-41.7</v>
      </c>
      <c r="L67" s="15">
        <f>SUM(L62:L66)</f>
        <v>-197.6</v>
      </c>
      <c r="M67" s="15">
        <f>SUM(M62:M66)</f>
        <v>-195.9</v>
      </c>
      <c r="N67" s="15">
        <v>-226.1</v>
      </c>
      <c r="O67" s="15">
        <v>-155.4</v>
      </c>
      <c r="P67"/>
      <c r="Q67"/>
    </row>
    <row r="68" spans="2:17" ht="15.75" thickBot="1" x14ac:dyDescent="0.3">
      <c r="C68" s="14"/>
      <c r="D68" s="14"/>
      <c r="E68" s="14"/>
      <c r="F68" s="14"/>
      <c r="G68" s="14"/>
      <c r="H68" s="14"/>
      <c r="I68" s="14"/>
      <c r="L68" s="14"/>
      <c r="M68" s="14"/>
      <c r="N68" s="14"/>
      <c r="O68" s="14"/>
    </row>
    <row r="69" spans="2:17" s="15" customFormat="1" x14ac:dyDescent="0.25">
      <c r="B69" s="15" t="s">
        <v>65</v>
      </c>
      <c r="C69" s="15">
        <f>C67+C60</f>
        <v>-293.39999999999998</v>
      </c>
      <c r="D69" s="15">
        <f>D67+D60</f>
        <v>-297.7</v>
      </c>
      <c r="E69" s="15">
        <v>-214.3</v>
      </c>
      <c r="F69" s="15">
        <f>SUM(F67+F60)</f>
        <v>-161.30000000000001</v>
      </c>
      <c r="G69" s="15">
        <f>SUM(G67+G60)</f>
        <v>-174.7</v>
      </c>
      <c r="H69" s="15">
        <v>-159.80000000000001</v>
      </c>
      <c r="I69" s="15">
        <v>-87.9</v>
      </c>
      <c r="L69" s="15">
        <f>L67+L60</f>
        <v>-286.60000000000002</v>
      </c>
      <c r="M69" s="15">
        <f>M67+M60</f>
        <v>-310.2</v>
      </c>
      <c r="N69" s="15">
        <v>-308.10000000000002</v>
      </c>
      <c r="O69" s="15">
        <v>-220.8</v>
      </c>
      <c r="P69"/>
      <c r="Q69"/>
    </row>
    <row r="70" spans="2:17" ht="15.75" thickBot="1" x14ac:dyDescent="0.3">
      <c r="C70" s="14"/>
      <c r="D70" s="14"/>
      <c r="E70" s="14"/>
      <c r="F70" s="14"/>
      <c r="G70" s="14"/>
      <c r="H70" s="14"/>
      <c r="I70" s="14"/>
      <c r="L70" s="14"/>
      <c r="M70" s="14"/>
      <c r="N70" s="14"/>
      <c r="O70" s="14"/>
    </row>
    <row r="71" spans="2:17" s="15" customFormat="1" x14ac:dyDescent="0.25">
      <c r="B71" s="15" t="s">
        <v>66</v>
      </c>
      <c r="C71" s="15">
        <f>C53+C69</f>
        <v>191.10000000000002</v>
      </c>
      <c r="D71" s="15">
        <f>D53+D69</f>
        <v>166.60000000000008</v>
      </c>
      <c r="E71" s="15">
        <v>163.1</v>
      </c>
      <c r="F71" s="15">
        <f>SUM(F53+F69)</f>
        <v>157.69999999999999</v>
      </c>
      <c r="G71" s="15">
        <f>SUM(G53+G69)</f>
        <v>88</v>
      </c>
      <c r="H71" s="15">
        <f t="shared" ref="H71:I71" si="3">SUM(H53+H69)</f>
        <v>46.600000000000023</v>
      </c>
      <c r="I71" s="15">
        <f t="shared" si="3"/>
        <v>39.099999999999994</v>
      </c>
      <c r="L71" s="15">
        <f>L53+L69</f>
        <v>205.3</v>
      </c>
      <c r="M71" s="15">
        <f>M53+M69</f>
        <v>179.40000000000003</v>
      </c>
      <c r="N71" s="15">
        <v>165.2</v>
      </c>
      <c r="O71" s="15">
        <v>155.30000000000001</v>
      </c>
      <c r="P71"/>
      <c r="Q71"/>
    </row>
    <row r="73" spans="2:17" x14ac:dyDescent="0.25">
      <c r="B73" t="s">
        <v>67</v>
      </c>
      <c r="C73">
        <v>0.1</v>
      </c>
      <c r="D73">
        <v>0.1</v>
      </c>
      <c r="E73">
        <v>0.1</v>
      </c>
      <c r="F73">
        <v>0.1</v>
      </c>
      <c r="G73">
        <v>0.1</v>
      </c>
      <c r="N73">
        <v>0.1</v>
      </c>
      <c r="O73">
        <v>0.1</v>
      </c>
      <c r="P73" s="15"/>
      <c r="Q73" s="15"/>
    </row>
    <row r="74" spans="2:17" x14ac:dyDescent="0.25">
      <c r="B74" t="s">
        <v>68</v>
      </c>
      <c r="C74">
        <v>103.1</v>
      </c>
      <c r="D74">
        <v>101.9</v>
      </c>
      <c r="E74">
        <v>99.7</v>
      </c>
      <c r="F74" s="17">
        <v>99.1</v>
      </c>
      <c r="G74" s="17">
        <v>38.1</v>
      </c>
      <c r="H74">
        <v>9.6999999999999993</v>
      </c>
      <c r="I74">
        <v>9.5</v>
      </c>
      <c r="L74">
        <v>103.3</v>
      </c>
      <c r="M74">
        <v>101.9</v>
      </c>
      <c r="N74">
        <v>100.1</v>
      </c>
      <c r="O74">
        <v>99.2</v>
      </c>
    </row>
    <row r="75" spans="2:17" x14ac:dyDescent="0.25">
      <c r="B75" t="s">
        <v>69</v>
      </c>
      <c r="C75">
        <v>0.6</v>
      </c>
      <c r="D75">
        <v>0.6</v>
      </c>
      <c r="E75">
        <v>0.6</v>
      </c>
      <c r="F75">
        <v>0.6</v>
      </c>
      <c r="G75">
        <v>0.6</v>
      </c>
      <c r="H75" s="17">
        <v>0.6</v>
      </c>
      <c r="I75" s="17">
        <v>0.6</v>
      </c>
      <c r="L75">
        <v>0.6</v>
      </c>
      <c r="M75">
        <v>0.6</v>
      </c>
      <c r="N75">
        <v>0.6</v>
      </c>
      <c r="O75">
        <v>0.6</v>
      </c>
    </row>
    <row r="76" spans="2:17" x14ac:dyDescent="0.25">
      <c r="B76" t="s">
        <v>431</v>
      </c>
      <c r="C76" t="s">
        <v>42</v>
      </c>
      <c r="D76">
        <v>-0.3</v>
      </c>
      <c r="H76" s="17"/>
      <c r="I76" s="17"/>
      <c r="L76" t="s">
        <v>42</v>
      </c>
      <c r="M76">
        <v>-0.2</v>
      </c>
    </row>
    <row r="77" spans="2:17" x14ac:dyDescent="0.25">
      <c r="B77" t="s">
        <v>432</v>
      </c>
      <c r="C77" s="15">
        <v>-0.5</v>
      </c>
      <c r="D77" s="15">
        <v>-1.4</v>
      </c>
      <c r="H77" s="17"/>
      <c r="I77" s="17"/>
      <c r="L77">
        <v>0.5</v>
      </c>
      <c r="M77">
        <v>-1.3</v>
      </c>
    </row>
    <row r="78" spans="2:17" x14ac:dyDescent="0.25">
      <c r="B78" t="s">
        <v>433</v>
      </c>
      <c r="C78">
        <v>0.1</v>
      </c>
      <c r="D78">
        <v>0.5</v>
      </c>
      <c r="H78" s="17"/>
      <c r="I78" s="17"/>
      <c r="L78" t="s">
        <v>42</v>
      </c>
      <c r="M78">
        <v>0.4</v>
      </c>
    </row>
    <row r="79" spans="2:17" x14ac:dyDescent="0.25">
      <c r="B79" t="s">
        <v>70</v>
      </c>
      <c r="E79">
        <v>0.1</v>
      </c>
      <c r="F79" s="17">
        <v>0.1</v>
      </c>
      <c r="G79" s="17">
        <v>0.1</v>
      </c>
      <c r="H79">
        <v>0.1</v>
      </c>
      <c r="I79">
        <v>0.1</v>
      </c>
      <c r="N79">
        <v>0.1</v>
      </c>
      <c r="O79">
        <v>0.1</v>
      </c>
    </row>
    <row r="80" spans="2:17" x14ac:dyDescent="0.25">
      <c r="B80" t="s">
        <v>71</v>
      </c>
      <c r="C80">
        <v>-61.4</v>
      </c>
      <c r="D80">
        <v>-61.4</v>
      </c>
      <c r="E80">
        <v>-61.4</v>
      </c>
      <c r="F80">
        <v>-61.4</v>
      </c>
      <c r="G80">
        <v>-61.4</v>
      </c>
      <c r="H80" s="17">
        <v>-61.4</v>
      </c>
      <c r="I80" s="17">
        <v>-61.4</v>
      </c>
      <c r="L80" s="15">
        <v>-61.4</v>
      </c>
      <c r="M80" s="15">
        <v>-61.4</v>
      </c>
      <c r="N80">
        <v>-61.4</v>
      </c>
      <c r="O80">
        <v>-61.4</v>
      </c>
    </row>
    <row r="81" spans="2:17" ht="15.75" thickBot="1" x14ac:dyDescent="0.3">
      <c r="B81" t="s">
        <v>72</v>
      </c>
      <c r="C81" s="14">
        <v>149.1</v>
      </c>
      <c r="D81" s="14">
        <v>126.6</v>
      </c>
      <c r="E81" s="14">
        <v>124</v>
      </c>
      <c r="F81" s="14">
        <v>119.2</v>
      </c>
      <c r="G81" s="14">
        <v>110.5</v>
      </c>
      <c r="H81" s="14">
        <v>97.5</v>
      </c>
      <c r="I81" s="14">
        <v>90.2</v>
      </c>
      <c r="L81" s="14">
        <v>162.19999999999999</v>
      </c>
      <c r="M81" s="14">
        <v>139.30000000000001</v>
      </c>
      <c r="N81" s="14">
        <v>125.7</v>
      </c>
      <c r="O81" s="14">
        <v>116.7</v>
      </c>
    </row>
    <row r="82" spans="2:17" s="15" customFormat="1" x14ac:dyDescent="0.25">
      <c r="B82" s="15" t="s">
        <v>73</v>
      </c>
      <c r="C82" s="15">
        <f t="shared" ref="C82:D82" si="4">SUM(C74:C81)</f>
        <v>190.99999999999997</v>
      </c>
      <c r="D82" s="15">
        <f t="shared" si="4"/>
        <v>166.5</v>
      </c>
      <c r="E82" s="15">
        <v>163.1</v>
      </c>
      <c r="F82" s="15">
        <f>SUM(F73:F81)</f>
        <v>157.69999999999999</v>
      </c>
      <c r="G82" s="15">
        <f>SUM(G73:G81)</f>
        <v>88</v>
      </c>
      <c r="H82" s="15">
        <v>46.6</v>
      </c>
      <c r="I82" s="15">
        <v>39.1</v>
      </c>
      <c r="L82" s="15">
        <f>SUM(L74:L81)</f>
        <v>205.2</v>
      </c>
      <c r="M82" s="42">
        <f>SUM(M74:M81)</f>
        <v>179.3</v>
      </c>
      <c r="N82" s="15">
        <v>165.2</v>
      </c>
      <c r="O82" s="15">
        <v>155.30000000000001</v>
      </c>
    </row>
    <row r="85" spans="2:17" x14ac:dyDescent="0.25">
      <c r="B85" s="106" t="s">
        <v>162</v>
      </c>
      <c r="C85" s="106"/>
      <c r="D85" s="106"/>
      <c r="E85" s="106"/>
      <c r="F85" s="106"/>
      <c r="G85" s="106"/>
      <c r="H85" s="106"/>
      <c r="I85" s="106"/>
      <c r="J85" s="106"/>
      <c r="K85" s="106"/>
      <c r="L85" s="106"/>
      <c r="M85" s="106"/>
      <c r="N85" s="106"/>
      <c r="O85" s="106"/>
    </row>
    <row r="88" spans="2:17" ht="15.75" thickBot="1" x14ac:dyDescent="0.3">
      <c r="C88" s="13">
        <v>44377</v>
      </c>
      <c r="D88" s="13">
        <v>44012</v>
      </c>
      <c r="E88" s="13">
        <v>43646</v>
      </c>
      <c r="F88" s="13">
        <v>43281</v>
      </c>
      <c r="G88" s="13">
        <v>42916</v>
      </c>
      <c r="H88" s="13">
        <v>42551</v>
      </c>
      <c r="I88" s="13">
        <v>42185</v>
      </c>
      <c r="L88" s="13">
        <v>44561</v>
      </c>
      <c r="M88" s="13">
        <v>44196</v>
      </c>
      <c r="N88" s="13">
        <v>43830</v>
      </c>
      <c r="O88" s="13">
        <v>43465</v>
      </c>
    </row>
    <row r="89" spans="2:17" x14ac:dyDescent="0.25">
      <c r="E89" s="52"/>
      <c r="F89" s="52"/>
      <c r="G89" s="52"/>
      <c r="H89" s="52"/>
      <c r="I89" s="52"/>
      <c r="L89" s="52"/>
      <c r="M89" s="52"/>
      <c r="N89" s="52"/>
      <c r="O89" s="52"/>
    </row>
    <row r="90" spans="2:17" x14ac:dyDescent="0.25">
      <c r="B90" s="15" t="s">
        <v>40</v>
      </c>
      <c r="C90">
        <f>C18</f>
        <v>19.300000000000022</v>
      </c>
      <c r="D90">
        <f>D18</f>
        <v>5.7000000000000286</v>
      </c>
      <c r="E90" s="52"/>
      <c r="F90" s="52"/>
      <c r="G90" s="52"/>
      <c r="H90" s="52"/>
      <c r="I90" s="52"/>
      <c r="L90">
        <f>L18</f>
        <v>17.499999999999986</v>
      </c>
      <c r="M90">
        <f>M18</f>
        <v>11.300000000000006</v>
      </c>
    </row>
    <row r="91" spans="2:17" x14ac:dyDescent="0.25">
      <c r="B91" t="s">
        <v>231</v>
      </c>
      <c r="C91">
        <v>13.8</v>
      </c>
      <c r="D91">
        <v>4.2</v>
      </c>
      <c r="E91" s="52"/>
      <c r="F91" s="52"/>
      <c r="G91" s="52"/>
      <c r="H91" s="52"/>
      <c r="I91" s="52"/>
      <c r="L91">
        <v>5.4</v>
      </c>
      <c r="M91">
        <v>3.5</v>
      </c>
    </row>
    <row r="92" spans="2:17" x14ac:dyDescent="0.25">
      <c r="B92" t="s">
        <v>434</v>
      </c>
      <c r="C92">
        <v>7</v>
      </c>
      <c r="D92">
        <v>8.6</v>
      </c>
      <c r="L92">
        <v>3.4</v>
      </c>
      <c r="M92">
        <v>3.6</v>
      </c>
      <c r="P92" s="15"/>
      <c r="Q92" s="15"/>
    </row>
    <row r="93" spans="2:17" x14ac:dyDescent="0.25">
      <c r="B93" t="s">
        <v>435</v>
      </c>
      <c r="C93">
        <v>23.8</v>
      </c>
      <c r="D93">
        <v>22.2</v>
      </c>
      <c r="L93">
        <v>11.3</v>
      </c>
      <c r="M93">
        <v>10.6</v>
      </c>
    </row>
    <row r="94" spans="2:17" x14ac:dyDescent="0.25">
      <c r="B94" t="s">
        <v>436</v>
      </c>
      <c r="C94">
        <v>24.3</v>
      </c>
      <c r="D94">
        <v>24.2</v>
      </c>
      <c r="L94">
        <v>12.4</v>
      </c>
      <c r="M94">
        <v>11.8</v>
      </c>
    </row>
    <row r="95" spans="2:17" x14ac:dyDescent="0.25">
      <c r="B95" t="s">
        <v>437</v>
      </c>
      <c r="C95">
        <v>2.2000000000000002</v>
      </c>
      <c r="D95">
        <v>0.9</v>
      </c>
      <c r="L95">
        <v>1.3</v>
      </c>
      <c r="M95">
        <v>1</v>
      </c>
    </row>
    <row r="96" spans="2:17" x14ac:dyDescent="0.25">
      <c r="B96" s="15" t="s">
        <v>438</v>
      </c>
      <c r="C96">
        <v>-0.4</v>
      </c>
      <c r="D96">
        <v>-1.4</v>
      </c>
      <c r="L96" s="15">
        <v>-3.1</v>
      </c>
      <c r="M96" s="15">
        <v>-0.6</v>
      </c>
    </row>
    <row r="97" spans="2:17" x14ac:dyDescent="0.25">
      <c r="B97" t="s">
        <v>269</v>
      </c>
      <c r="C97">
        <v>-3.4</v>
      </c>
      <c r="D97">
        <v>8.5</v>
      </c>
      <c r="L97">
        <v>2</v>
      </c>
      <c r="M97">
        <v>-0.3</v>
      </c>
    </row>
    <row r="98" spans="2:17" x14ac:dyDescent="0.25">
      <c r="B98" t="s">
        <v>439</v>
      </c>
      <c r="C98">
        <v>-5.2</v>
      </c>
      <c r="D98">
        <v>11.5</v>
      </c>
      <c r="L98">
        <v>-11.4</v>
      </c>
      <c r="M98">
        <v>11.9</v>
      </c>
      <c r="P98" s="15"/>
      <c r="Q98" s="15"/>
    </row>
    <row r="99" spans="2:17" x14ac:dyDescent="0.25">
      <c r="B99" t="s">
        <v>272</v>
      </c>
      <c r="C99">
        <v>-1.1000000000000001</v>
      </c>
      <c r="D99">
        <v>5</v>
      </c>
      <c r="L99">
        <v>-0.9</v>
      </c>
      <c r="M99">
        <v>-0.5</v>
      </c>
    </row>
    <row r="100" spans="2:17" x14ac:dyDescent="0.25">
      <c r="B100" t="s">
        <v>440</v>
      </c>
      <c r="C100">
        <f>SUM(C90:C99)</f>
        <v>80.300000000000011</v>
      </c>
      <c r="D100">
        <f>SUM(D90:D99)</f>
        <v>89.400000000000034</v>
      </c>
      <c r="E100">
        <v>52.1</v>
      </c>
      <c r="F100">
        <v>46.7</v>
      </c>
      <c r="G100">
        <v>37.200000000000003</v>
      </c>
      <c r="H100">
        <v>33.6</v>
      </c>
      <c r="I100">
        <v>22.2</v>
      </c>
      <c r="L100">
        <f>SUM(L90:L99)</f>
        <v>37.899999999999977</v>
      </c>
      <c r="M100">
        <f>SUM(M90:M99)</f>
        <v>52.300000000000011</v>
      </c>
      <c r="N100">
        <v>39.299999999999997</v>
      </c>
      <c r="O100">
        <v>19.600000000000001</v>
      </c>
    </row>
    <row r="101" spans="2:17" x14ac:dyDescent="0.25">
      <c r="B101" t="s">
        <v>446</v>
      </c>
      <c r="C101" t="s">
        <v>42</v>
      </c>
      <c r="D101">
        <v>5.4</v>
      </c>
    </row>
    <row r="102" spans="2:17" x14ac:dyDescent="0.25">
      <c r="B102" t="s">
        <v>75</v>
      </c>
      <c r="E102">
        <v>-7.3</v>
      </c>
      <c r="F102" s="17">
        <v>-6.2</v>
      </c>
      <c r="G102" s="17">
        <v>-5.4</v>
      </c>
      <c r="H102" s="17">
        <v>-3.3</v>
      </c>
      <c r="I102" s="17">
        <v>-2.2999999999999998</v>
      </c>
      <c r="L102">
        <v>-5.5</v>
      </c>
      <c r="M102">
        <v>-6.3</v>
      </c>
      <c r="N102">
        <v>-7.3</v>
      </c>
      <c r="O102">
        <v>-3.1</v>
      </c>
    </row>
    <row r="103" spans="2:17" ht="15.75" thickBot="1" x14ac:dyDescent="0.3">
      <c r="B103" t="s">
        <v>76</v>
      </c>
      <c r="C103" s="14"/>
      <c r="D103" s="14"/>
      <c r="E103" s="14">
        <v>-3.4</v>
      </c>
      <c r="F103" s="14">
        <v>-3.1</v>
      </c>
      <c r="G103" s="14">
        <v>-2.1</v>
      </c>
      <c r="H103" s="14">
        <v>-2.4</v>
      </c>
      <c r="I103" s="14">
        <v>-1.3</v>
      </c>
      <c r="L103" s="14">
        <v>-3.2</v>
      </c>
      <c r="M103" s="14">
        <v>-3.9</v>
      </c>
      <c r="N103" s="14">
        <v>-1.8</v>
      </c>
      <c r="O103" s="14">
        <v>-1.5</v>
      </c>
    </row>
    <row r="104" spans="2:17" x14ac:dyDescent="0.25">
      <c r="B104" s="15" t="s">
        <v>77</v>
      </c>
      <c r="C104" s="15">
        <f t="shared" ref="C104:D104" si="5">SUM(C100:C103)</f>
        <v>80.300000000000011</v>
      </c>
      <c r="D104" s="15">
        <f t="shared" si="5"/>
        <v>94.80000000000004</v>
      </c>
      <c r="E104" s="15">
        <v>41.4</v>
      </c>
      <c r="F104" s="15">
        <v>37.4</v>
      </c>
      <c r="G104" s="15">
        <v>29.7</v>
      </c>
      <c r="H104">
        <v>27.9</v>
      </c>
      <c r="I104">
        <v>18.600000000000001</v>
      </c>
      <c r="J104" s="15"/>
      <c r="L104" s="15">
        <f>SUM(L100:L103)</f>
        <v>29.199999999999978</v>
      </c>
      <c r="M104" s="15">
        <f>SUM(M100:M103)</f>
        <v>42.100000000000016</v>
      </c>
      <c r="N104" s="15">
        <v>30.2</v>
      </c>
      <c r="O104" s="15">
        <v>15</v>
      </c>
    </row>
    <row r="106" spans="2:17" x14ac:dyDescent="0.25">
      <c r="B106" t="s">
        <v>442</v>
      </c>
    </row>
    <row r="107" spans="2:17" x14ac:dyDescent="0.25">
      <c r="B107" t="s">
        <v>441</v>
      </c>
      <c r="C107">
        <v>-19.399999999999999</v>
      </c>
      <c r="D107">
        <v>-7.2</v>
      </c>
      <c r="L107">
        <v>-19.7</v>
      </c>
    </row>
    <row r="108" spans="2:17" x14ac:dyDescent="0.25">
      <c r="B108" t="s">
        <v>79</v>
      </c>
      <c r="E108">
        <v>-56.6</v>
      </c>
      <c r="F108">
        <v>-50.3</v>
      </c>
      <c r="G108">
        <v>-46.9</v>
      </c>
      <c r="H108">
        <v>-53.5</v>
      </c>
      <c r="I108">
        <v>-21.1</v>
      </c>
      <c r="L108">
        <v>-0.4</v>
      </c>
      <c r="M108">
        <v>-10.6</v>
      </c>
      <c r="N108">
        <v>-7</v>
      </c>
      <c r="O108">
        <v>-52.2</v>
      </c>
    </row>
    <row r="109" spans="2:17" x14ac:dyDescent="0.25">
      <c r="B109" t="s">
        <v>80</v>
      </c>
      <c r="C109">
        <v>-16.100000000000001</v>
      </c>
      <c r="D109">
        <v>-11.1</v>
      </c>
      <c r="E109">
        <v>-11.9</v>
      </c>
      <c r="F109">
        <v>-10.199999999999999</v>
      </c>
      <c r="G109">
        <v>-13.3</v>
      </c>
      <c r="H109">
        <v>-11.3</v>
      </c>
      <c r="I109">
        <v>-6.1</v>
      </c>
      <c r="L109">
        <v>-10.3</v>
      </c>
      <c r="M109">
        <v>-6</v>
      </c>
      <c r="N109">
        <v>-6.5</v>
      </c>
      <c r="O109">
        <v>-6</v>
      </c>
    </row>
    <row r="110" spans="2:17" ht="15.75" thickBot="1" x14ac:dyDescent="0.3">
      <c r="B110" t="s">
        <v>81</v>
      </c>
      <c r="C110" s="14">
        <v>-0.5</v>
      </c>
      <c r="D110" s="14">
        <v>-1.3</v>
      </c>
      <c r="E110" s="14">
        <v>-1</v>
      </c>
      <c r="F110" s="18">
        <v>-0.5</v>
      </c>
      <c r="G110" s="18">
        <v>-0.5</v>
      </c>
      <c r="H110" s="18">
        <v>-0.2</v>
      </c>
      <c r="I110" s="18">
        <v>-0.4</v>
      </c>
      <c r="L110" s="14">
        <v>-0.3</v>
      </c>
      <c r="M110" s="14">
        <v>-0.2</v>
      </c>
      <c r="N110" s="14">
        <v>-0.3</v>
      </c>
      <c r="O110" s="14">
        <v>-0.2</v>
      </c>
    </row>
    <row r="111" spans="2:17" s="15" customFormat="1" x14ac:dyDescent="0.25">
      <c r="B111" s="15" t="s">
        <v>82</v>
      </c>
      <c r="C111" s="15">
        <f t="shared" ref="C111:D111" si="6">SUM(C107:C110)</f>
        <v>-36</v>
      </c>
      <c r="D111" s="15">
        <f t="shared" si="6"/>
        <v>-19.600000000000001</v>
      </c>
      <c r="E111" s="15">
        <v>-69.5</v>
      </c>
      <c r="F111" s="15">
        <v>-61</v>
      </c>
      <c r="G111" s="15">
        <v>-60.7</v>
      </c>
      <c r="H111" s="15">
        <v>-65</v>
      </c>
      <c r="I111" s="15">
        <v>-27.6</v>
      </c>
      <c r="L111" s="15">
        <f>SUM(L107:L110)</f>
        <v>-30.7</v>
      </c>
      <c r="M111" s="15">
        <f>SUM(M107:M110)</f>
        <v>-16.8</v>
      </c>
      <c r="N111" s="15">
        <v>-13.8</v>
      </c>
      <c r="O111" s="15">
        <v>-58.4</v>
      </c>
    </row>
    <row r="113" spans="2:15" x14ac:dyDescent="0.25">
      <c r="B113" t="s">
        <v>84</v>
      </c>
      <c r="C113" t="s">
        <v>42</v>
      </c>
      <c r="D113">
        <v>-3.9</v>
      </c>
      <c r="E113">
        <v>-3.5</v>
      </c>
      <c r="F113">
        <v>-2.9</v>
      </c>
      <c r="G113">
        <v>-2.1</v>
      </c>
      <c r="H113">
        <v>-1.8</v>
      </c>
      <c r="I113">
        <v>-1.5</v>
      </c>
      <c r="L113">
        <v>-4.5999999999999996</v>
      </c>
      <c r="N113">
        <v>-3.9</v>
      </c>
      <c r="O113">
        <v>-3.5</v>
      </c>
    </row>
    <row r="114" spans="2:15" x14ac:dyDescent="0.25">
      <c r="B114" t="s">
        <v>85</v>
      </c>
      <c r="C114">
        <v>1.2</v>
      </c>
      <c r="D114">
        <v>0.1</v>
      </c>
      <c r="E114">
        <v>0.6</v>
      </c>
      <c r="F114">
        <v>1.9</v>
      </c>
      <c r="G114">
        <v>1</v>
      </c>
      <c r="H114">
        <v>0.2</v>
      </c>
      <c r="I114">
        <v>0.3</v>
      </c>
      <c r="L114">
        <v>0.2</v>
      </c>
      <c r="N114">
        <v>0.4</v>
      </c>
      <c r="O114">
        <v>0.2</v>
      </c>
    </row>
    <row r="115" spans="2:15" x14ac:dyDescent="0.25">
      <c r="B115" t="s">
        <v>97</v>
      </c>
      <c r="F115">
        <v>59.1</v>
      </c>
      <c r="G115">
        <v>29.6</v>
      </c>
    </row>
    <row r="116" spans="2:15" x14ac:dyDescent="0.25">
      <c r="B116" t="s">
        <v>444</v>
      </c>
      <c r="C116">
        <v>0.3</v>
      </c>
      <c r="D116">
        <v>0.9</v>
      </c>
      <c r="L116" s="15" t="s">
        <v>42</v>
      </c>
      <c r="M116" s="17">
        <v>0.1</v>
      </c>
    </row>
    <row r="117" spans="2:15" x14ac:dyDescent="0.25">
      <c r="B117" t="s">
        <v>86</v>
      </c>
      <c r="C117" t="s">
        <v>42</v>
      </c>
      <c r="D117">
        <v>-1.7</v>
      </c>
      <c r="E117">
        <v>-0.3</v>
      </c>
      <c r="F117">
        <v>-0.3</v>
      </c>
      <c r="G117" t="s">
        <v>42</v>
      </c>
      <c r="H117">
        <v>-1.3</v>
      </c>
      <c r="I117">
        <v>-0.5</v>
      </c>
      <c r="N117" t="s">
        <v>42</v>
      </c>
      <c r="O117">
        <v>-0.3</v>
      </c>
    </row>
    <row r="118" spans="2:15" x14ac:dyDescent="0.25">
      <c r="B118" t="s">
        <v>443</v>
      </c>
      <c r="C118">
        <v>-13</v>
      </c>
      <c r="D118">
        <v>-14.2</v>
      </c>
      <c r="L118">
        <v>-6.1</v>
      </c>
      <c r="M118">
        <v>-6.2</v>
      </c>
    </row>
    <row r="119" spans="2:15" x14ac:dyDescent="0.25">
      <c r="B119" t="s">
        <v>288</v>
      </c>
      <c r="C119">
        <v>-1.1000000000000001</v>
      </c>
      <c r="D119">
        <v>-65.2</v>
      </c>
      <c r="E119">
        <v>28.8</v>
      </c>
      <c r="F119">
        <v>-26</v>
      </c>
      <c r="G119">
        <v>-1.8</v>
      </c>
      <c r="H119">
        <v>43.7</v>
      </c>
      <c r="I119">
        <v>11.5</v>
      </c>
      <c r="L119" t="s">
        <v>42</v>
      </c>
      <c r="M119">
        <v>-0.1</v>
      </c>
      <c r="N119">
        <v>-11.1</v>
      </c>
      <c r="O119">
        <v>44.7</v>
      </c>
    </row>
    <row r="120" spans="2:15" x14ac:dyDescent="0.25">
      <c r="B120" s="15" t="s">
        <v>447</v>
      </c>
      <c r="C120" s="15" t="s">
        <v>42</v>
      </c>
      <c r="D120" s="17">
        <v>35</v>
      </c>
    </row>
    <row r="121" spans="2:15" ht="15.75" thickBot="1" x14ac:dyDescent="0.3">
      <c r="B121" t="s">
        <v>87</v>
      </c>
      <c r="C121" s="14"/>
      <c r="D121" s="14"/>
      <c r="E121" s="14" t="s">
        <v>42</v>
      </c>
      <c r="F121" s="14"/>
      <c r="G121" s="14"/>
      <c r="H121" s="14"/>
      <c r="I121" s="14"/>
      <c r="L121" s="14"/>
      <c r="M121" s="14"/>
      <c r="N121" s="14">
        <v>-7.4</v>
      </c>
      <c r="O121" s="14" t="s">
        <v>42</v>
      </c>
    </row>
    <row r="122" spans="2:15" s="15" customFormat="1" x14ac:dyDescent="0.25">
      <c r="B122" s="15" t="s">
        <v>88</v>
      </c>
      <c r="C122" s="15">
        <f>SUM(C113:C121)</f>
        <v>-12.6</v>
      </c>
      <c r="D122" s="15">
        <f>SUM(D113:D121)</f>
        <v>-49</v>
      </c>
      <c r="E122" s="15">
        <v>25.6</v>
      </c>
      <c r="F122" s="15">
        <v>31.8</v>
      </c>
      <c r="G122" s="15">
        <v>31.1</v>
      </c>
      <c r="H122" s="15">
        <v>40.799999999999997</v>
      </c>
      <c r="I122" s="15">
        <v>9.8000000000000007</v>
      </c>
      <c r="L122" s="15">
        <f>SUM(L113:L121)</f>
        <v>-10.5</v>
      </c>
      <c r="M122" s="15">
        <f>SUM(M113:M121)</f>
        <v>-6.2</v>
      </c>
      <c r="N122" s="15">
        <v>-22</v>
      </c>
      <c r="O122" s="15">
        <v>41.1</v>
      </c>
    </row>
    <row r="124" spans="2:15" x14ac:dyDescent="0.25">
      <c r="B124" t="s">
        <v>89</v>
      </c>
      <c r="C124">
        <v>12.2</v>
      </c>
      <c r="D124">
        <v>9</v>
      </c>
      <c r="E124">
        <v>-2.5</v>
      </c>
      <c r="F124">
        <v>8.1999999999999993</v>
      </c>
      <c r="G124">
        <v>0.1</v>
      </c>
      <c r="H124">
        <v>3.7</v>
      </c>
      <c r="I124">
        <v>0.8</v>
      </c>
      <c r="L124">
        <v>-11.9</v>
      </c>
      <c r="M124">
        <v>19.100000000000001</v>
      </c>
      <c r="N124">
        <v>-5.6</v>
      </c>
      <c r="O124">
        <v>-2.2999999999999998</v>
      </c>
    </row>
    <row r="125" spans="2:15" x14ac:dyDescent="0.25">
      <c r="B125" t="s">
        <v>90</v>
      </c>
      <c r="C125">
        <v>21.5</v>
      </c>
      <c r="D125">
        <v>12.5</v>
      </c>
      <c r="E125">
        <v>15</v>
      </c>
      <c r="F125">
        <v>6.8</v>
      </c>
      <c r="G125">
        <v>6.7</v>
      </c>
      <c r="H125" s="17">
        <v>3</v>
      </c>
      <c r="I125" s="17">
        <v>2.2000000000000002</v>
      </c>
      <c r="L125">
        <v>33.700000000000003</v>
      </c>
      <c r="M125">
        <v>21.5</v>
      </c>
      <c r="N125">
        <v>12.5</v>
      </c>
      <c r="O125">
        <v>15</v>
      </c>
    </row>
    <row r="126" spans="2:15" x14ac:dyDescent="0.25">
      <c r="B126" t="s">
        <v>91</v>
      </c>
      <c r="C126">
        <v>33.700000000000003</v>
      </c>
      <c r="D126">
        <v>21.5</v>
      </c>
      <c r="E126">
        <v>12.5</v>
      </c>
      <c r="F126">
        <v>15</v>
      </c>
      <c r="G126">
        <v>6.8</v>
      </c>
      <c r="H126">
        <v>6.7</v>
      </c>
      <c r="I126">
        <v>3</v>
      </c>
      <c r="L126">
        <v>21.8</v>
      </c>
      <c r="M126">
        <v>40.6</v>
      </c>
      <c r="N126">
        <v>6.9</v>
      </c>
      <c r="O126">
        <v>12.7</v>
      </c>
    </row>
    <row r="129" spans="2:15" x14ac:dyDescent="0.25">
      <c r="B129" s="106" t="s">
        <v>99</v>
      </c>
      <c r="C129" s="106"/>
      <c r="D129" s="106"/>
      <c r="E129" s="106"/>
      <c r="F129" s="106"/>
      <c r="G129" s="106"/>
      <c r="H129" s="106"/>
      <c r="I129" s="106"/>
      <c r="J129" s="106"/>
      <c r="K129" s="106"/>
      <c r="L129" s="106"/>
      <c r="M129" s="106"/>
      <c r="N129" s="106"/>
      <c r="O129" s="106"/>
    </row>
    <row r="131" spans="2:15" ht="15.75" thickBot="1" x14ac:dyDescent="0.3">
      <c r="E131" s="19" t="s">
        <v>112</v>
      </c>
      <c r="F131" s="19" t="s">
        <v>113</v>
      </c>
      <c r="G131" s="19" t="s">
        <v>114</v>
      </c>
      <c r="I131" s="20" t="s">
        <v>116</v>
      </c>
    </row>
    <row r="132" spans="2:15" x14ac:dyDescent="0.25">
      <c r="B132" t="s">
        <v>100</v>
      </c>
      <c r="E132">
        <v>61</v>
      </c>
      <c r="F132">
        <v>3</v>
      </c>
    </row>
    <row r="133" spans="2:15" x14ac:dyDescent="0.25">
      <c r="B133" t="s">
        <v>101</v>
      </c>
      <c r="E133">
        <v>13</v>
      </c>
    </row>
    <row r="134" spans="2:15" x14ac:dyDescent="0.25">
      <c r="B134" t="s">
        <v>102</v>
      </c>
      <c r="E134">
        <v>44</v>
      </c>
      <c r="F134">
        <v>2</v>
      </c>
    </row>
    <row r="135" spans="2:15" x14ac:dyDescent="0.25">
      <c r="B135" t="s">
        <v>103</v>
      </c>
      <c r="E135">
        <v>22</v>
      </c>
    </row>
    <row r="136" spans="2:15" x14ac:dyDescent="0.25">
      <c r="B136" t="s">
        <v>104</v>
      </c>
      <c r="E136">
        <v>42</v>
      </c>
    </row>
    <row r="137" spans="2:15" x14ac:dyDescent="0.25">
      <c r="B137" t="s">
        <v>105</v>
      </c>
      <c r="E137">
        <v>43</v>
      </c>
    </row>
    <row r="138" spans="2:15" x14ac:dyDescent="0.25">
      <c r="B138" t="s">
        <v>106</v>
      </c>
      <c r="E138">
        <v>46</v>
      </c>
      <c r="G138">
        <v>1</v>
      </c>
    </row>
    <row r="139" spans="2:15" x14ac:dyDescent="0.25">
      <c r="B139" t="s">
        <v>107</v>
      </c>
      <c r="E139">
        <v>75</v>
      </c>
      <c r="F139">
        <v>1</v>
      </c>
      <c r="G139">
        <v>1</v>
      </c>
    </row>
    <row r="140" spans="2:15" x14ac:dyDescent="0.25">
      <c r="B140" t="s">
        <v>108</v>
      </c>
      <c r="E140">
        <v>131</v>
      </c>
      <c r="F140">
        <v>1</v>
      </c>
      <c r="G140">
        <v>2</v>
      </c>
    </row>
    <row r="141" spans="2:15" x14ac:dyDescent="0.25">
      <c r="B141" t="s">
        <v>109</v>
      </c>
      <c r="E141">
        <v>2</v>
      </c>
    </row>
    <row r="142" spans="2:15" x14ac:dyDescent="0.25">
      <c r="B142" t="s">
        <v>110</v>
      </c>
      <c r="E142">
        <v>25</v>
      </c>
    </row>
    <row r="143" spans="2:15" ht="15.75" thickBot="1" x14ac:dyDescent="0.3">
      <c r="B143" t="s">
        <v>111</v>
      </c>
      <c r="E143" s="14">
        <v>6</v>
      </c>
      <c r="F143" s="14"/>
      <c r="G143" s="14"/>
      <c r="H143" s="14"/>
      <c r="I143" s="14"/>
    </row>
    <row r="144" spans="2:15" s="15" customFormat="1" x14ac:dyDescent="0.25">
      <c r="B144" s="15" t="s">
        <v>115</v>
      </c>
      <c r="E144" s="15">
        <f>SUM(E132:E143)</f>
        <v>510</v>
      </c>
      <c r="F144" s="15">
        <f>SUM(F132:F143)</f>
        <v>7</v>
      </c>
      <c r="G144" s="15">
        <f>SUM(G132:G143)</f>
        <v>4</v>
      </c>
      <c r="I144" s="15">
        <f>SUM(E144:H144)</f>
        <v>521</v>
      </c>
    </row>
    <row r="146" spans="2:15" x14ac:dyDescent="0.25">
      <c r="B146" s="106" t="s">
        <v>117</v>
      </c>
      <c r="C146" s="106"/>
      <c r="D146" s="106"/>
      <c r="E146" s="106"/>
      <c r="F146" s="106"/>
      <c r="G146" s="106"/>
      <c r="H146" s="106"/>
      <c r="I146" s="106"/>
      <c r="J146" s="106"/>
      <c r="K146" s="106"/>
      <c r="L146" s="106"/>
      <c r="M146" s="106"/>
      <c r="N146" s="106"/>
      <c r="O146" s="106"/>
    </row>
    <row r="148" spans="2:15" ht="15.75" thickBot="1" x14ac:dyDescent="0.3">
      <c r="E148" s="13">
        <v>43646</v>
      </c>
      <c r="F148" s="13">
        <v>43281</v>
      </c>
      <c r="G148" s="13">
        <v>42916</v>
      </c>
      <c r="H148" s="13">
        <v>42551</v>
      </c>
    </row>
    <row r="149" spans="2:15" x14ac:dyDescent="0.25">
      <c r="B149" s="15" t="s">
        <v>118</v>
      </c>
      <c r="C149" s="15"/>
      <c r="D149" s="15"/>
      <c r="E149" s="22">
        <v>401000</v>
      </c>
      <c r="F149" s="22">
        <v>362000</v>
      </c>
      <c r="G149" s="22">
        <v>306000</v>
      </c>
      <c r="H149" s="22">
        <v>253000</v>
      </c>
    </row>
    <row r="150" spans="2:15" x14ac:dyDescent="0.25">
      <c r="B150" s="21"/>
      <c r="C150" s="21"/>
      <c r="D150" s="21"/>
      <c r="E150" s="22"/>
    </row>
    <row r="151" spans="2:15" x14ac:dyDescent="0.25">
      <c r="B151" s="21"/>
      <c r="C151" s="21"/>
      <c r="D151" s="21"/>
      <c r="E151" s="22"/>
    </row>
    <row r="152" spans="2:15" x14ac:dyDescent="0.25">
      <c r="B152" s="21"/>
      <c r="C152" s="21"/>
      <c r="D152" s="21"/>
      <c r="E152" s="22"/>
    </row>
    <row r="154" spans="2:15" x14ac:dyDescent="0.25">
      <c r="B154" s="106" t="s">
        <v>119</v>
      </c>
      <c r="C154" s="106"/>
      <c r="D154" s="106"/>
      <c r="E154" s="106"/>
      <c r="F154" s="106"/>
      <c r="G154" s="106"/>
      <c r="H154" s="106"/>
      <c r="I154" s="106"/>
      <c r="J154" s="106"/>
      <c r="K154" s="106"/>
      <c r="L154" s="106"/>
      <c r="M154" s="106"/>
      <c r="N154" s="106"/>
      <c r="O154" s="106"/>
    </row>
    <row r="156" spans="2:15" ht="15.75" thickBot="1" x14ac:dyDescent="0.3">
      <c r="E156" s="13">
        <v>43646</v>
      </c>
      <c r="F156" s="13">
        <v>43281</v>
      </c>
      <c r="G156" s="13">
        <v>42916</v>
      </c>
      <c r="H156" s="13">
        <v>42551</v>
      </c>
    </row>
    <row r="157" spans="2:15" x14ac:dyDescent="0.25">
      <c r="B157" s="21" t="s">
        <v>154</v>
      </c>
      <c r="C157" s="21"/>
      <c r="D157" s="21"/>
      <c r="E157" s="23">
        <v>5.1999999999999998E-2</v>
      </c>
      <c r="F157" s="23">
        <v>4.9000000000000002E-2</v>
      </c>
      <c r="G157" s="23">
        <v>6.3E-2</v>
      </c>
      <c r="H157" s="23">
        <v>4.8000000000000001E-2</v>
      </c>
    </row>
    <row r="158" spans="2:15" x14ac:dyDescent="0.25">
      <c r="B158" s="21"/>
      <c r="C158" s="21"/>
      <c r="D158" s="21"/>
    </row>
    <row r="159" spans="2:15" x14ac:dyDescent="0.25">
      <c r="B159" s="21"/>
      <c r="C159" s="21"/>
      <c r="D159" s="21"/>
    </row>
    <row r="160" spans="2:15" x14ac:dyDescent="0.25">
      <c r="B160" s="21"/>
      <c r="C160" s="21"/>
      <c r="D160" s="21"/>
    </row>
    <row r="162" spans="2:15" x14ac:dyDescent="0.25">
      <c r="B162" s="106" t="s">
        <v>120</v>
      </c>
      <c r="C162" s="106"/>
      <c r="D162" s="106"/>
      <c r="E162" s="106"/>
      <c r="F162" s="106"/>
      <c r="G162" s="106"/>
      <c r="H162" s="106"/>
      <c r="I162" s="106"/>
      <c r="J162" s="106"/>
      <c r="K162" s="106"/>
      <c r="L162" s="106"/>
      <c r="M162" s="106"/>
      <c r="N162" s="106"/>
      <c r="O162" s="106"/>
    </row>
    <row r="164" spans="2:15" ht="15.75" thickBot="1" x14ac:dyDescent="0.3">
      <c r="E164" s="13">
        <v>43646</v>
      </c>
      <c r="F164" s="13">
        <v>43281</v>
      </c>
      <c r="G164" s="13">
        <v>42916</v>
      </c>
      <c r="H164" s="13">
        <v>42551</v>
      </c>
      <c r="I164" s="13">
        <v>42185</v>
      </c>
    </row>
    <row r="165" spans="2:15" x14ac:dyDescent="0.25">
      <c r="B165" t="s">
        <v>121</v>
      </c>
      <c r="E165">
        <v>370.7</v>
      </c>
      <c r="F165">
        <v>297.5</v>
      </c>
      <c r="G165">
        <v>247.9</v>
      </c>
      <c r="H165">
        <v>198.1</v>
      </c>
    </row>
    <row r="166" spans="2:15" x14ac:dyDescent="0.25">
      <c r="B166" t="s">
        <v>122</v>
      </c>
      <c r="E166">
        <v>20.100000000000001</v>
      </c>
      <c r="F166">
        <v>17.899999999999999</v>
      </c>
      <c r="G166">
        <v>16.3</v>
      </c>
      <c r="H166">
        <v>14.8</v>
      </c>
    </row>
    <row r="167" spans="2:15" x14ac:dyDescent="0.25">
      <c r="B167" t="s">
        <v>113</v>
      </c>
      <c r="E167">
        <v>7.3</v>
      </c>
      <c r="F167">
        <v>6.6</v>
      </c>
      <c r="G167">
        <v>6.3</v>
      </c>
      <c r="H167">
        <v>5</v>
      </c>
    </row>
    <row r="168" spans="2:15" x14ac:dyDescent="0.25">
      <c r="B168" t="s">
        <v>123</v>
      </c>
      <c r="E168">
        <v>23.3</v>
      </c>
      <c r="F168">
        <v>18.8</v>
      </c>
      <c r="G168">
        <v>13</v>
      </c>
      <c r="H168">
        <v>8.4</v>
      </c>
      <c r="N168" s="23"/>
    </row>
    <row r="169" spans="2:15" ht="15.75" thickBot="1" x14ac:dyDescent="0.3">
      <c r="B169" t="s">
        <v>155</v>
      </c>
      <c r="E169" s="14">
        <v>-14.9</v>
      </c>
      <c r="F169" s="14">
        <v>-13.5</v>
      </c>
      <c r="G169" s="14"/>
      <c r="H169" s="14"/>
      <c r="I169" s="14"/>
      <c r="N169" s="23"/>
    </row>
    <row r="170" spans="2:15" s="15" customFormat="1" x14ac:dyDescent="0.25">
      <c r="B170" s="15" t="s">
        <v>115</v>
      </c>
      <c r="E170" s="15">
        <f>SUM(E165:E169)</f>
        <v>406.50000000000006</v>
      </c>
      <c r="F170" s="15">
        <f>SUM(F165:F169)</f>
        <v>327.3</v>
      </c>
      <c r="N170" s="28"/>
    </row>
    <row r="171" spans="2:15" x14ac:dyDescent="0.25">
      <c r="N171" s="23"/>
    </row>
    <row r="172" spans="2:15" x14ac:dyDescent="0.25">
      <c r="B172" t="s">
        <v>124</v>
      </c>
      <c r="E172">
        <v>401</v>
      </c>
      <c r="F172">
        <v>362</v>
      </c>
      <c r="G172">
        <v>306</v>
      </c>
      <c r="H172">
        <v>253</v>
      </c>
      <c r="N172" s="23"/>
    </row>
    <row r="173" spans="2:15" x14ac:dyDescent="0.25">
      <c r="B173" t="s">
        <v>125</v>
      </c>
      <c r="E173">
        <v>433</v>
      </c>
      <c r="F173">
        <v>424</v>
      </c>
      <c r="G173">
        <v>405</v>
      </c>
      <c r="H173">
        <v>380</v>
      </c>
    </row>
    <row r="174" spans="2:15" x14ac:dyDescent="0.25">
      <c r="B174" t="s">
        <v>126</v>
      </c>
      <c r="E174">
        <v>149</v>
      </c>
      <c r="F174">
        <v>135</v>
      </c>
      <c r="G174">
        <v>142</v>
      </c>
      <c r="H174">
        <v>118</v>
      </c>
    </row>
    <row r="175" spans="2:15" x14ac:dyDescent="0.25">
      <c r="B175" t="s">
        <v>127</v>
      </c>
      <c r="E175">
        <v>224</v>
      </c>
      <c r="F175">
        <v>204</v>
      </c>
      <c r="G175">
        <v>170</v>
      </c>
      <c r="H175">
        <v>125</v>
      </c>
    </row>
    <row r="179" spans="2:17" x14ac:dyDescent="0.25">
      <c r="B179" s="106" t="s">
        <v>138</v>
      </c>
      <c r="C179" s="106"/>
      <c r="D179" s="106"/>
      <c r="E179" s="106"/>
      <c r="F179" s="106"/>
      <c r="G179" s="106"/>
      <c r="H179" s="106"/>
      <c r="I179" s="106"/>
      <c r="J179" s="106"/>
      <c r="K179" s="106"/>
      <c r="L179" s="106"/>
      <c r="M179" s="106"/>
      <c r="N179" s="106"/>
      <c r="O179" s="106"/>
    </row>
    <row r="181" spans="2:17" s="15" customFormat="1" x14ac:dyDescent="0.25">
      <c r="E181" s="108">
        <v>2019</v>
      </c>
      <c r="F181" s="108"/>
      <c r="G181" s="108"/>
      <c r="H181" s="108"/>
      <c r="I181" s="108"/>
      <c r="J181" s="108"/>
      <c r="L181">
        <v>2018</v>
      </c>
      <c r="M181"/>
      <c r="N181"/>
      <c r="O181"/>
      <c r="P181"/>
      <c r="Q181"/>
    </row>
    <row r="182" spans="2:17" s="15" customFormat="1" ht="15.75" thickBot="1" x14ac:dyDescent="0.3">
      <c r="E182" s="19" t="s">
        <v>133</v>
      </c>
      <c r="F182" s="19" t="s">
        <v>134</v>
      </c>
      <c r="G182" s="19" t="s">
        <v>135</v>
      </c>
      <c r="H182" s="19" t="s">
        <v>136</v>
      </c>
      <c r="I182" s="19" t="s">
        <v>137</v>
      </c>
      <c r="J182" s="19" t="s">
        <v>115</v>
      </c>
      <c r="L182" s="19" t="s">
        <v>133</v>
      </c>
      <c r="M182" s="19" t="s">
        <v>134</v>
      </c>
      <c r="N182" s="19" t="s">
        <v>135</v>
      </c>
      <c r="O182" s="19" t="s">
        <v>136</v>
      </c>
      <c r="P182" s="19" t="s">
        <v>137</v>
      </c>
      <c r="Q182" s="19" t="s">
        <v>115</v>
      </c>
    </row>
    <row r="183" spans="2:17" x14ac:dyDescent="0.25">
      <c r="B183" t="s">
        <v>129</v>
      </c>
      <c r="E183">
        <v>416</v>
      </c>
      <c r="F183">
        <v>38</v>
      </c>
      <c r="G183">
        <v>44</v>
      </c>
      <c r="I183">
        <v>282</v>
      </c>
      <c r="J183">
        <f t="shared" ref="J183:J189" si="7">SUM(E183:I183)</f>
        <v>780</v>
      </c>
      <c r="L183">
        <v>406</v>
      </c>
      <c r="M183">
        <v>38</v>
      </c>
      <c r="N183">
        <v>43</v>
      </c>
      <c r="P183">
        <v>398</v>
      </c>
      <c r="Q183">
        <f t="shared" ref="Q183:Q189" si="8">SUM(L183:P183)</f>
        <v>885</v>
      </c>
    </row>
    <row r="184" spans="2:17" x14ac:dyDescent="0.25">
      <c r="B184" t="s">
        <v>140</v>
      </c>
      <c r="E184">
        <v>89</v>
      </c>
      <c r="F184">
        <v>12</v>
      </c>
      <c r="G184">
        <v>9</v>
      </c>
      <c r="I184">
        <v>208</v>
      </c>
      <c r="J184">
        <f t="shared" si="7"/>
        <v>318</v>
      </c>
      <c r="L184">
        <v>264</v>
      </c>
      <c r="M184">
        <v>19</v>
      </c>
      <c r="N184">
        <v>28</v>
      </c>
      <c r="P184">
        <v>206</v>
      </c>
      <c r="Q184">
        <f t="shared" si="8"/>
        <v>517</v>
      </c>
    </row>
    <row r="185" spans="2:17" x14ac:dyDescent="0.25">
      <c r="B185" t="s">
        <v>128</v>
      </c>
      <c r="E185">
        <v>113</v>
      </c>
      <c r="J185">
        <f t="shared" si="7"/>
        <v>113</v>
      </c>
      <c r="L185">
        <v>113</v>
      </c>
      <c r="Q185">
        <f t="shared" si="8"/>
        <v>113</v>
      </c>
    </row>
    <row r="186" spans="2:17" x14ac:dyDescent="0.25">
      <c r="B186" t="s">
        <v>130</v>
      </c>
      <c r="E186">
        <v>46</v>
      </c>
      <c r="F186">
        <v>9</v>
      </c>
      <c r="G186">
        <v>28</v>
      </c>
      <c r="J186">
        <f t="shared" si="7"/>
        <v>83</v>
      </c>
      <c r="L186">
        <v>46</v>
      </c>
      <c r="Q186">
        <f t="shared" si="8"/>
        <v>46</v>
      </c>
    </row>
    <row r="187" spans="2:17" x14ac:dyDescent="0.25">
      <c r="B187" t="s">
        <v>139</v>
      </c>
      <c r="E187">
        <v>232</v>
      </c>
      <c r="J187">
        <f t="shared" si="7"/>
        <v>232</v>
      </c>
      <c r="Q187">
        <f t="shared" si="8"/>
        <v>0</v>
      </c>
    </row>
    <row r="188" spans="2:17" x14ac:dyDescent="0.25">
      <c r="B188" t="s">
        <v>131</v>
      </c>
      <c r="E188">
        <v>46</v>
      </c>
      <c r="J188">
        <f t="shared" si="7"/>
        <v>46</v>
      </c>
      <c r="L188">
        <v>23</v>
      </c>
      <c r="Q188">
        <f t="shared" si="8"/>
        <v>23</v>
      </c>
    </row>
    <row r="189" spans="2:17" ht="15.75" thickBot="1" x14ac:dyDescent="0.3">
      <c r="B189" t="s">
        <v>132</v>
      </c>
      <c r="J189" s="27">
        <f t="shared" si="7"/>
        <v>0</v>
      </c>
      <c r="Q189" s="27">
        <f t="shared" si="8"/>
        <v>0</v>
      </c>
    </row>
    <row r="190" spans="2:17" x14ac:dyDescent="0.25">
      <c r="J190" s="15">
        <f>SUM(J183:J189)</f>
        <v>1572</v>
      </c>
      <c r="K190" s="15"/>
      <c r="L190" s="15"/>
      <c r="M190" s="15"/>
      <c r="N190" s="15"/>
      <c r="O190" s="15"/>
      <c r="P190" s="15"/>
      <c r="Q190" s="15">
        <f>SUM(Q183:Q189)</f>
        <v>1584</v>
      </c>
    </row>
    <row r="192" spans="2:17" x14ac:dyDescent="0.25">
      <c r="B192" s="106" t="s">
        <v>141</v>
      </c>
      <c r="C192" s="106"/>
      <c r="D192" s="106"/>
      <c r="E192" s="106"/>
      <c r="F192" s="106"/>
      <c r="G192" s="106"/>
      <c r="H192" s="106"/>
      <c r="I192" s="106"/>
      <c r="J192" s="106"/>
      <c r="K192" s="106"/>
      <c r="L192" s="106"/>
      <c r="M192" s="106"/>
      <c r="N192" s="106"/>
      <c r="O192" s="106"/>
    </row>
    <row r="194" spans="2:15" x14ac:dyDescent="0.25">
      <c r="E194" s="107">
        <v>43646</v>
      </c>
      <c r="F194" s="107"/>
    </row>
    <row r="195" spans="2:15" ht="15.75" thickBot="1" x14ac:dyDescent="0.3">
      <c r="E195" s="19" t="s">
        <v>152</v>
      </c>
      <c r="F195" s="19" t="s">
        <v>153</v>
      </c>
    </row>
    <row r="196" spans="2:15" x14ac:dyDescent="0.25">
      <c r="B196" t="s">
        <v>142</v>
      </c>
      <c r="E196" s="24">
        <v>5766044</v>
      </c>
      <c r="F196" s="25">
        <v>8.1600000000000006E-2</v>
      </c>
    </row>
    <row r="197" spans="2:15" x14ac:dyDescent="0.25">
      <c r="B197" t="s">
        <v>143</v>
      </c>
      <c r="E197" s="24">
        <v>5648725</v>
      </c>
      <c r="F197" s="26">
        <v>0.08</v>
      </c>
    </row>
    <row r="198" spans="2:15" x14ac:dyDescent="0.25">
      <c r="B198" t="s">
        <v>144</v>
      </c>
      <c r="E198" s="24">
        <v>5586750</v>
      </c>
      <c r="F198" s="25">
        <v>7.9100000000000004E-2</v>
      </c>
    </row>
    <row r="199" spans="2:15" x14ac:dyDescent="0.25">
      <c r="B199" t="s">
        <v>145</v>
      </c>
      <c r="E199" s="24">
        <v>4115661</v>
      </c>
      <c r="F199" s="25">
        <v>5.8299999999999998E-2</v>
      </c>
    </row>
    <row r="200" spans="2:15" x14ac:dyDescent="0.25">
      <c r="B200" t="s">
        <v>146</v>
      </c>
      <c r="E200" s="24">
        <v>4021492</v>
      </c>
      <c r="F200" s="25">
        <v>5.6899999999999999E-2</v>
      </c>
    </row>
    <row r="201" spans="2:15" x14ac:dyDescent="0.25">
      <c r="B201" t="s">
        <v>147</v>
      </c>
      <c r="E201" s="24">
        <v>3854607</v>
      </c>
      <c r="F201" s="25">
        <v>5.4600000000000003E-2</v>
      </c>
    </row>
    <row r="202" spans="2:15" x14ac:dyDescent="0.25">
      <c r="B202" t="s">
        <v>148</v>
      </c>
      <c r="E202" s="24">
        <v>3152701</v>
      </c>
      <c r="F202" s="25">
        <v>4.4600000000000001E-2</v>
      </c>
    </row>
    <row r="203" spans="2:15" x14ac:dyDescent="0.25">
      <c r="B203" t="s">
        <v>149</v>
      </c>
      <c r="E203" s="24">
        <v>2992020</v>
      </c>
      <c r="F203" s="25">
        <v>4.2299999999999997E-2</v>
      </c>
    </row>
    <row r="204" spans="2:15" x14ac:dyDescent="0.25">
      <c r="B204" t="s">
        <v>150</v>
      </c>
      <c r="E204" s="24">
        <v>2494434</v>
      </c>
      <c r="F204" s="25">
        <v>3.5299999999999998E-2</v>
      </c>
    </row>
    <row r="205" spans="2:15" x14ac:dyDescent="0.25">
      <c r="B205" t="s">
        <v>151</v>
      </c>
      <c r="E205" s="24">
        <v>2316597</v>
      </c>
      <c r="F205" s="25">
        <v>3.2800000000000003E-2</v>
      </c>
    </row>
    <row r="208" spans="2:15" x14ac:dyDescent="0.25">
      <c r="B208" s="106" t="s">
        <v>156</v>
      </c>
      <c r="C208" s="106"/>
      <c r="D208" s="106"/>
      <c r="E208" s="106"/>
      <c r="F208" s="106"/>
      <c r="G208" s="106"/>
      <c r="H208" s="106"/>
      <c r="I208" s="106"/>
      <c r="J208" s="106"/>
      <c r="K208" s="106"/>
      <c r="L208" s="106"/>
      <c r="M208" s="106"/>
      <c r="N208" s="106"/>
      <c r="O208" s="106"/>
    </row>
    <row r="209" spans="2:6" x14ac:dyDescent="0.25">
      <c r="B209" t="s">
        <v>157</v>
      </c>
    </row>
    <row r="211" spans="2:6" ht="15.75" thickBot="1" x14ac:dyDescent="0.3">
      <c r="B211" t="s">
        <v>158</v>
      </c>
      <c r="E211" s="13">
        <v>43646</v>
      </c>
      <c r="F211" s="13">
        <v>43281</v>
      </c>
    </row>
    <row r="212" spans="2:6" x14ac:dyDescent="0.25">
      <c r="B212" t="s">
        <v>159</v>
      </c>
      <c r="E212">
        <v>0.3</v>
      </c>
      <c r="F212">
        <v>0.5</v>
      </c>
    </row>
    <row r="213" spans="2:6" x14ac:dyDescent="0.25">
      <c r="B213" t="s">
        <v>160</v>
      </c>
      <c r="E213" t="s">
        <v>42</v>
      </c>
      <c r="F213">
        <v>0.1</v>
      </c>
    </row>
    <row r="214" spans="2:6" ht="15.75" thickBot="1" x14ac:dyDescent="0.3">
      <c r="B214" t="s">
        <v>161</v>
      </c>
      <c r="E214" s="14">
        <v>114.2</v>
      </c>
      <c r="F214" s="14">
        <v>83.4</v>
      </c>
    </row>
    <row r="215" spans="2:6" s="15" customFormat="1" x14ac:dyDescent="0.25">
      <c r="B215" s="15" t="s">
        <v>115</v>
      </c>
      <c r="E215" s="15">
        <v>114.5</v>
      </c>
      <c r="F215" s="15">
        <v>84</v>
      </c>
    </row>
    <row r="216" spans="2:6" s="15" customFormat="1" x14ac:dyDescent="0.25"/>
    <row r="217" spans="2:6" s="15" customFormat="1" ht="15.75" thickBot="1" x14ac:dyDescent="0.3">
      <c r="B217" s="17" t="s">
        <v>219</v>
      </c>
      <c r="C217" s="17"/>
      <c r="D217" s="17"/>
      <c r="E217" s="18">
        <v>-12.5</v>
      </c>
      <c r="F217" s="18">
        <v>-15</v>
      </c>
    </row>
    <row r="218" spans="2:6" s="15" customFormat="1" x14ac:dyDescent="0.25">
      <c r="B218" s="15" t="s">
        <v>220</v>
      </c>
      <c r="E218" s="15">
        <f>SUM(E215:E217)</f>
        <v>102</v>
      </c>
      <c r="F218" s="15">
        <f>SUM(F215:F217)</f>
        <v>69</v>
      </c>
    </row>
    <row r="232" spans="2:15" x14ac:dyDescent="0.25">
      <c r="B232" s="106" t="s">
        <v>163</v>
      </c>
      <c r="C232" s="106"/>
      <c r="D232" s="106"/>
      <c r="E232" s="106"/>
      <c r="F232" s="106"/>
      <c r="G232" s="106"/>
      <c r="H232" s="106"/>
      <c r="I232" s="106"/>
      <c r="J232" s="106"/>
      <c r="K232" s="106"/>
      <c r="L232" s="106"/>
      <c r="M232" s="106"/>
      <c r="N232" s="106"/>
      <c r="O232" s="106"/>
    </row>
    <row r="234" spans="2:15" ht="15.75" thickBot="1" x14ac:dyDescent="0.3">
      <c r="E234" s="13">
        <v>43646</v>
      </c>
      <c r="F234" s="13">
        <v>43281</v>
      </c>
    </row>
    <row r="235" spans="2:15" x14ac:dyDescent="0.25">
      <c r="B235" t="s">
        <v>164</v>
      </c>
      <c r="E235" s="22">
        <v>162.19999999999999</v>
      </c>
      <c r="F235" s="22">
        <v>133.4</v>
      </c>
    </row>
    <row r="236" spans="2:15" x14ac:dyDescent="0.25">
      <c r="B236" t="s">
        <v>165</v>
      </c>
      <c r="E236" s="22">
        <v>15.4</v>
      </c>
      <c r="F236" s="22">
        <v>12</v>
      </c>
    </row>
    <row r="237" spans="2:15" x14ac:dyDescent="0.25">
      <c r="B237" t="s">
        <v>166</v>
      </c>
      <c r="E237" s="22">
        <v>3.3</v>
      </c>
      <c r="F237" s="22">
        <v>1.8</v>
      </c>
    </row>
    <row r="238" spans="2:15" ht="15.75" thickBot="1" x14ac:dyDescent="0.3">
      <c r="B238" t="s">
        <v>167</v>
      </c>
      <c r="E238" s="29">
        <v>0.1</v>
      </c>
      <c r="F238" s="29">
        <v>1.3</v>
      </c>
    </row>
    <row r="239" spans="2:15" x14ac:dyDescent="0.25">
      <c r="B239" s="15" t="s">
        <v>115</v>
      </c>
      <c r="C239" s="15"/>
      <c r="D239" s="15"/>
      <c r="E239" s="30">
        <f>SUM(E235:E238)</f>
        <v>181</v>
      </c>
      <c r="F239" s="30">
        <f>SUM(F235:F238)</f>
        <v>148.50000000000003</v>
      </c>
    </row>
    <row r="240" spans="2:15" x14ac:dyDescent="0.25">
      <c r="E240" s="22"/>
      <c r="F240" s="22"/>
    </row>
    <row r="241" spans="2:6" x14ac:dyDescent="0.25">
      <c r="B241" t="s">
        <v>168</v>
      </c>
      <c r="E241" s="22">
        <v>1640</v>
      </c>
      <c r="F241" s="22">
        <v>1419</v>
      </c>
    </row>
    <row r="242" spans="2:6" x14ac:dyDescent="0.25">
      <c r="B242" t="s">
        <v>169</v>
      </c>
      <c r="E242" s="22">
        <v>4519</v>
      </c>
      <c r="F242" s="22">
        <v>3956</v>
      </c>
    </row>
    <row r="243" spans="2:6" x14ac:dyDescent="0.25">
      <c r="B243" t="s">
        <v>170</v>
      </c>
      <c r="E243" s="22">
        <v>78</v>
      </c>
      <c r="F243" s="22">
        <v>78</v>
      </c>
    </row>
    <row r="244" spans="2:6" ht="15.75" thickBot="1" x14ac:dyDescent="0.3">
      <c r="B244" t="s">
        <v>171</v>
      </c>
      <c r="E244" s="29">
        <v>175</v>
      </c>
      <c r="F244" s="29">
        <v>189</v>
      </c>
    </row>
    <row r="245" spans="2:6" x14ac:dyDescent="0.25">
      <c r="B245" s="15" t="s">
        <v>115</v>
      </c>
      <c r="C245" s="15"/>
      <c r="D245" s="15"/>
      <c r="E245" s="30">
        <f>SUM(E241:E244)</f>
        <v>6412</v>
      </c>
      <c r="F245" s="30">
        <f>SUM(F241:F244)</f>
        <v>5642</v>
      </c>
    </row>
    <row r="246" spans="2:6" x14ac:dyDescent="0.25">
      <c r="E246" s="22"/>
      <c r="F246" s="22"/>
    </row>
    <row r="247" spans="2:6" x14ac:dyDescent="0.25">
      <c r="B247" s="15" t="s">
        <v>172</v>
      </c>
      <c r="C247" s="15"/>
      <c r="D247" s="15"/>
      <c r="E247" s="22"/>
      <c r="F247" s="22"/>
    </row>
    <row r="248" spans="2:6" x14ac:dyDescent="0.25">
      <c r="B248" t="s">
        <v>173</v>
      </c>
      <c r="E248">
        <v>2.6</v>
      </c>
      <c r="F248">
        <v>2</v>
      </c>
    </row>
    <row r="249" spans="2:6" x14ac:dyDescent="0.25">
      <c r="B249" t="s">
        <v>174</v>
      </c>
      <c r="E249">
        <v>0.2</v>
      </c>
      <c r="F249">
        <v>0.1</v>
      </c>
    </row>
    <row r="250" spans="2:6" ht="15.75" thickBot="1" x14ac:dyDescent="0.3">
      <c r="B250" t="s">
        <v>167</v>
      </c>
      <c r="E250" s="14"/>
      <c r="F250" s="14">
        <v>0.9</v>
      </c>
    </row>
    <row r="251" spans="2:6" s="15" customFormat="1" x14ac:dyDescent="0.25">
      <c r="B251" s="15" t="s">
        <v>115</v>
      </c>
      <c r="E251" s="15">
        <f>SUM(E248:E250)</f>
        <v>2.8000000000000003</v>
      </c>
      <c r="F251" s="15">
        <f>SUM(F248:F250)</f>
        <v>3</v>
      </c>
    </row>
    <row r="253" spans="2:6" x14ac:dyDescent="0.25">
      <c r="B253" t="s">
        <v>175</v>
      </c>
    </row>
    <row r="254" spans="2:6" x14ac:dyDescent="0.25">
      <c r="B254" t="s">
        <v>176</v>
      </c>
      <c r="E254">
        <v>1.4</v>
      </c>
      <c r="F254">
        <v>1.3</v>
      </c>
    </row>
    <row r="255" spans="2:6" ht="15.75" thickBot="1" x14ac:dyDescent="0.3">
      <c r="B255" t="s">
        <v>177</v>
      </c>
      <c r="E255" s="14">
        <v>0.2</v>
      </c>
      <c r="F255" s="14">
        <v>0.2</v>
      </c>
    </row>
    <row r="256" spans="2:6" s="15" customFormat="1" x14ac:dyDescent="0.25">
      <c r="B256" s="15" t="s">
        <v>115</v>
      </c>
      <c r="E256" s="15">
        <f>SUM(E254:E255)</f>
        <v>1.5999999999999999</v>
      </c>
      <c r="F256" s="15">
        <f>SUM(F254:F255)</f>
        <v>1.5</v>
      </c>
    </row>
    <row r="259" spans="2:15" x14ac:dyDescent="0.25">
      <c r="B259" s="106" t="s">
        <v>184</v>
      </c>
      <c r="C259" s="106"/>
      <c r="D259" s="106"/>
      <c r="E259" s="106"/>
      <c r="F259" s="106"/>
      <c r="G259" s="106"/>
      <c r="H259" s="106"/>
      <c r="I259" s="106"/>
      <c r="J259" s="106"/>
      <c r="K259" s="106"/>
      <c r="L259" s="106"/>
      <c r="M259" s="106"/>
      <c r="N259" s="106"/>
      <c r="O259" s="106"/>
    </row>
    <row r="261" spans="2:15" ht="15.75" thickBot="1" x14ac:dyDescent="0.3">
      <c r="E261" s="13">
        <v>43646</v>
      </c>
      <c r="F261" s="13">
        <v>43281</v>
      </c>
    </row>
    <row r="262" spans="2:15" x14ac:dyDescent="0.25">
      <c r="B262" t="s">
        <v>185</v>
      </c>
      <c r="E262">
        <v>22.2</v>
      </c>
      <c r="F262">
        <v>18.399999999999999</v>
      </c>
    </row>
    <row r="263" spans="2:15" x14ac:dyDescent="0.25">
      <c r="B263" t="s">
        <v>186</v>
      </c>
      <c r="E263">
        <v>9.1999999999999993</v>
      </c>
      <c r="F263">
        <v>8</v>
      </c>
    </row>
    <row r="264" spans="2:15" x14ac:dyDescent="0.25">
      <c r="B264" t="s">
        <v>187</v>
      </c>
      <c r="E264">
        <v>181</v>
      </c>
      <c r="F264">
        <v>148.5</v>
      </c>
    </row>
    <row r="265" spans="2:15" x14ac:dyDescent="0.25">
      <c r="B265" t="s">
        <v>188</v>
      </c>
      <c r="E265">
        <v>92.2</v>
      </c>
      <c r="F265">
        <v>62.6</v>
      </c>
    </row>
    <row r="266" spans="2:15" x14ac:dyDescent="0.25">
      <c r="B266" t="s">
        <v>189</v>
      </c>
      <c r="E266">
        <v>4.8</v>
      </c>
      <c r="F266">
        <v>4</v>
      </c>
    </row>
    <row r="267" spans="2:15" x14ac:dyDescent="0.25">
      <c r="B267" t="s">
        <v>190</v>
      </c>
      <c r="E267">
        <v>0.8</v>
      </c>
      <c r="F267">
        <v>1.4</v>
      </c>
    </row>
    <row r="268" spans="2:15" x14ac:dyDescent="0.25">
      <c r="B268" t="s">
        <v>191</v>
      </c>
      <c r="E268">
        <v>17.100000000000001</v>
      </c>
      <c r="F268">
        <v>14.3</v>
      </c>
    </row>
    <row r="269" spans="2:15" ht="15.75" thickBot="1" x14ac:dyDescent="0.3">
      <c r="B269" t="s">
        <v>192</v>
      </c>
      <c r="E269" s="14">
        <v>63.6</v>
      </c>
      <c r="F269" s="14">
        <v>52.4</v>
      </c>
    </row>
    <row r="270" spans="2:15" x14ac:dyDescent="0.25">
      <c r="B270" t="s">
        <v>193</v>
      </c>
      <c r="E270" s="15">
        <f>SUM(E262:E269)</f>
        <v>390.90000000000009</v>
      </c>
      <c r="F270" s="15">
        <f>SUM(F262:F269)</f>
        <v>309.59999999999997</v>
      </c>
    </row>
    <row r="272" spans="2:15" x14ac:dyDescent="0.25">
      <c r="B272" s="106" t="s">
        <v>194</v>
      </c>
      <c r="C272" s="106"/>
      <c r="D272" s="106"/>
      <c r="E272" s="106"/>
      <c r="F272" s="106"/>
      <c r="G272" s="106"/>
      <c r="H272" s="106"/>
      <c r="I272" s="106"/>
      <c r="J272" s="106"/>
      <c r="K272" s="106"/>
      <c r="L272" s="106"/>
      <c r="M272" s="106"/>
      <c r="N272" s="106"/>
      <c r="O272" s="106"/>
    </row>
    <row r="274" spans="2:15" ht="15.75" thickBot="1" x14ac:dyDescent="0.3">
      <c r="E274" s="13">
        <v>43646</v>
      </c>
      <c r="F274" s="13">
        <v>43281</v>
      </c>
    </row>
    <row r="275" spans="2:15" x14ac:dyDescent="0.25">
      <c r="B275" t="s">
        <v>195</v>
      </c>
      <c r="E275">
        <v>3.4</v>
      </c>
      <c r="F275">
        <v>3.2</v>
      </c>
    </row>
    <row r="276" spans="2:15" ht="15.75" thickBot="1" x14ac:dyDescent="0.3">
      <c r="B276" t="s">
        <v>196</v>
      </c>
      <c r="E276" s="14">
        <v>0.5</v>
      </c>
      <c r="F276" s="14">
        <v>0.4</v>
      </c>
    </row>
    <row r="277" spans="2:15" x14ac:dyDescent="0.25">
      <c r="B277" t="s">
        <v>115</v>
      </c>
      <c r="E277" s="15">
        <f>SUM(E275:E276)</f>
        <v>3.9</v>
      </c>
      <c r="F277" s="15">
        <f>SUM(F275:F276)</f>
        <v>3.6</v>
      </c>
    </row>
    <row r="280" spans="2:15" x14ac:dyDescent="0.25">
      <c r="B280" s="106" t="s">
        <v>197</v>
      </c>
      <c r="C280" s="106"/>
      <c r="D280" s="106"/>
      <c r="E280" s="106"/>
      <c r="F280" s="106"/>
      <c r="G280" s="106"/>
      <c r="H280" s="106"/>
      <c r="I280" s="106"/>
      <c r="J280" s="106"/>
      <c r="K280" s="106"/>
      <c r="L280" s="106"/>
      <c r="M280" s="106"/>
      <c r="N280" s="106"/>
      <c r="O280" s="106"/>
    </row>
    <row r="283" spans="2:15" x14ac:dyDescent="0.25">
      <c r="B283" t="s">
        <v>199</v>
      </c>
    </row>
    <row r="299" spans="2:2" x14ac:dyDescent="0.25">
      <c r="B299" t="s">
        <v>200</v>
      </c>
    </row>
    <row r="342" spans="2:15" x14ac:dyDescent="0.25">
      <c r="B342" s="106" t="s">
        <v>198</v>
      </c>
      <c r="C342" s="106"/>
      <c r="D342" s="106"/>
      <c r="E342" s="106"/>
      <c r="F342" s="106"/>
      <c r="G342" s="106"/>
      <c r="H342" s="106"/>
      <c r="I342" s="106"/>
      <c r="J342" s="106"/>
      <c r="K342" s="106"/>
      <c r="L342" s="106"/>
      <c r="M342" s="106"/>
      <c r="N342" s="106"/>
      <c r="O342" s="106"/>
    </row>
    <row r="359" spans="2:15" x14ac:dyDescent="0.25">
      <c r="B359" s="106" t="s">
        <v>178</v>
      </c>
      <c r="C359" s="106"/>
      <c r="D359" s="106"/>
      <c r="E359" s="106"/>
      <c r="F359" s="106"/>
      <c r="G359" s="106"/>
      <c r="H359" s="106"/>
      <c r="I359" s="106"/>
      <c r="J359" s="106"/>
      <c r="K359" s="106"/>
      <c r="L359" s="106"/>
      <c r="M359" s="106"/>
      <c r="N359" s="106"/>
      <c r="O359" s="106"/>
    </row>
    <row r="361" spans="2:15" ht="15.75" thickBot="1" x14ac:dyDescent="0.3">
      <c r="E361" s="13">
        <v>43646</v>
      </c>
      <c r="F361" s="13">
        <v>43281</v>
      </c>
    </row>
    <row r="362" spans="2:15" x14ac:dyDescent="0.25">
      <c r="B362" t="s">
        <v>179</v>
      </c>
      <c r="E362" t="s">
        <v>183</v>
      </c>
      <c r="F362" s="24">
        <v>66369383</v>
      </c>
    </row>
    <row r="363" spans="2:15" x14ac:dyDescent="0.25">
      <c r="B363" t="s">
        <v>180</v>
      </c>
      <c r="E363" s="24">
        <v>88379</v>
      </c>
      <c r="F363" s="24">
        <v>259505</v>
      </c>
    </row>
    <row r="364" spans="2:15" x14ac:dyDescent="0.25">
      <c r="B364" t="s">
        <v>181</v>
      </c>
      <c r="F364" s="24">
        <v>98081</v>
      </c>
    </row>
    <row r="365" spans="2:15" ht="15.75" thickBot="1" x14ac:dyDescent="0.3">
      <c r="B365" t="s">
        <v>182</v>
      </c>
      <c r="E365" s="31">
        <v>70594855</v>
      </c>
      <c r="F365" s="31">
        <v>66726969</v>
      </c>
    </row>
    <row r="369" spans="2:15" x14ac:dyDescent="0.25">
      <c r="B369" s="106" t="s">
        <v>201</v>
      </c>
      <c r="C369" s="106"/>
      <c r="D369" s="106"/>
      <c r="E369" s="106"/>
      <c r="F369" s="106"/>
      <c r="G369" s="106"/>
      <c r="H369" s="106"/>
      <c r="I369" s="106"/>
      <c r="J369" s="106"/>
      <c r="K369" s="106"/>
      <c r="L369" s="106"/>
      <c r="M369" s="106"/>
      <c r="N369" s="106"/>
      <c r="O369" s="106"/>
    </row>
    <row r="371" spans="2:15" ht="15.75" thickBot="1" x14ac:dyDescent="0.3">
      <c r="E371" s="13">
        <v>43646</v>
      </c>
      <c r="F371" s="13">
        <v>43281</v>
      </c>
    </row>
    <row r="372" spans="2:15" x14ac:dyDescent="0.25">
      <c r="B372" t="s">
        <v>202</v>
      </c>
      <c r="E372">
        <v>15.6</v>
      </c>
      <c r="F372">
        <v>17.7</v>
      </c>
    </row>
    <row r="373" spans="2:15" x14ac:dyDescent="0.25">
      <c r="B373" t="s">
        <v>203</v>
      </c>
    </row>
    <row r="374" spans="2:15" x14ac:dyDescent="0.25">
      <c r="B374" t="s">
        <v>204</v>
      </c>
      <c r="E374">
        <v>31.4</v>
      </c>
      <c r="F374">
        <v>26.4</v>
      </c>
    </row>
    <row r="375" spans="2:15" x14ac:dyDescent="0.25">
      <c r="B375" t="s">
        <v>205</v>
      </c>
      <c r="E375">
        <v>7.2</v>
      </c>
      <c r="F375">
        <v>3.5</v>
      </c>
    </row>
    <row r="376" spans="2:15" ht="15.75" thickBot="1" x14ac:dyDescent="0.3">
      <c r="B376" t="s">
        <v>206</v>
      </c>
      <c r="E376" s="14">
        <v>0.3</v>
      </c>
      <c r="F376" s="14"/>
    </row>
    <row r="377" spans="2:15" x14ac:dyDescent="0.25">
      <c r="B377" t="s">
        <v>201</v>
      </c>
      <c r="E377">
        <f>SUM(E372:E376)</f>
        <v>54.5</v>
      </c>
      <c r="F377">
        <f>SUM(F372:F376)</f>
        <v>47.599999999999994</v>
      </c>
    </row>
    <row r="380" spans="2:15" x14ac:dyDescent="0.25">
      <c r="B380" s="106" t="s">
        <v>207</v>
      </c>
      <c r="C380" s="106"/>
      <c r="D380" s="106"/>
      <c r="E380" s="106"/>
      <c r="F380" s="106"/>
      <c r="G380" s="106"/>
      <c r="H380" s="106"/>
      <c r="I380" s="106"/>
      <c r="J380" s="106"/>
      <c r="K380" s="106"/>
      <c r="L380" s="106"/>
      <c r="M380" s="106"/>
      <c r="N380" s="106"/>
      <c r="O380" s="106"/>
    </row>
    <row r="382" spans="2:15" ht="15.75" thickBot="1" x14ac:dyDescent="0.3">
      <c r="E382" s="13">
        <v>43646</v>
      </c>
      <c r="F382" s="13">
        <v>43281</v>
      </c>
    </row>
    <row r="383" spans="2:15" x14ac:dyDescent="0.25">
      <c r="B383" t="s">
        <v>208</v>
      </c>
      <c r="E383">
        <v>52.1</v>
      </c>
      <c r="F383">
        <v>46.7</v>
      </c>
    </row>
    <row r="384" spans="2:15" x14ac:dyDescent="0.25">
      <c r="B384" t="s">
        <v>209</v>
      </c>
      <c r="E384">
        <v>-8.9</v>
      </c>
      <c r="F384">
        <v>-7.6</v>
      </c>
    </row>
    <row r="385" spans="2:15" x14ac:dyDescent="0.25">
      <c r="B385" t="s">
        <v>210</v>
      </c>
      <c r="E385">
        <v>-7.3</v>
      </c>
      <c r="F385">
        <v>-6.2</v>
      </c>
    </row>
    <row r="386" spans="2:15" ht="15.75" thickBot="1" x14ac:dyDescent="0.3">
      <c r="B386" t="s">
        <v>211</v>
      </c>
      <c r="E386" s="14">
        <v>-3.4</v>
      </c>
      <c r="F386" s="14">
        <v>-3.1</v>
      </c>
    </row>
    <row r="387" spans="2:15" s="15" customFormat="1" x14ac:dyDescent="0.25">
      <c r="B387" s="15" t="s">
        <v>74</v>
      </c>
      <c r="E387" s="15">
        <f>SUM(E383:E386)</f>
        <v>32.500000000000007</v>
      </c>
      <c r="F387" s="15">
        <f>SUM(F383:F386)</f>
        <v>29.799999999999997</v>
      </c>
    </row>
    <row r="388" spans="2:15" x14ac:dyDescent="0.25">
      <c r="B388" t="s">
        <v>212</v>
      </c>
      <c r="E388">
        <v>-4</v>
      </c>
      <c r="F388">
        <v>-3.1</v>
      </c>
    </row>
    <row r="389" spans="2:15" x14ac:dyDescent="0.25">
      <c r="B389" t="s">
        <v>213</v>
      </c>
      <c r="E389">
        <v>-58.1</v>
      </c>
      <c r="F389">
        <v>-52.6</v>
      </c>
    </row>
    <row r="390" spans="2:15" x14ac:dyDescent="0.25">
      <c r="B390" t="s">
        <v>214</v>
      </c>
      <c r="E390">
        <v>0.6</v>
      </c>
      <c r="F390">
        <v>61</v>
      </c>
    </row>
    <row r="391" spans="2:15" x14ac:dyDescent="0.25">
      <c r="B391" t="s">
        <v>215</v>
      </c>
      <c r="E391">
        <v>-3.5</v>
      </c>
      <c r="F391">
        <v>-2.9</v>
      </c>
    </row>
    <row r="392" spans="2:15" x14ac:dyDescent="0.25">
      <c r="B392" t="s">
        <v>216</v>
      </c>
      <c r="E392">
        <v>-0.5</v>
      </c>
      <c r="F392">
        <v>-0.4</v>
      </c>
    </row>
    <row r="393" spans="2:15" ht="15.75" thickBot="1" x14ac:dyDescent="0.3">
      <c r="B393" t="s">
        <v>217</v>
      </c>
      <c r="E393" s="14"/>
      <c r="F393" s="14">
        <v>-0.8</v>
      </c>
    </row>
    <row r="394" spans="2:15" s="15" customFormat="1" x14ac:dyDescent="0.25">
      <c r="B394" s="15" t="s">
        <v>218</v>
      </c>
      <c r="E394" s="15">
        <f>SUM(E387:E393)</f>
        <v>-32.999999999999993</v>
      </c>
      <c r="F394" s="15">
        <f>SUM(F387:F393)</f>
        <v>30.999999999999996</v>
      </c>
    </row>
    <row r="396" spans="2:15" x14ac:dyDescent="0.25">
      <c r="B396" s="106" t="s">
        <v>221</v>
      </c>
      <c r="C396" s="106"/>
      <c r="D396" s="106"/>
      <c r="E396" s="106"/>
      <c r="F396" s="106"/>
      <c r="G396" s="106"/>
      <c r="H396" s="106"/>
      <c r="I396" s="106"/>
      <c r="J396" s="106"/>
      <c r="K396" s="106"/>
      <c r="L396" s="106"/>
      <c r="M396" s="106"/>
      <c r="N396" s="106"/>
      <c r="O396" s="106"/>
    </row>
    <row r="398" spans="2:15" ht="15.75" thickBot="1" x14ac:dyDescent="0.3">
      <c r="E398" s="13">
        <v>43646</v>
      </c>
      <c r="F398" s="13">
        <v>43281</v>
      </c>
    </row>
    <row r="399" spans="2:15" x14ac:dyDescent="0.25">
      <c r="B399" t="s">
        <v>222</v>
      </c>
      <c r="E399">
        <v>8</v>
      </c>
      <c r="F399">
        <v>7.6</v>
      </c>
    </row>
    <row r="400" spans="2:15" ht="15.75" thickBot="1" x14ac:dyDescent="0.3">
      <c r="B400" t="s">
        <v>223</v>
      </c>
      <c r="E400" s="14">
        <v>4</v>
      </c>
      <c r="F400" s="14">
        <v>3.1</v>
      </c>
    </row>
    <row r="401" spans="2:7" s="15" customFormat="1" x14ac:dyDescent="0.25">
      <c r="B401" s="15" t="s">
        <v>224</v>
      </c>
      <c r="E401" s="15">
        <f>SUM(E399:E400)</f>
        <v>12</v>
      </c>
      <c r="F401" s="15">
        <f>SUM(F399:F400)</f>
        <v>10.7</v>
      </c>
      <c r="G401"/>
    </row>
  </sheetData>
  <mergeCells count="21">
    <mergeCell ref="B369:O369"/>
    <mergeCell ref="B380:O380"/>
    <mergeCell ref="B396:O396"/>
    <mergeCell ref="B208:O208"/>
    <mergeCell ref="B232:O232"/>
    <mergeCell ref="B359:O359"/>
    <mergeCell ref="B259:O259"/>
    <mergeCell ref="B272:O272"/>
    <mergeCell ref="B280:O280"/>
    <mergeCell ref="B342:O342"/>
    <mergeCell ref="B192:O192"/>
    <mergeCell ref="E194:F194"/>
    <mergeCell ref="E181:J181"/>
    <mergeCell ref="B3:O3"/>
    <mergeCell ref="B33:O33"/>
    <mergeCell ref="B85:O85"/>
    <mergeCell ref="B129:O129"/>
    <mergeCell ref="B146:O146"/>
    <mergeCell ref="B154:O154"/>
    <mergeCell ref="B162:O162"/>
    <mergeCell ref="B179:O179"/>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974"/>
  <sheetViews>
    <sheetView tabSelected="1" topLeftCell="A211" zoomScale="85" zoomScaleNormal="85" workbookViewId="0">
      <selection activeCell="D235" sqref="D235"/>
    </sheetView>
  </sheetViews>
  <sheetFormatPr defaultRowHeight="15" x14ac:dyDescent="0.25"/>
  <cols>
    <col min="2" max="2" width="119.28515625" bestFit="1" customWidth="1"/>
    <col min="3" max="3" width="22.140625" customWidth="1"/>
    <col min="4" max="4" width="14" bestFit="1" customWidth="1"/>
    <col min="5" max="5" width="14.140625" customWidth="1"/>
    <col min="6" max="6" width="14.85546875" customWidth="1"/>
    <col min="7" max="7" width="13.85546875" bestFit="1" customWidth="1"/>
    <col min="8" max="8" width="13.140625" bestFit="1" customWidth="1"/>
    <col min="9" max="9" width="13.5703125" bestFit="1" customWidth="1"/>
    <col min="10" max="10" width="13.5703125" customWidth="1"/>
    <col min="12" max="12" width="13.5703125" bestFit="1" customWidth="1"/>
    <col min="13" max="13" width="14" bestFit="1" customWidth="1"/>
    <col min="14" max="14" width="13.140625" bestFit="1" customWidth="1"/>
    <col min="15" max="15" width="13" bestFit="1" customWidth="1"/>
    <col min="17" max="17" width="34.7109375" customWidth="1"/>
    <col min="19" max="19" width="21" bestFit="1" customWidth="1"/>
    <col min="20" max="20" width="11.5703125" bestFit="1" customWidth="1"/>
  </cols>
  <sheetData>
    <row r="1" spans="2:20" x14ac:dyDescent="0.25">
      <c r="B1" s="11" t="s">
        <v>225</v>
      </c>
      <c r="C1" s="11"/>
    </row>
    <row r="3" spans="2:20" x14ac:dyDescent="0.25">
      <c r="B3" s="106" t="s">
        <v>24</v>
      </c>
      <c r="C3" s="106"/>
      <c r="D3" s="106"/>
      <c r="E3" s="106"/>
      <c r="F3" s="106"/>
      <c r="G3" s="106"/>
      <c r="H3" s="106"/>
      <c r="I3" s="106"/>
      <c r="J3" s="106"/>
      <c r="K3" s="106"/>
      <c r="L3" s="106"/>
      <c r="M3" s="106"/>
      <c r="N3" s="106"/>
      <c r="O3" s="106"/>
    </row>
    <row r="5" spans="2:20" x14ac:dyDescent="0.25">
      <c r="J5" s="48"/>
      <c r="K5" s="48"/>
      <c r="L5" s="48"/>
      <c r="M5" s="48"/>
    </row>
    <row r="6" spans="2:20" ht="15.75" thickBot="1" x14ac:dyDescent="0.3">
      <c r="C6" s="13">
        <v>44280</v>
      </c>
      <c r="D6" s="13">
        <v>43919</v>
      </c>
      <c r="E6" s="13">
        <v>43552</v>
      </c>
      <c r="F6" s="13">
        <v>43188</v>
      </c>
      <c r="G6" s="13">
        <v>42824</v>
      </c>
      <c r="H6" s="13">
        <v>42460</v>
      </c>
      <c r="I6" s="13">
        <v>42089</v>
      </c>
      <c r="J6" s="101" t="s">
        <v>1542</v>
      </c>
      <c r="L6" s="13">
        <v>44476</v>
      </c>
      <c r="M6" s="13">
        <v>44112</v>
      </c>
      <c r="N6" s="13">
        <v>43748</v>
      </c>
      <c r="O6" s="13">
        <v>43384</v>
      </c>
      <c r="T6" s="39"/>
    </row>
    <row r="7" spans="2:20" x14ac:dyDescent="0.25">
      <c r="B7" t="s">
        <v>26</v>
      </c>
      <c r="C7" s="53">
        <v>1142.8</v>
      </c>
      <c r="D7" s="32">
        <v>1058.8</v>
      </c>
      <c r="E7" s="32">
        <v>961</v>
      </c>
      <c r="F7" s="41">
        <v>898.92399999999998</v>
      </c>
      <c r="G7" s="41">
        <v>834.16899999999998</v>
      </c>
      <c r="H7" s="41">
        <v>793.12599999999998</v>
      </c>
      <c r="I7" s="41">
        <v>729.08600000000001</v>
      </c>
      <c r="J7" s="97">
        <f>SUM(C7/I7)^(1/6)-1</f>
        <v>7.7784446808060403E-2</v>
      </c>
      <c r="L7" s="24">
        <v>677.6</v>
      </c>
      <c r="M7" s="24">
        <v>574.4</v>
      </c>
      <c r="N7" s="41">
        <v>546.33799999999997</v>
      </c>
      <c r="O7" s="41">
        <v>499.34500000000003</v>
      </c>
      <c r="S7" s="36"/>
      <c r="T7" s="24"/>
    </row>
    <row r="8" spans="2:20" x14ac:dyDescent="0.25">
      <c r="B8" t="s">
        <v>27</v>
      </c>
      <c r="C8">
        <v>-582.6</v>
      </c>
      <c r="D8">
        <v>-546.9</v>
      </c>
      <c r="E8">
        <v>-493.7</v>
      </c>
      <c r="F8" s="41">
        <v>-434.31599999999997</v>
      </c>
      <c r="G8" s="41">
        <v>-382.28699999999998</v>
      </c>
      <c r="H8" s="41">
        <v>-360.702</v>
      </c>
      <c r="I8" s="41">
        <v>-333.77600000000001</v>
      </c>
      <c r="J8" s="41"/>
      <c r="L8">
        <v>-348.5</v>
      </c>
      <c r="M8">
        <v>-301.2</v>
      </c>
      <c r="N8" s="41">
        <v>-285.78199999999998</v>
      </c>
      <c r="O8" s="41">
        <v>-260.73500000000001</v>
      </c>
      <c r="T8" s="37"/>
    </row>
    <row r="9" spans="2:20" ht="15.75" thickBot="1" x14ac:dyDescent="0.3">
      <c r="B9" t="s">
        <v>226</v>
      </c>
      <c r="C9" s="14">
        <v>-0.8</v>
      </c>
      <c r="D9" s="14">
        <v>-0.6</v>
      </c>
      <c r="E9" s="14">
        <v>-20.8</v>
      </c>
      <c r="F9" s="45"/>
      <c r="G9" s="45"/>
      <c r="H9" s="45"/>
      <c r="I9" s="45"/>
      <c r="J9" s="66"/>
      <c r="L9" s="45">
        <v>1.2</v>
      </c>
      <c r="M9" s="45">
        <v>0.6</v>
      </c>
      <c r="N9" s="45">
        <v>-0.29499999999999998</v>
      </c>
      <c r="O9" s="45">
        <v>-16.23</v>
      </c>
      <c r="T9" s="24"/>
    </row>
    <row r="10" spans="2:20" s="15" customFormat="1" x14ac:dyDescent="0.25">
      <c r="B10" s="15" t="s">
        <v>28</v>
      </c>
      <c r="C10" s="33">
        <f>SUM(C7:C9)</f>
        <v>559.4</v>
      </c>
      <c r="D10" s="15">
        <v>511.3</v>
      </c>
      <c r="E10" s="15">
        <v>446.5</v>
      </c>
      <c r="F10" s="42">
        <v>464.608</v>
      </c>
      <c r="G10" s="42">
        <v>451.88200000000001</v>
      </c>
      <c r="H10" s="42">
        <v>432.42399999999998</v>
      </c>
      <c r="I10" s="42">
        <v>395.31</v>
      </c>
      <c r="J10" s="42"/>
      <c r="K10"/>
      <c r="L10" s="42">
        <f>SUM(L7:L9)</f>
        <v>330.3</v>
      </c>
      <c r="M10" s="42">
        <f>SUM(M7:M9)</f>
        <v>273.8</v>
      </c>
      <c r="N10" s="42">
        <f>SUM(N7:N9)</f>
        <v>260.26099999999997</v>
      </c>
      <c r="O10" s="42">
        <v>222.38</v>
      </c>
      <c r="T10" s="24"/>
    </row>
    <row r="11" spans="2:20" x14ac:dyDescent="0.25">
      <c r="F11" s="41"/>
      <c r="G11" s="41"/>
      <c r="H11" s="41"/>
      <c r="I11" s="41"/>
      <c r="J11" s="41"/>
      <c r="N11" s="41"/>
      <c r="O11" s="41"/>
    </row>
    <row r="12" spans="2:20" x14ac:dyDescent="0.25">
      <c r="B12" t="s">
        <v>647</v>
      </c>
      <c r="C12">
        <v>30.2</v>
      </c>
      <c r="F12" s="41"/>
      <c r="G12" s="41"/>
      <c r="H12" s="41"/>
      <c r="I12" s="41"/>
      <c r="J12" s="41"/>
      <c r="N12" s="41"/>
      <c r="O12" s="41"/>
    </row>
    <row r="13" spans="2:20" x14ac:dyDescent="0.25">
      <c r="B13" t="s">
        <v>227</v>
      </c>
      <c r="C13">
        <v>-321</v>
      </c>
      <c r="D13">
        <v>-313.8</v>
      </c>
      <c r="E13">
        <v>-314.5</v>
      </c>
      <c r="F13" s="41">
        <v>-309.48200000000003</v>
      </c>
      <c r="G13" s="41">
        <v>-296.012</v>
      </c>
      <c r="H13" s="41">
        <v>-279.29300000000001</v>
      </c>
      <c r="I13" s="41">
        <v>-257.85300000000001</v>
      </c>
      <c r="J13" s="41"/>
      <c r="L13" s="15">
        <v>-195.4</v>
      </c>
      <c r="M13" s="15">
        <v>-165.2</v>
      </c>
      <c r="N13" s="41">
        <v>-165.79400000000001</v>
      </c>
      <c r="O13" s="41">
        <v>-168.13800000000001</v>
      </c>
    </row>
    <row r="14" spans="2:20" ht="15.75" thickBot="1" x14ac:dyDescent="0.3">
      <c r="B14" t="s">
        <v>29</v>
      </c>
      <c r="C14" s="14">
        <v>-133.80000000000001</v>
      </c>
      <c r="D14" s="14">
        <v>-93.8</v>
      </c>
      <c r="E14" s="14">
        <v>-78.900000000000006</v>
      </c>
      <c r="F14" s="45">
        <v>-71.251999999999995</v>
      </c>
      <c r="G14" s="45">
        <v>-55.945999999999998</v>
      </c>
      <c r="H14" s="45">
        <v>-51.703000000000003</v>
      </c>
      <c r="I14" s="45">
        <v>-40.695</v>
      </c>
      <c r="J14" s="66"/>
      <c r="L14" s="45">
        <v>-56.5</v>
      </c>
      <c r="M14" s="45">
        <v>-59.7</v>
      </c>
      <c r="N14" s="45">
        <v>-50.48</v>
      </c>
      <c r="O14" s="45">
        <v>-44.33</v>
      </c>
    </row>
    <row r="15" spans="2:20" s="15" customFormat="1" x14ac:dyDescent="0.25">
      <c r="B15" s="15" t="s">
        <v>30</v>
      </c>
      <c r="C15" s="42">
        <f>SUM(C10:C14)</f>
        <v>134.80000000000001</v>
      </c>
      <c r="D15" s="42">
        <f>SUM(D10:D14)</f>
        <v>103.7</v>
      </c>
      <c r="E15" s="42">
        <f t="shared" ref="E15:I15" si="0">SUM(E10:E14)</f>
        <v>53.099999999999994</v>
      </c>
      <c r="F15" s="42">
        <f t="shared" si="0"/>
        <v>83.873999999999981</v>
      </c>
      <c r="G15" s="42">
        <f t="shared" si="0"/>
        <v>99.924000000000007</v>
      </c>
      <c r="H15" s="42">
        <f t="shared" si="0"/>
        <v>101.42799999999997</v>
      </c>
      <c r="I15" s="42">
        <f t="shared" si="0"/>
        <v>96.762</v>
      </c>
      <c r="J15" s="42"/>
      <c r="K15"/>
      <c r="L15" s="42">
        <f>SUM(L10:L14)</f>
        <v>78.400000000000006</v>
      </c>
      <c r="M15" s="42">
        <f>SUM(M10:M14)</f>
        <v>48.90000000000002</v>
      </c>
      <c r="N15" s="42">
        <v>43.987000000000002</v>
      </c>
      <c r="O15" s="42">
        <v>9.9120000000000008</v>
      </c>
      <c r="S15" s="33"/>
      <c r="T15" s="33"/>
    </row>
    <row r="16" spans="2:20" x14ac:dyDescent="0.25">
      <c r="F16" s="41"/>
      <c r="G16" s="41"/>
      <c r="H16" s="41"/>
      <c r="I16" s="41"/>
      <c r="J16" s="41"/>
      <c r="N16" s="41"/>
      <c r="O16" s="41"/>
    </row>
    <row r="17" spans="2:15" x14ac:dyDescent="0.25">
      <c r="B17" t="s">
        <v>228</v>
      </c>
      <c r="C17" s="17">
        <v>0.3</v>
      </c>
      <c r="D17">
        <v>0.5</v>
      </c>
      <c r="E17">
        <v>0.6</v>
      </c>
      <c r="F17" s="41">
        <v>0.68500000000000005</v>
      </c>
      <c r="G17" s="41">
        <v>0.76</v>
      </c>
      <c r="H17" s="41">
        <v>0.66800000000000004</v>
      </c>
      <c r="I17" s="41">
        <v>0.57199999999999995</v>
      </c>
      <c r="J17" s="41"/>
      <c r="L17">
        <v>0.1</v>
      </c>
      <c r="M17">
        <v>0.2</v>
      </c>
      <c r="N17" s="41">
        <v>0.253</v>
      </c>
      <c r="O17" s="41">
        <v>0.46300000000000002</v>
      </c>
    </row>
    <row r="18" spans="2:15" x14ac:dyDescent="0.25">
      <c r="B18" t="s">
        <v>229</v>
      </c>
      <c r="C18">
        <v>-18.7</v>
      </c>
      <c r="D18">
        <v>-18.3</v>
      </c>
      <c r="E18">
        <v>-4.0999999999999996</v>
      </c>
      <c r="F18" s="41">
        <v>-4.9630000000000001</v>
      </c>
      <c r="G18" s="41">
        <v>-5.3</v>
      </c>
      <c r="H18" s="41">
        <v>-9.9540000000000006</v>
      </c>
      <c r="I18" s="41">
        <v>-10.369</v>
      </c>
      <c r="J18" s="41"/>
      <c r="L18">
        <v>-7.9</v>
      </c>
      <c r="M18">
        <v>-10.199999999999999</v>
      </c>
      <c r="N18" s="41">
        <v>-10.233000000000001</v>
      </c>
      <c r="O18" s="41">
        <v>-2.415</v>
      </c>
    </row>
    <row r="19" spans="2:15" ht="15.75" thickBot="1" x14ac:dyDescent="0.3">
      <c r="C19" s="14"/>
      <c r="D19" s="14"/>
      <c r="E19" s="14"/>
      <c r="F19" s="45"/>
      <c r="G19" s="45"/>
      <c r="H19" s="45"/>
      <c r="I19" s="45"/>
      <c r="J19" s="66"/>
      <c r="L19" s="45"/>
      <c r="M19" s="45"/>
      <c r="N19" s="45"/>
      <c r="O19" s="45"/>
    </row>
    <row r="20" spans="2:15" s="15" customFormat="1" x14ac:dyDescent="0.25">
      <c r="B20" s="15" t="s">
        <v>230</v>
      </c>
      <c r="C20" s="42">
        <f t="shared" ref="C20:I20" si="1">SUM(C15:C19)</f>
        <v>116.40000000000002</v>
      </c>
      <c r="D20" s="42">
        <f t="shared" si="1"/>
        <v>85.9</v>
      </c>
      <c r="E20" s="42">
        <f t="shared" si="1"/>
        <v>49.599999999999994</v>
      </c>
      <c r="F20" s="42">
        <f t="shared" si="1"/>
        <v>79.595999999999989</v>
      </c>
      <c r="G20" s="42">
        <f t="shared" si="1"/>
        <v>95.384000000000015</v>
      </c>
      <c r="H20" s="42">
        <f t="shared" si="1"/>
        <v>92.141999999999967</v>
      </c>
      <c r="I20" s="42">
        <f t="shared" si="1"/>
        <v>86.965000000000003</v>
      </c>
      <c r="J20" s="42"/>
      <c r="K20"/>
      <c r="L20" s="42">
        <f>SUM(L15:L19)</f>
        <v>70.599999999999994</v>
      </c>
      <c r="M20" s="42">
        <f>SUM(M15:M19)</f>
        <v>38.90000000000002</v>
      </c>
      <c r="N20" s="42">
        <f>SUM(N15:N19)</f>
        <v>34.007000000000005</v>
      </c>
      <c r="O20" s="42">
        <f>SUM(O15:O19)</f>
        <v>7.96</v>
      </c>
    </row>
    <row r="21" spans="2:15" x14ac:dyDescent="0.25">
      <c r="F21" s="41"/>
      <c r="G21" s="41"/>
      <c r="H21" s="41"/>
      <c r="I21" s="41"/>
      <c r="J21" s="41"/>
      <c r="N21" s="41"/>
      <c r="O21" s="41"/>
    </row>
    <row r="22" spans="2:15" ht="15.75" thickBot="1" x14ac:dyDescent="0.3">
      <c r="B22" t="s">
        <v>231</v>
      </c>
      <c r="C22" s="14">
        <v>-17.399999999999999</v>
      </c>
      <c r="D22" s="14">
        <v>-18.5</v>
      </c>
      <c r="E22" s="14">
        <v>-19.100000000000001</v>
      </c>
      <c r="F22" s="45">
        <v>-16.782</v>
      </c>
      <c r="G22" s="45">
        <v>-20.02</v>
      </c>
      <c r="H22" s="45">
        <v>-19.359000000000002</v>
      </c>
      <c r="I22" s="45">
        <v>-14.794</v>
      </c>
      <c r="J22" s="66"/>
      <c r="L22" s="45">
        <v>-13.9</v>
      </c>
      <c r="M22" s="45">
        <v>-7.9</v>
      </c>
      <c r="N22" s="45">
        <v>-8.4309999999999992</v>
      </c>
      <c r="O22" s="45">
        <v>-1.738</v>
      </c>
    </row>
    <row r="23" spans="2:15" s="15" customFormat="1" x14ac:dyDescent="0.25">
      <c r="B23" s="15" t="s">
        <v>40</v>
      </c>
      <c r="C23" s="42">
        <f>SUM(C20:C22)</f>
        <v>99.000000000000028</v>
      </c>
      <c r="D23" s="15">
        <v>67.400000000000006</v>
      </c>
      <c r="E23" s="15">
        <v>30.5</v>
      </c>
      <c r="F23" s="42">
        <v>62.814</v>
      </c>
      <c r="G23" s="42">
        <v>75.364000000000004</v>
      </c>
      <c r="H23" s="42">
        <v>72.783000000000001</v>
      </c>
      <c r="I23" s="42">
        <v>72.171000000000006</v>
      </c>
      <c r="J23" s="42"/>
      <c r="K23"/>
      <c r="L23" s="42">
        <f>SUM(L20:L22)</f>
        <v>56.699999999999996</v>
      </c>
      <c r="M23" s="42">
        <f>SUM(M20:M22)</f>
        <v>31.000000000000021</v>
      </c>
      <c r="N23" s="42">
        <v>25.576000000000001</v>
      </c>
      <c r="O23" s="42">
        <v>6.2220000000000004</v>
      </c>
    </row>
    <row r="26" spans="2:15" x14ac:dyDescent="0.25">
      <c r="B26" t="s">
        <v>232</v>
      </c>
      <c r="C26" s="12" t="s">
        <v>417</v>
      </c>
      <c r="D26" s="12" t="s">
        <v>233</v>
      </c>
      <c r="E26" s="12" t="s">
        <v>234</v>
      </c>
      <c r="F26">
        <v>12.6</v>
      </c>
      <c r="G26">
        <v>15.1</v>
      </c>
      <c r="H26">
        <v>14.6</v>
      </c>
      <c r="I26">
        <v>14.4</v>
      </c>
      <c r="N26">
        <v>5.0999999999999996</v>
      </c>
      <c r="O26">
        <v>1.2</v>
      </c>
    </row>
    <row r="27" spans="2:15" x14ac:dyDescent="0.25">
      <c r="B27" t="s">
        <v>235</v>
      </c>
      <c r="C27" s="12" t="s">
        <v>418</v>
      </c>
      <c r="D27" s="12" t="s">
        <v>236</v>
      </c>
      <c r="E27" s="12" t="s">
        <v>237</v>
      </c>
      <c r="F27">
        <v>12.5</v>
      </c>
      <c r="G27">
        <v>15</v>
      </c>
      <c r="H27">
        <v>14.5</v>
      </c>
      <c r="I27">
        <v>14.4</v>
      </c>
      <c r="N27">
        <v>5.0999999999999996</v>
      </c>
      <c r="O27">
        <v>1.2</v>
      </c>
    </row>
    <row r="28" spans="2:15" ht="15.75" thickBot="1" x14ac:dyDescent="0.3">
      <c r="C28" s="35"/>
      <c r="D28" s="35"/>
      <c r="E28" s="35"/>
      <c r="F28" s="35"/>
      <c r="G28" s="35"/>
      <c r="H28" s="35"/>
      <c r="I28" s="35"/>
      <c r="J28" s="67"/>
      <c r="L28" s="35"/>
      <c r="M28" s="35"/>
      <c r="N28" s="35"/>
      <c r="O28" s="35"/>
    </row>
    <row r="29" spans="2:15" s="15" customFormat="1" x14ac:dyDescent="0.25">
      <c r="B29" s="15" t="s">
        <v>40</v>
      </c>
      <c r="C29" s="42">
        <f>C23</f>
        <v>99.000000000000028</v>
      </c>
      <c r="D29" s="15">
        <v>67.400000000000006</v>
      </c>
      <c r="E29" s="15">
        <v>30.5</v>
      </c>
      <c r="F29" s="44">
        <v>62.814</v>
      </c>
      <c r="G29" s="44">
        <v>75.364000000000004</v>
      </c>
      <c r="H29" s="44">
        <v>72.783000000000001</v>
      </c>
      <c r="I29" s="44">
        <v>72.171000000000006</v>
      </c>
      <c r="J29" s="44"/>
      <c r="L29" s="44">
        <f>SUM(L23)</f>
        <v>56.699999999999996</v>
      </c>
      <c r="M29" s="44">
        <f>SUM(M23)</f>
        <v>31.000000000000021</v>
      </c>
      <c r="N29" s="44">
        <v>25.576000000000001</v>
      </c>
      <c r="O29" s="44">
        <v>6.2220000000000004</v>
      </c>
    </row>
    <row r="30" spans="2:15" x14ac:dyDescent="0.25">
      <c r="B30" t="s">
        <v>41</v>
      </c>
      <c r="F30" s="43"/>
      <c r="G30" s="43"/>
      <c r="H30" s="43"/>
      <c r="I30" s="43"/>
      <c r="J30" s="43"/>
      <c r="K30" s="15"/>
      <c r="L30" s="15"/>
      <c r="N30" s="43"/>
      <c r="O30" s="43"/>
    </row>
    <row r="31" spans="2:15" x14ac:dyDescent="0.25">
      <c r="B31" t="s">
        <v>238</v>
      </c>
      <c r="F31" s="43"/>
      <c r="G31" s="43"/>
      <c r="H31" s="43"/>
      <c r="I31" s="43"/>
      <c r="J31" s="43"/>
      <c r="K31" s="15"/>
      <c r="L31" s="15"/>
      <c r="N31" s="43"/>
      <c r="O31" s="43"/>
    </row>
    <row r="32" spans="2:15" x14ac:dyDescent="0.25">
      <c r="B32" t="s">
        <v>239</v>
      </c>
      <c r="C32">
        <v>0.1</v>
      </c>
      <c r="D32">
        <v>-0.1</v>
      </c>
      <c r="E32">
        <v>-0.1</v>
      </c>
      <c r="F32" s="43">
        <v>7.0999999999999994E-2</v>
      </c>
      <c r="G32" s="40">
        <v>-2.5999999999999999E-2</v>
      </c>
      <c r="H32" s="40">
        <v>-5.0000000000000001E-3</v>
      </c>
      <c r="I32" s="40">
        <v>-4.0000000000000001E-3</v>
      </c>
      <c r="J32" s="40"/>
      <c r="K32" s="15"/>
      <c r="L32" s="15"/>
      <c r="N32" s="43">
        <v>-1.7000000000000001E-2</v>
      </c>
      <c r="O32" s="43">
        <v>-7.0000000000000007E-2</v>
      </c>
    </row>
    <row r="33" spans="2:16" x14ac:dyDescent="0.25">
      <c r="B33" t="s">
        <v>382</v>
      </c>
      <c r="F33" s="43">
        <v>-0.47299999999999998</v>
      </c>
      <c r="G33" s="43">
        <v>-0.33</v>
      </c>
      <c r="H33" s="43">
        <v>-1.0640000000000001</v>
      </c>
      <c r="I33" s="43">
        <v>1.113</v>
      </c>
      <c r="J33" s="43"/>
      <c r="K33" s="15"/>
      <c r="L33" s="15"/>
      <c r="N33" s="43">
        <v>-1.034</v>
      </c>
      <c r="O33" s="43">
        <v>1.173</v>
      </c>
    </row>
    <row r="34" spans="2:16" x14ac:dyDescent="0.25">
      <c r="B34" t="s">
        <v>240</v>
      </c>
      <c r="C34">
        <v>5</v>
      </c>
      <c r="D34">
        <v>-5.5</v>
      </c>
      <c r="E34">
        <v>1</v>
      </c>
      <c r="F34" s="43">
        <v>-1.6950000000000001</v>
      </c>
      <c r="G34" s="43">
        <v>1.8620000000000001</v>
      </c>
      <c r="H34" s="43">
        <v>-0.53600000000000003</v>
      </c>
      <c r="I34" s="43">
        <v>0.40300000000000002</v>
      </c>
      <c r="J34" s="43"/>
      <c r="K34" s="15"/>
      <c r="L34">
        <v>4.4000000000000004</v>
      </c>
      <c r="M34">
        <v>3.8</v>
      </c>
      <c r="N34" s="43">
        <v>0.502</v>
      </c>
      <c r="O34" s="43">
        <v>1.9119999999999999</v>
      </c>
    </row>
    <row r="35" spans="2:16" x14ac:dyDescent="0.25">
      <c r="B35" t="s">
        <v>241</v>
      </c>
      <c r="C35" s="53">
        <v>5.0999999999999996</v>
      </c>
      <c r="D35">
        <v>-5.6</v>
      </c>
      <c r="E35">
        <v>0.9</v>
      </c>
      <c r="F35" s="43">
        <v>-2.097</v>
      </c>
      <c r="G35" s="43">
        <v>1.506</v>
      </c>
      <c r="H35" s="43">
        <v>-1.605</v>
      </c>
      <c r="I35" s="43">
        <v>1.512</v>
      </c>
      <c r="J35" s="43"/>
      <c r="K35" s="15"/>
      <c r="L35">
        <v>4.4000000000000004</v>
      </c>
      <c r="M35" s="54">
        <v>3.8</v>
      </c>
      <c r="N35" s="43">
        <v>-0.54900000000000004</v>
      </c>
      <c r="O35" s="43">
        <v>3.0150000000000001</v>
      </c>
    </row>
    <row r="36" spans="2:16" x14ac:dyDescent="0.25">
      <c r="B36" t="s">
        <v>242</v>
      </c>
      <c r="C36">
        <v>-0.3</v>
      </c>
      <c r="D36">
        <v>0.9</v>
      </c>
      <c r="E36">
        <v>-0.4</v>
      </c>
      <c r="F36" s="43">
        <v>0.41199999999999998</v>
      </c>
      <c r="G36" s="43">
        <v>-0.29699999999999999</v>
      </c>
      <c r="H36" s="43">
        <v>0.32</v>
      </c>
      <c r="I36" s="43">
        <v>-0.30299999999999999</v>
      </c>
      <c r="J36" s="43"/>
      <c r="K36" s="15"/>
      <c r="L36">
        <v>-0.5</v>
      </c>
      <c r="M36">
        <v>-0.1</v>
      </c>
      <c r="N36" s="43">
        <v>9.7000000000000003E-2</v>
      </c>
      <c r="O36" s="43">
        <v>-0.58599999999999997</v>
      </c>
    </row>
    <row r="37" spans="2:16" ht="15.75" thickBot="1" x14ac:dyDescent="0.3">
      <c r="B37" t="s">
        <v>243</v>
      </c>
      <c r="C37" s="35">
        <v>4.8</v>
      </c>
      <c r="D37" s="35">
        <v>-4.7</v>
      </c>
      <c r="E37" s="35">
        <v>0.5</v>
      </c>
      <c r="F37" s="35">
        <v>-1.6850000000000001</v>
      </c>
      <c r="G37" s="35">
        <v>1.2090000000000001</v>
      </c>
      <c r="H37" s="35">
        <v>-1.2849999999999999</v>
      </c>
      <c r="I37" s="35">
        <v>1.2090000000000001</v>
      </c>
      <c r="J37" s="67"/>
      <c r="K37" s="15"/>
      <c r="L37" s="35">
        <v>3.9</v>
      </c>
      <c r="M37" s="35">
        <v>3.7</v>
      </c>
      <c r="N37" s="35">
        <v>-0.45200000000000001</v>
      </c>
      <c r="O37" s="35">
        <v>2.4289999999999998</v>
      </c>
    </row>
    <row r="38" spans="2:16" x14ac:dyDescent="0.25">
      <c r="B38" t="s">
        <v>244</v>
      </c>
      <c r="C38" s="42">
        <f>C37+C23</f>
        <v>103.80000000000003</v>
      </c>
      <c r="D38" s="42">
        <f>D37+D23</f>
        <v>62.7</v>
      </c>
      <c r="E38" s="15">
        <v>31</v>
      </c>
      <c r="F38" s="44">
        <v>61.128999999999998</v>
      </c>
      <c r="G38" s="44">
        <v>76.572999999999993</v>
      </c>
      <c r="H38" s="44">
        <v>71.498000000000005</v>
      </c>
      <c r="I38" s="44">
        <v>73.38</v>
      </c>
      <c r="J38" s="44"/>
      <c r="K38" s="15"/>
      <c r="L38" s="42">
        <f>L37+L23</f>
        <v>60.599999999999994</v>
      </c>
      <c r="M38" s="42">
        <f t="shared" ref="M38:O38" si="2">M37+M23</f>
        <v>34.700000000000024</v>
      </c>
      <c r="N38" s="42">
        <f t="shared" si="2"/>
        <v>25.123999999999999</v>
      </c>
      <c r="O38" s="42">
        <f t="shared" si="2"/>
        <v>8.6509999999999998</v>
      </c>
    </row>
    <row r="40" spans="2:16" x14ac:dyDescent="0.25">
      <c r="B40" t="s">
        <v>1518</v>
      </c>
      <c r="C40" s="41">
        <f t="shared" ref="C40:I40" si="3">C23/C42</f>
        <v>0.19800000000000006</v>
      </c>
      <c r="D40" s="41">
        <f t="shared" si="3"/>
        <v>0.1348</v>
      </c>
      <c r="E40" s="41">
        <f t="shared" si="3"/>
        <v>6.0999999999999999E-2</v>
      </c>
      <c r="F40" s="41">
        <f t="shared" si="3"/>
        <v>0.12562799999999999</v>
      </c>
      <c r="G40" s="41">
        <f t="shared" si="3"/>
        <v>0.150728</v>
      </c>
      <c r="H40" s="41">
        <f t="shared" si="3"/>
        <v>0.145566</v>
      </c>
      <c r="I40" s="41">
        <f t="shared" si="3"/>
        <v>0.14434200000000003</v>
      </c>
      <c r="J40" s="41"/>
      <c r="K40" s="41"/>
      <c r="L40" s="41">
        <f>L23/L42</f>
        <v>0.11339999999999999</v>
      </c>
      <c r="M40" s="41">
        <f>M23/M42</f>
        <v>6.2000000000000041E-2</v>
      </c>
      <c r="N40" s="41"/>
      <c r="O40" s="41"/>
    </row>
    <row r="42" spans="2:16" x14ac:dyDescent="0.25">
      <c r="B42" t="s">
        <v>152</v>
      </c>
      <c r="C42">
        <f>C840</f>
        <v>500</v>
      </c>
      <c r="D42">
        <f t="shared" ref="D42:O42" si="4">D840</f>
        <v>500</v>
      </c>
      <c r="E42">
        <f t="shared" si="4"/>
        <v>500</v>
      </c>
      <c r="F42">
        <f t="shared" si="4"/>
        <v>500</v>
      </c>
      <c r="G42">
        <f t="shared" si="4"/>
        <v>500</v>
      </c>
      <c r="H42">
        <f t="shared" si="4"/>
        <v>500</v>
      </c>
      <c r="I42">
        <f t="shared" si="4"/>
        <v>500</v>
      </c>
      <c r="L42">
        <f t="shared" si="4"/>
        <v>500</v>
      </c>
      <c r="M42">
        <f t="shared" si="4"/>
        <v>500</v>
      </c>
      <c r="N42">
        <f t="shared" si="4"/>
        <v>0</v>
      </c>
      <c r="O42">
        <f t="shared" si="4"/>
        <v>0</v>
      </c>
    </row>
    <row r="43" spans="2:16" x14ac:dyDescent="0.25">
      <c r="B43" t="s">
        <v>622</v>
      </c>
      <c r="C43">
        <f>C842</f>
        <v>511.6</v>
      </c>
      <c r="D43">
        <f t="shared" ref="D43:O43" si="5">D842</f>
        <v>509.6</v>
      </c>
      <c r="E43">
        <f t="shared" si="5"/>
        <v>505.1</v>
      </c>
      <c r="F43" s="43">
        <f t="shared" si="5"/>
        <v>503.11953699999998</v>
      </c>
      <c r="G43" s="43">
        <f t="shared" si="5"/>
        <v>504.03240599999998</v>
      </c>
      <c r="H43" s="43">
        <f t="shared" si="5"/>
        <v>502.04898400000002</v>
      </c>
      <c r="I43" s="43">
        <f t="shared" si="5"/>
        <v>501.10971599999999</v>
      </c>
      <c r="L43">
        <f t="shared" si="5"/>
        <v>508.4</v>
      </c>
      <c r="M43">
        <f t="shared" si="5"/>
        <v>508.4</v>
      </c>
      <c r="N43">
        <f t="shared" si="5"/>
        <v>0</v>
      </c>
      <c r="O43">
        <f t="shared" si="5"/>
        <v>0</v>
      </c>
    </row>
    <row r="44" spans="2:16" x14ac:dyDescent="0.25">
      <c r="F44" s="43"/>
      <c r="G44" s="43"/>
      <c r="H44" s="43"/>
      <c r="I44" s="43"/>
    </row>
    <row r="45" spans="2:16" x14ac:dyDescent="0.25">
      <c r="B45" s="106" t="s">
        <v>46</v>
      </c>
      <c r="C45" s="106"/>
      <c r="D45" s="106"/>
      <c r="E45" s="106"/>
      <c r="F45" s="106"/>
      <c r="G45" s="106"/>
      <c r="H45" s="106"/>
      <c r="I45" s="106"/>
      <c r="J45" s="106"/>
      <c r="K45" s="106"/>
      <c r="L45" s="106"/>
      <c r="M45" s="106"/>
      <c r="N45" s="106"/>
      <c r="O45" s="106"/>
      <c r="P45" s="106"/>
    </row>
    <row r="49" spans="2:20" ht="15.75" thickBot="1" x14ac:dyDescent="0.3">
      <c r="C49" s="13">
        <v>44280</v>
      </c>
      <c r="D49" s="13">
        <v>43919</v>
      </c>
      <c r="E49" s="13">
        <v>43552</v>
      </c>
      <c r="F49" s="13">
        <v>43188</v>
      </c>
      <c r="G49" s="13">
        <v>42824</v>
      </c>
      <c r="H49" s="13">
        <v>42460</v>
      </c>
      <c r="I49" s="13">
        <v>42089</v>
      </c>
      <c r="J49" s="52"/>
      <c r="L49" s="13">
        <v>44476</v>
      </c>
      <c r="M49" s="13">
        <v>44112</v>
      </c>
      <c r="N49" s="13">
        <v>43748</v>
      </c>
      <c r="O49" s="13">
        <v>43384</v>
      </c>
      <c r="S49" s="24"/>
    </row>
    <row r="50" spans="2:20" x14ac:dyDescent="0.25">
      <c r="B50" t="s">
        <v>49</v>
      </c>
      <c r="C50">
        <v>99.6</v>
      </c>
      <c r="D50">
        <v>117.1</v>
      </c>
      <c r="E50">
        <v>123.7</v>
      </c>
      <c r="F50">
        <v>129.904</v>
      </c>
      <c r="G50">
        <v>128.83500000000001</v>
      </c>
      <c r="H50">
        <v>114.746</v>
      </c>
      <c r="I50">
        <v>102.89</v>
      </c>
      <c r="L50">
        <v>102.9</v>
      </c>
      <c r="M50">
        <v>110</v>
      </c>
      <c r="N50">
        <v>119.93899999999999</v>
      </c>
      <c r="O50">
        <v>126.741</v>
      </c>
      <c r="S50" s="37"/>
    </row>
    <row r="51" spans="2:20" x14ac:dyDescent="0.25">
      <c r="B51" t="s">
        <v>245</v>
      </c>
      <c r="C51" s="32">
        <v>368.7</v>
      </c>
      <c r="D51">
        <v>425.2</v>
      </c>
      <c r="L51">
        <v>356.9</v>
      </c>
      <c r="M51">
        <v>415.3</v>
      </c>
      <c r="N51">
        <v>452.33600000000001</v>
      </c>
      <c r="Q51" s="39"/>
      <c r="S51" s="24"/>
    </row>
    <row r="52" spans="2:20" x14ac:dyDescent="0.25">
      <c r="B52" t="s">
        <v>48</v>
      </c>
      <c r="C52" s="32">
        <v>1000.2</v>
      </c>
      <c r="D52" s="32">
        <v>1006.4</v>
      </c>
      <c r="E52" s="32">
        <v>1000.7</v>
      </c>
      <c r="F52" s="32">
        <v>992.92899999999997</v>
      </c>
      <c r="G52" s="32">
        <v>990.26599999999996</v>
      </c>
      <c r="H52" s="32">
        <v>973.54899999999998</v>
      </c>
      <c r="I52" s="32">
        <v>955.51199999999994</v>
      </c>
      <c r="J52" s="32"/>
      <c r="L52" s="32">
        <v>1008.2</v>
      </c>
      <c r="M52" s="54">
        <v>1010.3</v>
      </c>
      <c r="N52" s="32">
        <v>1001.235</v>
      </c>
      <c r="O52" s="32">
        <v>995.61900000000003</v>
      </c>
      <c r="Q52" s="15"/>
      <c r="S52" s="24"/>
    </row>
    <row r="53" spans="2:20" ht="15.75" thickBot="1" x14ac:dyDescent="0.3">
      <c r="B53" t="s">
        <v>246</v>
      </c>
      <c r="C53" s="14">
        <v>16.7</v>
      </c>
      <c r="D53" s="14">
        <v>20.9</v>
      </c>
      <c r="E53" s="14">
        <v>18.7</v>
      </c>
      <c r="F53" s="14">
        <v>20.181999999999999</v>
      </c>
      <c r="G53" s="14">
        <v>16.989999999999998</v>
      </c>
      <c r="H53" s="14">
        <v>10.161</v>
      </c>
      <c r="I53" s="14">
        <v>8.1329999999999991</v>
      </c>
      <c r="J53" s="38"/>
      <c r="L53" s="14">
        <v>14.6</v>
      </c>
      <c r="M53" s="14">
        <v>20</v>
      </c>
      <c r="N53" s="14">
        <v>19.952000000000002</v>
      </c>
      <c r="O53" s="14">
        <v>19.623000000000001</v>
      </c>
      <c r="T53" s="15"/>
    </row>
    <row r="54" spans="2:20" s="15" customFormat="1" x14ac:dyDescent="0.25">
      <c r="B54" s="15" t="s">
        <v>261</v>
      </c>
      <c r="C54" s="33">
        <f>SUM(C50:C53)</f>
        <v>1485.2</v>
      </c>
      <c r="D54" s="33">
        <f>SUM(D50:D53)</f>
        <v>1569.6</v>
      </c>
      <c r="E54" s="33">
        <v>1143.0999999999999</v>
      </c>
      <c r="F54" s="33">
        <v>1143.0150000000001</v>
      </c>
      <c r="G54" s="33">
        <v>1136.0909999999999</v>
      </c>
      <c r="H54" s="33">
        <v>1098.4559999999999</v>
      </c>
      <c r="I54" s="33">
        <v>1066.5350000000001</v>
      </c>
      <c r="J54" s="33"/>
      <c r="K54"/>
      <c r="L54" s="33">
        <f>SUM(L50:L53)</f>
        <v>1482.6</v>
      </c>
      <c r="M54" s="33">
        <f>SUM(M50:M53)</f>
        <v>1555.6</v>
      </c>
      <c r="N54" s="33">
        <v>1593.462</v>
      </c>
      <c r="O54" s="33">
        <v>1141.9829999999999</v>
      </c>
      <c r="Q54"/>
      <c r="R54"/>
      <c r="S54" s="32"/>
      <c r="T54"/>
    </row>
    <row r="55" spans="2:20" x14ac:dyDescent="0.25">
      <c r="D55" s="32"/>
      <c r="E55" s="32"/>
      <c r="F55" s="32"/>
      <c r="G55" s="32"/>
      <c r="H55" s="32"/>
      <c r="I55" s="32"/>
      <c r="J55" s="32"/>
      <c r="N55" s="32"/>
      <c r="O55" s="32"/>
      <c r="S55" s="32"/>
      <c r="T55" s="32"/>
    </row>
    <row r="56" spans="2:20" x14ac:dyDescent="0.25">
      <c r="B56" t="s">
        <v>54</v>
      </c>
      <c r="Q56" s="15"/>
      <c r="S56" s="33"/>
    </row>
    <row r="57" spans="2:20" x14ac:dyDescent="0.25">
      <c r="B57" t="s">
        <v>55</v>
      </c>
      <c r="C57">
        <v>83.7</v>
      </c>
      <c r="D57">
        <v>62.8</v>
      </c>
      <c r="E57">
        <v>68.2</v>
      </c>
      <c r="F57">
        <v>60.529000000000003</v>
      </c>
      <c r="G57">
        <v>56.42</v>
      </c>
      <c r="H57">
        <v>52.475999999999999</v>
      </c>
      <c r="I57">
        <v>48.473999999999997</v>
      </c>
      <c r="L57">
        <v>80.900000000000006</v>
      </c>
      <c r="M57">
        <v>79.8</v>
      </c>
      <c r="N57">
        <v>72.180999999999997</v>
      </c>
      <c r="O57">
        <v>65.396000000000001</v>
      </c>
      <c r="Q57" s="15"/>
      <c r="S57" s="33"/>
      <c r="T57" s="32"/>
    </row>
    <row r="58" spans="2:20" x14ac:dyDescent="0.25">
      <c r="B58" t="s">
        <v>414</v>
      </c>
      <c r="C58">
        <v>2.9</v>
      </c>
      <c r="L58">
        <v>1.8</v>
      </c>
      <c r="M58" s="24">
        <v>1</v>
      </c>
      <c r="R58" s="36"/>
    </row>
    <row r="59" spans="2:20" x14ac:dyDescent="0.25">
      <c r="B59" t="s">
        <v>247</v>
      </c>
      <c r="C59">
        <v>1.5</v>
      </c>
      <c r="D59">
        <v>1.5</v>
      </c>
      <c r="E59">
        <v>1.6</v>
      </c>
      <c r="F59">
        <v>1.1599999999999999</v>
      </c>
      <c r="G59">
        <v>1.863</v>
      </c>
      <c r="H59">
        <v>1.9470000000000001</v>
      </c>
      <c r="I59">
        <v>1.6970000000000001</v>
      </c>
      <c r="L59">
        <v>0.9</v>
      </c>
      <c r="M59">
        <v>3.5</v>
      </c>
      <c r="N59">
        <v>2.4689999999999999</v>
      </c>
      <c r="O59">
        <v>2.2549999999999999</v>
      </c>
    </row>
    <row r="60" spans="2:20" x14ac:dyDescent="0.25">
      <c r="B60" t="s">
        <v>56</v>
      </c>
      <c r="C60" s="17">
        <v>49.3</v>
      </c>
      <c r="D60">
        <v>55.9</v>
      </c>
      <c r="E60">
        <v>68.900000000000006</v>
      </c>
      <c r="F60">
        <v>74.847999999999999</v>
      </c>
      <c r="G60">
        <v>69.566999999999993</v>
      </c>
      <c r="H60">
        <v>59.027999999999999</v>
      </c>
      <c r="I60">
        <v>51.627000000000002</v>
      </c>
      <c r="L60">
        <v>50.1</v>
      </c>
      <c r="M60" s="17">
        <v>64.3</v>
      </c>
      <c r="N60">
        <v>66.28</v>
      </c>
      <c r="O60">
        <v>69.174999999999997</v>
      </c>
    </row>
    <row r="61" spans="2:20" ht="15.75" thickBot="1" x14ac:dyDescent="0.3">
      <c r="B61" t="s">
        <v>57</v>
      </c>
      <c r="C61" s="14">
        <v>101.4</v>
      </c>
      <c r="D61" s="14">
        <v>79.099999999999994</v>
      </c>
      <c r="E61" s="14">
        <v>60.5</v>
      </c>
      <c r="F61" s="14">
        <v>59.823999999999998</v>
      </c>
      <c r="G61" s="14">
        <v>56.344999999999999</v>
      </c>
      <c r="H61" s="14">
        <v>39.997999999999998</v>
      </c>
      <c r="I61" s="14">
        <v>132.96600000000001</v>
      </c>
      <c r="J61" s="38"/>
      <c r="L61" s="14">
        <v>164.7</v>
      </c>
      <c r="M61" s="14">
        <v>114.1</v>
      </c>
      <c r="N61" s="14">
        <v>44.747</v>
      </c>
      <c r="O61" s="14">
        <v>60.295000000000002</v>
      </c>
      <c r="T61" s="15"/>
    </row>
    <row r="62" spans="2:20" s="15" customFormat="1" x14ac:dyDescent="0.25">
      <c r="B62" s="15" t="s">
        <v>260</v>
      </c>
      <c r="C62" s="15">
        <f>SUM(C57:C61)</f>
        <v>238.8</v>
      </c>
      <c r="D62" s="15">
        <f>SUM(D57:D61)</f>
        <v>199.29999999999998</v>
      </c>
      <c r="E62" s="15">
        <v>199.2</v>
      </c>
      <c r="F62" s="15">
        <f>SUM(F57:F61)</f>
        <v>196.36099999999999</v>
      </c>
      <c r="G62" s="15">
        <f>SUM(G57:G61)</f>
        <v>184.19499999999999</v>
      </c>
      <c r="H62" s="15">
        <v>153.44900000000001</v>
      </c>
      <c r="I62" s="15">
        <v>234.76400000000001</v>
      </c>
      <c r="K62"/>
      <c r="L62" s="15">
        <f>SUM(L57:L61)</f>
        <v>298.39999999999998</v>
      </c>
      <c r="M62" s="15">
        <f>SUM(M57:M61)</f>
        <v>262.7</v>
      </c>
      <c r="N62" s="15">
        <v>185.67699999999999</v>
      </c>
      <c r="O62" s="15">
        <v>197.12100000000001</v>
      </c>
      <c r="R62"/>
      <c r="T62"/>
    </row>
    <row r="63" spans="2:20" ht="15.75" thickBot="1" x14ac:dyDescent="0.3">
      <c r="C63" s="14"/>
      <c r="D63" s="14"/>
      <c r="E63" s="14"/>
      <c r="F63" s="14"/>
      <c r="G63" s="14"/>
      <c r="H63" s="14"/>
      <c r="I63" s="14"/>
      <c r="J63" s="38"/>
      <c r="L63" s="14"/>
      <c r="M63" s="14"/>
      <c r="N63" s="14"/>
      <c r="O63" s="14"/>
      <c r="T63" s="15"/>
    </row>
    <row r="64" spans="2:20" s="15" customFormat="1" x14ac:dyDescent="0.25">
      <c r="B64" s="15" t="s">
        <v>58</v>
      </c>
      <c r="C64" s="33">
        <f>C62+C54</f>
        <v>1724</v>
      </c>
      <c r="D64" s="33">
        <f>D62+D54</f>
        <v>1768.8999999999999</v>
      </c>
      <c r="E64" s="33">
        <f>E62+E54</f>
        <v>1342.3</v>
      </c>
      <c r="F64" s="33">
        <v>1339.376</v>
      </c>
      <c r="G64" s="33">
        <v>1320.2860000000001</v>
      </c>
      <c r="H64" s="33">
        <v>1251.905</v>
      </c>
      <c r="I64" s="33">
        <v>1301.299</v>
      </c>
      <c r="J64" s="33"/>
      <c r="L64" s="33">
        <f>L62+L54</f>
        <v>1781</v>
      </c>
      <c r="M64" s="33">
        <f>M62+M54</f>
        <v>1818.3</v>
      </c>
      <c r="N64" s="33">
        <v>1779.1389999999999</v>
      </c>
      <c r="O64" s="33">
        <v>1339.104</v>
      </c>
      <c r="Q64"/>
      <c r="R64"/>
      <c r="S64"/>
      <c r="T64"/>
    </row>
    <row r="65" spans="2:20" x14ac:dyDescent="0.25">
      <c r="D65" s="32"/>
      <c r="E65" s="32"/>
      <c r="F65" s="32"/>
      <c r="G65" s="32"/>
      <c r="H65" s="32"/>
      <c r="I65" s="32"/>
      <c r="J65" s="32"/>
      <c r="N65" s="32"/>
      <c r="O65" s="32"/>
      <c r="Q65" s="46"/>
      <c r="S65" s="33"/>
      <c r="T65" s="32"/>
    </row>
    <row r="66" spans="2:20" x14ac:dyDescent="0.25">
      <c r="B66" t="s">
        <v>59</v>
      </c>
    </row>
    <row r="67" spans="2:20" x14ac:dyDescent="0.25">
      <c r="B67" t="s">
        <v>252</v>
      </c>
      <c r="H67">
        <v>0</v>
      </c>
      <c r="I67">
        <v>-5</v>
      </c>
      <c r="Q67" s="24"/>
    </row>
    <row r="68" spans="2:20" x14ac:dyDescent="0.25">
      <c r="B68" t="s">
        <v>60</v>
      </c>
      <c r="C68">
        <v>-211.1</v>
      </c>
      <c r="D68">
        <v>-196.6</v>
      </c>
      <c r="E68">
        <v>-185.8</v>
      </c>
      <c r="F68">
        <v>-173.85599999999999</v>
      </c>
      <c r="G68">
        <v>-165.887</v>
      </c>
      <c r="H68">
        <v>-160.13999999999999</v>
      </c>
      <c r="I68">
        <v>-144.75399999999999</v>
      </c>
      <c r="L68">
        <v>-262.8</v>
      </c>
      <c r="M68">
        <v>-243.9</v>
      </c>
      <c r="N68">
        <v>-196.37</v>
      </c>
      <c r="O68">
        <v>-186.803</v>
      </c>
      <c r="S68" s="15"/>
    </row>
    <row r="69" spans="2:20" x14ac:dyDescent="0.25">
      <c r="B69" t="s">
        <v>248</v>
      </c>
      <c r="C69" s="17">
        <v>-78.400000000000006</v>
      </c>
      <c r="D69">
        <v>-83.7</v>
      </c>
      <c r="E69" t="s">
        <v>42</v>
      </c>
      <c r="L69">
        <v>-79.5</v>
      </c>
      <c r="M69">
        <v>-80.8</v>
      </c>
      <c r="N69">
        <v>-84.105999999999995</v>
      </c>
      <c r="S69" s="36"/>
    </row>
    <row r="70" spans="2:20" x14ac:dyDescent="0.25">
      <c r="B70" t="s">
        <v>249</v>
      </c>
      <c r="C70" s="17">
        <v>-1.5</v>
      </c>
      <c r="D70">
        <v>-0.5</v>
      </c>
      <c r="E70">
        <v>-10.199999999999999</v>
      </c>
      <c r="F70">
        <v>-8.8810000000000002</v>
      </c>
      <c r="G70">
        <v>-10.609</v>
      </c>
      <c r="S70" s="39"/>
    </row>
    <row r="71" spans="2:20" x14ac:dyDescent="0.25">
      <c r="B71" t="s">
        <v>250</v>
      </c>
      <c r="C71">
        <v>-4.3</v>
      </c>
      <c r="D71">
        <v>-3.9</v>
      </c>
      <c r="E71">
        <v>-15.4</v>
      </c>
      <c r="F71">
        <v>-0.83499999999999996</v>
      </c>
      <c r="G71">
        <v>-0.49199999999999999</v>
      </c>
      <c r="H71">
        <v>-0.436</v>
      </c>
      <c r="I71">
        <v>-0.36499999999999999</v>
      </c>
      <c r="L71">
        <v>-4.5999999999999996</v>
      </c>
      <c r="M71">
        <v>-2.7</v>
      </c>
      <c r="N71">
        <v>-4.25</v>
      </c>
      <c r="O71">
        <v>-13.9</v>
      </c>
      <c r="Q71" s="15"/>
      <c r="S71" s="15"/>
    </row>
    <row r="72" spans="2:20" ht="15.75" thickBot="1" x14ac:dyDescent="0.3">
      <c r="B72" t="s">
        <v>251</v>
      </c>
      <c r="C72" s="14">
        <v>-1.3</v>
      </c>
      <c r="D72" s="14">
        <v>-2.2000000000000002</v>
      </c>
      <c r="E72" s="14">
        <v>-7.3</v>
      </c>
      <c r="F72" s="14">
        <v>-3.3919999999999999</v>
      </c>
      <c r="G72" s="14">
        <v>-1.5089999999999999</v>
      </c>
      <c r="H72" s="14">
        <v>-1.3180000000000001</v>
      </c>
      <c r="I72" s="14">
        <v>-0.63200000000000001</v>
      </c>
      <c r="J72" s="38"/>
      <c r="L72" s="14">
        <v>-0.1</v>
      </c>
      <c r="M72" s="14">
        <v>-1</v>
      </c>
      <c r="N72" s="14">
        <v>-0.69399999999999995</v>
      </c>
      <c r="O72" s="14">
        <v>-1.4870000000000001</v>
      </c>
      <c r="S72" s="24"/>
      <c r="T72" s="15"/>
    </row>
    <row r="73" spans="2:20" s="15" customFormat="1" x14ac:dyDescent="0.25">
      <c r="B73" s="15" t="s">
        <v>262</v>
      </c>
      <c r="C73" s="15">
        <f>SUM(C68:C72)</f>
        <v>-296.60000000000002</v>
      </c>
      <c r="D73" s="15">
        <v>-286.89999999999998</v>
      </c>
      <c r="E73" s="15">
        <v>-218.7</v>
      </c>
      <c r="F73" s="15">
        <v>-186.964</v>
      </c>
      <c r="G73" s="15">
        <v>-178.49700000000001</v>
      </c>
      <c r="H73" s="15">
        <v>-161.89400000000001</v>
      </c>
      <c r="I73" s="15">
        <v>-150.751</v>
      </c>
      <c r="K73"/>
      <c r="L73" s="15">
        <f>SUM(L68:L72)</f>
        <v>-347.00000000000006</v>
      </c>
      <c r="M73" s="15">
        <f>SUM(M68:M72)</f>
        <v>-328.4</v>
      </c>
      <c r="N73" s="15">
        <v>-285.42</v>
      </c>
      <c r="O73" s="15">
        <v>-202.19</v>
      </c>
      <c r="Q73"/>
      <c r="R73"/>
      <c r="S73"/>
      <c r="T73"/>
    </row>
    <row r="75" spans="2:20" x14ac:dyDescent="0.25">
      <c r="B75" t="s">
        <v>63</v>
      </c>
    </row>
    <row r="76" spans="2:20" x14ac:dyDescent="0.25">
      <c r="B76" t="s">
        <v>252</v>
      </c>
      <c r="C76">
        <v>-98.7</v>
      </c>
      <c r="D76">
        <v>-163.30000000000001</v>
      </c>
      <c r="E76">
        <v>-178.8</v>
      </c>
      <c r="F76">
        <v>-194.51900000000001</v>
      </c>
      <c r="G76">
        <v>-209.29599999999999</v>
      </c>
      <c r="H76">
        <v>-201.09100000000001</v>
      </c>
      <c r="I76">
        <v>-315.67399999999998</v>
      </c>
      <c r="L76">
        <v>-99.2</v>
      </c>
      <c r="M76">
        <v>-163.80000000000001</v>
      </c>
      <c r="N76">
        <v>-179.04400000000001</v>
      </c>
      <c r="O76">
        <v>-192.614</v>
      </c>
    </row>
    <row r="77" spans="2:20" x14ac:dyDescent="0.25">
      <c r="B77" t="s">
        <v>253</v>
      </c>
      <c r="D77" t="s">
        <v>42</v>
      </c>
      <c r="E77">
        <v>-33.6</v>
      </c>
      <c r="F77">
        <v>-36.200000000000003</v>
      </c>
      <c r="G77">
        <v>-35.027999999999999</v>
      </c>
      <c r="H77">
        <v>-33.164999999999999</v>
      </c>
      <c r="I77">
        <v>-31.483000000000001</v>
      </c>
      <c r="N77">
        <v>-0.23799999999999999</v>
      </c>
      <c r="O77">
        <v>-37.768999999999998</v>
      </c>
    </row>
    <row r="78" spans="2:20" x14ac:dyDescent="0.25">
      <c r="B78" t="s">
        <v>248</v>
      </c>
      <c r="C78">
        <v>-331.3</v>
      </c>
      <c r="D78">
        <v>-380.2</v>
      </c>
      <c r="E78" t="s">
        <v>42</v>
      </c>
      <c r="L78">
        <v>-318.39999999999998</v>
      </c>
      <c r="M78">
        <v>-375.5</v>
      </c>
      <c r="N78">
        <v>-404.56799999999998</v>
      </c>
    </row>
    <row r="79" spans="2:20" x14ac:dyDescent="0.25">
      <c r="B79" t="s">
        <v>250</v>
      </c>
      <c r="C79">
        <v>-2.1</v>
      </c>
      <c r="D79">
        <v>-1.3</v>
      </c>
      <c r="E79">
        <v>-1.7</v>
      </c>
      <c r="F79">
        <v>-2.2000000000000002</v>
      </c>
      <c r="G79">
        <v>-1.3939999999999999</v>
      </c>
      <c r="H79">
        <v>-1.387</v>
      </c>
      <c r="I79">
        <v>-1.706</v>
      </c>
      <c r="L79">
        <v>-3</v>
      </c>
      <c r="M79">
        <v>-3.5</v>
      </c>
      <c r="N79">
        <v>-1.1619999999999999</v>
      </c>
      <c r="O79">
        <v>-3.0979999999999999</v>
      </c>
    </row>
    <row r="80" spans="2:20" x14ac:dyDescent="0.25">
      <c r="B80" t="s">
        <v>251</v>
      </c>
      <c r="C80">
        <v>-1.6</v>
      </c>
      <c r="D80">
        <v>-5.8</v>
      </c>
      <c r="E80">
        <v>-2.5</v>
      </c>
      <c r="F80">
        <v>-8.6929999999999996</v>
      </c>
      <c r="G80">
        <v>-8.0229999999999997</v>
      </c>
      <c r="H80">
        <v>-5.9989999999999997</v>
      </c>
      <c r="L80">
        <v>-0.5</v>
      </c>
      <c r="M80">
        <v>-6.8</v>
      </c>
      <c r="N80">
        <v>-3.3260000000000001</v>
      </c>
      <c r="O80">
        <v>-8.4480000000000004</v>
      </c>
    </row>
    <row r="81" spans="2:20" ht="15.75" thickBot="1" x14ac:dyDescent="0.3">
      <c r="B81" t="s">
        <v>254</v>
      </c>
      <c r="C81" s="14" t="s">
        <v>42</v>
      </c>
      <c r="D81" s="14">
        <v>-0.4</v>
      </c>
      <c r="E81" s="14">
        <v>-4</v>
      </c>
      <c r="F81" s="14">
        <v>-4.4480000000000004</v>
      </c>
      <c r="G81" s="14">
        <v>-5.4039999999999999</v>
      </c>
      <c r="H81" s="14">
        <v>-4.8849999999999998</v>
      </c>
      <c r="I81" s="14">
        <v>-4.8099999999999996</v>
      </c>
      <c r="J81" s="38"/>
      <c r="L81" s="14"/>
      <c r="M81" s="14"/>
      <c r="N81" s="14">
        <v>-2.62</v>
      </c>
      <c r="O81" s="14">
        <v>-4.6829999999999998</v>
      </c>
      <c r="T81" s="15"/>
    </row>
    <row r="82" spans="2:20" s="15" customFormat="1" x14ac:dyDescent="0.25">
      <c r="B82" s="15" t="s">
        <v>263</v>
      </c>
      <c r="C82" s="15">
        <f>SUM(C76:C81)</f>
        <v>-433.70000000000005</v>
      </c>
      <c r="D82" s="15">
        <v>-551</v>
      </c>
      <c r="E82" s="15">
        <v>-220.6</v>
      </c>
      <c r="F82" s="15">
        <v>-246.06</v>
      </c>
      <c r="G82" s="15">
        <v>-259.14499999999998</v>
      </c>
      <c r="H82" s="15">
        <v>-246.52699999999999</v>
      </c>
      <c r="I82" s="15">
        <v>-353.673</v>
      </c>
      <c r="K82"/>
      <c r="L82" s="15">
        <f>SUM(L76:L81)</f>
        <v>-421.09999999999997</v>
      </c>
      <c r="M82" s="15">
        <f>SUM(M76:M81)</f>
        <v>-549.59999999999991</v>
      </c>
      <c r="N82" s="15">
        <v>-590.95799999999997</v>
      </c>
      <c r="O82" s="15">
        <v>-246.61199999999999</v>
      </c>
      <c r="Q82"/>
      <c r="R82"/>
      <c r="S82"/>
      <c r="T82"/>
    </row>
    <row r="83" spans="2:20" ht="15.75" thickBot="1" x14ac:dyDescent="0.3">
      <c r="C83" s="14"/>
      <c r="D83" s="14"/>
      <c r="E83" s="14"/>
      <c r="F83" s="14"/>
      <c r="G83" s="14"/>
      <c r="H83" s="14"/>
      <c r="I83" s="14"/>
      <c r="J83" s="38"/>
      <c r="L83" s="14"/>
      <c r="M83" s="14"/>
      <c r="N83" s="14"/>
      <c r="O83" s="14"/>
      <c r="T83" s="15"/>
    </row>
    <row r="84" spans="2:20" s="15" customFormat="1" x14ac:dyDescent="0.25">
      <c r="B84" s="15" t="s">
        <v>65</v>
      </c>
      <c r="C84" s="15">
        <f>C82+C73</f>
        <v>-730.30000000000007</v>
      </c>
      <c r="D84" s="15">
        <v>-837.9</v>
      </c>
      <c r="E84" s="15">
        <v>-439.3</v>
      </c>
      <c r="F84" s="15">
        <v>-433.024</v>
      </c>
      <c r="G84" s="15">
        <v>-437.642</v>
      </c>
      <c r="H84" s="15">
        <v>-408.42099999999999</v>
      </c>
      <c r="I84" s="15">
        <v>-504.42399999999998</v>
      </c>
      <c r="K84"/>
      <c r="L84" s="15">
        <f>L82+L73</f>
        <v>-768.1</v>
      </c>
      <c r="M84" s="15">
        <f>M82+M73</f>
        <v>-877.99999999999989</v>
      </c>
      <c r="N84" s="15">
        <v>-876.37800000000004</v>
      </c>
      <c r="O84" s="15">
        <v>-448.80200000000002</v>
      </c>
      <c r="Q84"/>
      <c r="R84"/>
      <c r="S84"/>
      <c r="T84"/>
    </row>
    <row r="85" spans="2:20" ht="15.75" thickBot="1" x14ac:dyDescent="0.3">
      <c r="C85" s="14"/>
      <c r="D85" s="14"/>
      <c r="E85" s="14"/>
      <c r="F85" s="14"/>
      <c r="G85" s="14"/>
      <c r="H85" s="14"/>
      <c r="I85" s="14"/>
      <c r="J85" s="38"/>
      <c r="L85" s="14"/>
      <c r="M85" s="14"/>
      <c r="N85" s="14"/>
      <c r="O85" s="14"/>
      <c r="T85" s="15"/>
    </row>
    <row r="86" spans="2:20" s="15" customFormat="1" x14ac:dyDescent="0.25">
      <c r="B86" s="15" t="s">
        <v>66</v>
      </c>
      <c r="C86" s="33">
        <f>C84+C64</f>
        <v>993.69999999999993</v>
      </c>
      <c r="D86" s="15">
        <v>931</v>
      </c>
      <c r="E86" s="15">
        <v>903</v>
      </c>
      <c r="F86" s="15">
        <v>906.35199999999998</v>
      </c>
      <c r="G86" s="15">
        <v>882.64400000000001</v>
      </c>
      <c r="H86" s="15">
        <v>843.48400000000004</v>
      </c>
      <c r="I86" s="15">
        <v>796.875</v>
      </c>
      <c r="K86"/>
      <c r="L86" s="33">
        <f>L84+L64</f>
        <v>1012.9</v>
      </c>
      <c r="M86" s="33">
        <f>M84+M64</f>
        <v>940.30000000000007</v>
      </c>
      <c r="N86" s="15">
        <v>902.76099999999997</v>
      </c>
      <c r="O86" s="15">
        <v>890.30200000000002</v>
      </c>
      <c r="Q86"/>
      <c r="R86"/>
      <c r="S86" s="32"/>
      <c r="T86"/>
    </row>
    <row r="88" spans="2:20" x14ac:dyDescent="0.25">
      <c r="B88" t="s">
        <v>255</v>
      </c>
      <c r="S88" s="32"/>
      <c r="T88" s="32"/>
    </row>
    <row r="89" spans="2:20" x14ac:dyDescent="0.25">
      <c r="B89" t="s">
        <v>256</v>
      </c>
      <c r="C89">
        <v>5</v>
      </c>
      <c r="D89">
        <v>5</v>
      </c>
      <c r="E89">
        <v>5</v>
      </c>
      <c r="F89">
        <v>5</v>
      </c>
      <c r="G89">
        <v>5</v>
      </c>
      <c r="H89">
        <v>5</v>
      </c>
      <c r="I89">
        <v>5</v>
      </c>
      <c r="L89">
        <v>5</v>
      </c>
      <c r="M89">
        <v>5</v>
      </c>
      <c r="N89">
        <v>5</v>
      </c>
      <c r="O89">
        <v>5</v>
      </c>
    </row>
    <row r="90" spans="2:20" x14ac:dyDescent="0.25">
      <c r="B90" t="s">
        <v>257</v>
      </c>
      <c r="C90">
        <v>-372</v>
      </c>
      <c r="D90">
        <v>-372</v>
      </c>
      <c r="E90">
        <v>-372</v>
      </c>
      <c r="F90" s="48">
        <v>-372.02600000000001</v>
      </c>
      <c r="G90" s="48">
        <v>-372.02600000000001</v>
      </c>
      <c r="H90" s="48">
        <v>-372.02600000000001</v>
      </c>
      <c r="I90" s="48">
        <v>-372.02600000000001</v>
      </c>
      <c r="L90">
        <v>-372</v>
      </c>
      <c r="M90" s="24">
        <v>-372</v>
      </c>
      <c r="N90" s="24">
        <v>-372.02600000000001</v>
      </c>
      <c r="O90" s="24">
        <v>-372.02600000000001</v>
      </c>
    </row>
    <row r="91" spans="2:20" x14ac:dyDescent="0.25">
      <c r="B91" t="s">
        <v>71</v>
      </c>
      <c r="C91">
        <v>113.3</v>
      </c>
      <c r="D91">
        <v>113.3</v>
      </c>
      <c r="E91">
        <v>113.3</v>
      </c>
      <c r="F91" s="48">
        <v>113.321</v>
      </c>
      <c r="G91" s="48">
        <v>113.321</v>
      </c>
      <c r="H91" s="48">
        <v>113.321</v>
      </c>
      <c r="I91" s="48">
        <v>113.321</v>
      </c>
      <c r="L91">
        <v>113.3</v>
      </c>
      <c r="M91" s="24">
        <v>113.3</v>
      </c>
      <c r="N91" s="24">
        <v>113.321</v>
      </c>
      <c r="O91" s="24">
        <v>113.321</v>
      </c>
      <c r="Q91" s="15"/>
    </row>
    <row r="92" spans="2:20" x14ac:dyDescent="0.25">
      <c r="B92" t="s">
        <v>258</v>
      </c>
      <c r="C92" s="32">
        <v>0</v>
      </c>
      <c r="D92">
        <v>-0.1</v>
      </c>
      <c r="E92">
        <v>0</v>
      </c>
      <c r="F92" s="48">
        <v>0.04</v>
      </c>
      <c r="G92" s="48">
        <v>-3.1E-2</v>
      </c>
      <c r="H92" s="48">
        <v>-5.0000000000000001E-3</v>
      </c>
      <c r="I92" s="48"/>
      <c r="L92">
        <v>0</v>
      </c>
      <c r="M92" s="24">
        <v>-0.1</v>
      </c>
      <c r="N92" s="24">
        <v>-5.2999999999999999E-2</v>
      </c>
      <c r="O92" s="24">
        <v>-0.03</v>
      </c>
    </row>
    <row r="93" spans="2:20" x14ac:dyDescent="0.25">
      <c r="B93" t="s">
        <v>259</v>
      </c>
      <c r="C93">
        <v>-1.5</v>
      </c>
      <c r="D93">
        <v>-2.8</v>
      </c>
      <c r="E93">
        <v>0.8</v>
      </c>
      <c r="F93" s="48">
        <v>-0.95</v>
      </c>
      <c r="G93" s="48">
        <v>0.80600000000000005</v>
      </c>
      <c r="H93" s="48">
        <v>-0.42899999999999999</v>
      </c>
      <c r="I93" s="48">
        <v>0.85099999999999998</v>
      </c>
      <c r="L93">
        <v>0.6</v>
      </c>
      <c r="M93" s="24">
        <v>-2.5</v>
      </c>
      <c r="N93" s="24">
        <v>0.40200000000000002</v>
      </c>
      <c r="O93" s="24">
        <v>1.5489999999999999</v>
      </c>
    </row>
    <row r="94" spans="2:20" ht="15.75" thickBot="1" x14ac:dyDescent="0.3">
      <c r="B94" t="s">
        <v>72</v>
      </c>
      <c r="C94" s="34">
        <v>1248.9000000000001</v>
      </c>
      <c r="D94" s="34">
        <v>1187.5999999999999</v>
      </c>
      <c r="E94" s="34">
        <v>1155.9000000000001</v>
      </c>
      <c r="F94" s="49">
        <v>1160.9670000000001</v>
      </c>
      <c r="G94" s="49">
        <v>1135.5740000000001</v>
      </c>
      <c r="H94" s="49">
        <v>1097.623</v>
      </c>
      <c r="I94" s="49">
        <v>1049.729</v>
      </c>
      <c r="J94" s="68"/>
      <c r="L94" s="34">
        <v>1266</v>
      </c>
      <c r="M94" s="31">
        <v>1196.5999999999999</v>
      </c>
      <c r="N94" s="31">
        <v>1156.117</v>
      </c>
      <c r="O94" s="31">
        <v>1142.4880000000001</v>
      </c>
    </row>
    <row r="95" spans="2:20" s="15" customFormat="1" x14ac:dyDescent="0.25">
      <c r="B95" s="15" t="s">
        <v>73</v>
      </c>
      <c r="C95" s="15">
        <f>SUM(C89:C94)</f>
        <v>993.7</v>
      </c>
      <c r="D95" s="15">
        <v>931</v>
      </c>
      <c r="E95" s="15">
        <v>903</v>
      </c>
      <c r="F95" s="15">
        <v>906.35199999999998</v>
      </c>
      <c r="G95" s="15">
        <v>882.64400000000001</v>
      </c>
      <c r="H95" s="15">
        <v>843.48400000000004</v>
      </c>
      <c r="I95" s="15">
        <v>796.875</v>
      </c>
      <c r="L95" s="15">
        <f>SUM(L89:L94)</f>
        <v>1012.9</v>
      </c>
      <c r="M95" s="15">
        <f>SUM(M89:M94)</f>
        <v>940.3</v>
      </c>
      <c r="N95" s="15">
        <v>902.76099999999997</v>
      </c>
      <c r="O95" s="15">
        <v>890.30200000000002</v>
      </c>
      <c r="Q95"/>
      <c r="R95"/>
    </row>
    <row r="96" spans="2:20" x14ac:dyDescent="0.25">
      <c r="H96" s="24"/>
      <c r="I96" s="24"/>
      <c r="J96" s="24"/>
    </row>
    <row r="98" spans="2:19" x14ac:dyDescent="0.25">
      <c r="B98" s="106" t="s">
        <v>162</v>
      </c>
      <c r="C98" s="106"/>
      <c r="D98" s="106"/>
      <c r="E98" s="106"/>
      <c r="F98" s="106"/>
      <c r="G98" s="106"/>
      <c r="H98" s="106"/>
      <c r="I98" s="106"/>
      <c r="J98" s="106"/>
      <c r="K98" s="106"/>
      <c r="L98" s="106"/>
      <c r="M98" s="106"/>
      <c r="N98" s="106"/>
      <c r="O98" s="106"/>
      <c r="P98" s="106"/>
    </row>
    <row r="100" spans="2:19" x14ac:dyDescent="0.25">
      <c r="N100" t="s">
        <v>390</v>
      </c>
    </row>
    <row r="101" spans="2:19" ht="15.75" thickBot="1" x14ac:dyDescent="0.3">
      <c r="C101" s="13">
        <v>44280</v>
      </c>
      <c r="D101" s="13">
        <v>43919</v>
      </c>
      <c r="E101" s="13">
        <v>43552</v>
      </c>
      <c r="F101" s="13">
        <v>43188</v>
      </c>
      <c r="G101" s="13">
        <v>42824</v>
      </c>
      <c r="H101" s="13">
        <v>42460</v>
      </c>
      <c r="I101" s="13">
        <v>42089</v>
      </c>
      <c r="J101" s="52"/>
      <c r="L101" s="13">
        <v>44476</v>
      </c>
      <c r="M101" s="13">
        <v>44112</v>
      </c>
      <c r="N101" s="13">
        <v>43748</v>
      </c>
      <c r="O101" s="13">
        <v>43384</v>
      </c>
    </row>
    <row r="102" spans="2:19" x14ac:dyDescent="0.25">
      <c r="B102" t="s">
        <v>40</v>
      </c>
      <c r="C102" s="43">
        <f>C29</f>
        <v>99.000000000000028</v>
      </c>
      <c r="D102">
        <v>67.400000000000006</v>
      </c>
      <c r="E102">
        <v>30.5</v>
      </c>
      <c r="F102" s="41">
        <v>62.814</v>
      </c>
      <c r="G102" s="41">
        <v>75.364000000000004</v>
      </c>
      <c r="H102">
        <v>72.783000000000001</v>
      </c>
      <c r="I102">
        <v>72.171000000000006</v>
      </c>
      <c r="L102" s="43">
        <f>L29</f>
        <v>56.699999999999996</v>
      </c>
      <c r="M102" s="43">
        <f>M29</f>
        <v>31.000000000000021</v>
      </c>
      <c r="N102">
        <v>25.576000000000001</v>
      </c>
      <c r="O102">
        <v>6.2220000000000004</v>
      </c>
    </row>
    <row r="103" spans="2:19" x14ac:dyDescent="0.25">
      <c r="B103" t="s">
        <v>264</v>
      </c>
      <c r="F103" s="41"/>
      <c r="G103" s="41"/>
      <c r="R103" s="36"/>
      <c r="S103" s="36"/>
    </row>
    <row r="104" spans="2:19" x14ac:dyDescent="0.25">
      <c r="B104" t="s">
        <v>265</v>
      </c>
      <c r="C104">
        <v>110.8</v>
      </c>
      <c r="D104">
        <v>109.4</v>
      </c>
      <c r="E104">
        <v>36.799999999999997</v>
      </c>
      <c r="F104">
        <v>34.482999999999997</v>
      </c>
      <c r="G104">
        <v>29.620999999999999</v>
      </c>
      <c r="H104">
        <v>25.106000000000002</v>
      </c>
      <c r="I104">
        <v>22.838000000000001</v>
      </c>
      <c r="L104">
        <v>59.7</v>
      </c>
      <c r="M104">
        <v>59.3</v>
      </c>
      <c r="N104">
        <v>58.13</v>
      </c>
      <c r="O104">
        <v>19.395</v>
      </c>
      <c r="P104" s="39"/>
      <c r="Q104" s="36"/>
    </row>
    <row r="105" spans="2:19" x14ac:dyDescent="0.25">
      <c r="B105" t="s">
        <v>266</v>
      </c>
      <c r="D105">
        <v>3.4</v>
      </c>
      <c r="E105" t="s">
        <v>42</v>
      </c>
      <c r="F105" s="41"/>
      <c r="G105" s="41"/>
      <c r="N105">
        <v>4.0049999999999999</v>
      </c>
      <c r="Q105" s="39"/>
    </row>
    <row r="106" spans="2:19" x14ac:dyDescent="0.25">
      <c r="B106" t="s">
        <v>228</v>
      </c>
      <c r="C106">
        <v>-0.3</v>
      </c>
      <c r="D106">
        <v>-0.5</v>
      </c>
      <c r="E106">
        <v>-0.6</v>
      </c>
      <c r="F106" s="41">
        <v>-0.68500000000000005</v>
      </c>
      <c r="G106" s="41">
        <v>-0.76</v>
      </c>
      <c r="H106">
        <v>-0.66800000000000004</v>
      </c>
      <c r="I106">
        <v>-0.57199999999999995</v>
      </c>
      <c r="L106">
        <v>-0.1</v>
      </c>
      <c r="M106">
        <v>-0.2</v>
      </c>
      <c r="N106">
        <v>-0.253</v>
      </c>
      <c r="O106">
        <v>-0.46300000000000002</v>
      </c>
    </row>
    <row r="107" spans="2:19" x14ac:dyDescent="0.25">
      <c r="B107" t="s">
        <v>229</v>
      </c>
      <c r="C107">
        <v>18.7</v>
      </c>
      <c r="D107">
        <v>18.3</v>
      </c>
      <c r="E107">
        <v>4.0999999999999996</v>
      </c>
      <c r="F107" s="41">
        <v>4.9630000000000001</v>
      </c>
      <c r="G107" s="41">
        <v>5.3</v>
      </c>
      <c r="H107">
        <v>9.9540000000000006</v>
      </c>
      <c r="I107">
        <v>10.369</v>
      </c>
      <c r="L107">
        <v>8</v>
      </c>
      <c r="M107">
        <v>10.199999999999999</v>
      </c>
      <c r="N107">
        <v>10.233000000000001</v>
      </c>
      <c r="O107">
        <v>2.415</v>
      </c>
    </row>
    <row r="108" spans="2:19" x14ac:dyDescent="0.25">
      <c r="B108" t="s">
        <v>420</v>
      </c>
      <c r="C108">
        <v>-30.2</v>
      </c>
      <c r="F108" s="41"/>
      <c r="G108" s="41">
        <v>0.69</v>
      </c>
    </row>
    <row r="109" spans="2:19" x14ac:dyDescent="0.25">
      <c r="B109" t="s">
        <v>383</v>
      </c>
      <c r="F109" s="41">
        <v>1.6279999999999999</v>
      </c>
      <c r="G109" s="41">
        <v>-0.17599999999999999</v>
      </c>
    </row>
    <row r="110" spans="2:19" x14ac:dyDescent="0.25">
      <c r="B110" t="s">
        <v>267</v>
      </c>
      <c r="D110">
        <v>-0.8</v>
      </c>
      <c r="E110">
        <v>-0.1</v>
      </c>
      <c r="F110" s="41"/>
      <c r="G110" s="41"/>
      <c r="L110">
        <v>2.8</v>
      </c>
      <c r="M110">
        <v>2.4</v>
      </c>
      <c r="N110">
        <v>-0.75</v>
      </c>
    </row>
    <row r="111" spans="2:19" x14ac:dyDescent="0.25">
      <c r="B111" t="s">
        <v>268</v>
      </c>
      <c r="C111">
        <v>4.7</v>
      </c>
      <c r="D111">
        <v>4.2</v>
      </c>
      <c r="E111">
        <v>3.5</v>
      </c>
      <c r="F111" s="41">
        <v>3.9359999999999999</v>
      </c>
      <c r="G111" s="41">
        <v>2.4369999999999998</v>
      </c>
      <c r="H111">
        <v>3.0049999999999999</v>
      </c>
      <c r="I111">
        <v>1.657</v>
      </c>
      <c r="L111">
        <v>13.9</v>
      </c>
      <c r="M111">
        <v>7.9</v>
      </c>
      <c r="N111">
        <v>2.38</v>
      </c>
      <c r="O111">
        <v>1.9510000000000001</v>
      </c>
    </row>
    <row r="112" spans="2:19" x14ac:dyDescent="0.25">
      <c r="B112" t="s">
        <v>231</v>
      </c>
      <c r="C112">
        <v>17.399999999999999</v>
      </c>
      <c r="D112">
        <v>18.5</v>
      </c>
      <c r="E112">
        <v>19.100000000000001</v>
      </c>
      <c r="F112" s="41">
        <v>16.782</v>
      </c>
      <c r="G112" s="41">
        <v>20.02</v>
      </c>
      <c r="H112">
        <v>19.359000000000002</v>
      </c>
      <c r="I112">
        <v>14.794</v>
      </c>
      <c r="N112">
        <v>8.4309999999999992</v>
      </c>
      <c r="O112">
        <v>1.738</v>
      </c>
    </row>
    <row r="113" spans="2:19" x14ac:dyDescent="0.25">
      <c r="B113" t="s">
        <v>269</v>
      </c>
      <c r="C113">
        <v>3.1</v>
      </c>
      <c r="D113">
        <v>5.4</v>
      </c>
      <c r="E113">
        <v>-1.8</v>
      </c>
      <c r="F113" s="47">
        <v>-5.234</v>
      </c>
      <c r="G113" s="47">
        <v>-8.8629999999999995</v>
      </c>
      <c r="H113" s="24">
        <v>-6.7839999999999998</v>
      </c>
      <c r="I113">
        <v>-9.468</v>
      </c>
      <c r="L113" s="48">
        <v>2.1</v>
      </c>
      <c r="M113" s="48">
        <v>-7.6</v>
      </c>
      <c r="N113" s="24">
        <v>-5.5810000000000004</v>
      </c>
      <c r="O113">
        <v>-9.0839999999999996</v>
      </c>
      <c r="P113" s="24"/>
    </row>
    <row r="114" spans="2:19" x14ac:dyDescent="0.25">
      <c r="B114" t="s">
        <v>270</v>
      </c>
      <c r="C114">
        <v>-22.1</v>
      </c>
      <c r="D114">
        <v>5.7</v>
      </c>
      <c r="E114">
        <v>-7.3</v>
      </c>
      <c r="F114" s="41">
        <v>-4.5309999999999997</v>
      </c>
      <c r="G114" s="41">
        <v>-4.9790000000000001</v>
      </c>
      <c r="H114">
        <v>-3.6269999999999998</v>
      </c>
      <c r="I114">
        <v>-2.3580000000000001</v>
      </c>
      <c r="L114" s="48">
        <v>2.9</v>
      </c>
      <c r="M114" s="48">
        <v>-17</v>
      </c>
      <c r="N114">
        <v>-3.67</v>
      </c>
      <c r="O114">
        <v>-4.867</v>
      </c>
    </row>
    <row r="115" spans="2:19" x14ac:dyDescent="0.25">
      <c r="B115" t="s">
        <v>271</v>
      </c>
      <c r="C115">
        <v>10.199999999999999</v>
      </c>
      <c r="D115">
        <v>16.899999999999999</v>
      </c>
      <c r="E115">
        <v>12.6</v>
      </c>
      <c r="F115" s="41">
        <v>11.474</v>
      </c>
      <c r="G115" s="41">
        <v>11.468999999999999</v>
      </c>
      <c r="H115">
        <v>7.0209999999999999</v>
      </c>
      <c r="I115">
        <v>16.132000000000001</v>
      </c>
      <c r="L115" s="48">
        <v>55.3</v>
      </c>
      <c r="M115" s="48">
        <v>44.8</v>
      </c>
      <c r="N115">
        <v>13.409000000000001</v>
      </c>
      <c r="O115">
        <v>12.173999999999999</v>
      </c>
    </row>
    <row r="116" spans="2:19" x14ac:dyDescent="0.25">
      <c r="B116" t="s">
        <v>272</v>
      </c>
      <c r="C116">
        <v>1.3</v>
      </c>
      <c r="D116">
        <v>-0.7</v>
      </c>
      <c r="E116">
        <v>1.9</v>
      </c>
      <c r="F116" s="41">
        <v>1.149</v>
      </c>
      <c r="G116" s="41">
        <v>6.3E-2</v>
      </c>
      <c r="H116">
        <v>-0.248</v>
      </c>
      <c r="I116">
        <v>-0.22500000000000001</v>
      </c>
      <c r="L116" s="48">
        <v>1.2</v>
      </c>
      <c r="M116" s="48">
        <v>1.2</v>
      </c>
      <c r="N116">
        <v>-1.9350000000000001</v>
      </c>
      <c r="O116">
        <v>1.163</v>
      </c>
    </row>
    <row r="117" spans="2:19" x14ac:dyDescent="0.25">
      <c r="B117" t="s">
        <v>386</v>
      </c>
      <c r="F117" s="41"/>
      <c r="G117" s="41"/>
      <c r="I117">
        <v>-25.184000000000001</v>
      </c>
      <c r="L117" s="48"/>
      <c r="M117" s="48"/>
    </row>
    <row r="118" spans="2:19" x14ac:dyDescent="0.25">
      <c r="B118" t="s">
        <v>273</v>
      </c>
      <c r="D118">
        <v>-1.2</v>
      </c>
      <c r="E118">
        <v>27.7</v>
      </c>
      <c r="F118" s="41"/>
      <c r="G118" s="41"/>
      <c r="H118" s="24"/>
      <c r="L118" s="48"/>
      <c r="M118" s="48"/>
      <c r="N118" s="24">
        <v>1.1779999999999999</v>
      </c>
      <c r="O118">
        <v>29.91</v>
      </c>
      <c r="P118" s="24"/>
    </row>
    <row r="119" spans="2:19" x14ac:dyDescent="0.25">
      <c r="B119" t="s">
        <v>389</v>
      </c>
      <c r="F119" s="41"/>
      <c r="G119" s="41"/>
      <c r="H119" s="24"/>
      <c r="I119">
        <v>4.2949999999999999</v>
      </c>
      <c r="L119" s="48"/>
      <c r="M119" s="48"/>
      <c r="N119" s="24"/>
      <c r="P119" s="24"/>
    </row>
    <row r="120" spans="2:19" ht="15.75" thickBot="1" x14ac:dyDescent="0.3">
      <c r="B120" t="s">
        <v>274</v>
      </c>
      <c r="C120" s="14">
        <v>-17.5</v>
      </c>
      <c r="D120" s="14">
        <v>-30.8</v>
      </c>
      <c r="E120" s="14">
        <v>-18.600000000000001</v>
      </c>
      <c r="F120" s="45">
        <v>-19.053999999999998</v>
      </c>
      <c r="G120" s="45">
        <v>-19.298999999999999</v>
      </c>
      <c r="H120" s="31">
        <v>-14.823</v>
      </c>
      <c r="I120" s="14">
        <v>-12.874000000000001</v>
      </c>
      <c r="J120" s="38"/>
      <c r="L120" s="49">
        <v>-14.6</v>
      </c>
      <c r="M120" s="49">
        <v>-8.1</v>
      </c>
      <c r="N120" s="31">
        <v>-20.207999999999998</v>
      </c>
      <c r="O120" s="31">
        <v>-8.4019999999999992</v>
      </c>
      <c r="P120" s="24"/>
    </row>
    <row r="121" spans="2:19" s="15" customFormat="1" x14ac:dyDescent="0.25">
      <c r="B121" s="15" t="s">
        <v>275</v>
      </c>
      <c r="C121" s="42">
        <f t="shared" ref="C121:I121" si="6">SUM(C102:C120)</f>
        <v>195.1</v>
      </c>
      <c r="D121" s="42">
        <f t="shared" si="6"/>
        <v>215.20000000000002</v>
      </c>
      <c r="E121" s="42">
        <f t="shared" si="6"/>
        <v>107.80000000000001</v>
      </c>
      <c r="F121" s="42">
        <f t="shared" si="6"/>
        <v>107.72499999999998</v>
      </c>
      <c r="G121" s="42">
        <f t="shared" si="6"/>
        <v>110.88699999999997</v>
      </c>
      <c r="H121" s="42">
        <f t="shared" si="6"/>
        <v>111.078</v>
      </c>
      <c r="I121" s="42">
        <f t="shared" si="6"/>
        <v>91.575000000000017</v>
      </c>
      <c r="J121" s="42"/>
      <c r="L121" s="44">
        <f>SUM(L102:L120)</f>
        <v>187.9</v>
      </c>
      <c r="M121" s="44">
        <f>SUM(M102:M120)</f>
        <v>123.9</v>
      </c>
      <c r="N121" s="42">
        <f>SUM(N102:N120)</f>
        <v>90.944999999999993</v>
      </c>
      <c r="O121" s="42">
        <f>SUM(O102:O120)</f>
        <v>52.152000000000001</v>
      </c>
      <c r="R121"/>
      <c r="S121" s="17"/>
    </row>
    <row r="122" spans="2:19" x14ac:dyDescent="0.25">
      <c r="F122" s="41"/>
      <c r="G122" s="41"/>
      <c r="H122" s="24"/>
      <c r="N122" s="24"/>
      <c r="P122" s="24"/>
    </row>
    <row r="123" spans="2:19" x14ac:dyDescent="0.25">
      <c r="B123" t="s">
        <v>78</v>
      </c>
      <c r="F123" s="41"/>
      <c r="G123" s="41"/>
    </row>
    <row r="124" spans="2:19" x14ac:dyDescent="0.25">
      <c r="B124" t="s">
        <v>276</v>
      </c>
      <c r="C124">
        <v>0.3</v>
      </c>
      <c r="D124">
        <v>0.4</v>
      </c>
      <c r="E124">
        <v>0.6</v>
      </c>
      <c r="F124" s="41">
        <v>0.81399999999999995</v>
      </c>
      <c r="G124" s="41">
        <v>1.83</v>
      </c>
      <c r="H124" s="24">
        <v>3.0819999999999999</v>
      </c>
      <c r="I124">
        <v>0.874</v>
      </c>
      <c r="L124" t="s">
        <v>42</v>
      </c>
      <c r="M124">
        <v>0.1</v>
      </c>
      <c r="N124" s="24">
        <v>0.26</v>
      </c>
      <c r="O124">
        <v>0.441</v>
      </c>
      <c r="P124" s="24"/>
    </row>
    <row r="125" spans="2:19" x14ac:dyDescent="0.25">
      <c r="B125" t="s">
        <v>384</v>
      </c>
      <c r="F125" s="41"/>
      <c r="G125" s="41">
        <v>0.67700000000000005</v>
      </c>
      <c r="H125" s="24"/>
      <c r="N125" s="24"/>
      <c r="P125" s="24"/>
    </row>
    <row r="126" spans="2:19" x14ac:dyDescent="0.25">
      <c r="B126" t="s">
        <v>277</v>
      </c>
      <c r="C126">
        <v>0.4</v>
      </c>
      <c r="D126">
        <v>0.5</v>
      </c>
      <c r="E126">
        <v>0.6</v>
      </c>
      <c r="F126" s="41">
        <v>0.68500000000000005</v>
      </c>
      <c r="G126" s="41">
        <v>0.72199999999999998</v>
      </c>
      <c r="H126">
        <v>0.41299999999999998</v>
      </c>
      <c r="I126">
        <v>0.36399999999999999</v>
      </c>
      <c r="L126">
        <v>0.1</v>
      </c>
      <c r="M126">
        <v>0.2</v>
      </c>
      <c r="N126">
        <v>0.253</v>
      </c>
      <c r="O126">
        <v>0.46300000000000002</v>
      </c>
    </row>
    <row r="127" spans="2:19" x14ac:dyDescent="0.25">
      <c r="B127" t="s">
        <v>278</v>
      </c>
      <c r="D127">
        <v>-1</v>
      </c>
      <c r="E127" t="s">
        <v>42</v>
      </c>
      <c r="F127" s="41">
        <v>-2.1459999999999999</v>
      </c>
      <c r="G127" s="41">
        <v>-3.42</v>
      </c>
      <c r="H127">
        <v>-1.01</v>
      </c>
      <c r="I127">
        <v>-2.1760000000000002</v>
      </c>
      <c r="N127">
        <v>-1</v>
      </c>
    </row>
    <row r="128" spans="2:19" x14ac:dyDescent="0.25">
      <c r="B128" t="s">
        <v>279</v>
      </c>
      <c r="D128" t="s">
        <v>42</v>
      </c>
      <c r="E128">
        <v>-0.2</v>
      </c>
      <c r="F128" s="41">
        <v>-0.872</v>
      </c>
      <c r="G128" s="41">
        <v>-2.2469999999999999</v>
      </c>
      <c r="H128">
        <v>-1.6739999999999999</v>
      </c>
    </row>
    <row r="129" spans="2:18" x14ac:dyDescent="0.25">
      <c r="B129" t="s">
        <v>385</v>
      </c>
      <c r="F129" s="41"/>
      <c r="G129" s="47">
        <v>0.5</v>
      </c>
    </row>
    <row r="130" spans="2:18" x14ac:dyDescent="0.25">
      <c r="B130" t="s">
        <v>415</v>
      </c>
      <c r="C130">
        <v>-0.4</v>
      </c>
      <c r="F130" s="41"/>
      <c r="G130" s="47"/>
      <c r="L130">
        <v>-0.2</v>
      </c>
      <c r="M130">
        <v>-0.5</v>
      </c>
    </row>
    <row r="131" spans="2:18" x14ac:dyDescent="0.25">
      <c r="B131" t="s">
        <v>280</v>
      </c>
      <c r="C131">
        <v>-16.899999999999999</v>
      </c>
      <c r="D131">
        <v>-0.5</v>
      </c>
      <c r="E131">
        <v>-1.1000000000000001</v>
      </c>
      <c r="F131" s="41"/>
      <c r="G131" s="41">
        <v>-14.831</v>
      </c>
      <c r="H131" s="24">
        <v>-8.1129999999999995</v>
      </c>
      <c r="L131">
        <v>-1.1000000000000001</v>
      </c>
      <c r="M131">
        <v>-0.8</v>
      </c>
      <c r="N131" s="24">
        <v>-0.35</v>
      </c>
      <c r="P131" s="24"/>
    </row>
    <row r="132" spans="2:18" x14ac:dyDescent="0.25">
      <c r="B132" t="s">
        <v>281</v>
      </c>
      <c r="D132">
        <v>-0.5</v>
      </c>
      <c r="E132">
        <v>-0.7</v>
      </c>
      <c r="N132">
        <v>-3.7639999999999998</v>
      </c>
      <c r="O132">
        <v>-2.1</v>
      </c>
    </row>
    <row r="133" spans="2:18" x14ac:dyDescent="0.25">
      <c r="B133" t="s">
        <v>282</v>
      </c>
      <c r="D133">
        <v>-3.7</v>
      </c>
      <c r="E133">
        <v>-2.4</v>
      </c>
      <c r="F133" s="41"/>
      <c r="G133" s="41"/>
    </row>
    <row r="134" spans="2:18" x14ac:dyDescent="0.25">
      <c r="B134" t="s">
        <v>283</v>
      </c>
      <c r="D134" t="s">
        <v>42</v>
      </c>
      <c r="E134">
        <v>-0.7</v>
      </c>
      <c r="F134" s="41"/>
      <c r="G134" s="41"/>
      <c r="H134" s="24"/>
      <c r="N134" s="24">
        <v>-5.8979999999999997</v>
      </c>
      <c r="P134" s="24"/>
    </row>
    <row r="135" spans="2:18" x14ac:dyDescent="0.25">
      <c r="B135" t="s">
        <v>284</v>
      </c>
      <c r="D135">
        <v>-5.9</v>
      </c>
      <c r="E135">
        <v>-5.7</v>
      </c>
      <c r="F135" s="41"/>
      <c r="G135" s="41"/>
      <c r="H135" s="24"/>
      <c r="N135" s="24"/>
      <c r="P135" s="24"/>
    </row>
    <row r="136" spans="2:18" x14ac:dyDescent="0.25">
      <c r="B136" t="s">
        <v>419</v>
      </c>
      <c r="C136">
        <v>79.400000000000006</v>
      </c>
      <c r="N136" s="24"/>
      <c r="P136" s="24"/>
    </row>
    <row r="137" spans="2:18" ht="15.75" thickBot="1" x14ac:dyDescent="0.3">
      <c r="B137" t="s">
        <v>285</v>
      </c>
      <c r="C137" s="14">
        <v>-34.9</v>
      </c>
      <c r="D137" s="14">
        <v>-39.6</v>
      </c>
      <c r="E137" s="14">
        <v>-37.4</v>
      </c>
      <c r="F137" s="76">
        <v>-41.613</v>
      </c>
      <c r="G137" s="76">
        <v>-40.896000000000001</v>
      </c>
      <c r="H137" s="76">
        <v>-36.804000000000002</v>
      </c>
      <c r="I137" s="76">
        <v>-30.361000000000001</v>
      </c>
      <c r="J137" s="38"/>
      <c r="L137" s="14">
        <v>-36.700000000000003</v>
      </c>
      <c r="M137" s="14">
        <v>-16.3</v>
      </c>
      <c r="N137" s="76">
        <v>-15.632999999999999</v>
      </c>
      <c r="O137" s="76">
        <v>-20.323</v>
      </c>
    </row>
    <row r="138" spans="2:18" s="15" customFormat="1" x14ac:dyDescent="0.25">
      <c r="B138" s="15" t="s">
        <v>82</v>
      </c>
      <c r="C138" s="15">
        <f>SUM(C124:C137)</f>
        <v>27.900000000000013</v>
      </c>
      <c r="D138" s="15">
        <v>-50.3</v>
      </c>
      <c r="E138" s="15">
        <v>-47</v>
      </c>
      <c r="F138" s="42">
        <f>SUM(F124:F137)</f>
        <v>-43.131999999999998</v>
      </c>
      <c r="G138" s="42">
        <f>SUM(G124:G137)</f>
        <v>-57.664999999999999</v>
      </c>
      <c r="H138" s="15">
        <v>-44.106000000000002</v>
      </c>
      <c r="I138" s="15">
        <v>-31.298999999999999</v>
      </c>
      <c r="L138" s="15">
        <f>SUM(L124:L137)</f>
        <v>-37.900000000000006</v>
      </c>
      <c r="M138" s="15">
        <f>SUM(M124:M137)</f>
        <v>-17.3</v>
      </c>
      <c r="N138" s="15">
        <v>-26.132000000000001</v>
      </c>
      <c r="O138" s="15">
        <v>-21.518999999999998</v>
      </c>
      <c r="P138"/>
      <c r="R138"/>
    </row>
    <row r="139" spans="2:18" x14ac:dyDescent="0.25">
      <c r="F139" s="41"/>
      <c r="G139" s="41"/>
    </row>
    <row r="140" spans="2:18" x14ac:dyDescent="0.25">
      <c r="B140" t="s">
        <v>83</v>
      </c>
      <c r="F140" s="41"/>
      <c r="G140" s="41"/>
    </row>
    <row r="141" spans="2:18" x14ac:dyDescent="0.25">
      <c r="B141" t="s">
        <v>387</v>
      </c>
      <c r="F141" s="41"/>
      <c r="G141" s="41"/>
      <c r="H141">
        <v>-1.8080000000000001</v>
      </c>
    </row>
    <row r="142" spans="2:18" x14ac:dyDescent="0.25">
      <c r="B142" t="s">
        <v>388</v>
      </c>
      <c r="F142" s="41"/>
      <c r="G142" s="41"/>
      <c r="H142">
        <v>-1.2250000000000001</v>
      </c>
    </row>
    <row r="143" spans="2:18" x14ac:dyDescent="0.25">
      <c r="B143" t="s">
        <v>286</v>
      </c>
      <c r="C143">
        <v>-37.1</v>
      </c>
      <c r="D143">
        <v>-37.1</v>
      </c>
      <c r="E143">
        <v>-37.200000000000003</v>
      </c>
      <c r="F143" s="41">
        <v>-37.341000000000001</v>
      </c>
      <c r="G143" s="41">
        <v>-39.85</v>
      </c>
      <c r="H143">
        <v>-27.893999999999998</v>
      </c>
      <c r="I143">
        <v>-8.9420000000000002</v>
      </c>
      <c r="L143">
        <v>-27.2</v>
      </c>
      <c r="M143">
        <v>-24.7</v>
      </c>
      <c r="N143">
        <v>-24.771000000000001</v>
      </c>
      <c r="O143">
        <v>-24.806999999999999</v>
      </c>
    </row>
    <row r="144" spans="2:18" x14ac:dyDescent="0.25">
      <c r="B144" t="s">
        <v>287</v>
      </c>
      <c r="C144">
        <v>60</v>
      </c>
      <c r="D144">
        <v>61</v>
      </c>
      <c r="E144">
        <v>181</v>
      </c>
      <c r="F144" s="41"/>
      <c r="G144" s="41">
        <v>8</v>
      </c>
      <c r="H144">
        <v>202</v>
      </c>
      <c r="L144" t="s">
        <v>42</v>
      </c>
      <c r="M144">
        <v>20</v>
      </c>
      <c r="N144">
        <v>36</v>
      </c>
      <c r="O144">
        <v>195.08600000000001</v>
      </c>
    </row>
    <row r="145" spans="2:18" x14ac:dyDescent="0.25">
      <c r="B145" t="s">
        <v>288</v>
      </c>
      <c r="C145">
        <v>-125</v>
      </c>
      <c r="D145">
        <v>-77</v>
      </c>
      <c r="E145">
        <v>-195</v>
      </c>
      <c r="F145" s="41">
        <v>-15</v>
      </c>
      <c r="G145" s="41"/>
      <c r="H145">
        <v>-325</v>
      </c>
      <c r="L145" t="s">
        <v>42</v>
      </c>
      <c r="M145">
        <v>-20</v>
      </c>
      <c r="N145">
        <v>-36</v>
      </c>
      <c r="O145">
        <v>-195</v>
      </c>
    </row>
    <row r="146" spans="2:18" x14ac:dyDescent="0.25">
      <c r="B146" t="s">
        <v>289</v>
      </c>
      <c r="C146">
        <v>-0.2</v>
      </c>
      <c r="D146" t="s">
        <v>42</v>
      </c>
      <c r="E146">
        <v>-2.5</v>
      </c>
      <c r="F146" s="41"/>
      <c r="G146" s="41"/>
      <c r="L146" t="s">
        <v>42</v>
      </c>
      <c r="M146">
        <v>-0.2</v>
      </c>
      <c r="O146">
        <v>-1.79</v>
      </c>
    </row>
    <row r="147" spans="2:18" x14ac:dyDescent="0.25">
      <c r="B147" t="s">
        <v>290</v>
      </c>
      <c r="C147">
        <v>-66.599999999999994</v>
      </c>
      <c r="D147">
        <v>-67</v>
      </c>
      <c r="E147" t="s">
        <v>291</v>
      </c>
      <c r="F147" s="41"/>
      <c r="G147" s="41"/>
      <c r="L147">
        <v>-36.9</v>
      </c>
      <c r="M147">
        <v>-35.1</v>
      </c>
      <c r="N147">
        <v>-37.067</v>
      </c>
    </row>
    <row r="148" spans="2:18" x14ac:dyDescent="0.25">
      <c r="B148" t="s">
        <v>292</v>
      </c>
      <c r="C148">
        <v>-5.5</v>
      </c>
      <c r="D148">
        <v>-5.6</v>
      </c>
      <c r="E148">
        <v>-1</v>
      </c>
      <c r="F148" s="41"/>
      <c r="G148" s="41"/>
      <c r="H148" s="24"/>
      <c r="N148" s="24">
        <v>-5.6390000000000002</v>
      </c>
      <c r="P148" s="24"/>
    </row>
    <row r="149" spans="2:18" x14ac:dyDescent="0.25">
      <c r="B149" t="s">
        <v>293</v>
      </c>
      <c r="C149">
        <v>-8.6999999999999993</v>
      </c>
      <c r="D149">
        <v>-2.8</v>
      </c>
      <c r="E149">
        <v>-1.8</v>
      </c>
      <c r="F149" s="41">
        <v>-4.016</v>
      </c>
      <c r="G149" s="41"/>
      <c r="L149">
        <v>-15.1</v>
      </c>
      <c r="M149">
        <v>-2.5</v>
      </c>
      <c r="N149">
        <v>-2.948</v>
      </c>
      <c r="O149">
        <v>-1.845</v>
      </c>
    </row>
    <row r="150" spans="2:18" x14ac:dyDescent="0.25">
      <c r="B150" t="s">
        <v>294</v>
      </c>
      <c r="C150">
        <v>0</v>
      </c>
      <c r="D150">
        <v>-0.1</v>
      </c>
      <c r="E150">
        <v>-0.2</v>
      </c>
      <c r="F150" s="41">
        <v>-0.18099999999999999</v>
      </c>
      <c r="G150" s="41">
        <v>-0.109</v>
      </c>
      <c r="H150">
        <v>-2.8000000000000001E-2</v>
      </c>
      <c r="N150">
        <v>-0.20799999999999999</v>
      </c>
      <c r="O150">
        <v>-3.5999999999999997E-2</v>
      </c>
    </row>
    <row r="151" spans="2:18" x14ac:dyDescent="0.25">
      <c r="B151" t="s">
        <v>76</v>
      </c>
      <c r="C151">
        <v>-4.8</v>
      </c>
      <c r="D151">
        <v>-3.7</v>
      </c>
      <c r="E151">
        <v>-3.4</v>
      </c>
      <c r="F151" s="41">
        <v>-4.5759999999999996</v>
      </c>
      <c r="G151" s="41">
        <v>-4.9160000000000004</v>
      </c>
      <c r="H151">
        <v>-5.9850000000000003</v>
      </c>
      <c r="I151">
        <v>-9.1910000000000007</v>
      </c>
      <c r="L151">
        <v>-1.3</v>
      </c>
      <c r="M151">
        <v>-2</v>
      </c>
      <c r="N151">
        <v>-2.169</v>
      </c>
      <c r="O151">
        <v>-1.77</v>
      </c>
    </row>
    <row r="152" spans="2:18" ht="15.75" thickBot="1" x14ac:dyDescent="0.3">
      <c r="B152" t="s">
        <v>295</v>
      </c>
      <c r="C152" s="14">
        <v>-12.8</v>
      </c>
      <c r="D152" s="14">
        <v>-14</v>
      </c>
      <c r="E152" s="14" t="s">
        <v>42</v>
      </c>
      <c r="F152" s="45"/>
      <c r="G152" s="45"/>
      <c r="H152" s="14"/>
      <c r="I152" s="14"/>
      <c r="J152" s="38"/>
      <c r="L152" s="14">
        <v>-6.2</v>
      </c>
      <c r="M152" s="14">
        <v>-7.1</v>
      </c>
      <c r="N152" s="14">
        <v>-7.798</v>
      </c>
      <c r="O152" s="14"/>
    </row>
    <row r="153" spans="2:18" s="15" customFormat="1" x14ac:dyDescent="0.25">
      <c r="B153" s="15" t="s">
        <v>296</v>
      </c>
      <c r="C153" s="15">
        <f>SUM(C140:C152)</f>
        <v>-200.7</v>
      </c>
      <c r="D153" s="15">
        <v>-146.30000000000001</v>
      </c>
      <c r="E153" s="15">
        <v>-60.1</v>
      </c>
      <c r="F153" s="42">
        <f>SUM(F143:F151)</f>
        <v>-61.113999999999997</v>
      </c>
      <c r="G153" s="42">
        <f>SUM(G143:G151)</f>
        <v>-36.875</v>
      </c>
      <c r="H153" s="15">
        <v>-156.90700000000001</v>
      </c>
      <c r="I153" s="15">
        <v>-18.132999999999999</v>
      </c>
      <c r="L153" s="15">
        <f>SUM(L140:L152)</f>
        <v>-86.699999999999989</v>
      </c>
      <c r="M153" s="15">
        <f>SUM(M140:M152)</f>
        <v>-71.599999999999994</v>
      </c>
      <c r="N153" s="15">
        <v>-80.599999999999994</v>
      </c>
      <c r="O153" s="15">
        <v>-30.161999999999999</v>
      </c>
      <c r="R153"/>
    </row>
    <row r="154" spans="2:18" x14ac:dyDescent="0.25">
      <c r="F154" s="41"/>
      <c r="G154" s="41"/>
    </row>
    <row r="155" spans="2:18" x14ac:dyDescent="0.25">
      <c r="B155" t="s">
        <v>297</v>
      </c>
      <c r="C155">
        <v>22.3</v>
      </c>
      <c r="D155">
        <v>18.600000000000001</v>
      </c>
      <c r="E155">
        <v>0.7</v>
      </c>
      <c r="F155" s="41">
        <v>3.4790000000000001</v>
      </c>
      <c r="G155" s="41">
        <v>16.347000000000001</v>
      </c>
      <c r="H155">
        <v>-92.968000000000004</v>
      </c>
      <c r="I155">
        <v>42.143000000000001</v>
      </c>
      <c r="L155">
        <v>63.3</v>
      </c>
      <c r="M155">
        <v>35</v>
      </c>
      <c r="N155">
        <v>-15.787000000000001</v>
      </c>
      <c r="O155">
        <v>0.47099999999999997</v>
      </c>
    </row>
    <row r="156" spans="2:18" x14ac:dyDescent="0.25">
      <c r="B156" t="s">
        <v>298</v>
      </c>
      <c r="C156">
        <f>D157</f>
        <v>79.099999999999994</v>
      </c>
      <c r="D156">
        <f>E157</f>
        <v>60.5</v>
      </c>
      <c r="E156">
        <f t="shared" ref="E156:H156" si="7">F157</f>
        <v>59.823999999999998</v>
      </c>
      <c r="F156">
        <f t="shared" si="7"/>
        <v>56.344999999999999</v>
      </c>
      <c r="G156">
        <f t="shared" si="7"/>
        <v>39.997999999999998</v>
      </c>
      <c r="H156">
        <f t="shared" si="7"/>
        <v>132.96600000000001</v>
      </c>
      <c r="I156">
        <v>90.822999999999993</v>
      </c>
      <c r="L156">
        <f>C157</f>
        <v>101.4</v>
      </c>
      <c r="M156">
        <f t="shared" ref="M156:O156" si="8">D157</f>
        <v>79.099999999999994</v>
      </c>
      <c r="N156">
        <f t="shared" si="8"/>
        <v>60.5</v>
      </c>
      <c r="O156">
        <f t="shared" si="8"/>
        <v>59.823999999999998</v>
      </c>
    </row>
    <row r="157" spans="2:18" x14ac:dyDescent="0.25">
      <c r="B157" t="s">
        <v>91</v>
      </c>
      <c r="C157">
        <v>101.4</v>
      </c>
      <c r="D157">
        <v>79.099999999999994</v>
      </c>
      <c r="E157">
        <v>60.5</v>
      </c>
      <c r="F157" s="41">
        <v>59.823999999999998</v>
      </c>
      <c r="G157" s="41">
        <v>56.344999999999999</v>
      </c>
      <c r="H157">
        <v>39.997999999999998</v>
      </c>
      <c r="I157">
        <v>132.96600000000001</v>
      </c>
      <c r="L157">
        <v>164.7</v>
      </c>
      <c r="M157">
        <v>114.1</v>
      </c>
      <c r="N157">
        <v>44.747</v>
      </c>
      <c r="O157">
        <v>60.295000000000002</v>
      </c>
    </row>
    <row r="160" spans="2:18" x14ac:dyDescent="0.25">
      <c r="B160" s="106" t="s">
        <v>1536</v>
      </c>
      <c r="C160" s="106"/>
      <c r="D160" s="106"/>
      <c r="E160" s="106"/>
      <c r="F160" s="106"/>
      <c r="G160" s="106"/>
      <c r="H160" s="106"/>
      <c r="I160" s="106"/>
      <c r="J160" s="106"/>
      <c r="K160" s="106"/>
      <c r="L160" s="106"/>
      <c r="M160" s="106"/>
      <c r="N160" s="106"/>
      <c r="O160" s="106"/>
      <c r="P160" s="106"/>
    </row>
    <row r="162" spans="2:10" ht="15.75" thickBot="1" x14ac:dyDescent="0.3">
      <c r="B162" s="15" t="s">
        <v>26</v>
      </c>
      <c r="C162" s="100">
        <v>45717</v>
      </c>
      <c r="D162" s="100">
        <v>45352</v>
      </c>
      <c r="E162" s="100">
        <v>44986</v>
      </c>
      <c r="F162" s="100">
        <v>44621</v>
      </c>
      <c r="G162" s="100">
        <v>44256</v>
      </c>
      <c r="H162" s="100">
        <v>43891</v>
      </c>
      <c r="I162" s="100">
        <v>43525</v>
      </c>
      <c r="J162" s="101" t="s">
        <v>1543</v>
      </c>
    </row>
    <row r="163" spans="2:10" x14ac:dyDescent="0.25">
      <c r="B163" s="21" t="s">
        <v>1538</v>
      </c>
      <c r="C163" s="48"/>
      <c r="D163" s="48"/>
      <c r="E163" s="48"/>
      <c r="F163" s="48">
        <v>377.8</v>
      </c>
      <c r="G163" s="48">
        <v>301</v>
      </c>
      <c r="H163" s="48">
        <v>303.39999999999998</v>
      </c>
      <c r="I163" s="48">
        <v>276</v>
      </c>
      <c r="J163" s="97">
        <f>SUM(F163/I163)^(1/3)-1</f>
        <v>0.11032714424893686</v>
      </c>
    </row>
    <row r="164" spans="2:10" x14ac:dyDescent="0.25">
      <c r="B164" s="21" t="s">
        <v>1539</v>
      </c>
      <c r="C164" s="48"/>
      <c r="D164" s="48"/>
      <c r="E164" s="48"/>
      <c r="F164" s="48">
        <v>300</v>
      </c>
      <c r="G164" s="48">
        <v>273.39999999999998</v>
      </c>
      <c r="H164" s="48">
        <v>242.9</v>
      </c>
      <c r="I164" s="48">
        <f>O7-I163</f>
        <v>223.34500000000003</v>
      </c>
      <c r="J164" s="97">
        <f>SUM(F164/I164)^(1/3)-1</f>
        <v>0.10335433781318959</v>
      </c>
    </row>
    <row r="165" spans="2:10" x14ac:dyDescent="0.25">
      <c r="B165" s="21" t="s">
        <v>1540</v>
      </c>
      <c r="C165" s="48"/>
      <c r="D165" s="48"/>
      <c r="E165" s="48"/>
      <c r="F165" s="48">
        <v>319.39999999999998</v>
      </c>
      <c r="G165" s="48">
        <v>302</v>
      </c>
      <c r="H165" s="48">
        <v>256</v>
      </c>
      <c r="I165" s="48">
        <v>237.2</v>
      </c>
      <c r="J165" s="97">
        <f>SUM(F165/I165)^(1/3)-1</f>
        <v>0.10426525869591208</v>
      </c>
    </row>
    <row r="166" spans="2:10" ht="15.75" thickBot="1" x14ac:dyDescent="0.3">
      <c r="B166" s="21" t="s">
        <v>1541</v>
      </c>
      <c r="C166" s="49"/>
      <c r="D166" s="49"/>
      <c r="E166" s="49"/>
      <c r="F166" s="49">
        <f>G166*1.04</f>
        <v>277.05599999999998</v>
      </c>
      <c r="G166" s="49">
        <v>266.39999999999998</v>
      </c>
      <c r="H166" s="49">
        <v>256.5</v>
      </c>
      <c r="I166" s="49">
        <f>E7-(I165+I164+I163)</f>
        <v>224.45499999999993</v>
      </c>
      <c r="J166" s="97">
        <f>SUM(F166/I166)^(1/3)-1</f>
        <v>7.270282703293196E-2</v>
      </c>
    </row>
    <row r="167" spans="2:10" x14ac:dyDescent="0.25">
      <c r="B167" s="102" t="s">
        <v>115</v>
      </c>
      <c r="C167" s="103"/>
      <c r="D167" s="103"/>
      <c r="E167" s="103"/>
      <c r="F167" s="103">
        <f>SUM(F163:F166)</f>
        <v>1274.2559999999999</v>
      </c>
      <c r="G167" s="103">
        <f>SUM(G163:G166)</f>
        <v>1142.8</v>
      </c>
      <c r="H167" s="103">
        <f>SUM(H163:H166)</f>
        <v>1058.8</v>
      </c>
      <c r="I167" s="103">
        <f>SUM(I163:I166)</f>
        <v>961</v>
      </c>
      <c r="J167" s="97">
        <f>SUM(F167/I167)^(1/3)-1</f>
        <v>9.8612239611711727E-2</v>
      </c>
    </row>
    <row r="168" spans="2:10" x14ac:dyDescent="0.25">
      <c r="B168" s="104" t="s">
        <v>1544</v>
      </c>
      <c r="C168" s="48"/>
      <c r="D168" s="48"/>
      <c r="E168" s="48"/>
      <c r="F168" s="105">
        <f>SUM(F167-G167)/G167</f>
        <v>0.1150297514875743</v>
      </c>
      <c r="G168" s="105">
        <f>SUM(G167-H167)/H167</f>
        <v>7.9335096335474128E-2</v>
      </c>
      <c r="H168" s="105">
        <f>SUM(H167-I167)/I167</f>
        <v>0.10176899063475542</v>
      </c>
      <c r="I168" s="48"/>
      <c r="J168" s="97"/>
    </row>
    <row r="169" spans="2:10" x14ac:dyDescent="0.25">
      <c r="B169" s="21" t="s">
        <v>1557</v>
      </c>
      <c r="C169" s="48"/>
      <c r="D169" s="48"/>
      <c r="E169" s="48"/>
      <c r="F169" s="48"/>
      <c r="G169" s="48">
        <f>D511</f>
        <v>1437.1</v>
      </c>
      <c r="H169" s="48">
        <f>E511</f>
        <v>1334.7</v>
      </c>
      <c r="I169" s="48">
        <f>F511</f>
        <v>1218.2</v>
      </c>
      <c r="J169" s="97"/>
    </row>
    <row r="170" spans="2:10" x14ac:dyDescent="0.25">
      <c r="B170" s="21" t="s">
        <v>1545</v>
      </c>
      <c r="C170" s="48"/>
      <c r="D170" s="48"/>
      <c r="E170" s="48"/>
      <c r="F170" s="48"/>
      <c r="G170" s="48">
        <f>G169-C7</f>
        <v>294.29999999999995</v>
      </c>
      <c r="H170" s="48">
        <f>H169-D7</f>
        <v>275.90000000000009</v>
      </c>
      <c r="I170" s="48">
        <f>I169-E7</f>
        <v>257.20000000000005</v>
      </c>
      <c r="J170" s="77"/>
    </row>
    <row r="171" spans="2:10" x14ac:dyDescent="0.25">
      <c r="J171" s="77"/>
    </row>
    <row r="172" spans="2:10" x14ac:dyDescent="0.25">
      <c r="B172" t="s">
        <v>55</v>
      </c>
      <c r="G172">
        <f>C870</f>
        <v>487.6</v>
      </c>
      <c r="H172">
        <f t="shared" ref="H172:I172" si="9">D870</f>
        <v>438.3</v>
      </c>
      <c r="I172">
        <f t="shared" si="9"/>
        <v>388.1</v>
      </c>
    </row>
    <row r="173" spans="2:10" x14ac:dyDescent="0.25">
      <c r="B173" t="s">
        <v>1563</v>
      </c>
      <c r="G173">
        <f>C819+C831</f>
        <v>266.79999999999995</v>
      </c>
      <c r="H173">
        <f>D819+D831</f>
        <v>230.3</v>
      </c>
      <c r="I173">
        <f>E819+E831</f>
        <v>212.9</v>
      </c>
    </row>
    <row r="174" spans="2:10" x14ac:dyDescent="0.25">
      <c r="B174" t="s">
        <v>27</v>
      </c>
    </row>
    <row r="175" spans="2:10" x14ac:dyDescent="0.25">
      <c r="B175" t="s">
        <v>526</v>
      </c>
    </row>
    <row r="177" spans="2:6" x14ac:dyDescent="0.25">
      <c r="B177" t="s">
        <v>227</v>
      </c>
    </row>
    <row r="178" spans="2:6" x14ac:dyDescent="0.25">
      <c r="B178" t="s">
        <v>29</v>
      </c>
    </row>
    <row r="179" spans="2:6" x14ac:dyDescent="0.25">
      <c r="B179" t="s">
        <v>500</v>
      </c>
    </row>
    <row r="180" spans="2:6" x14ac:dyDescent="0.25">
      <c r="B180" t="s">
        <v>1547</v>
      </c>
    </row>
    <row r="181" spans="2:6" x14ac:dyDescent="0.25">
      <c r="B181" t="s">
        <v>30</v>
      </c>
    </row>
    <row r="182" spans="2:6" x14ac:dyDescent="0.25">
      <c r="B182" t="s">
        <v>1548</v>
      </c>
      <c r="F182" s="77"/>
    </row>
    <row r="183" spans="2:6" x14ac:dyDescent="0.25">
      <c r="F183" s="77"/>
    </row>
    <row r="184" spans="2:6" x14ac:dyDescent="0.25">
      <c r="B184" t="s">
        <v>1550</v>
      </c>
      <c r="F184" s="77"/>
    </row>
    <row r="185" spans="2:6" x14ac:dyDescent="0.25">
      <c r="B185" t="s">
        <v>316</v>
      </c>
      <c r="F185" s="77"/>
    </row>
    <row r="186" spans="2:6" x14ac:dyDescent="0.25">
      <c r="B186" t="s">
        <v>1551</v>
      </c>
      <c r="F186" s="77"/>
    </row>
    <row r="187" spans="2:6" x14ac:dyDescent="0.25">
      <c r="F187" s="77"/>
    </row>
    <row r="188" spans="2:6" x14ac:dyDescent="0.25">
      <c r="B188" t="s">
        <v>536</v>
      </c>
      <c r="F188" s="77"/>
    </row>
    <row r="189" spans="2:6" x14ac:dyDescent="0.25">
      <c r="B189" t="s">
        <v>1518</v>
      </c>
      <c r="F189" s="77"/>
    </row>
    <row r="190" spans="2:6" x14ac:dyDescent="0.25">
      <c r="B190" t="s">
        <v>502</v>
      </c>
      <c r="F190" s="77"/>
    </row>
    <row r="191" spans="2:6" x14ac:dyDescent="0.25">
      <c r="F191" s="77"/>
    </row>
    <row r="192" spans="2:6" x14ac:dyDescent="0.25">
      <c r="F192" s="77"/>
    </row>
    <row r="193" spans="2:16" x14ac:dyDescent="0.25">
      <c r="B193" s="15" t="s">
        <v>1553</v>
      </c>
    </row>
    <row r="194" spans="2:16" x14ac:dyDescent="0.25">
      <c r="B194" t="s">
        <v>299</v>
      </c>
    </row>
    <row r="195" spans="2:16" x14ac:dyDescent="0.25">
      <c r="B195" t="s">
        <v>1537</v>
      </c>
    </row>
    <row r="196" spans="2:16" x14ac:dyDescent="0.25">
      <c r="B196" t="s">
        <v>1367</v>
      </c>
    </row>
    <row r="197" spans="2:16" x14ac:dyDescent="0.25">
      <c r="B197" t="s">
        <v>1393</v>
      </c>
    </row>
    <row r="200" spans="2:16" x14ac:dyDescent="0.25">
      <c r="B200" s="106" t="s">
        <v>474</v>
      </c>
      <c r="C200" s="106"/>
      <c r="D200" s="106"/>
      <c r="E200" s="106"/>
      <c r="F200" s="106"/>
      <c r="G200" s="106"/>
      <c r="H200" s="106"/>
      <c r="I200" s="106"/>
      <c r="J200" s="106"/>
      <c r="K200" s="106"/>
      <c r="L200" s="106"/>
      <c r="M200" s="106"/>
      <c r="N200" s="106"/>
      <c r="O200" s="106"/>
      <c r="P200" s="106"/>
    </row>
    <row r="202" spans="2:16" ht="15.75" thickBot="1" x14ac:dyDescent="0.3">
      <c r="B202" s="15" t="s">
        <v>1468</v>
      </c>
      <c r="C202" s="13">
        <v>44280</v>
      </c>
      <c r="D202" s="13">
        <v>43919</v>
      </c>
      <c r="E202" s="13">
        <v>43552</v>
      </c>
      <c r="F202" s="13">
        <v>43188</v>
      </c>
      <c r="G202" s="13">
        <v>42824</v>
      </c>
      <c r="H202" s="13">
        <v>42460</v>
      </c>
      <c r="L202" s="13">
        <v>44476</v>
      </c>
      <c r="M202" s="13">
        <v>44112</v>
      </c>
      <c r="N202" s="13">
        <v>43748</v>
      </c>
      <c r="O202" s="13">
        <v>43384</v>
      </c>
    </row>
    <row r="203" spans="2:16" x14ac:dyDescent="0.25">
      <c r="B203" t="s">
        <v>526</v>
      </c>
      <c r="C203" s="62">
        <f t="shared" ref="C203:H203" si="10">C10/C7</f>
        <v>0.48949947497374868</v>
      </c>
      <c r="D203" s="62">
        <f t="shared" si="10"/>
        <v>0.48290517567057051</v>
      </c>
      <c r="E203" s="62">
        <f t="shared" si="10"/>
        <v>0.46462018730489074</v>
      </c>
      <c r="F203" s="62">
        <f t="shared" si="10"/>
        <v>0.51684903284371098</v>
      </c>
      <c r="G203" s="62">
        <f t="shared" si="10"/>
        <v>0.54171516802950004</v>
      </c>
      <c r="H203" s="62">
        <f t="shared" si="10"/>
        <v>0.5452147578064519</v>
      </c>
      <c r="I203" s="62"/>
      <c r="J203" s="62"/>
      <c r="K203" s="62"/>
      <c r="L203" s="62">
        <f>L10/L7</f>
        <v>0.4874557260920897</v>
      </c>
      <c r="M203" s="62">
        <f>M10/M7</f>
        <v>0.47667130919220058</v>
      </c>
      <c r="N203" s="62">
        <f>N10/N7</f>
        <v>0.4763736002255014</v>
      </c>
      <c r="O203" s="62">
        <f>O10/O7</f>
        <v>0.44534339985380844</v>
      </c>
    </row>
    <row r="204" spans="2:16" x14ac:dyDescent="0.25">
      <c r="B204" t="s">
        <v>1469</v>
      </c>
      <c r="C204" s="62">
        <f t="shared" ref="C204:H204" si="11">C15/C7</f>
        <v>0.11795589779488976</v>
      </c>
      <c r="D204" s="62">
        <f t="shared" si="11"/>
        <v>9.7941065357007945E-2</v>
      </c>
      <c r="E204" s="62">
        <f t="shared" si="11"/>
        <v>5.5254942767950045E-2</v>
      </c>
      <c r="F204" s="62">
        <f t="shared" si="11"/>
        <v>9.3304884506365371E-2</v>
      </c>
      <c r="G204" s="62">
        <f t="shared" si="11"/>
        <v>0.11978867591579165</v>
      </c>
      <c r="H204" s="62">
        <f t="shared" si="11"/>
        <v>0.12788384191162561</v>
      </c>
      <c r="I204" s="62"/>
      <c r="J204" s="62"/>
      <c r="K204" s="62"/>
      <c r="L204" s="62">
        <f>L15/L7</f>
        <v>0.11570247933884298</v>
      </c>
      <c r="M204" s="62">
        <f>M15/M7</f>
        <v>8.513231197771591E-2</v>
      </c>
      <c r="N204" s="62">
        <f>N15/N7</f>
        <v>8.0512430034154689E-2</v>
      </c>
      <c r="O204" s="62">
        <f>O15/O7</f>
        <v>1.9850003504591016E-2</v>
      </c>
    </row>
    <row r="205" spans="2:16" x14ac:dyDescent="0.25">
      <c r="B205" t="s">
        <v>1471</v>
      </c>
      <c r="C205" s="25">
        <f>C557</f>
        <v>0.49229561291588969</v>
      </c>
      <c r="D205" s="25">
        <f>D557</f>
        <v>0.49722696245733788</v>
      </c>
      <c r="E205" s="25">
        <f>E557</f>
        <v>0.50995564219362288</v>
      </c>
      <c r="F205" s="25">
        <f>F557</f>
        <v>0.5221824217958897</v>
      </c>
      <c r="G205" s="25"/>
      <c r="H205" s="25"/>
      <c r="I205" s="25"/>
      <c r="J205" s="25"/>
      <c r="K205" s="25"/>
      <c r="L205" s="25">
        <f>L557</f>
        <v>0.48111684958037443</v>
      </c>
      <c r="M205" s="25">
        <f>M557</f>
        <v>0.48463962189838516</v>
      </c>
      <c r="N205" s="25">
        <f>N557</f>
        <v>0.499</v>
      </c>
      <c r="O205" s="25">
        <f>O557</f>
        <v>0.51000676132521972</v>
      </c>
    </row>
    <row r="206" spans="2:16" x14ac:dyDescent="0.25">
      <c r="B206" t="s">
        <v>1472</v>
      </c>
      <c r="C206" s="25">
        <f>C559</f>
        <v>7.8025321425066255E-2</v>
      </c>
      <c r="D206" s="25">
        <f t="shared" ref="D206:F206" si="12">D559</f>
        <v>9.5243174061433442E-2</v>
      </c>
      <c r="E206" s="25">
        <f t="shared" si="12"/>
        <v>7.8657588390915023E-2</v>
      </c>
      <c r="F206" s="25">
        <f t="shared" si="12"/>
        <v>8.0930708741639726E-2</v>
      </c>
      <c r="L206" s="25">
        <f t="shared" ref="L206:O206" si="13">L559</f>
        <v>9.5384118786313754E-2</v>
      </c>
      <c r="M206" s="25">
        <f t="shared" si="13"/>
        <v>7.6604962583694369E-2</v>
      </c>
      <c r="N206" s="25">
        <f t="shared" si="13"/>
        <v>7.9408086702792827E-2</v>
      </c>
      <c r="O206" s="25">
        <f t="shared" si="13"/>
        <v>6.6260987153482082E-2</v>
      </c>
    </row>
    <row r="207" spans="2:16" x14ac:dyDescent="0.25">
      <c r="B207" t="s">
        <v>1473</v>
      </c>
      <c r="C207" s="25">
        <f>C568</f>
        <v>0.46022727272727276</v>
      </c>
      <c r="D207" s="25">
        <f t="shared" ref="D207:F207" si="14">D568</f>
        <v>0.42656765676567659</v>
      </c>
      <c r="E207" s="25">
        <f t="shared" si="14"/>
        <v>0.47989623865110248</v>
      </c>
      <c r="F207" s="25">
        <f t="shared" si="14"/>
        <v>0.47121977145894228</v>
      </c>
      <c r="L207" s="25">
        <f t="shared" ref="L207:O207" si="15">L568</f>
        <v>0.54577464788732399</v>
      </c>
      <c r="M207" s="25">
        <f t="shared" si="15"/>
        <v>0.41591591591591592</v>
      </c>
      <c r="N207" s="25">
        <f t="shared" si="15"/>
        <v>0.42799999999999999</v>
      </c>
      <c r="O207" s="25">
        <f t="shared" si="15"/>
        <v>0.45503597122302158</v>
      </c>
    </row>
    <row r="208" spans="2:16" x14ac:dyDescent="0.25">
      <c r="B208" t="s">
        <v>1474</v>
      </c>
      <c r="C208" s="25">
        <f>C570</f>
        <v>0.29220779220779219</v>
      </c>
      <c r="D208" s="25">
        <f t="shared" ref="D208:F208" si="16">D570</f>
        <v>0.25247524752475248</v>
      </c>
      <c r="E208" s="25">
        <f t="shared" si="16"/>
        <v>0.30146243350438923</v>
      </c>
      <c r="F208" s="25">
        <f t="shared" si="16"/>
        <v>0.31434493754982723</v>
      </c>
      <c r="L208" s="25">
        <f t="shared" ref="L208:O208" si="17">L570</f>
        <v>0.43133802816901412</v>
      </c>
      <c r="M208" s="25">
        <f t="shared" si="17"/>
        <v>0.24024024024024027</v>
      </c>
      <c r="N208" s="25">
        <f t="shared" si="17"/>
        <v>0.26466165413533838</v>
      </c>
      <c r="O208" s="25">
        <f t="shared" si="17"/>
        <v>0.24640287769784172</v>
      </c>
    </row>
    <row r="209" spans="2:15" x14ac:dyDescent="0.25">
      <c r="B209" t="s">
        <v>1387</v>
      </c>
      <c r="C209" s="41">
        <f>C297+C338</f>
        <v>146.19999999999999</v>
      </c>
      <c r="D209" s="41">
        <f>D297+D338</f>
        <v>149.4</v>
      </c>
      <c r="E209" s="41">
        <f>E297+E338</f>
        <v>130.6</v>
      </c>
      <c r="F209" s="41">
        <f>F297+F338</f>
        <v>119.90499999999997</v>
      </c>
      <c r="G209" s="41">
        <f>G297+G338</f>
        <v>129.47400000000002</v>
      </c>
      <c r="L209" s="25"/>
      <c r="M209" s="25"/>
      <c r="N209" s="25"/>
      <c r="O209" s="25"/>
    </row>
    <row r="210" spans="2:15" x14ac:dyDescent="0.25">
      <c r="B210" t="s">
        <v>1386</v>
      </c>
      <c r="C210" s="41">
        <f>C20+C338+C1260</f>
        <v>227</v>
      </c>
      <c r="D210" s="41">
        <f>D20+D338+D1260</f>
        <v>195.1</v>
      </c>
      <c r="E210" s="41">
        <f>E20+E338+E1260+60</f>
        <v>146.30000000000001</v>
      </c>
      <c r="F210" s="41">
        <f>F20+F338+F1260+55</f>
        <v>169.00199999999998</v>
      </c>
      <c r="G210" s="41">
        <f>G20+G338+G1260+50</f>
        <v>174.93400000000003</v>
      </c>
      <c r="L210" s="25"/>
      <c r="M210" s="25"/>
      <c r="N210" s="25"/>
      <c r="O210" s="25"/>
    </row>
    <row r="211" spans="2:15" x14ac:dyDescent="0.25">
      <c r="C211" s="25"/>
      <c r="D211" s="25"/>
      <c r="E211" s="25"/>
      <c r="F211" s="25"/>
      <c r="L211" s="25"/>
      <c r="M211" s="25"/>
      <c r="N211" s="25"/>
      <c r="O211" s="25"/>
    </row>
    <row r="212" spans="2:15" x14ac:dyDescent="0.25">
      <c r="B212" s="15" t="s">
        <v>1479</v>
      </c>
      <c r="C212" s="25"/>
      <c r="D212" s="25"/>
      <c r="E212" s="25"/>
      <c r="F212" s="25"/>
      <c r="G212" s="25"/>
      <c r="H212" s="25"/>
      <c r="I212" s="25"/>
      <c r="J212" s="25"/>
      <c r="K212" s="25"/>
      <c r="L212" s="25"/>
      <c r="M212" s="25"/>
      <c r="N212" s="25"/>
      <c r="O212" s="25"/>
    </row>
    <row r="213" spans="2:15" x14ac:dyDescent="0.25">
      <c r="B213" t="s">
        <v>1478</v>
      </c>
      <c r="C213" s="12">
        <v>551.5</v>
      </c>
      <c r="D213">
        <v>517.4</v>
      </c>
      <c r="E213">
        <v>455.4</v>
      </c>
      <c r="F213">
        <v>421.9</v>
      </c>
      <c r="G213">
        <v>395.1</v>
      </c>
      <c r="H213">
        <v>382.5</v>
      </c>
      <c r="I213" s="52"/>
      <c r="J213" s="52"/>
      <c r="L213">
        <v>336.7</v>
      </c>
      <c r="M213">
        <v>277.39999999999998</v>
      </c>
      <c r="N213">
        <v>261.10000000000002</v>
      </c>
      <c r="O213" s="43">
        <v>237.85400000000001</v>
      </c>
    </row>
    <row r="214" spans="2:15" x14ac:dyDescent="0.25">
      <c r="B214" t="s">
        <v>558</v>
      </c>
      <c r="C214" s="64">
        <f>C213/C$219</f>
        <v>0.54126999705564827</v>
      </c>
      <c r="D214" s="64">
        <f>D213/D$219</f>
        <v>0.55183447098976113</v>
      </c>
      <c r="E214" s="64">
        <f>E213/E$219</f>
        <v>0.53288087994383337</v>
      </c>
      <c r="F214" s="64">
        <f>F213/F$219</f>
        <v>0.52416449248353836</v>
      </c>
      <c r="G214" s="64">
        <f>G213/G$219</f>
        <v>0.55127668480535785</v>
      </c>
      <c r="H214" s="52"/>
      <c r="I214" s="52"/>
      <c r="J214" s="52"/>
      <c r="L214" s="64">
        <f>L213/L$219</f>
        <v>0.54341510652033576</v>
      </c>
      <c r="M214" s="64">
        <f>M213/M$219</f>
        <v>0.54627806222922415</v>
      </c>
      <c r="N214" s="64">
        <f>N213/N$219</f>
        <v>0.54418507711546482</v>
      </c>
      <c r="O214" s="64">
        <f>O213/O$219</f>
        <v>0.53603196531231767</v>
      </c>
    </row>
    <row r="215" spans="2:15" x14ac:dyDescent="0.25">
      <c r="B215" t="s">
        <v>552</v>
      </c>
      <c r="C215" s="12">
        <v>36</v>
      </c>
      <c r="D215">
        <v>44.9</v>
      </c>
      <c r="E215">
        <v>42.2</v>
      </c>
      <c r="F215">
        <v>39.5</v>
      </c>
      <c r="G215" s="52"/>
      <c r="H215" s="52"/>
      <c r="I215" s="52"/>
      <c r="J215" s="52"/>
      <c r="L215">
        <v>25.2</v>
      </c>
      <c r="M215">
        <v>17.2</v>
      </c>
      <c r="N215">
        <v>24.8</v>
      </c>
      <c r="O215" s="43">
        <v>22.248999999999999</v>
      </c>
    </row>
    <row r="216" spans="2:15" x14ac:dyDescent="0.25">
      <c r="B216" t="s">
        <v>558</v>
      </c>
      <c r="C216" s="64">
        <f>C215/C$219</f>
        <v>3.5332221022671507E-2</v>
      </c>
      <c r="D216" s="64">
        <f>D215/D$219</f>
        <v>4.7888225255972701E-2</v>
      </c>
      <c r="E216" s="64">
        <f>E215/E$219</f>
        <v>4.9379826819564716E-2</v>
      </c>
      <c r="F216" s="64">
        <f>F215/F$219</f>
        <v>4.9074419182507142E-2</v>
      </c>
      <c r="G216" s="64">
        <f>G215/G$219</f>
        <v>0</v>
      </c>
      <c r="H216" s="52"/>
      <c r="I216" s="52"/>
      <c r="J216" s="52"/>
      <c r="L216" s="64">
        <f>L215/L$219</f>
        <v>4.0671400903808913E-2</v>
      </c>
      <c r="M216" s="64">
        <f>M215/M$219</f>
        <v>3.3871602993304453E-2</v>
      </c>
      <c r="N216" s="64">
        <f>N215/N$219</f>
        <v>5.1688203418090869E-2</v>
      </c>
      <c r="O216" s="64">
        <f>O215/O$219</f>
        <v>5.0140738420349266E-2</v>
      </c>
    </row>
    <row r="217" spans="2:15" x14ac:dyDescent="0.25">
      <c r="B217" t="s">
        <v>554</v>
      </c>
      <c r="C217" s="12">
        <v>431.4</v>
      </c>
      <c r="D217">
        <v>375.3</v>
      </c>
      <c r="E217">
        <v>357</v>
      </c>
      <c r="F217">
        <v>343.5</v>
      </c>
      <c r="G217">
        <v>321.60000000000002</v>
      </c>
      <c r="H217">
        <v>314</v>
      </c>
      <c r="I217" s="52"/>
      <c r="J217" s="52"/>
      <c r="L217">
        <v>257.7</v>
      </c>
      <c r="M217">
        <v>213.2</v>
      </c>
      <c r="N217">
        <v>193.9</v>
      </c>
      <c r="O217" s="43">
        <v>183.85400000000001</v>
      </c>
    </row>
    <row r="218" spans="2:15" x14ac:dyDescent="0.25">
      <c r="B218" t="s">
        <v>558</v>
      </c>
      <c r="C218" s="64">
        <f>C217/C$219</f>
        <v>0.42339778192168021</v>
      </c>
      <c r="D218" s="64">
        <f>D217/D$219</f>
        <v>0.40027730375426629</v>
      </c>
      <c r="E218" s="64">
        <f>E217/E$219</f>
        <v>0.41773929323660197</v>
      </c>
      <c r="F218" s="64">
        <f>F217/F$219</f>
        <v>0.42676108833395454</v>
      </c>
      <c r="G218" s="64">
        <f>G217/G$219</f>
        <v>0.44872331519464209</v>
      </c>
      <c r="H218" s="52"/>
      <c r="I218" s="52"/>
      <c r="J218" s="52"/>
      <c r="L218" s="64">
        <f>L217/L$219</f>
        <v>0.41591349257585541</v>
      </c>
      <c r="M218" s="64">
        <f>M217/M$219</f>
        <v>0.41985033477747147</v>
      </c>
      <c r="N218" s="64">
        <f>N217/N$219</f>
        <v>0.40412671946644435</v>
      </c>
      <c r="O218" s="64">
        <f>O217/O$219</f>
        <v>0.41433661384938175</v>
      </c>
    </row>
    <row r="219" spans="2:15" x14ac:dyDescent="0.25">
      <c r="B219" s="17" t="s">
        <v>608</v>
      </c>
      <c r="C219" s="53">
        <f>+C217+C215+C213</f>
        <v>1018.9</v>
      </c>
      <c r="D219" s="53">
        <f>+D217+D215+D213</f>
        <v>937.59999999999991</v>
      </c>
      <c r="E219" s="53">
        <f>+E217+E215+E213</f>
        <v>854.59999999999991</v>
      </c>
      <c r="F219" s="53">
        <f>+F217+F215+F213</f>
        <v>804.9</v>
      </c>
      <c r="G219" s="53">
        <f>+G217+G215+G213</f>
        <v>716.7</v>
      </c>
      <c r="H219" s="52"/>
      <c r="I219" s="52"/>
      <c r="J219" s="52"/>
      <c r="K219" s="15"/>
      <c r="L219" s="53">
        <f>+L217+L215+L213</f>
        <v>619.59999999999991</v>
      </c>
      <c r="M219" s="53">
        <f>+M217+M215+M213</f>
        <v>507.79999999999995</v>
      </c>
      <c r="N219" s="53">
        <v>479.8</v>
      </c>
      <c r="O219" s="53">
        <v>443.73099999999999</v>
      </c>
    </row>
    <row r="221" spans="2:15" x14ac:dyDescent="0.25">
      <c r="B221" t="s">
        <v>1476</v>
      </c>
      <c r="C221" s="43">
        <v>384</v>
      </c>
      <c r="D221">
        <v>351</v>
      </c>
      <c r="E221">
        <v>318</v>
      </c>
      <c r="F221">
        <v>277</v>
      </c>
      <c r="G221">
        <v>237</v>
      </c>
      <c r="H221">
        <v>199</v>
      </c>
      <c r="I221">
        <v>158</v>
      </c>
    </row>
    <row r="222" spans="2:15" x14ac:dyDescent="0.25">
      <c r="B222" t="s">
        <v>1477</v>
      </c>
      <c r="C222" s="12">
        <v>358.1</v>
      </c>
      <c r="D222">
        <v>329.7</v>
      </c>
      <c r="E222">
        <v>309.8</v>
      </c>
      <c r="F222">
        <v>309.8</v>
      </c>
      <c r="G222">
        <v>273.5</v>
      </c>
      <c r="H222" s="52"/>
      <c r="I222" s="52"/>
      <c r="J222" s="52"/>
    </row>
    <row r="223" spans="2:15" x14ac:dyDescent="0.25">
      <c r="B223" t="s">
        <v>306</v>
      </c>
      <c r="C223" s="12">
        <v>123.2</v>
      </c>
      <c r="D223">
        <v>121.2</v>
      </c>
      <c r="E223" s="43">
        <f>E566</f>
        <v>106.398</v>
      </c>
      <c r="F223" s="43">
        <f>F566</f>
        <v>94.075000000000003</v>
      </c>
      <c r="G223" s="43">
        <f>G566</f>
        <v>0</v>
      </c>
      <c r="L223">
        <v>56.8</v>
      </c>
      <c r="M223">
        <v>66.599999999999994</v>
      </c>
      <c r="N223">
        <v>66.5</v>
      </c>
      <c r="O223" s="43">
        <v>55.613999999999997</v>
      </c>
    </row>
    <row r="224" spans="2:15" x14ac:dyDescent="0.25">
      <c r="B224" t="s">
        <v>553</v>
      </c>
      <c r="C224" s="64">
        <f>C223/C$7</f>
        <v>0.10780539026951348</v>
      </c>
      <c r="D224" s="64">
        <f>D223/D$7</f>
        <v>0.11446921042689838</v>
      </c>
      <c r="E224" s="64">
        <f>E223/E$7</f>
        <v>0.11071592091571279</v>
      </c>
      <c r="F224" s="64">
        <f>F223/F$7</f>
        <v>0.10465289612914996</v>
      </c>
      <c r="G224" s="52"/>
      <c r="H224" s="52"/>
      <c r="I224" s="52"/>
      <c r="J224" s="52"/>
      <c r="L224" s="64">
        <f>L223/L$7</f>
        <v>8.3825265643447458E-2</v>
      </c>
      <c r="M224" s="64">
        <f>M223/M$7</f>
        <v>0.11594707520891365</v>
      </c>
      <c r="N224" s="64">
        <f>N223/N$7</f>
        <v>0.12171952161482454</v>
      </c>
      <c r="O224" s="64">
        <f>O223/O$7</f>
        <v>0.11137389980874945</v>
      </c>
    </row>
    <row r="225" spans="2:15" x14ac:dyDescent="0.25">
      <c r="B225" t="s">
        <v>604</v>
      </c>
      <c r="C225">
        <v>57</v>
      </c>
      <c r="D225">
        <v>53.8</v>
      </c>
      <c r="E225">
        <f>E622</f>
        <v>52.6</v>
      </c>
      <c r="F225">
        <f>F622</f>
        <v>50.045000000000002</v>
      </c>
      <c r="G225" s="52"/>
      <c r="H225" s="52"/>
      <c r="I225" s="52"/>
      <c r="J225" s="52"/>
      <c r="L225">
        <v>36.9</v>
      </c>
      <c r="M225">
        <v>28.6</v>
      </c>
      <c r="N225">
        <v>29.7</v>
      </c>
      <c r="O225" s="43">
        <v>28.867000000000001</v>
      </c>
    </row>
    <row r="226" spans="2:15" x14ac:dyDescent="0.25">
      <c r="B226" t="s">
        <v>605</v>
      </c>
      <c r="C226">
        <v>33.9</v>
      </c>
      <c r="D226">
        <v>39</v>
      </c>
      <c r="E226">
        <f>E625</f>
        <v>37</v>
      </c>
      <c r="F226">
        <f>F625</f>
        <v>33.69</v>
      </c>
      <c r="G226" s="52"/>
      <c r="H226" s="52"/>
      <c r="I226" s="52"/>
      <c r="J226" s="52"/>
      <c r="M226">
        <v>22.9</v>
      </c>
      <c r="N226">
        <v>21.3</v>
      </c>
      <c r="O226" s="43">
        <v>19.652999999999999</v>
      </c>
    </row>
    <row r="227" spans="2:15" x14ac:dyDescent="0.25">
      <c r="B227" t="s">
        <v>606</v>
      </c>
      <c r="C227">
        <v>25.5</v>
      </c>
      <c r="D227">
        <v>21.7</v>
      </c>
      <c r="E227">
        <f>E623</f>
        <v>8.1</v>
      </c>
      <c r="F227">
        <f>F623</f>
        <v>3.07</v>
      </c>
      <c r="G227" s="52"/>
      <c r="H227" s="52"/>
      <c r="I227" s="52"/>
      <c r="J227" s="52"/>
      <c r="L227">
        <v>16.2</v>
      </c>
      <c r="M227">
        <v>12.3</v>
      </c>
      <c r="N227">
        <v>11.6</v>
      </c>
      <c r="O227" s="43">
        <v>3.35</v>
      </c>
    </row>
    <row r="228" spans="2:15" x14ac:dyDescent="0.25">
      <c r="B228" t="s">
        <v>607</v>
      </c>
      <c r="C228" s="12">
        <v>6.8</v>
      </c>
      <c r="D228" s="12">
        <v>6.2</v>
      </c>
      <c r="E228" s="12">
        <f>E624</f>
        <v>8.6999999999999993</v>
      </c>
      <c r="F228" s="12">
        <f>F624</f>
        <v>7.27</v>
      </c>
      <c r="G228" s="12"/>
      <c r="H228" s="12"/>
      <c r="I228" s="12"/>
      <c r="J228" s="12"/>
      <c r="K228" s="12"/>
      <c r="L228" s="12">
        <v>3.7</v>
      </c>
      <c r="M228" s="12">
        <v>2.8</v>
      </c>
      <c r="N228" s="12">
        <v>3.9</v>
      </c>
      <c r="O228" s="99">
        <v>3.7440000000000002</v>
      </c>
    </row>
    <row r="229" spans="2:15" x14ac:dyDescent="0.25">
      <c r="B229" s="52" t="s">
        <v>475</v>
      </c>
      <c r="C229" s="12"/>
      <c r="D229" s="12"/>
      <c r="E229" s="12"/>
      <c r="F229" s="12"/>
      <c r="G229" s="12"/>
      <c r="H229" s="12"/>
      <c r="I229" s="12"/>
      <c r="J229" s="12"/>
      <c r="K229" s="12"/>
      <c r="L229" s="12"/>
      <c r="M229" s="12"/>
      <c r="N229" s="12"/>
      <c r="O229" s="12"/>
    </row>
    <row r="230" spans="2:15" x14ac:dyDescent="0.25">
      <c r="J230" s="52"/>
      <c r="M230" s="15"/>
      <c r="N230" s="15"/>
      <c r="O230" s="44"/>
    </row>
    <row r="231" spans="2:15" ht="15.75" thickBot="1" x14ac:dyDescent="0.3">
      <c r="B231" s="15" t="s">
        <v>1482</v>
      </c>
      <c r="C231" s="13">
        <v>44280</v>
      </c>
      <c r="D231" s="13">
        <v>43919</v>
      </c>
      <c r="E231" s="13">
        <v>43552</v>
      </c>
      <c r="F231" s="13">
        <v>43188</v>
      </c>
      <c r="G231" s="13">
        <v>42824</v>
      </c>
      <c r="H231" s="13">
        <v>42460</v>
      </c>
      <c r="L231" s="13">
        <v>44476</v>
      </c>
      <c r="M231" s="13">
        <v>44112</v>
      </c>
      <c r="N231" s="13">
        <v>43748</v>
      </c>
      <c r="O231" s="13">
        <v>43384</v>
      </c>
    </row>
    <row r="232" spans="2:15" x14ac:dyDescent="0.25">
      <c r="B232" t="s">
        <v>1388</v>
      </c>
      <c r="C232">
        <f>C76+C61</f>
        <v>2.7000000000000028</v>
      </c>
      <c r="D232">
        <f>D76+D61</f>
        <v>-84.200000000000017</v>
      </c>
      <c r="E232">
        <f>E76+E61</f>
        <v>-118.30000000000001</v>
      </c>
      <c r="F232">
        <f>F76+F61</f>
        <v>-134.69499999999999</v>
      </c>
      <c r="G232">
        <f>G76+G61</f>
        <v>-152.95099999999999</v>
      </c>
      <c r="L232">
        <f>L76+L61</f>
        <v>65.499999999999986</v>
      </c>
      <c r="M232">
        <f>M76+M61</f>
        <v>-49.700000000000017</v>
      </c>
      <c r="N232">
        <f>N76+N61</f>
        <v>-134.29700000000003</v>
      </c>
      <c r="O232">
        <f>O76+O61</f>
        <v>-132.31900000000002</v>
      </c>
    </row>
    <row r="233" spans="2:15" x14ac:dyDescent="0.25">
      <c r="B233" t="s">
        <v>1497</v>
      </c>
      <c r="C233">
        <f>C76+C61+C78+C69</f>
        <v>-407</v>
      </c>
      <c r="D233">
        <f>D76+D61+D78+D69</f>
        <v>-548.1</v>
      </c>
      <c r="E233">
        <f>E76+E61+-508</f>
        <v>-626.29999999999995</v>
      </c>
      <c r="F233">
        <f>F76+F61+-400</f>
        <v>-534.69499999999994</v>
      </c>
      <c r="G233">
        <f>G76+G61+-350</f>
        <v>-502.95100000000002</v>
      </c>
      <c r="L233">
        <f>L76+L61+-350</f>
        <v>-284.5</v>
      </c>
      <c r="M233">
        <f>M76+M61+-350</f>
        <v>-399.70000000000005</v>
      </c>
      <c r="N233">
        <f>N76+N61+-350</f>
        <v>-484.29700000000003</v>
      </c>
      <c r="O233">
        <f>O76+O61+-350</f>
        <v>-482.31900000000002</v>
      </c>
    </row>
    <row r="234" spans="2:15" x14ac:dyDescent="0.25">
      <c r="B234" t="s">
        <v>1480</v>
      </c>
      <c r="C234" s="80">
        <f>C232/C95</f>
        <v>2.7171178424071677E-3</v>
      </c>
      <c r="D234" s="80">
        <f>D232/D95</f>
        <v>-9.0440386680988208E-2</v>
      </c>
      <c r="E234" s="80">
        <f>E232/E95</f>
        <v>-0.1310077519379845</v>
      </c>
      <c r="F234" s="80">
        <f>F232/F95</f>
        <v>-0.14861223895351916</v>
      </c>
      <c r="G234" s="80">
        <f>G232/G95</f>
        <v>-0.17328730496100353</v>
      </c>
      <c r="L234" s="80">
        <f>L232/L95</f>
        <v>6.4665811037614762E-2</v>
      </c>
      <c r="M234" s="80">
        <f>M232/M95</f>
        <v>-5.2855471657981518E-2</v>
      </c>
      <c r="N234" s="80">
        <f>N232/N95</f>
        <v>-0.14876251854034461</v>
      </c>
      <c r="O234" s="80">
        <f>O232/O95</f>
        <v>-0.14862260221812376</v>
      </c>
    </row>
    <row r="235" spans="2:15" x14ac:dyDescent="0.25">
      <c r="B235" t="s">
        <v>1496</v>
      </c>
      <c r="C235" s="80">
        <f>C233/C95</f>
        <v>-0.40958035624433931</v>
      </c>
      <c r="D235" s="80">
        <f>D233/D95</f>
        <v>-0.5887218045112782</v>
      </c>
      <c r="E235" s="80">
        <f>E233/E95</f>
        <v>-0.69357696566998883</v>
      </c>
      <c r="F235" s="80">
        <f>F233/F95</f>
        <v>-0.5899418768866842</v>
      </c>
      <c r="G235" s="80">
        <f>G233/G95</f>
        <v>-0.56982316766442642</v>
      </c>
      <c r="L235" s="80">
        <f>L233/L95</f>
        <v>-0.28087669069009774</v>
      </c>
      <c r="M235" s="80">
        <f>M233/M95</f>
        <v>-0.42507710305221746</v>
      </c>
      <c r="N235" s="80">
        <f>N233/N95</f>
        <v>-0.53646203147898508</v>
      </c>
      <c r="O235" s="80">
        <f>O233/O95</f>
        <v>-0.54174763170250095</v>
      </c>
    </row>
    <row r="236" spans="2:15" x14ac:dyDescent="0.25">
      <c r="B236" t="s">
        <v>1515</v>
      </c>
      <c r="C236" s="80">
        <f>C232/C61</f>
        <v>2.6627218934911268E-2</v>
      </c>
      <c r="D236" s="80"/>
      <c r="E236" s="80"/>
      <c r="F236" s="80"/>
      <c r="G236" s="80"/>
      <c r="L236" s="80"/>
      <c r="M236" s="80"/>
      <c r="N236" s="80"/>
      <c r="O236" s="80"/>
    </row>
    <row r="237" spans="2:15" x14ac:dyDescent="0.25">
      <c r="B237" t="s">
        <v>1499</v>
      </c>
      <c r="C237" s="41">
        <f>C84/-C95</f>
        <v>0.73493005937405664</v>
      </c>
      <c r="D237" s="41">
        <f>D84/-D95</f>
        <v>0.9</v>
      </c>
      <c r="E237" s="41">
        <f>E84/-E95</f>
        <v>0.48648947951273536</v>
      </c>
      <c r="F237" s="41">
        <f>F84/-F95</f>
        <v>0.47776581284092717</v>
      </c>
      <c r="G237" s="41">
        <f>G84/-G95</f>
        <v>0.49583070864357542</v>
      </c>
      <c r="L237" s="41">
        <f>L84/-L95</f>
        <v>0.75831770164873136</v>
      </c>
      <c r="M237" s="41">
        <f>M84/-M95</f>
        <v>0.93374454961182596</v>
      </c>
      <c r="N237" s="41">
        <f>N84/-N95</f>
        <v>0.97077521071468531</v>
      </c>
      <c r="O237" s="41">
        <f>O84/-O95</f>
        <v>0.50410085566470708</v>
      </c>
    </row>
    <row r="238" spans="2:15" x14ac:dyDescent="0.25">
      <c r="B238" t="s">
        <v>1498</v>
      </c>
      <c r="C238" s="41">
        <f>C84/-C64</f>
        <v>0.4236078886310905</v>
      </c>
      <c r="D238" s="41">
        <f>D84/-D64</f>
        <v>0.47368421052631582</v>
      </c>
      <c r="E238" s="41">
        <f>E84/-E64</f>
        <v>0.3272740817998957</v>
      </c>
      <c r="F238" s="41">
        <f>F84/-F64</f>
        <v>0.32330279174779897</v>
      </c>
      <c r="G238" s="41">
        <f>G84/-G64</f>
        <v>0.33147515008111877</v>
      </c>
      <c r="L238" s="41">
        <f>L84/-L64</f>
        <v>0.43127456485120719</v>
      </c>
      <c r="M238" s="41">
        <f>M84/-M64</f>
        <v>0.48286861354011984</v>
      </c>
      <c r="N238" s="41">
        <f>N84/-N64</f>
        <v>0.49258545847176644</v>
      </c>
      <c r="O238" s="41">
        <f>O84/-O64</f>
        <v>0.33515096661648386</v>
      </c>
    </row>
    <row r="239" spans="2:15" x14ac:dyDescent="0.25">
      <c r="B239" t="s">
        <v>1495</v>
      </c>
      <c r="C239" s="41">
        <f>(((C64+D64)/2)/((C95+D95)/2))</f>
        <v>1.8147763287785108</v>
      </c>
      <c r="D239" s="41">
        <f>(((D64+E64)/2)/((D95+E95)/2))</f>
        <v>1.6964013086150489</v>
      </c>
      <c r="E239" s="41">
        <f>(((E64+F64)/2)/((E95+F95)/2))</f>
        <v>1.4821195654576889</v>
      </c>
      <c r="F239" s="41">
        <f>(((F64+G64)/2)/((F95+G95)/2))</f>
        <v>1.4866785616066218</v>
      </c>
      <c r="G239" s="41">
        <f>(((G64+H64)/2)/((G95+H95)/2))</f>
        <v>1.4901507883540499</v>
      </c>
      <c r="L239" s="41">
        <f>(((L64+M64)/2)/((L95+M95)/2))</f>
        <v>1.8427708375998364</v>
      </c>
      <c r="M239" s="41">
        <f>(((M64+N64)/2)/((M95+N95)/2))</f>
        <v>1.9518827645965056</v>
      </c>
      <c r="N239" s="41">
        <f>(((N64+O64)/2)/((N95+O95)/2))</f>
        <v>1.7390593637814176</v>
      </c>
      <c r="O239" s="41"/>
    </row>
    <row r="240" spans="2:15" x14ac:dyDescent="0.25">
      <c r="B240" t="s">
        <v>1501</v>
      </c>
      <c r="C240" s="41">
        <f>C1170/C95</f>
        <v>0.96447620006038026</v>
      </c>
      <c r="D240" s="41">
        <f>D1170/D95</f>
        <v>1.0539205155746509</v>
      </c>
      <c r="E240" s="41">
        <f>E1170/E95</f>
        <v>1.0867109634551495</v>
      </c>
      <c r="F240" s="41">
        <f>F1170/F95</f>
        <v>1.0810865977015554</v>
      </c>
      <c r="G240" s="41">
        <f>G1170/G95</f>
        <v>1.1101248068303868</v>
      </c>
      <c r="L240" s="41">
        <f>L1170/L95</f>
        <v>0.94649027544673703</v>
      </c>
      <c r="M240" s="41">
        <f>M1170/M95</f>
        <v>1.0439221525045197</v>
      </c>
      <c r="N240" s="41">
        <f>N1170/N95</f>
        <v>1.0869986629905368</v>
      </c>
      <c r="O240" s="41">
        <f>O1170/O95</f>
        <v>1.1005759843289131</v>
      </c>
    </row>
    <row r="241" spans="2:15" x14ac:dyDescent="0.25">
      <c r="B241" t="s">
        <v>1512</v>
      </c>
      <c r="C241" s="41">
        <f>C297/-C18</f>
        <v>5.6631016042780757</v>
      </c>
      <c r="D241" s="41">
        <f>D297/-D18</f>
        <v>6.081967213114754</v>
      </c>
      <c r="E241" s="41"/>
      <c r="F241" s="41"/>
      <c r="G241" s="41"/>
      <c r="L241" s="41">
        <f>L297/-L18</f>
        <v>0</v>
      </c>
      <c r="M241" s="41">
        <f>M297/-M18</f>
        <v>0</v>
      </c>
      <c r="N241" s="41"/>
      <c r="O241" s="41"/>
    </row>
    <row r="242" spans="2:15" x14ac:dyDescent="0.25">
      <c r="B242" t="s">
        <v>1513</v>
      </c>
      <c r="C242" s="41"/>
      <c r="D242" s="41"/>
      <c r="E242" s="41"/>
      <c r="F242" s="41"/>
      <c r="G242" s="41"/>
      <c r="L242" s="41"/>
      <c r="M242" s="41"/>
      <c r="N242" s="41"/>
      <c r="O242" s="41"/>
    </row>
    <row r="244" spans="2:15" x14ac:dyDescent="0.25">
      <c r="B244" s="15" t="s">
        <v>1483</v>
      </c>
    </row>
    <row r="245" spans="2:15" x14ac:dyDescent="0.25">
      <c r="B245" t="s">
        <v>1500</v>
      </c>
      <c r="C245" s="97">
        <f>-C62/C73</f>
        <v>0.80512474713418747</v>
      </c>
      <c r="D245" s="97">
        <f>-D62/D73</f>
        <v>0.69466713140467062</v>
      </c>
      <c r="E245" s="97">
        <f>-E62/E73</f>
        <v>0.91083676268861458</v>
      </c>
      <c r="F245" s="97">
        <f>-F62/F73</f>
        <v>1.0502610128153014</v>
      </c>
      <c r="G245" s="97">
        <f>-G62/G73</f>
        <v>1.0319221051334195</v>
      </c>
      <c r="H245" s="97"/>
      <c r="I245" s="97"/>
      <c r="J245" s="97"/>
      <c r="K245" s="97"/>
      <c r="L245" s="97">
        <f>-L62/L73</f>
        <v>0.85994236311239169</v>
      </c>
      <c r="M245" s="97">
        <f>-M62/M73</f>
        <v>0.79993909866017054</v>
      </c>
      <c r="N245" s="97">
        <f>-N62/N73</f>
        <v>0.65053955574241462</v>
      </c>
      <c r="O245" s="97">
        <f>-O62/O73</f>
        <v>0.97492952173698011</v>
      </c>
    </row>
    <row r="246" spans="2:15" x14ac:dyDescent="0.25">
      <c r="B246" t="s">
        <v>1484</v>
      </c>
      <c r="C246" s="97">
        <f>(C61)/C62</f>
        <v>0.42462311557788945</v>
      </c>
      <c r="D246" s="97">
        <f>(D61)/D62</f>
        <v>0.39688911189162068</v>
      </c>
      <c r="E246" s="97">
        <f>(E61)/E62</f>
        <v>0.30371485943775101</v>
      </c>
      <c r="F246" s="97">
        <f>(F61)/F62</f>
        <v>0.30466334964682396</v>
      </c>
      <c r="G246" s="97">
        <f>(G61)/G62</f>
        <v>0.30589864002823097</v>
      </c>
      <c r="H246" s="97"/>
      <c r="I246" s="97"/>
      <c r="J246" s="97"/>
      <c r="K246" s="97"/>
      <c r="L246" s="97">
        <f>(L61)/L62</f>
        <v>0.55194369973190349</v>
      </c>
      <c r="M246" s="97">
        <f>(M61)/M62</f>
        <v>0.43433574419489912</v>
      </c>
      <c r="N246" s="97">
        <f>(N61)/N62</f>
        <v>0.24099376874895653</v>
      </c>
      <c r="O246" s="97">
        <f>(O61)/O62</f>
        <v>0.30587811547222266</v>
      </c>
    </row>
    <row r="247" spans="2:15" x14ac:dyDescent="0.25">
      <c r="B247" t="s">
        <v>1485</v>
      </c>
      <c r="C247" s="97">
        <f>(C61)/-C73</f>
        <v>0.34187457855697911</v>
      </c>
      <c r="D247" s="97">
        <f>(D61)/-D73</f>
        <v>0.27570582084349948</v>
      </c>
      <c r="E247" s="97">
        <f>(E61)/-E73</f>
        <v>0.27663465935070874</v>
      </c>
      <c r="F247" s="97">
        <f>(F61)/-F73</f>
        <v>0.31997603816777559</v>
      </c>
      <c r="G247" s="97">
        <f>(G61)/-G73</f>
        <v>0.31566356857538219</v>
      </c>
      <c r="H247" s="97"/>
      <c r="I247" s="97"/>
      <c r="J247" s="97"/>
      <c r="K247" s="97"/>
      <c r="L247" s="97">
        <f>(L61)/-L73</f>
        <v>0.47463976945244946</v>
      </c>
      <c r="M247" s="97">
        <f>(M61)/-M73</f>
        <v>0.34744214372716198</v>
      </c>
      <c r="N247" s="97">
        <f>(N61)/-N73</f>
        <v>0.1567759792586364</v>
      </c>
      <c r="O247" s="97">
        <f>(O61)/-O73</f>
        <v>0.29820960482714282</v>
      </c>
    </row>
    <row r="248" spans="2:15" x14ac:dyDescent="0.25">
      <c r="B248" t="s">
        <v>1486</v>
      </c>
      <c r="C248" s="97">
        <f>(C62-C57)/-C73</f>
        <v>0.52292650033715449</v>
      </c>
      <c r="D248" s="97">
        <f>(D62-D57)/-D73</f>
        <v>0.47577553154409208</v>
      </c>
      <c r="E248" s="97">
        <f>(E62-E57)/-E73</f>
        <v>0.5989940557841793</v>
      </c>
      <c r="F248" s="97">
        <f>(F62-F57)/-F73</f>
        <v>0.72651419524614358</v>
      </c>
      <c r="G248" s="97">
        <f>(G62-G57)/-G73</f>
        <v>0.71583836142904356</v>
      </c>
      <c r="H248" s="97"/>
      <c r="I248" s="97"/>
      <c r="J248" s="97"/>
      <c r="K248" s="97"/>
      <c r="L248" s="97">
        <f>(L62-L57)/-L73</f>
        <v>0.62680115273775194</v>
      </c>
      <c r="M248" s="97">
        <f>(M62-M57)/-M73</f>
        <v>0.55694275274056027</v>
      </c>
      <c r="N248" s="97">
        <f>(N62-N57)/-N73</f>
        <v>0.39764557494219044</v>
      </c>
      <c r="O248" s="97">
        <f>(O62-O57)/-O73</f>
        <v>0.65149117167021131</v>
      </c>
    </row>
    <row r="249" spans="2:15" x14ac:dyDescent="0.25">
      <c r="B249" s="15"/>
    </row>
    <row r="250" spans="2:15" x14ac:dyDescent="0.25">
      <c r="B250" s="98" t="s">
        <v>1470</v>
      </c>
    </row>
    <row r="251" spans="2:15" x14ac:dyDescent="0.25">
      <c r="B251" t="s">
        <v>1487</v>
      </c>
      <c r="C251" s="43">
        <f>C7/((C933+D933)/2)</f>
        <v>79.361111111111114</v>
      </c>
      <c r="D251" s="43">
        <f>D7/((D933+E933)/2)</f>
        <v>63.723631548854989</v>
      </c>
      <c r="E251" s="43">
        <f>E7/((E933+F933)/2)</f>
        <v>63.140604467805524</v>
      </c>
      <c r="F251" s="43">
        <f>F7/((F933+G933)/2)</f>
        <v>62.897005317660231</v>
      </c>
      <c r="G251" s="43">
        <f>G7/((G933+H933)/2)</f>
        <v>60.009999640300705</v>
      </c>
    </row>
    <row r="252" spans="2:15" x14ac:dyDescent="0.25">
      <c r="B252" t="s">
        <v>1489</v>
      </c>
      <c r="C252" s="43">
        <f>360/C251</f>
        <v>4.5362268113405673</v>
      </c>
      <c r="D252" s="43">
        <f t="shared" ref="D252:F252" si="18">360/D251</f>
        <v>5.6493955421231581</v>
      </c>
      <c r="E252" s="43">
        <f t="shared" si="18"/>
        <v>5.7015608740894894</v>
      </c>
      <c r="F252" s="43">
        <f t="shared" si="18"/>
        <v>5.7236429331066923</v>
      </c>
      <c r="G252" s="43">
        <f>360/G251</f>
        <v>5.9990002025968359</v>
      </c>
    </row>
    <row r="253" spans="2:15" x14ac:dyDescent="0.25">
      <c r="B253" t="s">
        <v>1488</v>
      </c>
      <c r="C253" s="43">
        <f>-C8/((C869+D869)/2)</f>
        <v>7.9535836177474408</v>
      </c>
      <c r="D253" s="43">
        <f>-D8/((D869+E869)/2)</f>
        <v>8.349618320610686</v>
      </c>
      <c r="E253" s="43">
        <f>-E8/((E869+F869)/2)</f>
        <v>7.6703177192573593</v>
      </c>
      <c r="F253" s="43">
        <f>-F8/((F869+G869)/2)</f>
        <v>7.4273792218896961</v>
      </c>
      <c r="G253" s="43">
        <f>-G8/((G869+H869)/2)</f>
        <v>7.0211394357919481</v>
      </c>
    </row>
    <row r="254" spans="2:15" x14ac:dyDescent="0.25">
      <c r="B254" t="s">
        <v>1490</v>
      </c>
      <c r="C254" s="43">
        <f>360/C253</f>
        <v>45.262615859938208</v>
      </c>
      <c r="D254" s="43">
        <f t="shared" ref="D254:F254" si="19">360/D253</f>
        <v>43.115743280307193</v>
      </c>
      <c r="E254" s="43">
        <f t="shared" si="19"/>
        <v>46.934170548916356</v>
      </c>
      <c r="F254" s="43">
        <f t="shared" si="19"/>
        <v>48.469317271295559</v>
      </c>
      <c r="G254" s="43">
        <f>360/G253</f>
        <v>51.273728900014909</v>
      </c>
    </row>
    <row r="255" spans="2:15" x14ac:dyDescent="0.25">
      <c r="B255" t="s">
        <v>1494</v>
      </c>
      <c r="C255" s="43">
        <f>-C8/((C948+D948)/2)</f>
        <v>5.3474070674621395</v>
      </c>
      <c r="D255" s="43">
        <f>-D8/((D948+E948)/2)</f>
        <v>4.9802619896460811</v>
      </c>
      <c r="E255" s="43">
        <f>-E8/((E948+F948)/2)</f>
        <v>4.5811372578130802</v>
      </c>
      <c r="F255" s="43">
        <f>-F8/((F948+G948)/2)</f>
        <v>4.2292040956429018</v>
      </c>
      <c r="G255" s="43">
        <f>-G8/((G948+H948)/2)</f>
        <v>4.2843118027109863</v>
      </c>
    </row>
    <row r="256" spans="2:15" x14ac:dyDescent="0.25">
      <c r="B256" t="s">
        <v>1493</v>
      </c>
      <c r="C256" s="43">
        <f>360/C255</f>
        <v>67.322348094747667</v>
      </c>
      <c r="D256" s="43">
        <f t="shared" ref="D256:G256" si="20">360/D255</f>
        <v>72.285353812397162</v>
      </c>
      <c r="E256" s="43">
        <f t="shared" si="20"/>
        <v>78.583107150091138</v>
      </c>
      <c r="F256" s="43">
        <f t="shared" si="20"/>
        <v>85.12239935899207</v>
      </c>
      <c r="G256" s="43">
        <f t="shared" si="20"/>
        <v>84.02749766536661</v>
      </c>
    </row>
    <row r="257" spans="2:15" x14ac:dyDescent="0.25">
      <c r="B257" t="s">
        <v>1492</v>
      </c>
      <c r="C257" s="43">
        <f>C252+C254-C256</f>
        <v>-17.52350542346889</v>
      </c>
      <c r="D257" s="43">
        <f t="shared" ref="D257:G257" si="21">D252+D254-D256</f>
        <v>-23.52021498996681</v>
      </c>
      <c r="E257" s="43">
        <f t="shared" si="21"/>
        <v>-25.947375727085294</v>
      </c>
      <c r="F257" s="43">
        <f t="shared" si="21"/>
        <v>-30.929439154589815</v>
      </c>
      <c r="G257" s="43">
        <f t="shared" si="21"/>
        <v>-26.754768562754862</v>
      </c>
    </row>
    <row r="258" spans="2:15" x14ac:dyDescent="0.25">
      <c r="B258" t="s">
        <v>1491</v>
      </c>
      <c r="C258" s="43">
        <f>C252+C254</f>
        <v>49.798842671278777</v>
      </c>
      <c r="D258" s="43">
        <f t="shared" ref="D258:G258" si="22">D252+D254</f>
        <v>48.765138822430352</v>
      </c>
      <c r="E258" s="43">
        <f t="shared" si="22"/>
        <v>52.635731423005844</v>
      </c>
      <c r="F258" s="43">
        <f t="shared" si="22"/>
        <v>54.192960204402254</v>
      </c>
      <c r="G258" s="43">
        <f t="shared" si="22"/>
        <v>57.272729102611748</v>
      </c>
    </row>
    <row r="260" spans="2:15" ht="15.75" thickBot="1" x14ac:dyDescent="0.3">
      <c r="B260" s="15" t="s">
        <v>1467</v>
      </c>
      <c r="C260" s="13">
        <v>44280</v>
      </c>
      <c r="D260" s="13">
        <v>43919</v>
      </c>
      <c r="E260" s="13">
        <v>43552</v>
      </c>
      <c r="F260" s="13">
        <v>43188</v>
      </c>
      <c r="G260" s="13">
        <v>42824</v>
      </c>
      <c r="H260" s="13">
        <v>42460</v>
      </c>
      <c r="L260" s="13">
        <v>44476</v>
      </c>
      <c r="M260" s="13">
        <v>44112</v>
      </c>
      <c r="N260" s="13">
        <v>43748</v>
      </c>
      <c r="O260" s="13">
        <v>43384</v>
      </c>
    </row>
    <row r="261" spans="2:15" x14ac:dyDescent="0.25">
      <c r="B261" t="s">
        <v>1507</v>
      </c>
      <c r="C261" s="40">
        <f>C864/C42</f>
        <v>7.4200000000000002E-2</v>
      </c>
      <c r="L261" s="40">
        <f>L864/L42</f>
        <v>4.2999999999999997E-2</v>
      </c>
    </row>
    <row r="262" spans="2:15" x14ac:dyDescent="0.25">
      <c r="B262" s="17" t="s">
        <v>1511</v>
      </c>
      <c r="C262" s="41">
        <f>C263/C42</f>
        <v>2.8</v>
      </c>
      <c r="L262" s="41">
        <f>L263/L42</f>
        <v>2.8</v>
      </c>
    </row>
    <row r="263" spans="2:15" x14ac:dyDescent="0.25">
      <c r="B263" s="17" t="s">
        <v>1508</v>
      </c>
      <c r="C263" s="24">
        <v>1400</v>
      </c>
      <c r="L263" s="24">
        <v>1400</v>
      </c>
    </row>
    <row r="264" spans="2:15" x14ac:dyDescent="0.25">
      <c r="B264" s="17" t="s">
        <v>1509</v>
      </c>
      <c r="C264">
        <f>C95</f>
        <v>993.7</v>
      </c>
      <c r="L264">
        <f>L95</f>
        <v>1012.9</v>
      </c>
    </row>
    <row r="265" spans="2:15" x14ac:dyDescent="0.25">
      <c r="B265" t="s">
        <v>1510</v>
      </c>
      <c r="C265" s="24">
        <f>C263-C78-C76-C69-C61</f>
        <v>1807</v>
      </c>
      <c r="L265" s="24">
        <f>L263-L78-L76-L69-L61</f>
        <v>1732.4</v>
      </c>
    </row>
    <row r="266" spans="2:15" x14ac:dyDescent="0.25">
      <c r="B266" t="s">
        <v>1481</v>
      </c>
      <c r="C266" s="62">
        <f>C261/C262</f>
        <v>2.6500000000000003E-2</v>
      </c>
      <c r="L266" s="62">
        <f>L261/L262</f>
        <v>1.5357142857142857E-2</v>
      </c>
    </row>
    <row r="267" spans="2:15" x14ac:dyDescent="0.25">
      <c r="B267" t="s">
        <v>1506</v>
      </c>
      <c r="C267" s="41">
        <f>C864/C23</f>
        <v>0.37474747474747466</v>
      </c>
      <c r="D267" s="41">
        <f>D864/D23</f>
        <v>0.55044510385756673</v>
      </c>
      <c r="E267" s="41">
        <f>E864/E23</f>
        <v>1.2194098360655738</v>
      </c>
      <c r="F267" s="41">
        <f>F864/F23</f>
        <v>0.59446938580571207</v>
      </c>
      <c r="G267" s="41">
        <f>G864/G23</f>
        <v>0.52876705058117934</v>
      </c>
      <c r="H267" s="41"/>
      <c r="I267" s="41"/>
      <c r="J267" s="41"/>
      <c r="K267" s="41"/>
      <c r="L267" s="41">
        <f>L864/L23</f>
        <v>0.37918871252204589</v>
      </c>
      <c r="M267" s="41">
        <f>M864/M23</f>
        <v>0.39999999999999974</v>
      </c>
      <c r="N267" s="41"/>
    </row>
    <row r="268" spans="2:15" x14ac:dyDescent="0.25">
      <c r="B268" t="s">
        <v>1514</v>
      </c>
      <c r="C268" s="41">
        <f>C265/C298</f>
        <v>21.065762016344323</v>
      </c>
    </row>
    <row r="269" spans="2:15" x14ac:dyDescent="0.25">
      <c r="B269" t="s">
        <v>1520</v>
      </c>
      <c r="C269" s="41">
        <f>C263/C7</f>
        <v>1.2250612530626532</v>
      </c>
    </row>
    <row r="270" spans="2:15" x14ac:dyDescent="0.25">
      <c r="B270" t="s">
        <v>1517</v>
      </c>
      <c r="C270" s="41">
        <f>C263/C121</f>
        <v>7.1758072783188114</v>
      </c>
    </row>
    <row r="271" spans="2:15" x14ac:dyDescent="0.25">
      <c r="B271" t="s">
        <v>1521</v>
      </c>
      <c r="C271" s="41">
        <f>C263/C264</f>
        <v>1.4088759182851966</v>
      </c>
    </row>
    <row r="272" spans="2:15" x14ac:dyDescent="0.25">
      <c r="B272" t="s">
        <v>1516</v>
      </c>
      <c r="C272" s="43">
        <f>C262/C40</f>
        <v>14.141414141414137</v>
      </c>
    </row>
    <row r="273" spans="2:4" x14ac:dyDescent="0.25">
      <c r="B273" t="s">
        <v>1564</v>
      </c>
      <c r="C273" s="43"/>
    </row>
    <row r="274" spans="2:4" x14ac:dyDescent="0.25">
      <c r="B274" t="s">
        <v>1519</v>
      </c>
      <c r="C274" s="62">
        <f>C40/C262</f>
        <v>7.0714285714285743E-2</v>
      </c>
    </row>
    <row r="275" spans="2:4" x14ac:dyDescent="0.25">
      <c r="B275" t="s">
        <v>1535</v>
      </c>
      <c r="C275" s="62">
        <f>-C302/(C76+C78+C68)</f>
        <v>2.3626579316799252E-2</v>
      </c>
    </row>
    <row r="276" spans="2:4" x14ac:dyDescent="0.25">
      <c r="B276" t="s">
        <v>1523</v>
      </c>
      <c r="C276" s="40">
        <v>5.7000000000000002E-2</v>
      </c>
    </row>
    <row r="277" spans="2:4" x14ac:dyDescent="0.25">
      <c r="B277" t="s">
        <v>1527</v>
      </c>
      <c r="C277" s="41">
        <v>0.41</v>
      </c>
    </row>
    <row r="278" spans="2:4" x14ac:dyDescent="0.25">
      <c r="B278" t="s">
        <v>1526</v>
      </c>
      <c r="C278" s="40">
        <v>1.9279999999999999E-2</v>
      </c>
    </row>
    <row r="279" spans="2:4" x14ac:dyDescent="0.25">
      <c r="B279" t="s">
        <v>1524</v>
      </c>
      <c r="C279" s="93">
        <f>C277*(C276-C278)+C278</f>
        <v>3.4745199999999997E-2</v>
      </c>
    </row>
    <row r="280" spans="2:4" x14ac:dyDescent="0.25">
      <c r="B280" t="s">
        <v>1528</v>
      </c>
      <c r="C280" s="40">
        <f>1-C238</f>
        <v>0.57639211136890944</v>
      </c>
    </row>
    <row r="281" spans="2:4" x14ac:dyDescent="0.25">
      <c r="B281" t="s">
        <v>1529</v>
      </c>
      <c r="C281" s="40">
        <f>C238</f>
        <v>0.4236078886310905</v>
      </c>
    </row>
    <row r="282" spans="2:4" x14ac:dyDescent="0.25">
      <c r="B282" t="s">
        <v>1525</v>
      </c>
      <c r="C282" s="62">
        <f>SUM(C281*C275)+(C280*C279)</f>
        <v>3.0035264567899352E-2</v>
      </c>
    </row>
    <row r="283" spans="2:4" x14ac:dyDescent="0.25">
      <c r="B283" t="s">
        <v>1530</v>
      </c>
      <c r="C283" s="26">
        <v>0.1</v>
      </c>
    </row>
    <row r="284" spans="2:4" x14ac:dyDescent="0.25">
      <c r="B284" t="s">
        <v>1531</v>
      </c>
      <c r="C284" s="41">
        <f>C94/C23</f>
        <v>12.615151515151512</v>
      </c>
      <c r="D284" s="41"/>
    </row>
    <row r="285" spans="2:4" x14ac:dyDescent="0.25">
      <c r="B285" t="s">
        <v>1534</v>
      </c>
      <c r="C285" s="41">
        <f>C286+C287</f>
        <v>6.8958950513174522E-2</v>
      </c>
      <c r="D285" s="41"/>
    </row>
    <row r="286" spans="2:4" hidden="1" x14ac:dyDescent="0.25">
      <c r="B286" t="s">
        <v>1533</v>
      </c>
      <c r="C286" s="32">
        <f>C298/C64</f>
        <v>4.9755800464037131E-2</v>
      </c>
      <c r="D286" s="32"/>
    </row>
    <row r="287" spans="2:4" hidden="1" x14ac:dyDescent="0.25">
      <c r="B287" t="s">
        <v>1532</v>
      </c>
      <c r="C287" s="41">
        <f>C237*(C286-C275)</f>
        <v>1.9203150049137391E-2</v>
      </c>
      <c r="D287" s="41"/>
    </row>
    <row r="289" spans="2:16" x14ac:dyDescent="0.25">
      <c r="B289" t="s">
        <v>1377</v>
      </c>
      <c r="C289">
        <f>SUM(C113:C116)</f>
        <v>-7.5000000000000009</v>
      </c>
      <c r="D289">
        <f t="shared" ref="D289:H289" si="23">SUM(D113:D116)</f>
        <v>27.3</v>
      </c>
      <c r="E289">
        <f t="shared" si="23"/>
        <v>5.4</v>
      </c>
      <c r="F289">
        <f t="shared" si="23"/>
        <v>2.8579999999999997</v>
      </c>
      <c r="G289">
        <f t="shared" si="23"/>
        <v>-2.3099999999999992</v>
      </c>
      <c r="H289">
        <f t="shared" si="23"/>
        <v>-3.6379999999999999</v>
      </c>
    </row>
    <row r="290" spans="2:16" x14ac:dyDescent="0.25">
      <c r="B290" t="s">
        <v>1342</v>
      </c>
      <c r="C290">
        <f>C68+C71+C60+C57</f>
        <v>-82.40000000000002</v>
      </c>
      <c r="D290">
        <f t="shared" ref="D290:H290" si="24">D68+D71+D60+D57</f>
        <v>-81.8</v>
      </c>
      <c r="E290">
        <f t="shared" si="24"/>
        <v>-64.100000000000009</v>
      </c>
      <c r="F290">
        <f t="shared" si="24"/>
        <v>-39.314</v>
      </c>
      <c r="G290">
        <f t="shared" si="24"/>
        <v>-40.391999999999996</v>
      </c>
      <c r="H290">
        <f t="shared" si="24"/>
        <v>-49.072000000000003</v>
      </c>
    </row>
    <row r="291" spans="2:16" x14ac:dyDescent="0.25">
      <c r="B291" t="s">
        <v>1369</v>
      </c>
      <c r="C291">
        <f t="shared" ref="C291:H291" si="25">C60+C57+C58+C59+C61</f>
        <v>238.8</v>
      </c>
      <c r="D291">
        <f t="shared" si="25"/>
        <v>199.29999999999998</v>
      </c>
      <c r="E291">
        <f t="shared" si="25"/>
        <v>199.20000000000002</v>
      </c>
      <c r="F291">
        <f t="shared" si="25"/>
        <v>196.36099999999999</v>
      </c>
      <c r="G291">
        <f t="shared" si="25"/>
        <v>184.19499999999999</v>
      </c>
      <c r="H291">
        <f t="shared" si="25"/>
        <v>153.44899999999998</v>
      </c>
    </row>
    <row r="292" spans="2:16" x14ac:dyDescent="0.25">
      <c r="B292" t="s">
        <v>1368</v>
      </c>
      <c r="C292">
        <f t="shared" ref="C292:H292" si="26">C68+C71+C72+C70</f>
        <v>-218.20000000000002</v>
      </c>
      <c r="D292">
        <f t="shared" si="26"/>
        <v>-203.2</v>
      </c>
      <c r="E292">
        <f t="shared" si="26"/>
        <v>-218.70000000000002</v>
      </c>
      <c r="F292">
        <f t="shared" si="26"/>
        <v>-186.964</v>
      </c>
      <c r="G292">
        <f t="shared" si="26"/>
        <v>-178.49699999999999</v>
      </c>
      <c r="H292">
        <f t="shared" si="26"/>
        <v>-161.89400000000001</v>
      </c>
    </row>
    <row r="293" spans="2:16" x14ac:dyDescent="0.25">
      <c r="B293" t="s">
        <v>1370</v>
      </c>
      <c r="C293">
        <f t="shared" ref="C293:H293" si="27">SUM(C291:C292)</f>
        <v>20.599999999999994</v>
      </c>
      <c r="D293">
        <f t="shared" si="27"/>
        <v>-3.9000000000000057</v>
      </c>
      <c r="E293">
        <f t="shared" si="27"/>
        <v>-19.5</v>
      </c>
      <c r="F293">
        <f t="shared" si="27"/>
        <v>9.3969999999999914</v>
      </c>
      <c r="G293">
        <f t="shared" si="27"/>
        <v>5.6980000000000075</v>
      </c>
      <c r="H293">
        <f t="shared" si="27"/>
        <v>-8.4450000000000216</v>
      </c>
    </row>
    <row r="294" spans="2:16" x14ac:dyDescent="0.25">
      <c r="B294" t="s">
        <v>1443</v>
      </c>
      <c r="C294" s="32">
        <f t="shared" ref="C294:H294" si="28">C50+C52+C51+C53+C356</f>
        <v>578.755</v>
      </c>
      <c r="D294" s="32">
        <f t="shared" si="28"/>
        <v>663.15500000000009</v>
      </c>
      <c r="E294" s="32">
        <f t="shared" si="28"/>
        <v>236.65500000000009</v>
      </c>
      <c r="F294" s="32">
        <f t="shared" si="28"/>
        <v>236.57000000000005</v>
      </c>
      <c r="G294" s="32">
        <f t="shared" si="28"/>
        <v>229.64599999999984</v>
      </c>
      <c r="H294" s="32">
        <f t="shared" si="28"/>
        <v>192.01100000000008</v>
      </c>
    </row>
    <row r="295" spans="2:16" x14ac:dyDescent="0.25">
      <c r="B295" t="s">
        <v>1442</v>
      </c>
      <c r="C295" s="32">
        <f t="shared" ref="C295:H295" si="29">C50+C52+C51+C53</f>
        <v>1485.2</v>
      </c>
      <c r="D295" s="32">
        <f t="shared" si="29"/>
        <v>1569.6000000000001</v>
      </c>
      <c r="E295" s="32">
        <f t="shared" si="29"/>
        <v>1143.1000000000001</v>
      </c>
      <c r="F295" s="32">
        <f t="shared" si="29"/>
        <v>1143.0150000000001</v>
      </c>
      <c r="G295" s="32">
        <f t="shared" si="29"/>
        <v>1136.0909999999999</v>
      </c>
      <c r="H295" s="32">
        <f t="shared" si="29"/>
        <v>1098.4560000000001</v>
      </c>
    </row>
    <row r="296" spans="2:16" x14ac:dyDescent="0.25">
      <c r="B296" t="s">
        <v>1372</v>
      </c>
      <c r="C296" s="32">
        <f>C15+C1211+C780</f>
        <v>159.30000000000001</v>
      </c>
      <c r="D296" s="32">
        <f t="shared" ref="D296:H296" si="30">D15+D1211+D780</f>
        <v>151.19999999999999</v>
      </c>
      <c r="E296" s="32">
        <f t="shared" si="30"/>
        <v>123.69999999999999</v>
      </c>
      <c r="F296" s="32">
        <f t="shared" si="30"/>
        <v>106.95199999999998</v>
      </c>
      <c r="G296" s="32">
        <f t="shared" si="30"/>
        <v>115.19000000000001</v>
      </c>
      <c r="H296" s="32">
        <f t="shared" si="30"/>
        <v>113.77199999999996</v>
      </c>
    </row>
    <row r="297" spans="2:16" x14ac:dyDescent="0.25">
      <c r="B297" t="s">
        <v>1373</v>
      </c>
      <c r="C297" s="32">
        <f t="shared" ref="C297:H297" si="31">C15+C780</f>
        <v>105.9</v>
      </c>
      <c r="D297" s="32">
        <f t="shared" si="31"/>
        <v>111.3</v>
      </c>
      <c r="E297" s="32">
        <f t="shared" si="31"/>
        <v>93.899999999999991</v>
      </c>
      <c r="F297" s="32">
        <f t="shared" si="31"/>
        <v>85.498999999999981</v>
      </c>
      <c r="G297" s="32">
        <f t="shared" si="31"/>
        <v>99.924000000000007</v>
      </c>
      <c r="H297" s="32">
        <f t="shared" si="31"/>
        <v>102.26299999999996</v>
      </c>
    </row>
    <row r="298" spans="2:16" x14ac:dyDescent="0.25">
      <c r="B298" t="s">
        <v>1379</v>
      </c>
      <c r="C298" s="32">
        <f t="shared" ref="C298:H298" si="32">SUM(C297*(1-C347))</f>
        <v>85.779000000000011</v>
      </c>
      <c r="D298" s="32">
        <f t="shared" si="32"/>
        <v>89.04</v>
      </c>
      <c r="E298" s="32">
        <f t="shared" si="32"/>
        <v>74.180999999999997</v>
      </c>
      <c r="F298" s="32">
        <f t="shared" si="32"/>
        <v>68.399199999999993</v>
      </c>
      <c r="G298" s="32">
        <f t="shared" si="32"/>
        <v>79.939200000000014</v>
      </c>
      <c r="H298" s="32">
        <f t="shared" si="32"/>
        <v>81.810399999999973</v>
      </c>
    </row>
    <row r="299" spans="2:16" x14ac:dyDescent="0.25">
      <c r="B299" t="s">
        <v>1371</v>
      </c>
      <c r="C299" s="32">
        <f t="shared" ref="C299:H299" si="33">SUM(C296*(1-C347))</f>
        <v>129.03300000000002</v>
      </c>
      <c r="D299" s="32">
        <f t="shared" si="33"/>
        <v>120.96</v>
      </c>
      <c r="E299" s="32">
        <f t="shared" si="33"/>
        <v>97.722999999999999</v>
      </c>
      <c r="F299" s="32">
        <f t="shared" si="33"/>
        <v>85.561599999999999</v>
      </c>
      <c r="G299" s="32">
        <f t="shared" si="33"/>
        <v>92.152000000000015</v>
      </c>
      <c r="H299" s="32">
        <f t="shared" si="33"/>
        <v>91.017599999999973</v>
      </c>
    </row>
    <row r="300" spans="2:16" x14ac:dyDescent="0.25">
      <c r="B300" t="s">
        <v>1444</v>
      </c>
      <c r="C300" s="62">
        <f>SUM(C298/(C295+C293))</f>
        <v>5.6965732500996159E-2</v>
      </c>
      <c r="D300" s="62">
        <f t="shared" ref="D300:H300" si="34">SUM(D298/(D295+D293))</f>
        <v>5.6869132017627902E-2</v>
      </c>
      <c r="E300" s="62">
        <f t="shared" si="34"/>
        <v>6.6020825916696321E-2</v>
      </c>
      <c r="F300" s="62">
        <f t="shared" si="34"/>
        <v>5.9353078586477745E-2</v>
      </c>
      <c r="G300" s="62">
        <f t="shared" si="34"/>
        <v>7.0012235185310079E-2</v>
      </c>
      <c r="H300" s="62">
        <f t="shared" si="34"/>
        <v>7.5054655411734339E-2</v>
      </c>
    </row>
    <row r="301" spans="2:16" x14ac:dyDescent="0.25">
      <c r="B301" t="s">
        <v>1445</v>
      </c>
      <c r="C301" s="62">
        <f>SUM(C298/(C294+C293))</f>
        <v>0.14311885276672423</v>
      </c>
      <c r="D301" s="62">
        <f t="shared" ref="D301:H301" si="35">SUM(D298/(D294+D293))</f>
        <v>0.13506154674594806</v>
      </c>
      <c r="E301" s="62">
        <f t="shared" si="35"/>
        <v>0.34160392346480611</v>
      </c>
      <c r="F301" s="62">
        <f t="shared" si="35"/>
        <v>0.27808283224985458</v>
      </c>
      <c r="G301" s="62">
        <f t="shared" si="35"/>
        <v>0.33966959004691033</v>
      </c>
      <c r="H301" s="62">
        <f t="shared" si="35"/>
        <v>0.44567294597038637</v>
      </c>
    </row>
    <row r="302" spans="2:16" x14ac:dyDescent="0.25">
      <c r="B302" t="s">
        <v>1380</v>
      </c>
      <c r="C302" s="32">
        <f t="shared" ref="C302:H302" si="36">(1-C347)*-C18</f>
        <v>15.147</v>
      </c>
      <c r="D302" s="32">
        <f t="shared" si="36"/>
        <v>14.64</v>
      </c>
      <c r="E302" s="32">
        <f t="shared" si="36"/>
        <v>3.2389999999999999</v>
      </c>
      <c r="F302" s="32">
        <f t="shared" si="36"/>
        <v>3.9704000000000002</v>
      </c>
      <c r="G302" s="32">
        <f t="shared" si="36"/>
        <v>4.24</v>
      </c>
      <c r="H302" s="32">
        <f t="shared" si="36"/>
        <v>7.9632000000000005</v>
      </c>
    </row>
    <row r="304" spans="2:16" ht="15.75" thickBot="1" x14ac:dyDescent="0.3">
      <c r="B304" s="15" t="s">
        <v>1381</v>
      </c>
      <c r="C304" s="13">
        <v>44280</v>
      </c>
      <c r="D304" s="13">
        <v>43919</v>
      </c>
      <c r="E304" s="13">
        <v>43552</v>
      </c>
      <c r="F304" s="13">
        <v>43188</v>
      </c>
      <c r="G304" s="13">
        <v>42824</v>
      </c>
      <c r="H304" s="13">
        <v>42460</v>
      </c>
      <c r="I304" s="13">
        <v>42089</v>
      </c>
      <c r="L304" s="13">
        <v>44476</v>
      </c>
      <c r="M304" s="13">
        <v>44112</v>
      </c>
      <c r="N304" s="13">
        <v>43748</v>
      </c>
      <c r="O304" s="13">
        <v>43384</v>
      </c>
      <c r="P304" s="15"/>
    </row>
    <row r="305" spans="2:16" x14ac:dyDescent="0.25">
      <c r="B305" t="s">
        <v>695</v>
      </c>
      <c r="C305" s="17">
        <f t="shared" ref="C305:I305" si="37">C121</f>
        <v>195.1</v>
      </c>
      <c r="D305" s="17">
        <f t="shared" si="37"/>
        <v>215.20000000000002</v>
      </c>
      <c r="E305" s="17">
        <f t="shared" si="37"/>
        <v>107.80000000000001</v>
      </c>
      <c r="F305" s="17">
        <f t="shared" si="37"/>
        <v>107.72499999999998</v>
      </c>
      <c r="G305" s="17">
        <f t="shared" si="37"/>
        <v>110.88699999999997</v>
      </c>
      <c r="H305" s="17">
        <f t="shared" si="37"/>
        <v>111.078</v>
      </c>
      <c r="I305" s="17">
        <f t="shared" si="37"/>
        <v>91.575000000000017</v>
      </c>
      <c r="L305" s="17">
        <f>L121</f>
        <v>187.9</v>
      </c>
      <c r="M305" s="17">
        <f>M121</f>
        <v>123.9</v>
      </c>
      <c r="N305" s="52"/>
      <c r="O305" s="52"/>
      <c r="P305" s="15"/>
    </row>
    <row r="306" spans="2:16" x14ac:dyDescent="0.25">
      <c r="B306" t="s">
        <v>274</v>
      </c>
      <c r="C306" s="17">
        <f t="shared" ref="C306:I306" si="38">-C120</f>
        <v>17.5</v>
      </c>
      <c r="D306" s="17">
        <f t="shared" si="38"/>
        <v>30.8</v>
      </c>
      <c r="E306" s="17">
        <f t="shared" si="38"/>
        <v>18.600000000000001</v>
      </c>
      <c r="F306" s="17">
        <f t="shared" si="38"/>
        <v>19.053999999999998</v>
      </c>
      <c r="G306" s="17">
        <f t="shared" si="38"/>
        <v>19.298999999999999</v>
      </c>
      <c r="H306" s="17">
        <f t="shared" si="38"/>
        <v>14.823</v>
      </c>
      <c r="I306" s="17">
        <f t="shared" si="38"/>
        <v>12.874000000000001</v>
      </c>
      <c r="J306" s="17"/>
      <c r="L306" s="17">
        <f>-L120</f>
        <v>14.6</v>
      </c>
      <c r="M306" s="17">
        <f>-M120</f>
        <v>8.1</v>
      </c>
      <c r="N306" s="52"/>
      <c r="O306" s="52"/>
      <c r="P306" s="15"/>
    </row>
    <row r="307" spans="2:16" x14ac:dyDescent="0.25">
      <c r="B307" t="s">
        <v>696</v>
      </c>
      <c r="C307" s="17"/>
      <c r="D307" s="17">
        <f>-D110</f>
        <v>0.8</v>
      </c>
      <c r="E307" s="17">
        <f>-E110</f>
        <v>0.1</v>
      </c>
      <c r="F307" s="17"/>
      <c r="G307" s="17"/>
      <c r="H307" s="17"/>
      <c r="I307" s="17"/>
      <c r="J307" s="17"/>
      <c r="L307" s="52"/>
      <c r="M307" s="52"/>
      <c r="N307" s="52"/>
      <c r="O307" s="52"/>
      <c r="P307" s="15"/>
    </row>
    <row r="308" spans="2:16" x14ac:dyDescent="0.25">
      <c r="B308" t="s">
        <v>697</v>
      </c>
      <c r="C308" s="17">
        <f>SUM(C305:C307)</f>
        <v>212.6</v>
      </c>
      <c r="D308" s="17">
        <f>SUM(D305:D307)</f>
        <v>246.80000000000004</v>
      </c>
      <c r="E308" s="17">
        <f t="shared" ref="E308:I308" si="39">SUM(E305:E307)</f>
        <v>126.5</v>
      </c>
      <c r="F308" s="17">
        <f t="shared" si="39"/>
        <v>126.77899999999998</v>
      </c>
      <c r="G308" s="17">
        <f t="shared" si="39"/>
        <v>130.18599999999998</v>
      </c>
      <c r="H308" s="17">
        <f t="shared" si="39"/>
        <v>125.90100000000001</v>
      </c>
      <c r="I308" s="17">
        <f t="shared" si="39"/>
        <v>104.44900000000001</v>
      </c>
      <c r="J308" s="17"/>
      <c r="L308" s="17">
        <f>SUM(L305:L307)</f>
        <v>202.5</v>
      </c>
      <c r="M308" s="17">
        <f>SUM(M305:M307)</f>
        <v>132</v>
      </c>
      <c r="N308" s="52"/>
      <c r="O308" s="52"/>
      <c r="P308" s="15"/>
    </row>
    <row r="309" spans="2:16" x14ac:dyDescent="0.25">
      <c r="B309" t="s">
        <v>290</v>
      </c>
      <c r="C309" s="17">
        <f>C147</f>
        <v>-66.599999999999994</v>
      </c>
      <c r="D309" s="17">
        <f>D147</f>
        <v>-67</v>
      </c>
      <c r="E309" s="17"/>
      <c r="F309" s="17"/>
      <c r="G309" s="17"/>
      <c r="H309" s="17"/>
      <c r="I309" s="17"/>
      <c r="J309" s="17"/>
      <c r="L309" s="17">
        <f>L147</f>
        <v>-36.9</v>
      </c>
      <c r="M309" s="17">
        <f>M147</f>
        <v>-35.1</v>
      </c>
      <c r="N309" s="52"/>
      <c r="O309" s="52"/>
      <c r="P309" s="15"/>
    </row>
    <row r="310" spans="2:16" x14ac:dyDescent="0.25">
      <c r="B310" t="s">
        <v>295</v>
      </c>
      <c r="C310" s="47">
        <f>C152</f>
        <v>-12.8</v>
      </c>
      <c r="D310" s="47">
        <f>D152</f>
        <v>-14</v>
      </c>
      <c r="E310" s="17"/>
      <c r="F310" s="17"/>
      <c r="G310" s="17"/>
      <c r="H310" s="17"/>
      <c r="I310" s="17"/>
      <c r="J310" s="17"/>
      <c r="L310" s="47">
        <f>L152</f>
        <v>-6.2</v>
      </c>
      <c r="M310" s="47">
        <f>M152</f>
        <v>-7.1</v>
      </c>
      <c r="N310" s="52"/>
      <c r="O310" s="52"/>
      <c r="P310" s="15"/>
    </row>
    <row r="311" spans="2:16" x14ac:dyDescent="0.25">
      <c r="B311" t="s">
        <v>528</v>
      </c>
      <c r="C311" s="17">
        <f t="shared" ref="C311:I311" si="40">SUM(C308:C310)</f>
        <v>133.19999999999999</v>
      </c>
      <c r="D311" s="17">
        <f t="shared" si="40"/>
        <v>165.80000000000004</v>
      </c>
      <c r="E311" s="17">
        <f t="shared" si="40"/>
        <v>126.5</v>
      </c>
      <c r="F311" s="17">
        <f t="shared" si="40"/>
        <v>126.77899999999998</v>
      </c>
      <c r="G311" s="17">
        <f t="shared" si="40"/>
        <v>130.18599999999998</v>
      </c>
      <c r="H311" s="17">
        <f t="shared" si="40"/>
        <v>125.90100000000001</v>
      </c>
      <c r="I311" s="17">
        <f t="shared" si="40"/>
        <v>104.44900000000001</v>
      </c>
      <c r="J311" s="17"/>
      <c r="K311" s="15"/>
      <c r="L311" s="17">
        <f t="shared" ref="L311:M311" si="41">SUM(L308:L310)</f>
        <v>159.4</v>
      </c>
      <c r="M311" s="17">
        <f t="shared" si="41"/>
        <v>89.800000000000011</v>
      </c>
      <c r="N311" s="15"/>
      <c r="O311" s="15"/>
      <c r="P311" s="15"/>
    </row>
    <row r="312" spans="2:16" x14ac:dyDescent="0.25">
      <c r="B312" t="s">
        <v>698</v>
      </c>
      <c r="C312" s="17">
        <f t="shared" ref="C312:I312" si="42">C120</f>
        <v>-17.5</v>
      </c>
      <c r="D312" s="17">
        <f t="shared" si="42"/>
        <v>-30.8</v>
      </c>
      <c r="E312" s="17">
        <f t="shared" si="42"/>
        <v>-18.600000000000001</v>
      </c>
      <c r="F312" s="17">
        <f t="shared" si="42"/>
        <v>-19.053999999999998</v>
      </c>
      <c r="G312" s="17">
        <f t="shared" si="42"/>
        <v>-19.298999999999999</v>
      </c>
      <c r="H312" s="17">
        <f t="shared" si="42"/>
        <v>-14.823</v>
      </c>
      <c r="I312" s="17">
        <f t="shared" si="42"/>
        <v>-12.874000000000001</v>
      </c>
      <c r="J312" s="15"/>
      <c r="K312" s="15"/>
      <c r="L312" s="17">
        <f>L120</f>
        <v>-14.6</v>
      </c>
      <c r="M312" s="17">
        <f>M120</f>
        <v>-8.1</v>
      </c>
      <c r="N312" s="15"/>
      <c r="O312" s="15"/>
      <c r="P312" s="15"/>
    </row>
    <row r="313" spans="2:16" x14ac:dyDescent="0.25">
      <c r="B313" t="s">
        <v>211</v>
      </c>
      <c r="C313" s="17">
        <f t="shared" ref="C313:I313" si="43">C151</f>
        <v>-4.8</v>
      </c>
      <c r="D313" s="17">
        <f t="shared" si="43"/>
        <v>-3.7</v>
      </c>
      <c r="E313" s="17">
        <f t="shared" si="43"/>
        <v>-3.4</v>
      </c>
      <c r="F313" s="17">
        <f t="shared" si="43"/>
        <v>-4.5759999999999996</v>
      </c>
      <c r="G313" s="17">
        <f t="shared" si="43"/>
        <v>-4.9160000000000004</v>
      </c>
      <c r="H313" s="17">
        <f t="shared" si="43"/>
        <v>-5.9850000000000003</v>
      </c>
      <c r="I313" s="17">
        <f t="shared" si="43"/>
        <v>-9.1910000000000007</v>
      </c>
      <c r="J313" s="15"/>
      <c r="K313" s="15"/>
      <c r="L313" s="17">
        <f>L151</f>
        <v>-1.3</v>
      </c>
      <c r="M313" s="17">
        <f>M151</f>
        <v>-2</v>
      </c>
      <c r="N313" s="15"/>
      <c r="O313" s="15"/>
      <c r="P313" s="15"/>
    </row>
    <row r="314" spans="2:16" x14ac:dyDescent="0.25">
      <c r="B314" t="s">
        <v>699</v>
      </c>
      <c r="C314" s="17">
        <f t="shared" ref="C314:I314" si="44">C126</f>
        <v>0.4</v>
      </c>
      <c r="D314" s="17">
        <f t="shared" si="44"/>
        <v>0.5</v>
      </c>
      <c r="E314" s="17">
        <f t="shared" si="44"/>
        <v>0.6</v>
      </c>
      <c r="F314" s="17">
        <f t="shared" si="44"/>
        <v>0.68500000000000005</v>
      </c>
      <c r="G314" s="17">
        <f t="shared" si="44"/>
        <v>0.72199999999999998</v>
      </c>
      <c r="H314" s="17">
        <f t="shared" si="44"/>
        <v>0.41299999999999998</v>
      </c>
      <c r="I314" s="17">
        <f t="shared" si="44"/>
        <v>0.36399999999999999</v>
      </c>
      <c r="J314" s="15"/>
      <c r="K314" s="15"/>
      <c r="L314" s="17">
        <f>L126</f>
        <v>0.1</v>
      </c>
      <c r="M314" s="17">
        <f>M126</f>
        <v>0.2</v>
      </c>
      <c r="N314" s="15"/>
      <c r="O314" s="15"/>
      <c r="P314" s="15"/>
    </row>
    <row r="315" spans="2:16" x14ac:dyDescent="0.25">
      <c r="B315" t="s">
        <v>289</v>
      </c>
      <c r="C315" s="17">
        <f>C146</f>
        <v>-0.2</v>
      </c>
      <c r="D315" s="17" t="str">
        <f>D146</f>
        <v>-</v>
      </c>
      <c r="E315" s="17">
        <f>E146</f>
        <v>-2.5</v>
      </c>
      <c r="F315" s="17"/>
      <c r="G315" s="17"/>
      <c r="H315" s="17"/>
      <c r="I315" s="17"/>
      <c r="J315" s="15"/>
      <c r="K315" s="15"/>
      <c r="L315" s="17" t="str">
        <f>L146</f>
        <v>-</v>
      </c>
      <c r="M315" s="17">
        <f>M146</f>
        <v>-0.2</v>
      </c>
      <c r="N315" s="15"/>
      <c r="O315" s="15"/>
      <c r="P315" s="15"/>
    </row>
    <row r="316" spans="2:16" x14ac:dyDescent="0.25">
      <c r="B316" t="s">
        <v>293</v>
      </c>
      <c r="C316" s="17">
        <f>C149</f>
        <v>-8.6999999999999993</v>
      </c>
      <c r="D316" s="17">
        <f>D149</f>
        <v>-2.8</v>
      </c>
      <c r="E316" s="17">
        <f>E149</f>
        <v>-1.8</v>
      </c>
      <c r="F316" s="17">
        <f>F149</f>
        <v>-4.016</v>
      </c>
      <c r="G316" s="17"/>
      <c r="H316" s="17"/>
      <c r="I316" s="17"/>
      <c r="J316" s="15"/>
      <c r="K316" s="15"/>
      <c r="L316" s="17">
        <f>L149</f>
        <v>-15.1</v>
      </c>
      <c r="M316" s="17">
        <f>M149</f>
        <v>-2.5</v>
      </c>
      <c r="N316" s="15"/>
      <c r="O316" s="15"/>
      <c r="P316" s="15"/>
    </row>
    <row r="317" spans="2:16" x14ac:dyDescent="0.25">
      <c r="B317" t="s">
        <v>700</v>
      </c>
      <c r="C317" s="17">
        <f t="shared" ref="C317:I317" si="45">C137</f>
        <v>-34.9</v>
      </c>
      <c r="D317" s="17">
        <f t="shared" si="45"/>
        <v>-39.6</v>
      </c>
      <c r="E317" s="17">
        <f t="shared" si="45"/>
        <v>-37.4</v>
      </c>
      <c r="F317" s="17">
        <f t="shared" si="45"/>
        <v>-41.613</v>
      </c>
      <c r="G317" s="17">
        <f t="shared" si="45"/>
        <v>-40.896000000000001</v>
      </c>
      <c r="H317" s="17">
        <f t="shared" si="45"/>
        <v>-36.804000000000002</v>
      </c>
      <c r="I317" s="17">
        <f t="shared" si="45"/>
        <v>-30.361000000000001</v>
      </c>
      <c r="J317" s="15"/>
      <c r="K317" s="15"/>
      <c r="L317" s="17">
        <f>L137</f>
        <v>-36.700000000000003</v>
      </c>
      <c r="M317" s="17">
        <f>M137</f>
        <v>-16.3</v>
      </c>
      <c r="N317" s="15"/>
      <c r="O317" s="15"/>
      <c r="P317" s="15"/>
    </row>
    <row r="318" spans="2:16" x14ac:dyDescent="0.25">
      <c r="B318" t="s">
        <v>701</v>
      </c>
      <c r="C318" s="17">
        <f t="shared" ref="C318:I318" si="46">C124</f>
        <v>0.3</v>
      </c>
      <c r="D318" s="17">
        <f t="shared" si="46"/>
        <v>0.4</v>
      </c>
      <c r="E318" s="17">
        <f t="shared" si="46"/>
        <v>0.6</v>
      </c>
      <c r="F318" s="17">
        <f t="shared" si="46"/>
        <v>0.81399999999999995</v>
      </c>
      <c r="G318" s="17">
        <f t="shared" si="46"/>
        <v>1.83</v>
      </c>
      <c r="H318" s="17">
        <f t="shared" si="46"/>
        <v>3.0819999999999999</v>
      </c>
      <c r="I318" s="17">
        <f t="shared" si="46"/>
        <v>0.874</v>
      </c>
      <c r="J318" s="15"/>
      <c r="K318" s="15"/>
      <c r="L318" s="17" t="str">
        <f>L124</f>
        <v>-</v>
      </c>
      <c r="M318" s="17">
        <f>M124</f>
        <v>0.1</v>
      </c>
      <c r="N318" s="15"/>
      <c r="O318" s="15"/>
      <c r="P318" s="15"/>
    </row>
    <row r="319" spans="2:16" x14ac:dyDescent="0.25">
      <c r="B319" t="s">
        <v>702</v>
      </c>
      <c r="C319" s="15"/>
      <c r="D319" s="15"/>
      <c r="E319" s="17"/>
      <c r="F319" s="17"/>
      <c r="G319" s="17"/>
      <c r="H319" s="17"/>
      <c r="I319" s="17"/>
      <c r="J319" s="15"/>
      <c r="K319" s="15"/>
      <c r="L319" s="15"/>
      <c r="M319" s="15"/>
      <c r="N319" s="15"/>
      <c r="O319" s="15"/>
      <c r="P319" s="15"/>
    </row>
    <row r="320" spans="2:16" ht="15.75" thickBot="1" x14ac:dyDescent="0.3">
      <c r="B320" t="s">
        <v>703</v>
      </c>
      <c r="C320" s="18">
        <f>C130</f>
        <v>-0.4</v>
      </c>
      <c r="D320" s="18"/>
      <c r="E320" s="18"/>
      <c r="F320" s="18"/>
      <c r="G320" s="18"/>
      <c r="H320" s="18"/>
      <c r="I320" s="18"/>
      <c r="J320" s="15"/>
      <c r="K320" s="15"/>
      <c r="L320" s="18">
        <f>L130</f>
        <v>-0.2</v>
      </c>
      <c r="M320" s="18">
        <f>M130</f>
        <v>-0.5</v>
      </c>
      <c r="N320" s="15"/>
      <c r="O320" s="15"/>
      <c r="P320" s="15"/>
    </row>
    <row r="321" spans="2:16" x14ac:dyDescent="0.25">
      <c r="B321" s="15" t="s">
        <v>529</v>
      </c>
      <c r="C321" s="17">
        <f>SUM(C311:C320)</f>
        <v>67.399999999999991</v>
      </c>
      <c r="D321" s="17">
        <f>SUM(D311:D320)</f>
        <v>89.80000000000004</v>
      </c>
      <c r="E321" s="17">
        <f t="shared" ref="E321:I321" si="47">SUM(E311:E320)</f>
        <v>64</v>
      </c>
      <c r="F321" s="83">
        <f t="shared" si="47"/>
        <v>59.018999999999984</v>
      </c>
      <c r="G321" s="83">
        <f t="shared" si="47"/>
        <v>67.626999999999967</v>
      </c>
      <c r="H321" s="83">
        <f t="shared" si="47"/>
        <v>71.783999999999992</v>
      </c>
      <c r="I321" s="83">
        <f t="shared" si="47"/>
        <v>53.261000000000017</v>
      </c>
      <c r="J321" s="15"/>
      <c r="K321" s="15"/>
      <c r="L321" s="17">
        <f>SUM(L311:L320)</f>
        <v>91.6</v>
      </c>
      <c r="M321" s="17">
        <f>SUM(M311:M320)</f>
        <v>60.500000000000021</v>
      </c>
      <c r="N321" s="15"/>
      <c r="O321" s="15"/>
      <c r="P321" s="15"/>
    </row>
    <row r="322" spans="2:16" x14ac:dyDescent="0.25">
      <c r="C322" s="17"/>
      <c r="D322" s="15"/>
      <c r="E322" s="15"/>
      <c r="F322" s="15"/>
      <c r="G322" s="33"/>
      <c r="H322" s="15"/>
      <c r="I322" s="15"/>
      <c r="J322" s="15"/>
      <c r="K322" s="15"/>
      <c r="L322" s="15"/>
      <c r="M322" s="15"/>
      <c r="N322" s="15"/>
      <c r="O322" s="15"/>
      <c r="P322" s="15"/>
    </row>
    <row r="323" spans="2:16" x14ac:dyDescent="0.25">
      <c r="B323" t="s">
        <v>529</v>
      </c>
      <c r="C323" s="15"/>
      <c r="D323" s="15"/>
      <c r="E323" s="15"/>
      <c r="F323" s="15"/>
      <c r="G323" s="33"/>
      <c r="H323" s="15"/>
      <c r="I323" s="15"/>
      <c r="J323" s="15"/>
      <c r="K323" s="15"/>
      <c r="L323" s="15"/>
      <c r="M323" s="15"/>
      <c r="N323" s="15"/>
      <c r="O323" s="15"/>
      <c r="P323" s="15"/>
    </row>
    <row r="324" spans="2:16" x14ac:dyDescent="0.25">
      <c r="B324" s="17" t="s">
        <v>299</v>
      </c>
      <c r="C324">
        <v>44.6</v>
      </c>
      <c r="D324">
        <v>84.8</v>
      </c>
      <c r="E324">
        <v>57.3</v>
      </c>
      <c r="F324" s="15"/>
      <c r="G324" s="33"/>
      <c r="H324" s="15"/>
      <c r="I324" s="15"/>
      <c r="J324" s="15"/>
      <c r="K324" s="15"/>
      <c r="L324" s="15"/>
      <c r="M324" s="15"/>
      <c r="N324" s="15"/>
      <c r="O324" s="15"/>
      <c r="P324" s="15"/>
    </row>
    <row r="325" spans="2:16" x14ac:dyDescent="0.25">
      <c r="B325" s="17" t="s">
        <v>306</v>
      </c>
      <c r="C325" s="17">
        <v>38.1</v>
      </c>
      <c r="D325">
        <v>16.7</v>
      </c>
      <c r="E325">
        <v>19.8</v>
      </c>
      <c r="F325" s="15"/>
      <c r="G325" s="33"/>
      <c r="H325" s="15"/>
      <c r="I325" s="15"/>
      <c r="J325" s="15"/>
      <c r="K325" s="15"/>
      <c r="L325" s="15"/>
      <c r="M325" s="15"/>
      <c r="N325" s="15"/>
      <c r="O325" s="15"/>
      <c r="P325" s="15"/>
    </row>
    <row r="326" spans="2:16" ht="15.75" thickBot="1" x14ac:dyDescent="0.3">
      <c r="B326" s="17" t="s">
        <v>300</v>
      </c>
      <c r="C326" s="18">
        <v>-15.4</v>
      </c>
      <c r="D326" s="18">
        <v>-11.9</v>
      </c>
      <c r="E326" s="18">
        <v>-13.5</v>
      </c>
      <c r="F326" s="19"/>
      <c r="G326" s="63"/>
      <c r="H326" s="19"/>
      <c r="I326" s="19"/>
      <c r="J326" s="69"/>
      <c r="K326" s="15"/>
      <c r="L326" s="15"/>
      <c r="M326" s="15"/>
      <c r="N326" s="15"/>
      <c r="O326" s="15"/>
      <c r="P326" s="15"/>
    </row>
    <row r="327" spans="2:16" x14ac:dyDescent="0.25">
      <c r="B327" s="15" t="s">
        <v>115</v>
      </c>
      <c r="C327" s="15">
        <f>SUM(C324:C326)</f>
        <v>67.3</v>
      </c>
      <c r="D327" s="15">
        <f>SUM(D324:D326)</f>
        <v>89.6</v>
      </c>
      <c r="E327" s="15">
        <v>63.6</v>
      </c>
      <c r="F327" s="15">
        <v>55.8</v>
      </c>
      <c r="G327" s="33"/>
      <c r="H327" s="15"/>
      <c r="I327" s="15"/>
      <c r="J327" s="15"/>
      <c r="K327" s="15"/>
      <c r="L327" s="15"/>
      <c r="M327" s="15"/>
      <c r="N327" s="15"/>
      <c r="O327" s="15"/>
      <c r="P327" s="15"/>
    </row>
    <row r="328" spans="2:16" x14ac:dyDescent="0.25">
      <c r="B328" s="15"/>
      <c r="C328" s="15"/>
      <c r="D328" s="15"/>
      <c r="E328" s="15"/>
      <c r="F328" s="15"/>
      <c r="G328" s="33"/>
      <c r="H328" s="15"/>
      <c r="I328" s="15"/>
      <c r="J328" s="15"/>
      <c r="K328" s="15"/>
      <c r="L328" s="15"/>
      <c r="M328" s="15"/>
      <c r="N328" s="15"/>
      <c r="O328" s="15"/>
      <c r="P328" s="15"/>
    </row>
    <row r="329" spans="2:16" x14ac:dyDescent="0.25">
      <c r="B329" t="s">
        <v>1351</v>
      </c>
      <c r="C329" s="15"/>
      <c r="D329" s="15"/>
      <c r="E329" s="15"/>
      <c r="F329" s="15"/>
      <c r="G329" s="33"/>
      <c r="H329" s="15"/>
      <c r="I329" s="15"/>
      <c r="J329" s="15"/>
      <c r="K329" s="15"/>
      <c r="L329" s="15"/>
      <c r="M329" s="15"/>
      <c r="N329" s="15"/>
      <c r="O329" s="15"/>
      <c r="P329" s="15"/>
    </row>
    <row r="330" spans="2:16" x14ac:dyDescent="0.25">
      <c r="B330" s="17" t="s">
        <v>299</v>
      </c>
      <c r="C330" s="71">
        <f>C324/C597</f>
        <v>0.2414726583649161</v>
      </c>
      <c r="D330" s="71">
        <f>D324/D597</f>
        <v>0.43801652892561982</v>
      </c>
      <c r="E330" s="71">
        <f>E324/E597</f>
        <v>0.56453201970443345</v>
      </c>
      <c r="F330" s="15"/>
      <c r="G330" s="33"/>
      <c r="H330" s="15"/>
      <c r="I330" s="15"/>
      <c r="J330" s="15"/>
      <c r="K330" s="15"/>
      <c r="L330" s="15"/>
      <c r="M330" s="15"/>
      <c r="N330" s="15"/>
      <c r="O330" s="15"/>
      <c r="P330" s="15"/>
    </row>
    <row r="331" spans="2:16" x14ac:dyDescent="0.25">
      <c r="B331" s="17" t="s">
        <v>306</v>
      </c>
      <c r="C331" s="71">
        <f>C325/C604</f>
        <v>0.91586538461538458</v>
      </c>
      <c r="D331" s="71">
        <f>D325/D604</f>
        <v>0.46778711484593832</v>
      </c>
      <c r="E331" s="71">
        <f>E325/E604</f>
        <v>0.5722543352601156</v>
      </c>
      <c r="F331" s="15"/>
      <c r="G331" s="33"/>
      <c r="H331" s="15"/>
      <c r="I331" s="15"/>
      <c r="J331" s="15"/>
      <c r="K331" s="15"/>
      <c r="L331" s="15"/>
      <c r="M331" s="15"/>
      <c r="N331" s="15"/>
      <c r="O331" s="15"/>
      <c r="P331" s="15"/>
    </row>
    <row r="332" spans="2:16" ht="15.75" thickBot="1" x14ac:dyDescent="0.3">
      <c r="B332" s="17" t="s">
        <v>300</v>
      </c>
      <c r="C332" s="18"/>
      <c r="D332" s="18"/>
      <c r="E332" s="18"/>
      <c r="F332" s="18"/>
      <c r="G332" s="18"/>
      <c r="H332" s="18"/>
      <c r="I332" s="18"/>
      <c r="J332" s="15"/>
      <c r="K332" s="15"/>
      <c r="L332" s="15"/>
      <c r="M332" s="15"/>
      <c r="N332" s="15"/>
      <c r="O332" s="15"/>
      <c r="P332" s="15"/>
    </row>
    <row r="333" spans="2:16" x14ac:dyDescent="0.25">
      <c r="B333" s="15" t="s">
        <v>115</v>
      </c>
      <c r="C333" s="72">
        <f>C327/(C597+C604+C611)</f>
        <v>0.31056760498384867</v>
      </c>
      <c r="D333" s="72">
        <f>D327/(D597+D604+D611)</f>
        <v>0.405980969642048</v>
      </c>
      <c r="E333" s="72">
        <f>E327/(E597+E604+E611)</f>
        <v>0.48923076923076925</v>
      </c>
      <c r="F333" s="15"/>
      <c r="G333" s="33"/>
      <c r="H333" s="15"/>
      <c r="I333" s="15"/>
      <c r="J333" s="15"/>
      <c r="K333" s="15"/>
      <c r="L333" s="15"/>
      <c r="M333" s="15"/>
      <c r="N333" s="15"/>
      <c r="O333" s="15"/>
      <c r="P333" s="15"/>
    </row>
    <row r="334" spans="2:16" x14ac:dyDescent="0.25">
      <c r="B334" s="15"/>
      <c r="C334" s="15"/>
      <c r="D334" s="15"/>
      <c r="E334" s="15"/>
      <c r="F334" s="15"/>
      <c r="G334" s="33"/>
      <c r="H334" s="15"/>
      <c r="I334" s="15"/>
      <c r="J334" s="15"/>
      <c r="K334" s="15"/>
      <c r="L334" s="15"/>
      <c r="M334" s="15"/>
      <c r="N334" s="15"/>
      <c r="O334" s="15"/>
      <c r="P334" s="15"/>
    </row>
    <row r="335" spans="2:16" x14ac:dyDescent="0.25">
      <c r="B335" s="15" t="s">
        <v>1562</v>
      </c>
      <c r="C335" s="15"/>
      <c r="D335" s="15"/>
      <c r="E335" s="15"/>
      <c r="F335" s="15"/>
      <c r="G335" s="33"/>
      <c r="H335" s="15"/>
      <c r="I335" s="15"/>
      <c r="J335" s="15"/>
      <c r="K335" s="15"/>
      <c r="L335" s="15"/>
      <c r="M335" s="15"/>
      <c r="N335" s="15"/>
      <c r="O335" s="15"/>
      <c r="P335" s="15"/>
    </row>
    <row r="336" spans="2:16" x14ac:dyDescent="0.25">
      <c r="B336" s="17" t="s">
        <v>1385</v>
      </c>
      <c r="C336" s="53">
        <f>(C353-D353)+(C354-D354)+(C355-D355)</f>
        <v>21.299999999999898</v>
      </c>
      <c r="D336" s="53">
        <f>(D353-E353)+(D354-E354)+(D355-E355)</f>
        <v>35.099999999999966</v>
      </c>
      <c r="E336" s="53">
        <f>(E353-F353)+(E354-F354)+(E355-F355)</f>
        <v>38.01600000000002</v>
      </c>
      <c r="F336" s="53">
        <f>(F353-G353)+(F354-G354)+(F355-G355)</f>
        <v>36.887000000000029</v>
      </c>
      <c r="G336" s="53">
        <f>(G353-H353)+(G354-H354)+(G355-H355)</f>
        <v>56.412999999999869</v>
      </c>
      <c r="H336" s="15"/>
      <c r="I336" s="15"/>
      <c r="J336" s="15"/>
      <c r="K336" s="15"/>
      <c r="L336" s="53"/>
      <c r="M336" s="15"/>
      <c r="N336" s="15"/>
      <c r="O336" s="15"/>
      <c r="P336" s="15"/>
    </row>
    <row r="337" spans="2:16" hidden="1" x14ac:dyDescent="0.25">
      <c r="B337" s="17" t="s">
        <v>1382</v>
      </c>
      <c r="C337" s="53">
        <f>(C1152-D1152)+(C1212-D1212)+(C1263-D1263)</f>
        <v>-7.7000000000000455</v>
      </c>
      <c r="D337" s="53"/>
      <c r="E337" s="53"/>
      <c r="F337" s="53"/>
      <c r="G337" s="53"/>
      <c r="H337" s="15"/>
      <c r="I337" s="15"/>
      <c r="J337" s="15"/>
      <c r="K337" s="15"/>
      <c r="L337" s="15"/>
      <c r="M337" s="15"/>
      <c r="N337" s="15"/>
      <c r="O337" s="15"/>
      <c r="P337" s="15"/>
    </row>
    <row r="338" spans="2:16" ht="15.75" thickBot="1" x14ac:dyDescent="0.3">
      <c r="B338" s="17" t="s">
        <v>1384</v>
      </c>
      <c r="C338" s="18">
        <f>C1148+C1193</f>
        <v>40.299999999999997</v>
      </c>
      <c r="D338" s="18">
        <f>D1148+D1193</f>
        <v>38.1</v>
      </c>
      <c r="E338" s="18">
        <f>E1148+E1193</f>
        <v>36.700000000000003</v>
      </c>
      <c r="F338" s="18">
        <f>F1148+F1193</f>
        <v>34.405999999999999</v>
      </c>
      <c r="G338" s="18">
        <f>G1148+G1193</f>
        <v>29.55</v>
      </c>
      <c r="H338" s="18"/>
      <c r="I338" s="18"/>
      <c r="J338" s="15"/>
      <c r="K338" s="15"/>
      <c r="L338" s="15"/>
      <c r="M338" s="15"/>
      <c r="N338" s="15"/>
      <c r="O338" s="15"/>
      <c r="P338" s="15"/>
    </row>
    <row r="339" spans="2:16" x14ac:dyDescent="0.25">
      <c r="B339" t="s">
        <v>1378</v>
      </c>
      <c r="C339" s="33">
        <f>C297*(1-C347)-C336+C289+C338</f>
        <v>97.27900000000011</v>
      </c>
      <c r="D339" s="33">
        <f>D297*(1-D347)-D336+D289+D338</f>
        <v>119.34000000000003</v>
      </c>
      <c r="E339" s="33">
        <f>E297*(1-E347)-E336+E289+E338</f>
        <v>78.264999999999986</v>
      </c>
      <c r="F339" s="33">
        <f>F297*(1-F347)-F336+F289+F338</f>
        <v>68.77619999999996</v>
      </c>
      <c r="G339" s="33">
        <f>G297*(1-G347)-G336+G289+G338</f>
        <v>50.766200000000147</v>
      </c>
      <c r="H339" s="33"/>
      <c r="I339" s="33"/>
      <c r="J339" s="15"/>
      <c r="K339" s="15"/>
      <c r="L339" s="15"/>
      <c r="M339" s="15"/>
      <c r="N339" s="15"/>
      <c r="O339" s="15"/>
      <c r="P339" s="15"/>
    </row>
    <row r="340" spans="2:16" x14ac:dyDescent="0.25">
      <c r="H340" s="53"/>
      <c r="I340" s="53"/>
      <c r="J340" s="15"/>
      <c r="K340" s="15"/>
      <c r="L340" s="53"/>
      <c r="M340" s="15"/>
      <c r="N340" s="15"/>
      <c r="O340" s="15"/>
      <c r="P340" s="15"/>
    </row>
    <row r="341" spans="2:16" x14ac:dyDescent="0.25">
      <c r="L341" s="15"/>
      <c r="M341" s="15"/>
      <c r="N341" s="15"/>
      <c r="O341" s="15"/>
    </row>
    <row r="342" spans="2:16" ht="15.75" thickBot="1" x14ac:dyDescent="0.3">
      <c r="B342" s="15" t="s">
        <v>614</v>
      </c>
      <c r="C342" s="13">
        <v>44280</v>
      </c>
      <c r="D342" s="13">
        <v>43919</v>
      </c>
      <c r="E342" s="13">
        <v>43552</v>
      </c>
      <c r="F342" s="13">
        <v>43188</v>
      </c>
      <c r="G342" s="13">
        <v>42824</v>
      </c>
      <c r="H342" s="13">
        <v>42460</v>
      </c>
      <c r="I342" s="13">
        <v>42089</v>
      </c>
      <c r="L342" s="13">
        <v>44476</v>
      </c>
      <c r="M342" s="13">
        <v>44112</v>
      </c>
      <c r="N342" s="13">
        <v>43748</v>
      </c>
      <c r="O342" s="13">
        <v>43384</v>
      </c>
    </row>
    <row r="343" spans="2:16" x14ac:dyDescent="0.25">
      <c r="B343" t="s">
        <v>532</v>
      </c>
      <c r="C343" s="32">
        <f t="shared" ref="C343:H343" si="48">C15+C780</f>
        <v>105.9</v>
      </c>
      <c r="D343" s="32">
        <f t="shared" si="48"/>
        <v>111.3</v>
      </c>
      <c r="E343" s="32">
        <f t="shared" si="48"/>
        <v>93.899999999999991</v>
      </c>
      <c r="F343" s="32">
        <f t="shared" si="48"/>
        <v>85.498999999999981</v>
      </c>
      <c r="G343" s="32">
        <f t="shared" si="48"/>
        <v>99.924000000000007</v>
      </c>
      <c r="H343" s="32">
        <f t="shared" si="48"/>
        <v>102.26299999999996</v>
      </c>
      <c r="I343" s="32"/>
      <c r="K343" s="41"/>
      <c r="L343" s="15"/>
      <c r="M343" s="15"/>
      <c r="N343" s="15"/>
      <c r="O343" s="15"/>
    </row>
    <row r="344" spans="2:16" x14ac:dyDescent="0.25">
      <c r="B344" t="s">
        <v>645</v>
      </c>
      <c r="C344" s="32">
        <f>-(C152+C147)</f>
        <v>79.399999999999991</v>
      </c>
      <c r="D344" s="32">
        <v>76.099999999999994</v>
      </c>
      <c r="E344">
        <v>77</v>
      </c>
      <c r="F344">
        <v>75.900000000000006</v>
      </c>
      <c r="G344">
        <v>73</v>
      </c>
      <c r="H344">
        <v>73</v>
      </c>
      <c r="K344" s="32"/>
      <c r="L344" s="15"/>
      <c r="M344" s="15"/>
      <c r="N344" s="15"/>
      <c r="O344" s="15"/>
    </row>
    <row r="345" spans="2:16" x14ac:dyDescent="0.25">
      <c r="B345" t="s">
        <v>268</v>
      </c>
      <c r="C345" s="32">
        <v>4.7</v>
      </c>
      <c r="D345" s="32">
        <v>4.2</v>
      </c>
      <c r="E345">
        <v>3.5</v>
      </c>
      <c r="F345">
        <v>3.9</v>
      </c>
      <c r="G345">
        <v>2.4</v>
      </c>
      <c r="H345">
        <v>3</v>
      </c>
      <c r="L345" s="15"/>
      <c r="M345" s="15"/>
      <c r="N345" s="15"/>
      <c r="O345" s="15"/>
    </row>
    <row r="346" spans="2:16" x14ac:dyDescent="0.25">
      <c r="B346" t="s">
        <v>115</v>
      </c>
      <c r="C346" s="32">
        <f>C343+C345</f>
        <v>110.60000000000001</v>
      </c>
      <c r="D346" s="32">
        <f>D343+D345</f>
        <v>115.5</v>
      </c>
      <c r="E346" s="32">
        <f>E343+E345+E344</f>
        <v>174.39999999999998</v>
      </c>
      <c r="F346" s="32">
        <f t="shared" ref="F346:H346" si="49">F343+F345+F344</f>
        <v>165.29899999999998</v>
      </c>
      <c r="G346" s="32">
        <f t="shared" si="49"/>
        <v>175.32400000000001</v>
      </c>
      <c r="H346" s="32">
        <f t="shared" si="49"/>
        <v>178.26299999999998</v>
      </c>
      <c r="L346" s="15"/>
      <c r="M346" s="15"/>
      <c r="N346" s="15"/>
      <c r="O346" s="15"/>
    </row>
    <row r="347" spans="2:16" x14ac:dyDescent="0.25">
      <c r="B347" t="s">
        <v>635</v>
      </c>
      <c r="C347" s="25">
        <v>0.19</v>
      </c>
      <c r="D347" s="26">
        <v>0.2</v>
      </c>
      <c r="E347" s="26">
        <v>0.21</v>
      </c>
      <c r="F347" s="26">
        <v>0.2</v>
      </c>
      <c r="G347" s="26">
        <v>0.2</v>
      </c>
      <c r="H347" s="26">
        <v>0.2</v>
      </c>
      <c r="L347" s="15"/>
      <c r="M347" s="15"/>
      <c r="N347" s="15"/>
      <c r="O347" s="15"/>
    </row>
    <row r="348" spans="2:16" x14ac:dyDescent="0.25">
      <c r="B348" t="s">
        <v>636</v>
      </c>
      <c r="C348" s="32">
        <f>C347*C346</f>
        <v>21.014000000000003</v>
      </c>
      <c r="D348" s="32">
        <f>D347*D346</f>
        <v>23.1</v>
      </c>
      <c r="E348" s="32">
        <f>E347*E346</f>
        <v>36.623999999999995</v>
      </c>
      <c r="F348" s="32">
        <f t="shared" ref="F348:H348" si="50">F347*F346</f>
        <v>33.059799999999996</v>
      </c>
      <c r="G348" s="32">
        <f t="shared" si="50"/>
        <v>35.064800000000005</v>
      </c>
      <c r="H348" s="32">
        <f t="shared" si="50"/>
        <v>35.6526</v>
      </c>
      <c r="L348" s="15"/>
      <c r="M348" s="15"/>
      <c r="N348" s="15"/>
      <c r="O348" s="15"/>
    </row>
    <row r="349" spans="2:16" x14ac:dyDescent="0.25">
      <c r="B349" t="s">
        <v>115</v>
      </c>
      <c r="C349" s="32">
        <f>SUM(C346-C348)</f>
        <v>89.586000000000013</v>
      </c>
      <c r="D349" s="32">
        <f>SUM(D346-D348)</f>
        <v>92.4</v>
      </c>
      <c r="E349" s="32">
        <f>SUM(E346-E348)</f>
        <v>137.77599999999998</v>
      </c>
      <c r="F349" s="32">
        <f t="shared" ref="F349:H349" si="51">SUM(F346-F348)</f>
        <v>132.23919999999998</v>
      </c>
      <c r="G349" s="32">
        <f t="shared" si="51"/>
        <v>140.25920000000002</v>
      </c>
      <c r="H349" s="32">
        <f t="shared" si="51"/>
        <v>142.61039999999997</v>
      </c>
      <c r="K349" s="41"/>
      <c r="L349" s="15"/>
      <c r="M349" s="15"/>
      <c r="N349" s="15"/>
      <c r="O349" s="15"/>
    </row>
    <row r="350" spans="2:16" ht="15.75" thickBot="1" x14ac:dyDescent="0.3">
      <c r="B350" t="s">
        <v>265</v>
      </c>
      <c r="C350" s="14">
        <f t="shared" ref="C350:H350" si="52">C104</f>
        <v>110.8</v>
      </c>
      <c r="D350" s="14">
        <f t="shared" si="52"/>
        <v>109.4</v>
      </c>
      <c r="E350" s="14">
        <f t="shared" si="52"/>
        <v>36.799999999999997</v>
      </c>
      <c r="F350" s="14">
        <f t="shared" si="52"/>
        <v>34.482999999999997</v>
      </c>
      <c r="G350" s="14">
        <f t="shared" si="52"/>
        <v>29.620999999999999</v>
      </c>
      <c r="H350" s="14">
        <f t="shared" si="52"/>
        <v>25.106000000000002</v>
      </c>
      <c r="I350" s="14"/>
      <c r="L350" s="15"/>
      <c r="M350" s="15"/>
      <c r="N350" s="15"/>
      <c r="O350" s="15"/>
    </row>
    <row r="351" spans="2:16" s="15" customFormat="1" x14ac:dyDescent="0.25">
      <c r="B351" s="15" t="s">
        <v>643</v>
      </c>
      <c r="C351" s="15">
        <f>SUM(C349:C350)</f>
        <v>200.38600000000002</v>
      </c>
      <c r="D351" s="15">
        <f>SUM(D349:D350)</f>
        <v>201.8</v>
      </c>
      <c r="E351" s="15">
        <f>SUM(E349:E350)</f>
        <v>174.57599999999996</v>
      </c>
      <c r="F351" s="15">
        <f t="shared" ref="F351:H351" si="53">SUM(F349:F350)</f>
        <v>166.72219999999999</v>
      </c>
      <c r="G351" s="15">
        <f t="shared" si="53"/>
        <v>169.88020000000003</v>
      </c>
      <c r="H351" s="15">
        <f t="shared" si="53"/>
        <v>167.71639999999996</v>
      </c>
    </row>
    <row r="352" spans="2:16" x14ac:dyDescent="0.25">
      <c r="L352" s="15"/>
      <c r="M352" s="15"/>
      <c r="N352" s="15"/>
      <c r="O352" s="15"/>
    </row>
    <row r="353" spans="2:15" x14ac:dyDescent="0.25">
      <c r="B353" t="s">
        <v>637</v>
      </c>
      <c r="C353" s="32">
        <f t="shared" ref="C353:H353" si="54">C1146</f>
        <v>310.10000000000002</v>
      </c>
      <c r="D353" s="32">
        <f t="shared" si="54"/>
        <v>306.2</v>
      </c>
      <c r="E353" s="32">
        <f t="shared" si="54"/>
        <v>284.8</v>
      </c>
      <c r="F353" s="32">
        <f t="shared" si="54"/>
        <v>263.10000000000002</v>
      </c>
      <c r="G353" s="32">
        <f t="shared" si="54"/>
        <v>234.86500000000004</v>
      </c>
      <c r="H353" s="32">
        <f t="shared" si="54"/>
        <v>198.92599999999999</v>
      </c>
    </row>
    <row r="354" spans="2:15" x14ac:dyDescent="0.25">
      <c r="B354" t="s">
        <v>638</v>
      </c>
      <c r="C354" s="32">
        <f>C1259</f>
        <v>508.2</v>
      </c>
      <c r="D354" s="32">
        <f>D1259</f>
        <v>497.90000000000003</v>
      </c>
      <c r="E354">
        <v>500</v>
      </c>
      <c r="F354">
        <v>500</v>
      </c>
      <c r="G354">
        <v>500</v>
      </c>
      <c r="H354">
        <v>500</v>
      </c>
    </row>
    <row r="355" spans="2:15" x14ac:dyDescent="0.25">
      <c r="B355" t="s">
        <v>1383</v>
      </c>
      <c r="C355" s="32">
        <f>C1205</f>
        <v>1053.3999999999999</v>
      </c>
      <c r="D355" s="32">
        <f t="shared" ref="D355:H355" si="55">D1205</f>
        <v>1046.3</v>
      </c>
      <c r="E355" s="32">
        <f t="shared" si="55"/>
        <v>1030.5</v>
      </c>
      <c r="F355" s="32">
        <f t="shared" si="55"/>
        <v>1014.184</v>
      </c>
      <c r="G355" s="32">
        <f t="shared" si="55"/>
        <v>1005.5319999999999</v>
      </c>
      <c r="H355" s="32">
        <f t="shared" si="55"/>
        <v>985.05800000000011</v>
      </c>
    </row>
    <row r="356" spans="2:15" x14ac:dyDescent="0.25">
      <c r="B356" t="s">
        <v>640</v>
      </c>
      <c r="C356">
        <v>-906.44500000000005</v>
      </c>
      <c r="D356">
        <v>-906.44500000000005</v>
      </c>
      <c r="E356">
        <v>-906.44500000000005</v>
      </c>
      <c r="F356">
        <v>-906.44500000000005</v>
      </c>
      <c r="G356">
        <v>-906.44500000000005</v>
      </c>
      <c r="H356">
        <v>-906.44500000000005</v>
      </c>
    </row>
    <row r="357" spans="2:15" x14ac:dyDescent="0.25">
      <c r="B357" t="s">
        <v>51</v>
      </c>
      <c r="C357">
        <f>SUM(C983+C986)</f>
        <v>1.3</v>
      </c>
      <c r="D357">
        <f t="shared" ref="D357:H357" si="56">SUM(D983+D986)</f>
        <v>1.5</v>
      </c>
      <c r="E357">
        <f t="shared" si="56"/>
        <v>0.51700000000000002</v>
      </c>
      <c r="F357">
        <f t="shared" si="56"/>
        <v>0.51500000000000001</v>
      </c>
      <c r="G357">
        <f t="shared" si="56"/>
        <v>0.88700000000000001</v>
      </c>
      <c r="H357">
        <f t="shared" si="56"/>
        <v>0.29699999999999999</v>
      </c>
    </row>
    <row r="358" spans="2:15" x14ac:dyDescent="0.25">
      <c r="B358" t="s">
        <v>646</v>
      </c>
      <c r="D358" s="32">
        <v>608.79999999999995</v>
      </c>
      <c r="E358">
        <v>615.79999999999995</v>
      </c>
      <c r="F358">
        <v>607.4</v>
      </c>
      <c r="G358">
        <v>584</v>
      </c>
      <c r="H358">
        <v>563.20000000000005</v>
      </c>
    </row>
    <row r="359" spans="2:15" ht="15.75" thickBot="1" x14ac:dyDescent="0.3">
      <c r="B359" t="s">
        <v>641</v>
      </c>
      <c r="C359" s="14">
        <f>C290</f>
        <v>-82.40000000000002</v>
      </c>
      <c r="D359" s="14">
        <f t="shared" ref="D359:H359" si="57">D290</f>
        <v>-81.8</v>
      </c>
      <c r="E359" s="14">
        <f t="shared" si="57"/>
        <v>-64.100000000000009</v>
      </c>
      <c r="F359" s="14">
        <f t="shared" si="57"/>
        <v>-39.314</v>
      </c>
      <c r="G359" s="14">
        <f t="shared" si="57"/>
        <v>-40.391999999999996</v>
      </c>
      <c r="H359" s="14">
        <f t="shared" si="57"/>
        <v>-49.072000000000003</v>
      </c>
      <c r="I359" s="14"/>
    </row>
    <row r="360" spans="2:15" s="15" customFormat="1" x14ac:dyDescent="0.25">
      <c r="B360" s="15" t="s">
        <v>642</v>
      </c>
      <c r="C360" s="33">
        <f>SUM(C353:C359)</f>
        <v>884.15499999999975</v>
      </c>
      <c r="D360" s="33">
        <f>SUM(D359+D356+D355+D354+D353)</f>
        <v>862.15499999999997</v>
      </c>
      <c r="E360" s="33">
        <f>SUM(E359+E356+E355+E354+E353)</f>
        <v>844.75499999999988</v>
      </c>
      <c r="F360" s="33">
        <f>SUM(F359+F356+F355+F354+F353)</f>
        <v>831.52499999999998</v>
      </c>
      <c r="G360" s="33">
        <f>SUM(G359+G356+G355+G354+G353)</f>
        <v>793.56</v>
      </c>
      <c r="H360" s="33">
        <f>SUM(H359+H356+H355+H354+H353)</f>
        <v>728.4670000000001</v>
      </c>
      <c r="I360" s="33"/>
    </row>
    <row r="361" spans="2:15" hidden="1" x14ac:dyDescent="0.25">
      <c r="B361" t="s">
        <v>51</v>
      </c>
      <c r="C361">
        <v>12.6</v>
      </c>
      <c r="D361">
        <v>14.8</v>
      </c>
      <c r="E361">
        <v>13.8</v>
      </c>
    </row>
    <row r="362" spans="2:15" ht="15.75" thickBot="1" x14ac:dyDescent="0.3">
      <c r="C362" s="14"/>
      <c r="D362" s="14"/>
      <c r="E362" s="14"/>
      <c r="F362" s="14"/>
      <c r="G362" s="14"/>
      <c r="H362" s="14"/>
      <c r="I362" s="14"/>
    </row>
    <row r="363" spans="2:15" x14ac:dyDescent="0.25">
      <c r="B363" s="15" t="s">
        <v>1522</v>
      </c>
      <c r="C363" s="65">
        <f t="shared" ref="C363:H363" si="58">SUM(C351/C360)</f>
        <v>0.22664125634080007</v>
      </c>
      <c r="D363" s="65">
        <f t="shared" si="58"/>
        <v>0.23406464034889321</v>
      </c>
      <c r="E363" s="65">
        <f t="shared" si="58"/>
        <v>0.20665873537297796</v>
      </c>
      <c r="F363" s="65">
        <f t="shared" si="58"/>
        <v>0.2005017287513905</v>
      </c>
      <c r="G363" s="65">
        <f t="shared" si="58"/>
        <v>0.21407354201320636</v>
      </c>
      <c r="H363" s="65">
        <f t="shared" si="58"/>
        <v>0.23023198030933445</v>
      </c>
      <c r="J363" s="25"/>
    </row>
    <row r="364" spans="2:15" x14ac:dyDescent="0.25">
      <c r="B364" s="15" t="s">
        <v>609</v>
      </c>
      <c r="C364" s="65">
        <v>0.22500000000000001</v>
      </c>
      <c r="D364" s="65">
        <v>0.23300000000000001</v>
      </c>
      <c r="E364" s="65">
        <v>0.19400000000000001</v>
      </c>
      <c r="F364" s="65">
        <v>0.189</v>
      </c>
      <c r="G364" s="65">
        <v>0.20599999999999999</v>
      </c>
      <c r="H364" s="65">
        <v>0.19400000000000001</v>
      </c>
    </row>
    <row r="365" spans="2:15" x14ac:dyDescent="0.25">
      <c r="B365" s="15"/>
      <c r="C365" s="65"/>
      <c r="D365" s="65"/>
      <c r="E365" s="65"/>
      <c r="F365" s="65"/>
      <c r="G365" s="65"/>
      <c r="H365" s="65"/>
    </row>
    <row r="366" spans="2:15" x14ac:dyDescent="0.25">
      <c r="B366" t="s">
        <v>705</v>
      </c>
      <c r="C366" s="40">
        <f t="shared" ref="C366:H366" si="59">(C213+C217)/D432</f>
        <v>2.174557522123894</v>
      </c>
      <c r="D366" s="40">
        <f t="shared" si="59"/>
        <v>1.9706401766004416</v>
      </c>
      <c r="E366" s="40">
        <f t="shared" si="59"/>
        <v>1.7973451327433627</v>
      </c>
      <c r="F366" s="40">
        <f t="shared" si="59"/>
        <v>1.7084821428571428</v>
      </c>
      <c r="G366" s="40">
        <f t="shared" si="59"/>
        <v>1.6513824884792627</v>
      </c>
      <c r="H366" s="40">
        <f t="shared" si="59"/>
        <v>1.662291169451074</v>
      </c>
      <c r="L366" s="40">
        <f>(L213+L217)/M432</f>
        <v>1.3121412803532009</v>
      </c>
      <c r="M366" s="40">
        <f>(M213+M217)/N432</f>
        <v>1.0878048780487803</v>
      </c>
      <c r="N366" s="40">
        <f>(N213+N217)/O432</f>
        <v>1.0066371681415929</v>
      </c>
      <c r="O366" s="40">
        <f>(O213+O217)/P432</f>
        <v>0.93505099778270517</v>
      </c>
    </row>
    <row r="367" spans="2:15" x14ac:dyDescent="0.25">
      <c r="B367" t="s">
        <v>1374</v>
      </c>
      <c r="C367" s="43">
        <f>(C213+C215+C217)*1000/C804</f>
        <v>155.84276537167329</v>
      </c>
      <c r="D367" s="43">
        <f>(D213+D215+D217)*1000/D804</f>
        <v>145.77114427860695</v>
      </c>
      <c r="E367" s="43">
        <f>(E213+E215+E217)*1000/E804</f>
        <v>133.53124999999997</v>
      </c>
      <c r="F367" s="43">
        <f>(F213+F215+F217)*1000/F804</f>
        <v>131.04851839791598</v>
      </c>
    </row>
    <row r="368" spans="2:15" x14ac:dyDescent="0.25">
      <c r="B368" t="s">
        <v>1375</v>
      </c>
      <c r="C368">
        <v>196.7</v>
      </c>
      <c r="D368" s="32">
        <v>187</v>
      </c>
      <c r="E368" s="32">
        <v>174.1</v>
      </c>
      <c r="F368" s="32">
        <v>167.5</v>
      </c>
    </row>
    <row r="369" spans="2:19" x14ac:dyDescent="0.25">
      <c r="B369" t="s">
        <v>1376</v>
      </c>
      <c r="C369" s="24">
        <f>(C222*1000)/C368</f>
        <v>1820.5388917132691</v>
      </c>
      <c r="D369" s="24">
        <f>(D222*1000)/D368</f>
        <v>1763.1016042780748</v>
      </c>
      <c r="E369" s="24">
        <f>(E222*1000)/E368</f>
        <v>1779.4371051120047</v>
      </c>
      <c r="F369" s="24">
        <f>(F222*1000)/F368</f>
        <v>1849.5522388059701</v>
      </c>
      <c r="G369" s="32"/>
      <c r="H369" s="32"/>
      <c r="I369" s="32"/>
      <c r="J369" s="32"/>
    </row>
    <row r="371" spans="2:19" s="17" customFormat="1" x14ac:dyDescent="0.25">
      <c r="B371"/>
      <c r="C371"/>
      <c r="D371"/>
      <c r="E371"/>
      <c r="F371"/>
      <c r="G371"/>
      <c r="H371"/>
      <c r="I371"/>
      <c r="J371"/>
      <c r="K371"/>
      <c r="L371"/>
      <c r="M371"/>
      <c r="N371"/>
      <c r="O371"/>
    </row>
    <row r="373" spans="2:19" x14ac:dyDescent="0.25">
      <c r="B373" s="106" t="s">
        <v>448</v>
      </c>
      <c r="C373" s="106"/>
      <c r="D373" s="106"/>
      <c r="E373" s="106"/>
      <c r="F373" s="106"/>
      <c r="G373" s="106"/>
      <c r="H373" s="106"/>
      <c r="I373" s="106"/>
      <c r="J373" s="106"/>
      <c r="K373" s="106"/>
      <c r="L373" s="106"/>
      <c r="M373" s="106"/>
      <c r="N373" s="106"/>
      <c r="O373" s="106"/>
      <c r="P373" s="106"/>
    </row>
    <row r="374" spans="2:19" x14ac:dyDescent="0.25">
      <c r="S374" s="26"/>
    </row>
    <row r="375" spans="2:19" ht="15.75" thickBot="1" x14ac:dyDescent="0.3">
      <c r="C375" s="13">
        <v>44280</v>
      </c>
      <c r="D375" s="13">
        <v>43919</v>
      </c>
      <c r="E375" s="13">
        <v>43552</v>
      </c>
      <c r="F375" s="13">
        <v>43188</v>
      </c>
      <c r="G375" s="13">
        <v>42824</v>
      </c>
      <c r="H375" s="13">
        <v>42460</v>
      </c>
      <c r="I375" s="13">
        <v>42089</v>
      </c>
      <c r="J375" s="52"/>
      <c r="L375" s="13">
        <v>44476</v>
      </c>
      <c r="M375" s="13">
        <v>44112</v>
      </c>
      <c r="N375" s="13">
        <v>43748</v>
      </c>
      <c r="O375" s="13">
        <v>43384</v>
      </c>
      <c r="S375" s="26"/>
    </row>
    <row r="376" spans="2:19" x14ac:dyDescent="0.25">
      <c r="B376" t="s">
        <v>715</v>
      </c>
      <c r="C376" s="12" t="s">
        <v>721</v>
      </c>
      <c r="D376" s="12" t="s">
        <v>721</v>
      </c>
      <c r="E376" s="12"/>
      <c r="F376" s="12"/>
      <c r="G376" s="12"/>
      <c r="H376" s="12"/>
      <c r="I376" s="12"/>
      <c r="J376" s="12"/>
      <c r="K376" s="12"/>
      <c r="L376" s="12"/>
      <c r="M376" s="12"/>
      <c r="N376" s="12"/>
      <c r="O376" s="12"/>
      <c r="S376" s="26"/>
    </row>
    <row r="377" spans="2:19" x14ac:dyDescent="0.25">
      <c r="B377" t="s">
        <v>716</v>
      </c>
      <c r="C377" s="12" t="s">
        <v>730</v>
      </c>
      <c r="D377" s="12" t="s">
        <v>722</v>
      </c>
      <c r="E377" s="12"/>
      <c r="F377" s="12"/>
      <c r="G377" s="12"/>
      <c r="H377" s="12"/>
      <c r="I377" s="12"/>
      <c r="J377" s="12"/>
      <c r="K377" s="12"/>
      <c r="L377" s="12"/>
      <c r="M377" s="12"/>
      <c r="N377" s="12"/>
      <c r="O377" s="12"/>
      <c r="S377" s="26"/>
    </row>
    <row r="378" spans="2:19" x14ac:dyDescent="0.25">
      <c r="B378" t="s">
        <v>717</v>
      </c>
      <c r="C378" s="74">
        <v>54</v>
      </c>
      <c r="D378" s="74">
        <v>45</v>
      </c>
      <c r="E378" s="12"/>
      <c r="F378" s="12"/>
      <c r="G378" s="12"/>
      <c r="H378" s="12"/>
      <c r="I378" s="12"/>
      <c r="J378" s="12"/>
      <c r="K378" s="12"/>
      <c r="L378" s="12"/>
      <c r="M378" s="12"/>
      <c r="N378" s="12"/>
      <c r="O378" s="12"/>
      <c r="S378" s="25"/>
    </row>
    <row r="379" spans="2:19" x14ac:dyDescent="0.25">
      <c r="B379" t="s">
        <v>718</v>
      </c>
      <c r="C379" s="12"/>
      <c r="D379" s="75" t="s">
        <v>723</v>
      </c>
      <c r="E379" s="12"/>
      <c r="F379" s="12"/>
      <c r="G379" s="12"/>
      <c r="H379" s="12"/>
      <c r="I379" s="12"/>
      <c r="J379" s="12"/>
      <c r="K379" s="12"/>
      <c r="L379" s="12"/>
      <c r="M379" s="12"/>
      <c r="N379" s="12"/>
      <c r="O379" s="12"/>
      <c r="S379" s="25"/>
    </row>
    <row r="380" spans="2:19" x14ac:dyDescent="0.25">
      <c r="B380" t="s">
        <v>719</v>
      </c>
      <c r="C380" s="12"/>
      <c r="D380" s="12" t="s">
        <v>724</v>
      </c>
      <c r="E380" s="12"/>
      <c r="F380" s="12"/>
      <c r="G380" s="12"/>
      <c r="H380" s="12"/>
      <c r="I380" s="12"/>
      <c r="J380" s="12"/>
      <c r="K380" s="12"/>
      <c r="L380" s="12"/>
      <c r="M380" s="12"/>
      <c r="N380" s="12"/>
      <c r="O380" s="12"/>
      <c r="S380" s="25"/>
    </row>
    <row r="381" spans="2:19" x14ac:dyDescent="0.25">
      <c r="B381" t="s">
        <v>720</v>
      </c>
      <c r="C381" s="12"/>
      <c r="D381" s="12" t="s">
        <v>725</v>
      </c>
      <c r="E381" s="12"/>
      <c r="F381" s="12"/>
      <c r="G381" s="12"/>
      <c r="H381" s="12"/>
      <c r="I381" s="12"/>
      <c r="J381" s="12"/>
      <c r="K381" s="12"/>
      <c r="L381" s="12"/>
      <c r="M381" s="12"/>
      <c r="N381" s="12"/>
      <c r="O381" s="12"/>
      <c r="S381" s="26"/>
    </row>
    <row r="382" spans="2:19" x14ac:dyDescent="0.25">
      <c r="C382" s="12"/>
      <c r="D382" s="12"/>
      <c r="E382" s="12"/>
      <c r="F382" s="12"/>
      <c r="G382" s="12"/>
      <c r="H382" s="12"/>
      <c r="I382" s="12"/>
      <c r="J382" s="12"/>
      <c r="K382" s="12"/>
      <c r="L382" s="12"/>
      <c r="M382" s="12"/>
      <c r="N382" s="12"/>
      <c r="O382" s="12"/>
      <c r="S382" s="25"/>
    </row>
    <row r="383" spans="2:19" ht="15.75" thickBot="1" x14ac:dyDescent="0.3">
      <c r="B383" s="15" t="s">
        <v>1429</v>
      </c>
      <c r="C383" s="95">
        <v>2021</v>
      </c>
      <c r="D383" s="95">
        <v>2020</v>
      </c>
      <c r="E383" s="52"/>
      <c r="F383" s="52"/>
      <c r="G383" s="52"/>
      <c r="H383" s="52"/>
      <c r="I383" s="52"/>
      <c r="J383" s="52"/>
      <c r="L383" s="52"/>
      <c r="M383" s="52"/>
      <c r="N383" s="52"/>
      <c r="O383" s="52"/>
      <c r="S383" s="25"/>
    </row>
    <row r="384" spans="2:19" x14ac:dyDescent="0.25">
      <c r="B384" t="s">
        <v>1407</v>
      </c>
      <c r="C384" s="12" t="s">
        <v>1396</v>
      </c>
      <c r="D384" s="12" t="s">
        <v>1423</v>
      </c>
      <c r="E384" s="12"/>
      <c r="F384" s="52"/>
      <c r="G384" s="52"/>
      <c r="H384" s="52"/>
      <c r="I384" s="52"/>
      <c r="J384" s="52"/>
      <c r="L384" s="52"/>
      <c r="M384" s="52"/>
      <c r="N384" s="52"/>
      <c r="O384" s="52"/>
      <c r="S384" s="25"/>
    </row>
    <row r="385" spans="2:19" x14ac:dyDescent="0.25">
      <c r="B385" t="s">
        <v>735</v>
      </c>
      <c r="C385" s="12" t="s">
        <v>1395</v>
      </c>
      <c r="E385" s="52"/>
      <c r="F385" s="52"/>
      <c r="G385" s="52"/>
      <c r="H385" s="52"/>
      <c r="I385" s="52"/>
      <c r="J385" s="52"/>
      <c r="L385" s="52"/>
      <c r="M385" s="52"/>
      <c r="N385" s="52"/>
      <c r="O385" s="52"/>
      <c r="S385" s="25"/>
    </row>
    <row r="386" spans="2:19" x14ac:dyDescent="0.25">
      <c r="B386" t="s">
        <v>1392</v>
      </c>
      <c r="C386" s="12" t="s">
        <v>1399</v>
      </c>
      <c r="E386" s="52"/>
      <c r="F386" s="52"/>
      <c r="G386" s="52"/>
      <c r="H386" s="52"/>
      <c r="I386" s="52"/>
      <c r="J386" s="52"/>
      <c r="L386" s="52"/>
      <c r="M386" s="52"/>
      <c r="N386" s="52"/>
      <c r="O386" s="52"/>
      <c r="S386" s="25"/>
    </row>
    <row r="387" spans="2:19" x14ac:dyDescent="0.25">
      <c r="B387" t="s">
        <v>1401</v>
      </c>
      <c r="C387" s="12" t="s">
        <v>1400</v>
      </c>
      <c r="E387" s="52"/>
      <c r="F387" s="52"/>
      <c r="G387" s="52"/>
      <c r="H387" s="52"/>
      <c r="I387" s="52"/>
      <c r="J387" s="52"/>
      <c r="L387" s="52"/>
      <c r="M387" s="52"/>
      <c r="N387" s="52"/>
      <c r="O387" s="52"/>
      <c r="S387" s="25"/>
    </row>
    <row r="388" spans="2:19" x14ac:dyDescent="0.25">
      <c r="B388" t="s">
        <v>1402</v>
      </c>
      <c r="C388" s="12" t="s">
        <v>1403</v>
      </c>
      <c r="E388" s="52"/>
      <c r="F388" s="52"/>
      <c r="G388" s="52"/>
      <c r="H388" s="52"/>
      <c r="I388" s="52"/>
      <c r="J388" s="52"/>
      <c r="L388" s="52"/>
      <c r="M388" s="52"/>
      <c r="N388" s="52"/>
      <c r="O388" s="52"/>
      <c r="S388" s="25"/>
    </row>
    <row r="389" spans="2:19" x14ac:dyDescent="0.25">
      <c r="B389" t="s">
        <v>1404</v>
      </c>
      <c r="C389" s="12" t="s">
        <v>738</v>
      </c>
      <c r="E389" s="52"/>
      <c r="F389" s="52"/>
      <c r="G389" s="52"/>
      <c r="H389" s="52"/>
      <c r="I389" s="52"/>
      <c r="J389" s="52"/>
      <c r="L389" s="52"/>
      <c r="M389" s="52"/>
      <c r="N389" s="52"/>
      <c r="O389" s="52"/>
      <c r="S389" s="25"/>
    </row>
    <row r="390" spans="2:19" x14ac:dyDescent="0.25">
      <c r="B390" t="s">
        <v>1405</v>
      </c>
      <c r="C390" s="12" t="s">
        <v>1406</v>
      </c>
      <c r="E390" s="52"/>
      <c r="F390" s="52"/>
      <c r="G390" s="52"/>
      <c r="H390" s="52"/>
      <c r="I390" s="52"/>
      <c r="J390" s="52"/>
      <c r="L390" s="52"/>
      <c r="M390" s="52"/>
      <c r="N390" s="52"/>
      <c r="O390" s="52"/>
      <c r="S390" s="25"/>
    </row>
    <row r="391" spans="2:19" x14ac:dyDescent="0.25">
      <c r="B391" t="s">
        <v>736</v>
      </c>
      <c r="C391" s="12" t="s">
        <v>1394</v>
      </c>
      <c r="D391" s="12"/>
      <c r="E391" s="52"/>
      <c r="F391" s="52"/>
      <c r="G391" s="52"/>
      <c r="H391" s="52"/>
      <c r="I391" s="52"/>
      <c r="J391" s="52"/>
      <c r="L391" s="52"/>
      <c r="M391" s="52"/>
      <c r="N391" s="52"/>
      <c r="O391" s="52"/>
    </row>
    <row r="392" spans="2:19" x14ac:dyDescent="0.25">
      <c r="B392" t="s">
        <v>1408</v>
      </c>
      <c r="C392" s="12" t="s">
        <v>1409</v>
      </c>
      <c r="D392" s="12"/>
      <c r="E392" s="52"/>
      <c r="F392" s="52"/>
      <c r="G392" s="52"/>
      <c r="H392" s="52"/>
      <c r="I392" s="52"/>
      <c r="J392" s="52"/>
      <c r="L392" s="52"/>
      <c r="M392" s="52"/>
      <c r="N392" s="52"/>
      <c r="O392" s="52"/>
    </row>
    <row r="393" spans="2:19" x14ac:dyDescent="0.25">
      <c r="D393" s="12"/>
      <c r="E393" s="52"/>
      <c r="F393" s="52"/>
      <c r="G393" s="52"/>
      <c r="H393" s="52"/>
      <c r="I393" s="52"/>
      <c r="J393" s="52"/>
      <c r="L393" s="52"/>
      <c r="M393" s="52"/>
      <c r="N393" s="52"/>
      <c r="O393" s="52"/>
    </row>
    <row r="394" spans="2:19" ht="15.75" thickBot="1" x14ac:dyDescent="0.3">
      <c r="B394" s="15" t="s">
        <v>737</v>
      </c>
      <c r="C394" s="95">
        <v>2021</v>
      </c>
      <c r="D394" s="95">
        <v>2020</v>
      </c>
      <c r="E394" s="95">
        <v>2019</v>
      </c>
      <c r="F394" s="95">
        <v>2018</v>
      </c>
      <c r="G394" s="95">
        <v>2017</v>
      </c>
      <c r="H394" s="95">
        <v>2016</v>
      </c>
      <c r="I394" s="52"/>
      <c r="J394" s="52"/>
      <c r="L394" s="52"/>
      <c r="M394" s="52"/>
      <c r="N394" s="52"/>
      <c r="O394" s="52"/>
    </row>
    <row r="395" spans="2:19" x14ac:dyDescent="0.25">
      <c r="B395" t="s">
        <v>663</v>
      </c>
      <c r="C395" s="41">
        <v>67.350695000000002</v>
      </c>
      <c r="D395" s="41">
        <v>67.081000000000003</v>
      </c>
      <c r="E395" s="41">
        <v>66.796800000000005</v>
      </c>
      <c r="F395" s="41">
        <v>66.435599999999994</v>
      </c>
      <c r="G395" s="41">
        <v>66.040199999999999</v>
      </c>
      <c r="H395" s="41">
        <v>65.648099999999999</v>
      </c>
      <c r="I395" s="52"/>
      <c r="J395" s="52"/>
      <c r="L395" s="52"/>
      <c r="M395" s="52"/>
      <c r="N395" s="52"/>
      <c r="O395" s="52"/>
      <c r="Q395" s="56"/>
    </row>
    <row r="396" spans="2:19" x14ac:dyDescent="0.25">
      <c r="B396" t="s">
        <v>1424</v>
      </c>
      <c r="C396" s="62">
        <f>SUM(C395-D395)/D395</f>
        <v>4.0204379779669158E-3</v>
      </c>
      <c r="D396" s="62">
        <f>SUM(D395-E395)/E395</f>
        <v>4.2546948356807276E-3</v>
      </c>
      <c r="E396" s="62">
        <f>SUM(E395-F395)/F395</f>
        <v>5.436844101656505E-3</v>
      </c>
      <c r="F396" s="62">
        <f>SUM(F395-G395)/G395</f>
        <v>5.9872623038693873E-3</v>
      </c>
      <c r="G396" s="62">
        <f>SUM(G395-H395)/H395</f>
        <v>5.9727547331910481E-3</v>
      </c>
      <c r="H396" s="62"/>
      <c r="I396" s="52"/>
      <c r="J396" s="52"/>
      <c r="L396" s="52"/>
      <c r="M396" s="52"/>
      <c r="N396" s="52"/>
      <c r="O396" s="52"/>
      <c r="Q396" s="56"/>
    </row>
    <row r="397" spans="2:19" x14ac:dyDescent="0.25">
      <c r="B397" t="s">
        <v>1389</v>
      </c>
      <c r="C397" s="56">
        <v>28081</v>
      </c>
      <c r="D397" s="56">
        <v>27921</v>
      </c>
      <c r="E397" s="56">
        <v>27824</v>
      </c>
      <c r="F397" s="56">
        <v>27576</v>
      </c>
      <c r="G397" s="56">
        <v>27226</v>
      </c>
      <c r="H397" s="56">
        <v>27109</v>
      </c>
      <c r="I397" s="52"/>
      <c r="J397" s="52"/>
      <c r="L397" s="52"/>
      <c r="M397" s="52"/>
      <c r="N397" s="52"/>
      <c r="O397" s="52"/>
    </row>
    <row r="398" spans="2:19" x14ac:dyDescent="0.25">
      <c r="B398" t="s">
        <v>1425</v>
      </c>
      <c r="C398" s="62">
        <f>SUM(C397-D397)/D397</f>
        <v>5.7304537803087282E-3</v>
      </c>
      <c r="D398" s="62">
        <f>SUM(D397-E397)/E397</f>
        <v>3.4861989649223693E-3</v>
      </c>
      <c r="E398" s="62">
        <f>SUM(E397-F397)/F397</f>
        <v>8.9933275311865398E-3</v>
      </c>
      <c r="F398" s="62">
        <f>SUM(F397-G397)/G397</f>
        <v>1.2855358848159847E-2</v>
      </c>
      <c r="G398" s="62">
        <f>SUM(G397-H397)/H397</f>
        <v>4.3159098454387838E-3</v>
      </c>
      <c r="H398" s="79"/>
      <c r="I398" s="52"/>
      <c r="J398" s="52"/>
      <c r="L398" s="52"/>
      <c r="N398" s="52"/>
      <c r="O398" s="52"/>
    </row>
    <row r="399" spans="2:19" x14ac:dyDescent="0.25">
      <c r="B399" t="s">
        <v>1549</v>
      </c>
      <c r="C399" s="94" t="s">
        <v>1426</v>
      </c>
      <c r="D399" s="93"/>
      <c r="E399" s="93"/>
      <c r="F399" s="93"/>
      <c r="G399" s="93"/>
      <c r="H399" s="56"/>
      <c r="I399" s="52"/>
      <c r="J399" s="52"/>
      <c r="L399" s="52"/>
      <c r="M399" s="52"/>
      <c r="N399" s="52"/>
      <c r="O399" s="52"/>
    </row>
    <row r="400" spans="2:19" x14ac:dyDescent="0.25">
      <c r="C400" s="56"/>
      <c r="D400" s="56"/>
      <c r="E400" s="56"/>
      <c r="F400" s="56"/>
      <c r="G400" s="56"/>
      <c r="H400" s="52"/>
      <c r="I400" s="52"/>
      <c r="J400" s="52"/>
      <c r="L400" s="52"/>
      <c r="M400" s="52"/>
      <c r="N400" s="52"/>
      <c r="O400" s="52"/>
    </row>
    <row r="401" spans="2:15" x14ac:dyDescent="0.25">
      <c r="B401" s="15" t="s">
        <v>1428</v>
      </c>
      <c r="C401" s="56"/>
      <c r="D401" s="56"/>
      <c r="E401" s="56"/>
      <c r="F401" s="56"/>
      <c r="G401" s="56"/>
      <c r="H401" s="52"/>
      <c r="I401" s="52"/>
      <c r="J401" s="52"/>
      <c r="L401" s="52"/>
      <c r="M401" s="52"/>
      <c r="N401" s="52"/>
      <c r="O401" s="52"/>
    </row>
    <row r="402" spans="2:15" x14ac:dyDescent="0.25">
      <c r="B402" t="s">
        <v>664</v>
      </c>
      <c r="C402" s="12" t="s">
        <v>726</v>
      </c>
      <c r="D402" s="56"/>
      <c r="E402" s="56"/>
      <c r="F402" s="56"/>
      <c r="G402" s="56"/>
      <c r="H402" s="52"/>
      <c r="I402" s="52"/>
      <c r="J402" s="52"/>
      <c r="L402" s="52"/>
      <c r="M402" s="52"/>
      <c r="N402" s="52"/>
      <c r="O402" s="52"/>
    </row>
    <row r="403" spans="2:15" x14ac:dyDescent="0.25">
      <c r="B403" t="s">
        <v>1411</v>
      </c>
      <c r="C403" s="74">
        <v>950</v>
      </c>
      <c r="D403" s="12"/>
      <c r="E403" s="12"/>
      <c r="F403" s="12"/>
      <c r="G403" s="12"/>
      <c r="H403" s="52"/>
      <c r="I403" s="52"/>
      <c r="J403" s="52"/>
      <c r="L403" s="52"/>
      <c r="M403" s="52"/>
      <c r="N403" s="52"/>
      <c r="O403" s="52"/>
    </row>
    <row r="404" spans="2:15" x14ac:dyDescent="0.25">
      <c r="B404" t="s">
        <v>1397</v>
      </c>
      <c r="C404" s="74">
        <f>SUM(950*13)</f>
        <v>12350</v>
      </c>
      <c r="D404" s="12"/>
      <c r="E404" s="12"/>
      <c r="F404" s="12"/>
      <c r="G404" s="12"/>
      <c r="H404" s="52"/>
      <c r="I404" s="52"/>
      <c r="J404" s="52"/>
      <c r="L404" s="52"/>
      <c r="M404" s="52"/>
      <c r="N404" s="52"/>
      <c r="O404" s="52"/>
    </row>
    <row r="405" spans="2:15" x14ac:dyDescent="0.25">
      <c r="B405" t="s">
        <v>1391</v>
      </c>
      <c r="C405" s="74" t="s">
        <v>1390</v>
      </c>
      <c r="D405" s="12"/>
      <c r="E405" s="12"/>
      <c r="F405" s="12"/>
      <c r="G405" s="12"/>
      <c r="H405" s="52"/>
      <c r="I405" s="52"/>
      <c r="J405" s="52"/>
      <c r="L405" s="52"/>
      <c r="M405" s="52"/>
      <c r="N405" s="52"/>
      <c r="O405" s="52"/>
    </row>
    <row r="406" spans="2:15" x14ac:dyDescent="0.25">
      <c r="B406" t="s">
        <v>1419</v>
      </c>
      <c r="C406" s="74" t="s">
        <v>1410</v>
      </c>
      <c r="D406" s="12"/>
      <c r="E406" s="12"/>
      <c r="F406" s="12"/>
      <c r="G406" s="12"/>
      <c r="H406" s="52"/>
      <c r="I406" s="52"/>
      <c r="J406" s="52"/>
      <c r="L406" s="52"/>
      <c r="M406" s="52"/>
      <c r="N406" s="52"/>
      <c r="O406" s="52"/>
    </row>
    <row r="407" spans="2:15" x14ac:dyDescent="0.25">
      <c r="B407" t="s">
        <v>1413</v>
      </c>
      <c r="C407" s="74" t="s">
        <v>1415</v>
      </c>
      <c r="D407" s="12"/>
      <c r="E407" s="12"/>
      <c r="F407" s="12"/>
      <c r="G407" s="12"/>
      <c r="H407" s="52"/>
      <c r="I407" s="52"/>
      <c r="J407" s="52"/>
      <c r="L407" s="52"/>
      <c r="M407" s="52"/>
      <c r="N407" s="52"/>
      <c r="O407" s="52"/>
    </row>
    <row r="408" spans="2:15" x14ac:dyDescent="0.25">
      <c r="B408" t="s">
        <v>1414</v>
      </c>
      <c r="C408" s="74" t="s">
        <v>1416</v>
      </c>
      <c r="D408" s="12"/>
      <c r="E408" s="12"/>
      <c r="F408" s="12"/>
      <c r="G408" s="12"/>
      <c r="H408" s="52"/>
      <c r="I408" s="52"/>
      <c r="J408" s="52"/>
      <c r="L408" s="52"/>
      <c r="M408" s="52"/>
      <c r="N408" s="52"/>
      <c r="O408" s="52"/>
    </row>
    <row r="409" spans="2:15" x14ac:dyDescent="0.25">
      <c r="B409" t="s">
        <v>1420</v>
      </c>
      <c r="C409" s="74" t="s">
        <v>1421</v>
      </c>
      <c r="D409" s="12"/>
      <c r="E409" s="12"/>
      <c r="F409" s="12"/>
      <c r="G409" s="12"/>
      <c r="H409" s="52"/>
      <c r="I409" s="52"/>
      <c r="J409" s="52"/>
      <c r="L409" s="52"/>
      <c r="M409" s="52"/>
      <c r="N409" s="52"/>
      <c r="O409" s="52"/>
    </row>
    <row r="410" spans="2:15" x14ac:dyDescent="0.25">
      <c r="B410" t="s">
        <v>1417</v>
      </c>
      <c r="C410" s="74" t="s">
        <v>1418</v>
      </c>
      <c r="D410" s="12"/>
      <c r="E410" s="12"/>
      <c r="F410" s="12"/>
      <c r="G410" s="12"/>
      <c r="H410" s="52"/>
      <c r="I410" s="52"/>
      <c r="J410" s="52"/>
      <c r="L410" s="52"/>
      <c r="M410" s="52"/>
      <c r="N410" s="52"/>
      <c r="O410" s="52"/>
    </row>
    <row r="411" spans="2:15" x14ac:dyDescent="0.25">
      <c r="B411" t="s">
        <v>1412</v>
      </c>
      <c r="C411" s="74" t="s">
        <v>1415</v>
      </c>
      <c r="D411" s="12"/>
      <c r="E411" s="12"/>
      <c r="F411" s="12"/>
      <c r="G411" s="12"/>
      <c r="H411" s="52"/>
      <c r="I411" s="52"/>
      <c r="J411" s="52"/>
      <c r="L411" s="52"/>
      <c r="M411" s="52"/>
      <c r="N411" s="52"/>
      <c r="O411" s="52"/>
    </row>
    <row r="412" spans="2:15" x14ac:dyDescent="0.25">
      <c r="B412" t="s">
        <v>1422</v>
      </c>
      <c r="C412" s="74">
        <f>SUM(450+(160*0.33))</f>
        <v>502.8</v>
      </c>
      <c r="D412" s="12"/>
      <c r="E412" s="12"/>
      <c r="F412" s="12"/>
      <c r="G412" s="12"/>
      <c r="H412" s="52"/>
      <c r="I412" s="52"/>
      <c r="J412" s="52"/>
      <c r="L412" s="52"/>
      <c r="M412" s="52"/>
      <c r="N412" s="52"/>
      <c r="O412" s="52"/>
    </row>
    <row r="413" spans="2:15" x14ac:dyDescent="0.25">
      <c r="B413" t="s">
        <v>1398</v>
      </c>
      <c r="C413" s="74">
        <f>C412*15</f>
        <v>7542</v>
      </c>
      <c r="D413" s="12"/>
      <c r="E413" s="12"/>
      <c r="F413" s="12"/>
      <c r="G413" s="12"/>
      <c r="H413" s="52"/>
      <c r="I413" s="52"/>
      <c r="J413" s="52"/>
      <c r="L413" s="52"/>
      <c r="M413" s="52"/>
      <c r="N413" s="52"/>
      <c r="O413" s="52"/>
    </row>
    <row r="414" spans="2:15" x14ac:dyDescent="0.25">
      <c r="B414" t="s">
        <v>1448</v>
      </c>
      <c r="C414" s="74" t="s">
        <v>1449</v>
      </c>
      <c r="D414" s="12"/>
      <c r="E414" s="12"/>
      <c r="F414" s="12"/>
      <c r="G414" s="12"/>
      <c r="H414" s="52"/>
      <c r="I414" s="52"/>
      <c r="J414" s="52"/>
      <c r="L414" s="52"/>
      <c r="M414" s="52"/>
      <c r="N414" s="52"/>
      <c r="O414" s="52"/>
    </row>
    <row r="415" spans="2:15" x14ac:dyDescent="0.25">
      <c r="B415" t="s">
        <v>1451</v>
      </c>
      <c r="C415" s="74" t="s">
        <v>1452</v>
      </c>
      <c r="D415" s="12"/>
      <c r="E415" s="12"/>
      <c r="F415" s="12"/>
      <c r="G415" s="12"/>
      <c r="H415" s="52"/>
      <c r="I415" s="52"/>
      <c r="J415" s="52"/>
      <c r="L415" s="52"/>
      <c r="M415" s="52"/>
      <c r="N415" s="52"/>
      <c r="O415" s="52"/>
    </row>
    <row r="416" spans="2:15" x14ac:dyDescent="0.25">
      <c r="B416" t="s">
        <v>1450</v>
      </c>
      <c r="C416" s="74" t="s">
        <v>1453</v>
      </c>
      <c r="D416" s="12"/>
      <c r="E416" s="12"/>
      <c r="F416" s="12"/>
      <c r="G416" s="12"/>
      <c r="H416" s="52"/>
      <c r="I416" s="52"/>
      <c r="J416" s="52"/>
      <c r="L416" s="52"/>
      <c r="M416" s="52"/>
      <c r="N416" s="52"/>
      <c r="O416" s="52"/>
    </row>
    <row r="417" spans="2:16" x14ac:dyDescent="0.25">
      <c r="C417" s="74"/>
      <c r="D417" s="12"/>
      <c r="E417" s="12"/>
      <c r="F417" s="12"/>
      <c r="G417" s="12"/>
      <c r="H417" s="52"/>
      <c r="I417" s="52"/>
      <c r="J417" s="52"/>
      <c r="L417" s="52"/>
      <c r="M417" s="52"/>
      <c r="N417" s="52"/>
      <c r="O417" s="52"/>
    </row>
    <row r="418" spans="2:16" ht="15.75" thickBot="1" x14ac:dyDescent="0.3">
      <c r="C418" s="95">
        <v>2021</v>
      </c>
      <c r="D418" s="95">
        <v>2020</v>
      </c>
      <c r="E418" s="95">
        <v>2019</v>
      </c>
      <c r="F418" s="95">
        <v>2018</v>
      </c>
      <c r="G418" s="95">
        <v>2017</v>
      </c>
      <c r="H418" s="52"/>
      <c r="M418" s="52"/>
      <c r="N418" s="52"/>
      <c r="O418" s="52"/>
    </row>
    <row r="419" spans="2:16" x14ac:dyDescent="0.25">
      <c r="B419" s="15" t="s">
        <v>1427</v>
      </c>
      <c r="C419" s="12" t="s">
        <v>477</v>
      </c>
      <c r="D419" s="12" t="s">
        <v>1431</v>
      </c>
      <c r="E419" s="12" t="s">
        <v>1434</v>
      </c>
      <c r="F419" s="12" t="s">
        <v>710</v>
      </c>
      <c r="G419" s="12" t="s">
        <v>1438</v>
      </c>
      <c r="H419" s="52"/>
      <c r="L419" s="52"/>
      <c r="M419" s="52"/>
      <c r="N419" s="52"/>
      <c r="O419" s="52"/>
    </row>
    <row r="420" spans="2:16" x14ac:dyDescent="0.25">
      <c r="B420" s="58" t="s">
        <v>379</v>
      </c>
      <c r="C420" s="12" t="s">
        <v>478</v>
      </c>
      <c r="D420" s="12" t="s">
        <v>709</v>
      </c>
      <c r="E420" s="12" t="s">
        <v>469</v>
      </c>
      <c r="F420" s="12" t="s">
        <v>381</v>
      </c>
      <c r="G420" s="12" t="s">
        <v>1286</v>
      </c>
      <c r="H420" s="52"/>
      <c r="L420" s="52"/>
      <c r="M420" s="52"/>
      <c r="N420" s="52"/>
      <c r="O420" s="52"/>
    </row>
    <row r="421" spans="2:16" x14ac:dyDescent="0.25">
      <c r="B421" s="58" t="s">
        <v>467</v>
      </c>
      <c r="C421" s="12" t="s">
        <v>479</v>
      </c>
      <c r="D421" s="12" t="s">
        <v>479</v>
      </c>
      <c r="E421" s="12" t="s">
        <v>470</v>
      </c>
      <c r="F421" s="12" t="s">
        <v>470</v>
      </c>
      <c r="G421" s="12" t="s">
        <v>1287</v>
      </c>
      <c r="H421" s="52"/>
      <c r="L421" s="52"/>
      <c r="M421" s="52"/>
      <c r="N421" s="52"/>
      <c r="O421" s="52"/>
    </row>
    <row r="422" spans="2:16" x14ac:dyDescent="0.25">
      <c r="B422" s="58" t="s">
        <v>380</v>
      </c>
      <c r="C422" s="12" t="s">
        <v>480</v>
      </c>
      <c r="D422" s="12" t="s">
        <v>480</v>
      </c>
      <c r="E422" s="12" t="s">
        <v>1435</v>
      </c>
      <c r="F422" s="12" t="s">
        <v>471</v>
      </c>
      <c r="G422" s="12" t="s">
        <v>1288</v>
      </c>
      <c r="H422" s="52"/>
      <c r="L422" s="52"/>
      <c r="M422" s="52"/>
      <c r="N422" s="52"/>
      <c r="O422" s="52"/>
    </row>
    <row r="423" spans="2:16" x14ac:dyDescent="0.25">
      <c r="B423" s="58" t="s">
        <v>468</v>
      </c>
      <c r="C423" s="12" t="s">
        <v>481</v>
      </c>
      <c r="D423" s="12" t="s">
        <v>481</v>
      </c>
      <c r="E423" s="12" t="s">
        <v>1436</v>
      </c>
      <c r="F423" s="12" t="s">
        <v>1437</v>
      </c>
      <c r="G423" s="12" t="s">
        <v>1437</v>
      </c>
      <c r="H423" s="52"/>
      <c r="L423" s="52"/>
      <c r="M423" s="52"/>
      <c r="N423" s="52"/>
      <c r="O423" s="52"/>
    </row>
    <row r="424" spans="2:16" x14ac:dyDescent="0.25">
      <c r="B424" s="58" t="s">
        <v>1289</v>
      </c>
      <c r="G424" s="12"/>
      <c r="H424" s="56"/>
      <c r="I424" s="59"/>
      <c r="J424" s="96"/>
      <c r="K424" s="56"/>
      <c r="L424" s="56"/>
      <c r="M424" s="56"/>
    </row>
    <row r="425" spans="2:16" x14ac:dyDescent="0.25">
      <c r="B425" s="58" t="s">
        <v>1290</v>
      </c>
      <c r="G425" s="12"/>
      <c r="H425" s="56"/>
      <c r="I425" s="56"/>
      <c r="J425" s="56"/>
      <c r="K425" s="56"/>
      <c r="L425" s="56"/>
      <c r="M425" s="56"/>
    </row>
    <row r="426" spans="2:16" x14ac:dyDescent="0.25">
      <c r="B426" t="s">
        <v>1552</v>
      </c>
      <c r="C426" s="56" t="s">
        <v>1559</v>
      </c>
      <c r="G426" s="12"/>
      <c r="H426" s="56"/>
      <c r="I426" s="56"/>
      <c r="J426" s="56"/>
      <c r="K426" s="56"/>
      <c r="L426" s="56"/>
      <c r="M426" s="56"/>
    </row>
    <row r="427" spans="2:16" x14ac:dyDescent="0.25">
      <c r="B427" s="58"/>
      <c r="G427" s="12"/>
      <c r="H427" s="56"/>
      <c r="I427" s="56"/>
      <c r="J427" s="56"/>
      <c r="K427" s="56"/>
      <c r="L427" s="56"/>
      <c r="M427" s="56"/>
    </row>
    <row r="428" spans="2:16" x14ac:dyDescent="0.25">
      <c r="B428" s="58"/>
      <c r="G428" s="12"/>
      <c r="H428" s="56"/>
      <c r="I428" s="56"/>
      <c r="J428" s="56"/>
      <c r="K428" s="56"/>
      <c r="L428" s="56"/>
      <c r="M428" s="56"/>
    </row>
    <row r="431" spans="2:16" ht="15.75" thickBot="1" x14ac:dyDescent="0.3">
      <c r="B431" s="15" t="s">
        <v>1475</v>
      </c>
      <c r="C431" s="100">
        <v>44621</v>
      </c>
      <c r="D431" s="13">
        <v>44280</v>
      </c>
      <c r="E431" s="13">
        <v>43919</v>
      </c>
      <c r="F431" s="13">
        <v>43552</v>
      </c>
      <c r="G431" s="13">
        <v>43188</v>
      </c>
      <c r="H431" s="13">
        <v>42824</v>
      </c>
      <c r="I431" s="13">
        <v>42460</v>
      </c>
      <c r="J431" s="13">
        <v>42089</v>
      </c>
      <c r="K431" s="52"/>
      <c r="M431" s="13">
        <v>44476</v>
      </c>
      <c r="N431" s="13">
        <v>44112</v>
      </c>
      <c r="O431" s="13">
        <v>43748</v>
      </c>
      <c r="P431" s="13">
        <v>43384</v>
      </c>
    </row>
    <row r="432" spans="2:16" x14ac:dyDescent="0.25">
      <c r="B432" t="s">
        <v>559</v>
      </c>
      <c r="C432">
        <v>455</v>
      </c>
      <c r="D432">
        <v>452</v>
      </c>
      <c r="E432" s="12">
        <v>453</v>
      </c>
      <c r="F432" s="12">
        <v>452</v>
      </c>
      <c r="G432">
        <v>448</v>
      </c>
      <c r="H432">
        <v>434</v>
      </c>
      <c r="I432">
        <v>419</v>
      </c>
      <c r="J432">
        <v>399</v>
      </c>
      <c r="K432" s="52"/>
      <c r="M432">
        <v>453</v>
      </c>
      <c r="N432">
        <v>451</v>
      </c>
      <c r="O432">
        <v>452</v>
      </c>
      <c r="P432">
        <v>451</v>
      </c>
    </row>
    <row r="433" spans="2:16" x14ac:dyDescent="0.25">
      <c r="B433" t="s">
        <v>524</v>
      </c>
      <c r="D433" s="12">
        <v>316</v>
      </c>
      <c r="E433" s="12">
        <v>316</v>
      </c>
      <c r="F433">
        <v>314</v>
      </c>
      <c r="G433">
        <v>309</v>
      </c>
      <c r="H433">
        <v>290</v>
      </c>
      <c r="I433">
        <v>240</v>
      </c>
      <c r="J433">
        <v>179</v>
      </c>
      <c r="K433" s="52"/>
      <c r="M433">
        <v>317</v>
      </c>
      <c r="N433">
        <v>315</v>
      </c>
      <c r="O433">
        <v>313</v>
      </c>
      <c r="P433">
        <v>313</v>
      </c>
    </row>
    <row r="434" spans="2:16" x14ac:dyDescent="0.25">
      <c r="B434" t="s">
        <v>462</v>
      </c>
      <c r="D434">
        <v>395</v>
      </c>
      <c r="E434">
        <v>396</v>
      </c>
      <c r="F434">
        <v>420</v>
      </c>
      <c r="G434">
        <v>444</v>
      </c>
      <c r="H434">
        <v>438</v>
      </c>
      <c r="I434">
        <v>388</v>
      </c>
      <c r="J434">
        <v>338</v>
      </c>
      <c r="K434" s="52"/>
      <c r="M434">
        <v>390</v>
      </c>
      <c r="N434">
        <v>394</v>
      </c>
      <c r="O434">
        <v>393</v>
      </c>
      <c r="P434">
        <v>451</v>
      </c>
    </row>
    <row r="435" spans="2:16" x14ac:dyDescent="0.25">
      <c r="B435" t="s">
        <v>665</v>
      </c>
      <c r="D435">
        <f>D439-D434</f>
        <v>46</v>
      </c>
      <c r="E435">
        <f>E439-E434</f>
        <v>45</v>
      </c>
      <c r="F435">
        <f>F439-F434</f>
        <v>50</v>
      </c>
      <c r="G435">
        <v>17</v>
      </c>
      <c r="M435">
        <v>52</v>
      </c>
      <c r="N435">
        <v>46</v>
      </c>
      <c r="O435">
        <v>46</v>
      </c>
      <c r="P435">
        <v>20</v>
      </c>
    </row>
    <row r="436" spans="2:16" x14ac:dyDescent="0.25">
      <c r="B436" t="s">
        <v>556</v>
      </c>
      <c r="D436">
        <v>303</v>
      </c>
      <c r="E436">
        <v>301</v>
      </c>
      <c r="F436">
        <v>313</v>
      </c>
      <c r="G436" s="77">
        <f>G439*0.6667</f>
        <v>307.34870000000001</v>
      </c>
      <c r="H436">
        <v>289</v>
      </c>
      <c r="M436" s="12" t="s">
        <v>1309</v>
      </c>
    </row>
    <row r="437" spans="2:16" x14ac:dyDescent="0.25">
      <c r="B437" t="s">
        <v>555</v>
      </c>
      <c r="D437">
        <v>138</v>
      </c>
      <c r="E437">
        <v>140</v>
      </c>
      <c r="F437">
        <v>157</v>
      </c>
      <c r="G437" s="77">
        <f>G439-G436</f>
        <v>153.65129999999999</v>
      </c>
      <c r="H437">
        <v>149</v>
      </c>
      <c r="M437" s="12" t="s">
        <v>1310</v>
      </c>
    </row>
    <row r="438" spans="2:16" x14ac:dyDescent="0.25">
      <c r="B438" t="s">
        <v>461</v>
      </c>
      <c r="D438">
        <v>5</v>
      </c>
      <c r="E438">
        <v>4</v>
      </c>
      <c r="F438">
        <v>4</v>
      </c>
      <c r="G438">
        <v>4</v>
      </c>
      <c r="H438">
        <v>4</v>
      </c>
      <c r="I438">
        <v>2</v>
      </c>
      <c r="J438">
        <v>0</v>
      </c>
      <c r="K438" s="52"/>
      <c r="M438">
        <v>0</v>
      </c>
    </row>
    <row r="439" spans="2:16" x14ac:dyDescent="0.25">
      <c r="B439" t="s">
        <v>525</v>
      </c>
      <c r="C439">
        <v>442</v>
      </c>
      <c r="D439">
        <f>SUM(D436:D437)</f>
        <v>441</v>
      </c>
      <c r="E439">
        <v>441</v>
      </c>
      <c r="F439">
        <v>470</v>
      </c>
      <c r="G439">
        <v>461</v>
      </c>
      <c r="H439">
        <v>438</v>
      </c>
      <c r="I439">
        <v>388</v>
      </c>
      <c r="J439">
        <v>338</v>
      </c>
      <c r="K439" s="52"/>
      <c r="M439">
        <v>442</v>
      </c>
      <c r="N439">
        <v>440</v>
      </c>
    </row>
    <row r="440" spans="2:16" s="15" customFormat="1" x14ac:dyDescent="0.25">
      <c r="B440" t="s">
        <v>490</v>
      </c>
      <c r="D440">
        <v>254</v>
      </c>
      <c r="E440" s="24">
        <v>255</v>
      </c>
      <c r="F440" s="12">
        <v>262</v>
      </c>
      <c r="G440" s="24"/>
      <c r="H440"/>
      <c r="I440" s="52"/>
      <c r="J440" s="52"/>
      <c r="K440" s="52"/>
      <c r="L440"/>
      <c r="M440"/>
      <c r="N440"/>
      <c r="O440"/>
      <c r="P440"/>
    </row>
    <row r="442" spans="2:16" s="15" customFormat="1" x14ac:dyDescent="0.25">
      <c r="D442"/>
      <c r="E442"/>
      <c r="F442"/>
      <c r="G442"/>
      <c r="H442"/>
      <c r="I442"/>
      <c r="J442"/>
      <c r="K442" s="52"/>
    </row>
    <row r="443" spans="2:16" s="15" customFormat="1" x14ac:dyDescent="0.25">
      <c r="B443" s="15" t="s">
        <v>704</v>
      </c>
      <c r="D443" s="15">
        <v>161.30000000000001</v>
      </c>
      <c r="E443" s="15">
        <v>93.9</v>
      </c>
      <c r="F443" s="15">
        <v>73.5</v>
      </c>
      <c r="G443" s="15">
        <v>51.4</v>
      </c>
      <c r="H443" s="15">
        <v>29.4</v>
      </c>
      <c r="I443" s="15">
        <v>19</v>
      </c>
      <c r="J443" s="15">
        <v>15</v>
      </c>
      <c r="K443" s="52"/>
    </row>
    <row r="444" spans="2:16" x14ac:dyDescent="0.25">
      <c r="B444" s="86" t="s">
        <v>560</v>
      </c>
      <c r="D444" s="24">
        <v>465000</v>
      </c>
      <c r="E444" s="52"/>
      <c r="F444" s="52"/>
      <c r="G444" s="52"/>
      <c r="H444" s="52"/>
      <c r="I444" s="52"/>
      <c r="J444" s="52"/>
      <c r="K444" s="52"/>
    </row>
    <row r="446" spans="2:16" ht="15.75" thickBot="1" x14ac:dyDescent="0.3">
      <c r="B446" s="15" t="s">
        <v>728</v>
      </c>
      <c r="C446" s="100">
        <v>44621</v>
      </c>
      <c r="D446" s="13">
        <v>44280</v>
      </c>
      <c r="E446" s="13">
        <v>43919</v>
      </c>
      <c r="F446" s="13">
        <v>43552</v>
      </c>
      <c r="G446" s="13">
        <v>43188</v>
      </c>
      <c r="H446" s="13">
        <v>42824</v>
      </c>
      <c r="I446" s="13">
        <v>42460</v>
      </c>
      <c r="J446" s="13">
        <v>42089</v>
      </c>
    </row>
    <row r="447" spans="2:16" x14ac:dyDescent="0.25">
      <c r="B447" t="s">
        <v>1317</v>
      </c>
      <c r="C447" s="109">
        <f>C453*0.18</f>
        <v>70.2</v>
      </c>
      <c r="E447">
        <v>6</v>
      </c>
    </row>
    <row r="448" spans="2:16" x14ac:dyDescent="0.25">
      <c r="B448" t="s">
        <v>1316</v>
      </c>
      <c r="C448" s="109"/>
      <c r="E448">
        <v>27</v>
      </c>
    </row>
    <row r="449" spans="2:15" x14ac:dyDescent="0.25">
      <c r="B449" t="s">
        <v>1315</v>
      </c>
      <c r="C449" s="109"/>
      <c r="E449">
        <v>66</v>
      </c>
    </row>
    <row r="450" spans="2:15" x14ac:dyDescent="0.25">
      <c r="B450" t="s">
        <v>1314</v>
      </c>
      <c r="C450" s="109">
        <f>C453*0.5</f>
        <v>195</v>
      </c>
      <c r="E450">
        <v>113</v>
      </c>
    </row>
    <row r="451" spans="2:15" x14ac:dyDescent="0.25">
      <c r="B451" t="s">
        <v>1313</v>
      </c>
      <c r="C451" s="109"/>
      <c r="E451">
        <v>83</v>
      </c>
      <c r="L451" s="51"/>
    </row>
    <row r="452" spans="2:15" ht="15.75" thickBot="1" x14ac:dyDescent="0.3">
      <c r="B452" t="s">
        <v>727</v>
      </c>
      <c r="C452" s="78">
        <f>C453*0.32</f>
        <v>124.8</v>
      </c>
      <c r="D452" s="27"/>
      <c r="E452" s="27">
        <v>101</v>
      </c>
      <c r="F452" s="27"/>
      <c r="G452" s="27">
        <v>87</v>
      </c>
      <c r="H452" s="27"/>
      <c r="I452" s="27"/>
      <c r="J452" s="27"/>
    </row>
    <row r="453" spans="2:15" s="15" customFormat="1" x14ac:dyDescent="0.25">
      <c r="B453" s="15" t="s">
        <v>115</v>
      </c>
      <c r="C453" s="15">
        <v>390</v>
      </c>
      <c r="D453" s="15">
        <f>D434</f>
        <v>395</v>
      </c>
      <c r="E453" s="15">
        <f>SUM(E447:E452)</f>
        <v>396</v>
      </c>
      <c r="F453" s="15">
        <f>F434</f>
        <v>420</v>
      </c>
      <c r="G453" s="15">
        <f>G434</f>
        <v>444</v>
      </c>
      <c r="H453" s="15">
        <f>H434</f>
        <v>438</v>
      </c>
      <c r="I453" s="15">
        <f>I434</f>
        <v>388</v>
      </c>
      <c r="J453" s="15">
        <f>J434</f>
        <v>338</v>
      </c>
    </row>
    <row r="455" spans="2:15" x14ac:dyDescent="0.25">
      <c r="B455" s="15" t="s">
        <v>729</v>
      </c>
      <c r="C455" s="52"/>
      <c r="D455" s="52"/>
      <c r="E455" s="52"/>
      <c r="F455" s="52"/>
      <c r="G455" s="52"/>
      <c r="H455" s="52"/>
      <c r="I455" s="52"/>
      <c r="J455" s="52"/>
    </row>
    <row r="456" spans="2:15" x14ac:dyDescent="0.25">
      <c r="B456" t="s">
        <v>1345</v>
      </c>
      <c r="C456" s="24">
        <v>450000</v>
      </c>
      <c r="D456" s="24"/>
      <c r="E456" s="24"/>
      <c r="F456" s="24"/>
      <c r="G456" s="24"/>
      <c r="H456" s="24"/>
      <c r="I456" s="24"/>
      <c r="J456" s="24"/>
      <c r="K456" s="24"/>
      <c r="L456" s="24"/>
      <c r="M456" s="24"/>
      <c r="N456" s="24"/>
      <c r="O456" s="24"/>
    </row>
    <row r="457" spans="2:15" x14ac:dyDescent="0.25">
      <c r="B457" t="s">
        <v>1344</v>
      </c>
      <c r="C457" s="24">
        <v>1000000</v>
      </c>
      <c r="D457" s="24"/>
      <c r="E457" s="24"/>
      <c r="F457" s="24"/>
      <c r="G457" s="24"/>
      <c r="H457" s="24"/>
      <c r="I457" s="24"/>
      <c r="J457" s="24"/>
      <c r="K457" s="24"/>
      <c r="L457" s="24"/>
      <c r="M457" s="24"/>
      <c r="N457" s="24"/>
      <c r="O457" s="24"/>
    </row>
    <row r="458" spans="2:15" x14ac:dyDescent="0.25">
      <c r="B458" t="s">
        <v>1343</v>
      </c>
      <c r="C458" s="24">
        <v>160000</v>
      </c>
      <c r="D458" s="24"/>
      <c r="E458" s="24"/>
      <c r="F458" s="24"/>
      <c r="G458" s="24"/>
      <c r="H458" s="24"/>
      <c r="I458" s="24"/>
      <c r="J458" s="24"/>
      <c r="K458" s="24"/>
      <c r="L458" s="24"/>
      <c r="M458" s="24"/>
      <c r="N458" s="24"/>
      <c r="O458" s="24"/>
    </row>
    <row r="459" spans="2:15" x14ac:dyDescent="0.25">
      <c r="B459" t="s">
        <v>1349</v>
      </c>
      <c r="C459" s="56" t="s">
        <v>1347</v>
      </c>
      <c r="D459" s="24"/>
      <c r="E459" s="24"/>
      <c r="F459" s="24"/>
      <c r="G459" s="24"/>
      <c r="H459" s="24"/>
      <c r="I459" s="24"/>
      <c r="J459" s="24"/>
      <c r="K459" s="24"/>
      <c r="L459" s="24"/>
      <c r="M459" s="24"/>
      <c r="N459" s="24"/>
      <c r="O459" s="24"/>
    </row>
    <row r="460" spans="2:15" x14ac:dyDescent="0.25">
      <c r="B460" t="s">
        <v>1346</v>
      </c>
      <c r="C460" s="24">
        <v>30000</v>
      </c>
      <c r="D460" s="24"/>
      <c r="E460" s="24"/>
      <c r="F460" s="24"/>
      <c r="G460" s="24"/>
      <c r="H460" s="24"/>
      <c r="I460" s="24"/>
      <c r="J460" s="24"/>
      <c r="K460" s="24"/>
      <c r="L460" s="24"/>
      <c r="M460" s="24"/>
      <c r="N460" s="24"/>
      <c r="O460" s="24"/>
    </row>
    <row r="461" spans="2:15" x14ac:dyDescent="0.25">
      <c r="B461" t="s">
        <v>1350</v>
      </c>
      <c r="C461" s="12" t="s">
        <v>734</v>
      </c>
      <c r="D461" s="24"/>
      <c r="E461" s="24"/>
      <c r="F461" s="24"/>
      <c r="G461" s="24"/>
      <c r="H461" s="24"/>
      <c r="I461" s="24"/>
      <c r="J461" s="24"/>
      <c r="K461" s="24"/>
      <c r="L461" s="24"/>
      <c r="M461" s="24"/>
      <c r="N461" s="24"/>
      <c r="O461" s="24"/>
    </row>
    <row r="462" spans="2:15" x14ac:dyDescent="0.25">
      <c r="B462" t="s">
        <v>1348</v>
      </c>
      <c r="C462" s="12"/>
      <c r="D462" s="24"/>
      <c r="E462" s="24"/>
      <c r="F462" s="24"/>
      <c r="G462" s="24"/>
      <c r="H462" s="24"/>
      <c r="I462" s="24"/>
      <c r="J462" s="24"/>
      <c r="K462" s="24"/>
      <c r="L462" s="24"/>
      <c r="M462" s="24"/>
      <c r="N462" s="24"/>
      <c r="O462" s="24"/>
    </row>
    <row r="463" spans="2:15" x14ac:dyDescent="0.25">
      <c r="C463" s="24"/>
      <c r="D463" s="24"/>
      <c r="E463" s="24"/>
      <c r="F463" s="24"/>
      <c r="G463" s="24"/>
      <c r="H463" s="24"/>
      <c r="I463" s="24"/>
      <c r="J463" s="24"/>
      <c r="K463" s="24"/>
      <c r="L463" s="24"/>
      <c r="M463" s="24"/>
      <c r="N463" s="24"/>
      <c r="O463" s="24"/>
    </row>
    <row r="464" spans="2:15" x14ac:dyDescent="0.25">
      <c r="C464" s="52"/>
      <c r="D464" s="52"/>
      <c r="E464" s="52"/>
      <c r="F464" s="52"/>
      <c r="G464" s="52"/>
      <c r="H464" s="52"/>
      <c r="I464" s="52"/>
      <c r="J464" s="52"/>
    </row>
    <row r="465" spans="2:15" ht="15.75" thickBot="1" x14ac:dyDescent="0.3">
      <c r="B465" s="15" t="s">
        <v>1440</v>
      </c>
      <c r="C465" s="13">
        <v>44280</v>
      </c>
      <c r="D465" s="13">
        <v>43919</v>
      </c>
      <c r="E465" s="13">
        <v>43552</v>
      </c>
      <c r="F465" s="13">
        <v>43188</v>
      </c>
      <c r="G465" s="13">
        <v>42824</v>
      </c>
      <c r="H465" s="13">
        <v>42460</v>
      </c>
      <c r="I465" s="13">
        <v>42089</v>
      </c>
      <c r="J465" s="52"/>
      <c r="L465" s="13">
        <v>44476</v>
      </c>
      <c r="M465" s="13">
        <v>44112</v>
      </c>
      <c r="N465" s="13">
        <v>43748</v>
      </c>
      <c r="O465" s="13">
        <v>43384</v>
      </c>
    </row>
    <row r="466" spans="2:15" x14ac:dyDescent="0.25">
      <c r="B466" t="s">
        <v>557</v>
      </c>
      <c r="C466" s="12" t="s">
        <v>484</v>
      </c>
      <c r="D466" s="12" t="s">
        <v>485</v>
      </c>
      <c r="E466" s="12" t="s">
        <v>486</v>
      </c>
      <c r="F466" s="52"/>
      <c r="G466" s="52"/>
      <c r="H466" s="52"/>
      <c r="I466" s="52"/>
      <c r="J466" s="52"/>
    </row>
    <row r="467" spans="2:15" x14ac:dyDescent="0.25">
      <c r="B467" t="s">
        <v>571</v>
      </c>
      <c r="C467" s="12" t="s">
        <v>476</v>
      </c>
      <c r="D467" s="12" t="s">
        <v>579</v>
      </c>
      <c r="F467" s="52"/>
      <c r="G467" s="26">
        <v>0.17</v>
      </c>
      <c r="H467" s="52"/>
      <c r="I467" s="52"/>
      <c r="J467" s="52"/>
    </row>
    <row r="468" spans="2:15" x14ac:dyDescent="0.25">
      <c r="B468" t="s">
        <v>572</v>
      </c>
      <c r="C468" s="26">
        <v>0.18</v>
      </c>
      <c r="D468" s="73">
        <v>0.15</v>
      </c>
      <c r="E468" s="12" t="s">
        <v>1292</v>
      </c>
      <c r="F468" s="26">
        <v>0.13</v>
      </c>
      <c r="G468" s="26">
        <v>0.12</v>
      </c>
      <c r="H468" s="26">
        <v>0.11</v>
      </c>
      <c r="I468" s="26">
        <v>0.09</v>
      </c>
      <c r="J468" s="52"/>
      <c r="L468" s="26">
        <v>0.18</v>
      </c>
    </row>
    <row r="469" spans="2:15" x14ac:dyDescent="0.25">
      <c r="B469" t="s">
        <v>573</v>
      </c>
      <c r="C469" s="26">
        <v>0.17</v>
      </c>
      <c r="D469" s="12" t="s">
        <v>1291</v>
      </c>
      <c r="E469" s="12" t="s">
        <v>1293</v>
      </c>
      <c r="F469" s="12" t="s">
        <v>1296</v>
      </c>
      <c r="G469" s="26">
        <v>0.03</v>
      </c>
      <c r="H469" s="52"/>
      <c r="I469" s="52"/>
      <c r="J469" s="52"/>
    </row>
    <row r="470" spans="2:15" x14ac:dyDescent="0.25">
      <c r="B470" t="s">
        <v>578</v>
      </c>
      <c r="C470" s="12" t="s">
        <v>579</v>
      </c>
      <c r="D470" s="12" t="s">
        <v>713</v>
      </c>
      <c r="E470" s="12" t="s">
        <v>1291</v>
      </c>
      <c r="F470" s="12" t="s">
        <v>1291</v>
      </c>
      <c r="G470" s="26"/>
      <c r="H470" s="52"/>
      <c r="I470" s="52"/>
      <c r="J470" s="52"/>
    </row>
    <row r="471" spans="2:15" x14ac:dyDescent="0.25">
      <c r="B471" t="s">
        <v>580</v>
      </c>
      <c r="C471" s="12" t="s">
        <v>581</v>
      </c>
      <c r="D471" s="12" t="s">
        <v>714</v>
      </c>
      <c r="E471" s="12" t="s">
        <v>714</v>
      </c>
      <c r="F471" s="12" t="s">
        <v>1294</v>
      </c>
      <c r="G471" s="12" t="s">
        <v>1297</v>
      </c>
      <c r="H471" s="52"/>
      <c r="I471" s="52"/>
      <c r="J471" s="52"/>
    </row>
    <row r="472" spans="2:15" x14ac:dyDescent="0.25">
      <c r="B472" t="s">
        <v>711</v>
      </c>
      <c r="C472" s="12" t="s">
        <v>1439</v>
      </c>
      <c r="D472" s="12" t="s">
        <v>712</v>
      </c>
      <c r="E472" s="12" t="s">
        <v>712</v>
      </c>
      <c r="F472" s="12" t="s">
        <v>1295</v>
      </c>
      <c r="G472" s="26"/>
      <c r="H472" s="52"/>
      <c r="I472" s="52"/>
      <c r="J472" s="52"/>
    </row>
    <row r="473" spans="2:15" x14ac:dyDescent="0.25">
      <c r="B473" t="s">
        <v>1430</v>
      </c>
      <c r="C473" s="64" t="s">
        <v>1454</v>
      </c>
      <c r="D473" s="64">
        <v>0.5</v>
      </c>
      <c r="E473" s="64">
        <v>0.5</v>
      </c>
      <c r="F473" s="64"/>
      <c r="G473" s="64"/>
      <c r="H473" s="64"/>
      <c r="I473" s="64"/>
      <c r="J473" s="64"/>
      <c r="K473" s="64"/>
      <c r="L473" s="64"/>
      <c r="M473" s="64"/>
      <c r="N473" s="64"/>
      <c r="O473" s="64"/>
    </row>
    <row r="474" spans="2:15" x14ac:dyDescent="0.25">
      <c r="B474" t="s">
        <v>1300</v>
      </c>
      <c r="C474" s="64" t="s">
        <v>1454</v>
      </c>
      <c r="D474" s="64">
        <v>0.33</v>
      </c>
      <c r="E474" s="64">
        <v>0.32</v>
      </c>
      <c r="F474" s="64"/>
      <c r="G474" s="64"/>
      <c r="H474" s="52"/>
      <c r="I474" s="52"/>
      <c r="J474" s="52"/>
    </row>
    <row r="475" spans="2:15" x14ac:dyDescent="0.25">
      <c r="C475" s="12"/>
      <c r="D475" s="12"/>
      <c r="E475" s="12"/>
      <c r="F475" s="12"/>
      <c r="G475" s="26"/>
      <c r="H475" s="52"/>
      <c r="I475" s="52"/>
      <c r="J475" s="52"/>
    </row>
    <row r="476" spans="2:15" x14ac:dyDescent="0.25">
      <c r="B476" s="15" t="s">
        <v>1432</v>
      </c>
      <c r="C476" s="12"/>
      <c r="D476" s="12"/>
      <c r="E476" s="12"/>
      <c r="F476" s="12"/>
      <c r="G476" s="26"/>
      <c r="H476" s="52"/>
      <c r="I476" s="52"/>
      <c r="J476" s="52"/>
    </row>
    <row r="477" spans="2:15" x14ac:dyDescent="0.25">
      <c r="B477" t="s">
        <v>574</v>
      </c>
      <c r="C477" s="26">
        <v>0.1</v>
      </c>
      <c r="D477" s="25"/>
      <c r="E477" s="25"/>
      <c r="F477" s="12"/>
      <c r="G477" s="26">
        <v>-0.01</v>
      </c>
      <c r="H477" s="52"/>
      <c r="I477" s="52"/>
      <c r="J477" s="52"/>
    </row>
    <row r="478" spans="2:15" x14ac:dyDescent="0.25">
      <c r="B478" t="s">
        <v>575</v>
      </c>
      <c r="C478" s="26">
        <v>0.59</v>
      </c>
      <c r="D478" s="25"/>
      <c r="E478" s="25"/>
      <c r="F478" s="12"/>
      <c r="G478" s="26">
        <v>0.16</v>
      </c>
      <c r="H478" s="52"/>
      <c r="I478" s="52"/>
      <c r="J478" s="52"/>
    </row>
    <row r="479" spans="2:15" x14ac:dyDescent="0.25">
      <c r="B479" t="s">
        <v>576</v>
      </c>
      <c r="C479" s="26">
        <v>0.1</v>
      </c>
      <c r="D479" s="25"/>
      <c r="E479" s="25"/>
      <c r="F479" s="12"/>
      <c r="G479" s="26">
        <v>0.03</v>
      </c>
      <c r="H479" s="52"/>
      <c r="I479" s="52"/>
      <c r="J479" s="52"/>
    </row>
    <row r="480" spans="2:15" x14ac:dyDescent="0.25">
      <c r="B480" t="s">
        <v>577</v>
      </c>
      <c r="C480" s="26">
        <v>0.05</v>
      </c>
      <c r="D480" s="25"/>
      <c r="E480" s="25"/>
      <c r="F480" s="12"/>
      <c r="G480" s="26">
        <v>0.01</v>
      </c>
      <c r="H480" s="52"/>
      <c r="I480" s="52"/>
      <c r="J480" s="52"/>
    </row>
    <row r="481" spans="2:10" x14ac:dyDescent="0.25">
      <c r="B481" t="s">
        <v>115</v>
      </c>
      <c r="C481" s="26">
        <v>0.09</v>
      </c>
      <c r="D481" s="25"/>
      <c r="E481" s="25"/>
      <c r="F481" s="12"/>
      <c r="G481" s="26">
        <v>0.03</v>
      </c>
      <c r="H481" s="52"/>
      <c r="I481" s="52"/>
      <c r="J481" s="52"/>
    </row>
    <row r="482" spans="2:10" x14ac:dyDescent="0.25">
      <c r="C482" s="26"/>
      <c r="D482" s="25"/>
      <c r="E482" s="25"/>
      <c r="F482" s="12"/>
      <c r="G482" s="26"/>
      <c r="H482" s="52"/>
      <c r="I482" s="52"/>
      <c r="J482" s="52"/>
    </row>
    <row r="483" spans="2:10" x14ac:dyDescent="0.25">
      <c r="B483" s="15" t="s">
        <v>584</v>
      </c>
      <c r="C483" s="26"/>
      <c r="D483" s="25"/>
      <c r="E483" s="25"/>
      <c r="F483" s="12"/>
      <c r="G483" s="26"/>
      <c r="H483" s="52"/>
      <c r="I483" s="52"/>
      <c r="J483" s="52"/>
    </row>
    <row r="484" spans="2:10" x14ac:dyDescent="0.25">
      <c r="B484" t="s">
        <v>585</v>
      </c>
      <c r="C484" s="55" t="s">
        <v>588</v>
      </c>
      <c r="D484" s="25"/>
      <c r="E484" s="25"/>
      <c r="F484" s="12"/>
      <c r="G484" s="26"/>
      <c r="H484" s="52"/>
      <c r="I484" s="52"/>
      <c r="J484" s="52"/>
    </row>
    <row r="485" spans="2:10" x14ac:dyDescent="0.25">
      <c r="B485" t="s">
        <v>586</v>
      </c>
      <c r="C485" s="55" t="s">
        <v>589</v>
      </c>
      <c r="D485" s="25"/>
      <c r="E485" s="25"/>
      <c r="F485" s="12"/>
      <c r="G485" s="26"/>
      <c r="H485" s="52"/>
      <c r="I485" s="52"/>
      <c r="J485" s="52"/>
    </row>
    <row r="486" spans="2:10" x14ac:dyDescent="0.25">
      <c r="B486" t="s">
        <v>587</v>
      </c>
      <c r="C486" s="55" t="s">
        <v>590</v>
      </c>
      <c r="D486" s="25"/>
      <c r="E486" s="25"/>
      <c r="F486" s="12"/>
      <c r="G486" s="26"/>
      <c r="H486" s="52"/>
      <c r="I486" s="52"/>
      <c r="J486" s="52"/>
    </row>
    <row r="487" spans="2:10" x14ac:dyDescent="0.25">
      <c r="B487" t="s">
        <v>1446</v>
      </c>
      <c r="C487" s="55" t="s">
        <v>590</v>
      </c>
      <c r="D487" s="25"/>
      <c r="E487" s="25"/>
      <c r="F487" s="12"/>
      <c r="G487" s="26"/>
      <c r="H487" s="52"/>
      <c r="I487" s="52"/>
      <c r="J487" s="52"/>
    </row>
    <row r="488" spans="2:10" x14ac:dyDescent="0.25">
      <c r="B488" s="17" t="s">
        <v>704</v>
      </c>
      <c r="C488" s="17">
        <v>161.30000000000001</v>
      </c>
      <c r="D488" s="17">
        <v>93.9</v>
      </c>
      <c r="E488" s="17">
        <v>73.5</v>
      </c>
      <c r="F488" s="17">
        <v>51.4</v>
      </c>
      <c r="G488" s="17">
        <v>29.4</v>
      </c>
      <c r="H488" s="17">
        <v>19</v>
      </c>
      <c r="I488" s="17">
        <v>15</v>
      </c>
      <c r="J488" s="101"/>
    </row>
    <row r="489" spans="2:10" x14ac:dyDescent="0.25">
      <c r="B489" s="15"/>
      <c r="C489" s="15"/>
      <c r="D489" s="15"/>
      <c r="E489" s="15"/>
      <c r="F489" s="15"/>
      <c r="G489" s="15"/>
      <c r="H489" s="15"/>
      <c r="I489" s="15"/>
      <c r="J489" s="52"/>
    </row>
    <row r="490" spans="2:10" x14ac:dyDescent="0.25">
      <c r="B490" s="15" t="s">
        <v>1433</v>
      </c>
      <c r="C490" s="55"/>
      <c r="D490" s="25"/>
      <c r="E490" s="25"/>
      <c r="F490" s="12"/>
      <c r="G490" s="26"/>
      <c r="H490" s="52"/>
      <c r="I490" s="52"/>
      <c r="J490" s="52"/>
    </row>
    <row r="491" spans="2:10" x14ac:dyDescent="0.25">
      <c r="B491" t="s">
        <v>582</v>
      </c>
      <c r="C491" s="55"/>
      <c r="D491" s="25"/>
      <c r="E491" s="25"/>
      <c r="F491" s="12"/>
      <c r="G491" s="26"/>
      <c r="H491" s="52"/>
      <c r="I491" s="52"/>
      <c r="J491" s="52"/>
    </row>
    <row r="492" spans="2:10" x14ac:dyDescent="0.25">
      <c r="B492" t="s">
        <v>593</v>
      </c>
      <c r="C492" s="55"/>
      <c r="D492" s="25"/>
      <c r="E492" s="25"/>
      <c r="F492" s="12"/>
      <c r="G492" s="26"/>
      <c r="H492" s="52"/>
      <c r="I492" s="52"/>
      <c r="J492" s="52"/>
    </row>
    <row r="493" spans="2:10" x14ac:dyDescent="0.25">
      <c r="B493" t="s">
        <v>594</v>
      </c>
      <c r="C493" s="55"/>
      <c r="E493" s="25"/>
      <c r="F493" s="12"/>
      <c r="G493" s="26"/>
      <c r="H493" s="52"/>
      <c r="I493" s="52"/>
      <c r="J493" s="52"/>
    </row>
    <row r="494" spans="2:10" x14ac:dyDescent="0.25">
      <c r="B494" t="s">
        <v>1555</v>
      </c>
      <c r="C494" s="55"/>
      <c r="D494" s="25"/>
      <c r="E494" s="25"/>
      <c r="F494" s="12"/>
      <c r="G494" s="26"/>
      <c r="H494" s="52"/>
      <c r="I494" s="52"/>
      <c r="J494" s="52"/>
    </row>
    <row r="495" spans="2:10" x14ac:dyDescent="0.25">
      <c r="B495" t="s">
        <v>1554</v>
      </c>
      <c r="C495" s="55"/>
      <c r="D495" s="25"/>
      <c r="E495" s="25"/>
      <c r="F495" s="12"/>
      <c r="G495" s="26"/>
      <c r="H495" s="52"/>
      <c r="I495" s="52"/>
      <c r="J495" s="52"/>
    </row>
    <row r="496" spans="2:10" x14ac:dyDescent="0.25">
      <c r="B496" t="s">
        <v>1556</v>
      </c>
      <c r="C496" s="55"/>
      <c r="D496" s="25"/>
      <c r="E496" s="25"/>
      <c r="F496" s="12"/>
      <c r="G496" s="26"/>
      <c r="H496" s="52"/>
      <c r="I496" s="52"/>
      <c r="J496" s="52"/>
    </row>
    <row r="497" spans="2:15" ht="15.75" thickBot="1" x14ac:dyDescent="0.3">
      <c r="C497" s="100">
        <v>44621</v>
      </c>
      <c r="D497" s="13">
        <v>44280</v>
      </c>
      <c r="E497" s="13">
        <v>43919</v>
      </c>
      <c r="F497" s="13">
        <v>43552</v>
      </c>
      <c r="G497" s="13">
        <v>43188</v>
      </c>
      <c r="H497" s="13">
        <v>42824</v>
      </c>
      <c r="I497" s="13">
        <v>42460</v>
      </c>
      <c r="J497" s="13">
        <v>42089</v>
      </c>
      <c r="L497" s="13">
        <v>44476</v>
      </c>
      <c r="M497" s="13">
        <v>44112</v>
      </c>
      <c r="N497" s="13">
        <v>43748</v>
      </c>
      <c r="O497" s="13">
        <v>43384</v>
      </c>
    </row>
    <row r="498" spans="2:15" x14ac:dyDescent="0.25">
      <c r="B498" t="s">
        <v>733</v>
      </c>
      <c r="D498" s="26"/>
      <c r="E498" s="52"/>
      <c r="F498" s="52"/>
      <c r="G498" s="52"/>
      <c r="H498" s="26"/>
      <c r="I498" s="52"/>
      <c r="J498" s="52"/>
      <c r="K498" s="52"/>
      <c r="L498" s="26">
        <v>0.9</v>
      </c>
    </row>
    <row r="499" spans="2:15" x14ac:dyDescent="0.25">
      <c r="B499" t="s">
        <v>466</v>
      </c>
      <c r="D499" s="12"/>
      <c r="E499" s="24">
        <v>17000</v>
      </c>
      <c r="F499" s="24">
        <v>16800</v>
      </c>
      <c r="G499" s="52"/>
    </row>
    <row r="500" spans="2:15" x14ac:dyDescent="0.25">
      <c r="B500" t="s">
        <v>449</v>
      </c>
      <c r="D500" s="55">
        <v>0.26</v>
      </c>
      <c r="E500" s="26">
        <v>0.16</v>
      </c>
      <c r="F500" s="12"/>
      <c r="G500" s="12"/>
      <c r="L500" s="55">
        <v>0.27</v>
      </c>
    </row>
    <row r="501" spans="2:15" x14ac:dyDescent="0.25">
      <c r="B501" t="s">
        <v>452</v>
      </c>
      <c r="D501" s="26">
        <v>0.56000000000000005</v>
      </c>
      <c r="E501" s="26">
        <v>0.56000000000000005</v>
      </c>
      <c r="F501" s="55">
        <v>0.67</v>
      </c>
      <c r="G501" s="55">
        <v>0.57999999999999996</v>
      </c>
    </row>
    <row r="502" spans="2:15" x14ac:dyDescent="0.25">
      <c r="B502" t="s">
        <v>450</v>
      </c>
      <c r="C502" s="12" t="s">
        <v>1560</v>
      </c>
      <c r="D502" s="12" t="s">
        <v>451</v>
      </c>
      <c r="E502" s="12" t="s">
        <v>457</v>
      </c>
      <c r="F502" s="12" t="s">
        <v>1284</v>
      </c>
      <c r="G502" s="12" t="s">
        <v>602</v>
      </c>
      <c r="I502" s="12" t="s">
        <v>1285</v>
      </c>
      <c r="L502" s="12" t="s">
        <v>666</v>
      </c>
      <c r="M502" s="12" t="s">
        <v>667</v>
      </c>
      <c r="N502" s="12"/>
    </row>
    <row r="503" spans="2:15" x14ac:dyDescent="0.25">
      <c r="B503" t="s">
        <v>615</v>
      </c>
      <c r="D503" s="12">
        <f>0.7*C219</f>
        <v>713.2299999999999</v>
      </c>
      <c r="E503" s="59">
        <f>0.75*D219</f>
        <v>703.19999999999993</v>
      </c>
      <c r="F503" s="59"/>
    </row>
    <row r="504" spans="2:15" x14ac:dyDescent="0.25">
      <c r="B504" t="s">
        <v>1312</v>
      </c>
      <c r="C504" s="24">
        <v>1400000</v>
      </c>
      <c r="D504" s="12" t="s">
        <v>456</v>
      </c>
      <c r="E504" s="56">
        <v>865000</v>
      </c>
      <c r="F504" s="56">
        <f>E504/1.23</f>
        <v>703252.03252032516</v>
      </c>
      <c r="G504" s="12"/>
      <c r="L504" s="24">
        <v>1400000</v>
      </c>
      <c r="M504" s="24">
        <f>L504/1.45</f>
        <v>965517.24137931038</v>
      </c>
    </row>
    <row r="505" spans="2:15" x14ac:dyDescent="0.25">
      <c r="B505" t="s">
        <v>616</v>
      </c>
      <c r="D505" s="56">
        <f>E505*1.61</f>
        <v>476560</v>
      </c>
      <c r="E505" s="24">
        <v>296000</v>
      </c>
      <c r="F505" s="24">
        <v>280000</v>
      </c>
      <c r="G505" s="24">
        <v>60000</v>
      </c>
    </row>
    <row r="506" spans="2:15" x14ac:dyDescent="0.25">
      <c r="B506" t="s">
        <v>1299</v>
      </c>
      <c r="D506" s="56" t="s">
        <v>617</v>
      </c>
      <c r="E506" s="56" t="s">
        <v>618</v>
      </c>
      <c r="F506" s="12"/>
      <c r="G506" s="24"/>
    </row>
    <row r="507" spans="2:15" x14ac:dyDescent="0.25">
      <c r="B507" t="s">
        <v>453</v>
      </c>
      <c r="D507" s="12" t="s">
        <v>454</v>
      </c>
      <c r="E507" s="12" t="s">
        <v>460</v>
      </c>
      <c r="F507" s="12" t="s">
        <v>465</v>
      </c>
      <c r="G507" s="24">
        <v>11700</v>
      </c>
    </row>
    <row r="508" spans="2:15" x14ac:dyDescent="0.25">
      <c r="B508" t="s">
        <v>1298</v>
      </c>
      <c r="D508" s="12">
        <v>516</v>
      </c>
      <c r="E508" s="12"/>
      <c r="F508" s="12"/>
      <c r="G508" s="24"/>
    </row>
    <row r="509" spans="2:15" x14ac:dyDescent="0.25">
      <c r="B509" t="s">
        <v>455</v>
      </c>
      <c r="D509" s="24">
        <v>90000</v>
      </c>
      <c r="E509" s="24"/>
    </row>
    <row r="510" spans="2:15" x14ac:dyDescent="0.25">
      <c r="B510" t="s">
        <v>391</v>
      </c>
      <c r="D510">
        <v>887.1</v>
      </c>
      <c r="E510" s="32">
        <v>817.2</v>
      </c>
      <c r="F510" s="32">
        <v>591.6</v>
      </c>
      <c r="G510" s="32">
        <v>502.6</v>
      </c>
      <c r="L510" s="32">
        <v>1046.5</v>
      </c>
      <c r="M510">
        <v>826.6</v>
      </c>
      <c r="N510">
        <v>715.8</v>
      </c>
      <c r="O510">
        <v>580.79999999999995</v>
      </c>
    </row>
    <row r="511" spans="2:15" x14ac:dyDescent="0.25">
      <c r="B511" t="s">
        <v>583</v>
      </c>
      <c r="D511">
        <v>1437.1</v>
      </c>
      <c r="E511" s="32">
        <v>1334.7</v>
      </c>
      <c r="F511" s="32">
        <v>1218.2</v>
      </c>
      <c r="G511" s="32">
        <f>F511/1.085</f>
        <v>1122.7649769585255</v>
      </c>
      <c r="L511">
        <v>867.6</v>
      </c>
      <c r="M511">
        <v>724.7</v>
      </c>
      <c r="N511">
        <v>695.3</v>
      </c>
      <c r="O511">
        <v>637.20000000000005</v>
      </c>
    </row>
    <row r="512" spans="2:15" x14ac:dyDescent="0.25">
      <c r="B512" t="s">
        <v>458</v>
      </c>
      <c r="E512" s="57" t="s">
        <v>459</v>
      </c>
      <c r="F512" s="32"/>
      <c r="G512" s="32"/>
    </row>
    <row r="513" spans="2:15" x14ac:dyDescent="0.25">
      <c r="B513" t="s">
        <v>464</v>
      </c>
      <c r="C513" s="57" t="s">
        <v>1561</v>
      </c>
      <c r="D513" s="57" t="s">
        <v>463</v>
      </c>
      <c r="E513" s="57"/>
      <c r="F513" s="32"/>
      <c r="G513" s="32"/>
      <c r="L513" s="57" t="s">
        <v>668</v>
      </c>
    </row>
    <row r="514" spans="2:15" x14ac:dyDescent="0.25">
      <c r="B514" t="s">
        <v>596</v>
      </c>
      <c r="D514" s="57" t="s">
        <v>1311</v>
      </c>
      <c r="E514" s="57"/>
      <c r="F514" s="32"/>
      <c r="G514" s="32"/>
      <c r="L514" s="57"/>
    </row>
    <row r="516" spans="2:15" x14ac:dyDescent="0.25">
      <c r="B516" t="s">
        <v>487</v>
      </c>
      <c r="D516">
        <v>23</v>
      </c>
      <c r="G516" s="12"/>
    </row>
    <row r="517" spans="2:15" x14ac:dyDescent="0.25">
      <c r="B517" t="s">
        <v>472</v>
      </c>
      <c r="D517" s="26">
        <v>0.85</v>
      </c>
      <c r="G517" s="12" t="s">
        <v>473</v>
      </c>
    </row>
    <row r="518" spans="2:15" x14ac:dyDescent="0.25">
      <c r="B518" t="s">
        <v>482</v>
      </c>
      <c r="D518" s="12" t="s">
        <v>483</v>
      </c>
      <c r="G518" s="12"/>
    </row>
    <row r="519" spans="2:15" x14ac:dyDescent="0.25">
      <c r="B519" t="s">
        <v>488</v>
      </c>
      <c r="D519">
        <v>60</v>
      </c>
      <c r="E519">
        <v>63.1</v>
      </c>
      <c r="F519">
        <v>59.2</v>
      </c>
      <c r="G519" s="12"/>
      <c r="M519">
        <v>29.5</v>
      </c>
      <c r="N519">
        <v>30.2</v>
      </c>
      <c r="O519">
        <v>29</v>
      </c>
    </row>
    <row r="520" spans="2:15" x14ac:dyDescent="0.25">
      <c r="B520" t="s">
        <v>489</v>
      </c>
      <c r="D520" s="25">
        <v>0.32800000000000001</v>
      </c>
      <c r="E520" s="25">
        <v>0.34100000000000003</v>
      </c>
      <c r="F520" s="25">
        <v>0.34</v>
      </c>
      <c r="G520" s="12"/>
    </row>
    <row r="521" spans="2:15" x14ac:dyDescent="0.25">
      <c r="B521" t="s">
        <v>491</v>
      </c>
      <c r="D521" s="12" t="s">
        <v>492</v>
      </c>
      <c r="E521" s="12" t="s">
        <v>1283</v>
      </c>
      <c r="F521" s="25"/>
      <c r="G521" s="12"/>
    </row>
    <row r="522" spans="2:15" x14ac:dyDescent="0.25">
      <c r="B522" t="s">
        <v>1301</v>
      </c>
      <c r="D522" s="12" t="s">
        <v>1302</v>
      </c>
      <c r="E522" s="12" t="s">
        <v>1302</v>
      </c>
      <c r="F522" s="12" t="s">
        <v>1303</v>
      </c>
      <c r="G522" s="12" t="s">
        <v>1304</v>
      </c>
      <c r="H522" s="12" t="s">
        <v>1305</v>
      </c>
    </row>
    <row r="523" spans="2:15" x14ac:dyDescent="0.25">
      <c r="D523" s="12"/>
      <c r="E523" s="25"/>
      <c r="F523" s="25"/>
      <c r="G523" s="12"/>
    </row>
    <row r="524" spans="2:15" x14ac:dyDescent="0.25">
      <c r="D524" s="26"/>
      <c r="E524" s="25"/>
      <c r="F524" s="25"/>
      <c r="G524" s="12"/>
      <c r="H524" s="26"/>
    </row>
    <row r="525" spans="2:15" x14ac:dyDescent="0.25">
      <c r="B525" t="s">
        <v>591</v>
      </c>
      <c r="D525" s="26">
        <v>0.59</v>
      </c>
      <c r="E525" s="25"/>
      <c r="F525" s="26">
        <v>0.17</v>
      </c>
      <c r="G525" s="12"/>
      <c r="H525" s="26"/>
    </row>
    <row r="526" spans="2:15" x14ac:dyDescent="0.25">
      <c r="B526" t="s">
        <v>592</v>
      </c>
      <c r="D526" s="26">
        <v>0.24</v>
      </c>
      <c r="F526" s="26">
        <v>0.09</v>
      </c>
    </row>
    <row r="527" spans="2:15" x14ac:dyDescent="0.25">
      <c r="D527" s="26"/>
      <c r="F527" s="26"/>
    </row>
    <row r="528" spans="2:15" x14ac:dyDescent="0.25">
      <c r="D528" s="26"/>
      <c r="F528" s="26"/>
    </row>
    <row r="529" spans="2:15" ht="15.75" thickBot="1" x14ac:dyDescent="0.3">
      <c r="C529" s="13">
        <v>44280</v>
      </c>
      <c r="D529" s="13">
        <v>43919</v>
      </c>
      <c r="E529" s="13">
        <v>43552</v>
      </c>
      <c r="F529" s="13">
        <v>43188</v>
      </c>
      <c r="G529" s="13">
        <v>42824</v>
      </c>
      <c r="H529" s="13">
        <v>42460</v>
      </c>
      <c r="I529" s="13">
        <v>42089</v>
      </c>
      <c r="J529" s="52"/>
      <c r="L529" s="13">
        <v>44476</v>
      </c>
      <c r="M529" s="13">
        <v>44112</v>
      </c>
      <c r="N529" s="13">
        <v>43748</v>
      </c>
      <c r="O529" s="13">
        <v>43384</v>
      </c>
    </row>
    <row r="530" spans="2:15" x14ac:dyDescent="0.25">
      <c r="B530" t="s">
        <v>595</v>
      </c>
      <c r="C530" s="55" t="s">
        <v>598</v>
      </c>
      <c r="E530" s="26"/>
    </row>
    <row r="531" spans="2:15" x14ac:dyDescent="0.25">
      <c r="B531" t="s">
        <v>596</v>
      </c>
      <c r="C531" s="55" t="s">
        <v>599</v>
      </c>
      <c r="E531" s="26"/>
    </row>
    <row r="532" spans="2:15" x14ac:dyDescent="0.25">
      <c r="B532" t="s">
        <v>597</v>
      </c>
      <c r="C532" s="55" t="s">
        <v>600</v>
      </c>
      <c r="E532" s="26"/>
    </row>
    <row r="533" spans="2:15" x14ac:dyDescent="0.25">
      <c r="B533" t="s">
        <v>1441</v>
      </c>
      <c r="C533" s="55" t="s">
        <v>601</v>
      </c>
      <c r="E533" s="26"/>
    </row>
    <row r="534" spans="2:15" x14ac:dyDescent="0.25">
      <c r="C534" s="26"/>
      <c r="E534" s="26"/>
    </row>
    <row r="535" spans="2:15" x14ac:dyDescent="0.25">
      <c r="B535" s="15" t="s">
        <v>603</v>
      </c>
      <c r="C535" s="26"/>
      <c r="E535" s="26"/>
    </row>
    <row r="536" spans="2:15" x14ac:dyDescent="0.25">
      <c r="B536" t="s">
        <v>299</v>
      </c>
      <c r="C536" s="25">
        <v>8.7999999999999995E-2</v>
      </c>
      <c r="D536" s="25">
        <v>9.4E-2</v>
      </c>
      <c r="E536" s="26"/>
      <c r="L536" s="25">
        <v>0.219</v>
      </c>
      <c r="M536" s="25">
        <v>5.8000000000000003E-2</v>
      </c>
    </row>
    <row r="537" spans="2:15" x14ac:dyDescent="0.25">
      <c r="B537" t="s">
        <v>306</v>
      </c>
      <c r="C537" s="25">
        <v>7.9000000000000001E-2</v>
      </c>
      <c r="D537" s="25">
        <v>5.6000000000000001E-2</v>
      </c>
      <c r="E537" s="26"/>
      <c r="L537" s="25">
        <v>0.26200000000000001</v>
      </c>
      <c r="M537" s="25">
        <v>1.2E-2</v>
      </c>
    </row>
    <row r="538" spans="2:15" x14ac:dyDescent="0.25">
      <c r="B538" t="s">
        <v>115</v>
      </c>
      <c r="C538" s="25">
        <v>8.6999999999999994E-2</v>
      </c>
      <c r="D538" s="25">
        <v>0.09</v>
      </c>
      <c r="E538" s="26"/>
      <c r="L538" s="25">
        <v>0.222</v>
      </c>
      <c r="M538" s="25">
        <v>5.2999999999999999E-2</v>
      </c>
    </row>
    <row r="539" spans="2:15" x14ac:dyDescent="0.25">
      <c r="C539" s="25"/>
      <c r="D539" s="25"/>
      <c r="E539" s="26"/>
    </row>
    <row r="540" spans="2:15" x14ac:dyDescent="0.25">
      <c r="B540" s="15" t="s">
        <v>1327</v>
      </c>
      <c r="C540" s="79" t="s">
        <v>1322</v>
      </c>
      <c r="D540" s="25"/>
      <c r="E540" s="26"/>
    </row>
    <row r="541" spans="2:15" x14ac:dyDescent="0.25">
      <c r="B541" t="s">
        <v>1318</v>
      </c>
      <c r="C541" s="79" t="s">
        <v>1323</v>
      </c>
      <c r="D541" s="25"/>
      <c r="E541" s="26"/>
    </row>
    <row r="542" spans="2:15" x14ac:dyDescent="0.25">
      <c r="B542" t="s">
        <v>1319</v>
      </c>
      <c r="C542" s="79" t="s">
        <v>1324</v>
      </c>
      <c r="D542" s="25"/>
      <c r="E542" s="26"/>
    </row>
    <row r="543" spans="2:15" x14ac:dyDescent="0.25">
      <c r="B543" t="s">
        <v>1320</v>
      </c>
      <c r="C543" s="79" t="s">
        <v>1325</v>
      </c>
      <c r="D543" s="25"/>
      <c r="E543" s="26"/>
    </row>
    <row r="544" spans="2:15" x14ac:dyDescent="0.25">
      <c r="B544" t="s">
        <v>1321</v>
      </c>
      <c r="C544" s="79" t="s">
        <v>1326</v>
      </c>
      <c r="D544" s="25"/>
      <c r="E544" s="26"/>
    </row>
    <row r="545" spans="2:16" x14ac:dyDescent="0.25">
      <c r="C545" s="25"/>
      <c r="D545" s="25"/>
      <c r="E545" s="26"/>
    </row>
    <row r="546" spans="2:16" x14ac:dyDescent="0.25">
      <c r="B546" s="15" t="s">
        <v>731</v>
      </c>
      <c r="C546" s="25"/>
      <c r="D546" s="25"/>
      <c r="E546" s="26"/>
    </row>
    <row r="547" spans="2:16" x14ac:dyDescent="0.25">
      <c r="B547" t="s">
        <v>732</v>
      </c>
      <c r="C547" s="25"/>
      <c r="D547" s="25"/>
      <c r="E547" s="26"/>
    </row>
    <row r="548" spans="2:16" x14ac:dyDescent="0.25">
      <c r="C548" s="25"/>
      <c r="D548" s="25"/>
      <c r="E548" s="26"/>
    </row>
    <row r="549" spans="2:16" x14ac:dyDescent="0.25">
      <c r="C549" s="26"/>
      <c r="E549" s="26"/>
    </row>
    <row r="551" spans="2:16" x14ac:dyDescent="0.25">
      <c r="B551" s="106" t="s">
        <v>314</v>
      </c>
      <c r="C551" s="106"/>
      <c r="D551" s="106"/>
      <c r="E551" s="106"/>
      <c r="F551" s="106"/>
      <c r="G551" s="106"/>
      <c r="H551" s="106"/>
      <c r="I551" s="106"/>
      <c r="J551" s="106"/>
      <c r="K551" s="106"/>
      <c r="L551" s="106"/>
      <c r="M551" s="106"/>
      <c r="N551" s="106"/>
      <c r="O551" s="106"/>
      <c r="P551" s="106"/>
    </row>
    <row r="554" spans="2:16" ht="15.75" thickBot="1" x14ac:dyDescent="0.3">
      <c r="B554" s="15" t="s">
        <v>299</v>
      </c>
      <c r="C554" s="13">
        <v>44280</v>
      </c>
      <c r="D554" s="13">
        <v>43919</v>
      </c>
      <c r="E554" s="13">
        <v>43552</v>
      </c>
      <c r="F554" s="13">
        <v>43188</v>
      </c>
      <c r="G554" s="13">
        <v>42824</v>
      </c>
      <c r="H554" s="13">
        <v>42460</v>
      </c>
      <c r="I554" s="13">
        <v>42089</v>
      </c>
      <c r="L554" s="13">
        <v>44476</v>
      </c>
      <c r="M554" s="13">
        <v>44112</v>
      </c>
      <c r="N554" s="13">
        <v>43748</v>
      </c>
      <c r="O554" s="13">
        <v>43384</v>
      </c>
    </row>
    <row r="555" spans="2:16" x14ac:dyDescent="0.25">
      <c r="B555" t="s">
        <v>26</v>
      </c>
      <c r="C555" s="32">
        <v>1018.9</v>
      </c>
      <c r="D555">
        <v>937.6</v>
      </c>
      <c r="E555" s="47">
        <f>854641/(1000)</f>
        <v>854.64099999999996</v>
      </c>
      <c r="F555" s="47">
        <f>804849/(1000)</f>
        <v>804.84900000000005</v>
      </c>
      <c r="L555">
        <v>619.6</v>
      </c>
      <c r="M555">
        <v>507.8</v>
      </c>
      <c r="N555">
        <v>479.8</v>
      </c>
      <c r="O555">
        <v>443.7</v>
      </c>
    </row>
    <row r="556" spans="2:16" x14ac:dyDescent="0.25">
      <c r="B556" t="s">
        <v>28</v>
      </c>
      <c r="C556">
        <v>501.6</v>
      </c>
      <c r="D556">
        <v>466.2</v>
      </c>
      <c r="E556" s="47">
        <f>435829/(1000)</f>
        <v>435.82900000000001</v>
      </c>
      <c r="F556" s="47">
        <f>420278/(1000)</f>
        <v>420.27800000000002</v>
      </c>
      <c r="L556">
        <v>298.10000000000002</v>
      </c>
      <c r="M556">
        <v>246.1</v>
      </c>
      <c r="N556" s="41">
        <v>239.42019999999999</v>
      </c>
      <c r="O556" s="41">
        <v>226.29</v>
      </c>
    </row>
    <row r="557" spans="2:16" x14ac:dyDescent="0.25">
      <c r="B557" t="s">
        <v>526</v>
      </c>
      <c r="C557" s="62">
        <f>C556/C555</f>
        <v>0.49229561291588969</v>
      </c>
      <c r="D557" s="62">
        <f t="shared" ref="D557:F557" si="60">D556/D555</f>
        <v>0.49722696245733788</v>
      </c>
      <c r="E557" s="62">
        <f t="shared" si="60"/>
        <v>0.50995564219362288</v>
      </c>
      <c r="F557" s="62">
        <f t="shared" si="60"/>
        <v>0.5221824217958897</v>
      </c>
      <c r="G557" s="62"/>
      <c r="H557" s="62"/>
      <c r="L557" s="62">
        <f>L556/L555</f>
        <v>0.48111684958037443</v>
      </c>
      <c r="M557" s="62">
        <f>M556/M555</f>
        <v>0.48463962189838516</v>
      </c>
      <c r="N557" s="62">
        <f>N556/N555</f>
        <v>0.499</v>
      </c>
      <c r="O557" s="62">
        <f>O556/O555</f>
        <v>0.51000676132521972</v>
      </c>
    </row>
    <row r="558" spans="2:16" x14ac:dyDescent="0.25">
      <c r="B558" t="s">
        <v>495</v>
      </c>
      <c r="C558">
        <v>79.5</v>
      </c>
      <c r="D558">
        <v>89.3</v>
      </c>
      <c r="E558" s="47">
        <f>67224/(1000)</f>
        <v>67.224000000000004</v>
      </c>
      <c r="F558" s="47">
        <f>65137/(1000)</f>
        <v>65.137</v>
      </c>
      <c r="L558">
        <v>59.1</v>
      </c>
      <c r="M558">
        <v>38.9</v>
      </c>
      <c r="N558">
        <v>38.1</v>
      </c>
      <c r="O558">
        <v>29.4</v>
      </c>
    </row>
    <row r="559" spans="2:16" x14ac:dyDescent="0.25">
      <c r="B559" t="s">
        <v>527</v>
      </c>
      <c r="C559" s="62">
        <f>C558/C555</f>
        <v>7.8025321425066255E-2</v>
      </c>
      <c r="D559" s="62">
        <f>D558/D555</f>
        <v>9.5243174061433442E-2</v>
      </c>
      <c r="E559" s="62">
        <f>E558/E555</f>
        <v>7.8657588390915023E-2</v>
      </c>
      <c r="F559" s="62">
        <f>F558/F555</f>
        <v>8.0930708741639726E-2</v>
      </c>
      <c r="G559" s="62"/>
      <c r="L559" s="62">
        <f>L558/L555</f>
        <v>9.5384118786313754E-2</v>
      </c>
      <c r="M559" s="62">
        <f>M558/M555</f>
        <v>7.6604962583694369E-2</v>
      </c>
      <c r="N559" s="62">
        <f>N558/N555</f>
        <v>7.9408086702792827E-2</v>
      </c>
      <c r="O559" s="62">
        <f>O558/O555</f>
        <v>6.6260987153482082E-2</v>
      </c>
    </row>
    <row r="560" spans="2:16" ht="15.75" thickBot="1" x14ac:dyDescent="0.3">
      <c r="B560" t="s">
        <v>316</v>
      </c>
      <c r="C560" s="14"/>
      <c r="D560" s="14"/>
      <c r="E560" s="45">
        <f>510/(1000)</f>
        <v>0.51</v>
      </c>
      <c r="F560" s="45">
        <f>-2685/(1000)</f>
        <v>-2.6850000000000001</v>
      </c>
      <c r="G560" s="14"/>
      <c r="H560" s="14"/>
      <c r="I560" s="14"/>
      <c r="J560" s="38"/>
      <c r="L560" s="14"/>
      <c r="M560" s="14"/>
      <c r="N560" s="14"/>
      <c r="O560" s="14"/>
    </row>
    <row r="561" spans="2:15" x14ac:dyDescent="0.25">
      <c r="B561" t="s">
        <v>496</v>
      </c>
      <c r="C561">
        <f>SUM(C558+C560)</f>
        <v>79.5</v>
      </c>
      <c r="D561">
        <f>SUM(D558+D560)</f>
        <v>89.3</v>
      </c>
      <c r="E561" s="41">
        <f>SUM(E558+E560)</f>
        <v>67.734000000000009</v>
      </c>
      <c r="F561" s="41">
        <f>SUM(F558+F560)</f>
        <v>62.451999999999998</v>
      </c>
      <c r="G561">
        <f t="shared" ref="G561:I561" si="61">SUM(G558:G560)</f>
        <v>0</v>
      </c>
      <c r="H561">
        <f t="shared" si="61"/>
        <v>0</v>
      </c>
      <c r="I561">
        <f t="shared" si="61"/>
        <v>0</v>
      </c>
      <c r="L561">
        <f t="shared" ref="L561:M561" si="62">SUM(L558+L560)</f>
        <v>59.1</v>
      </c>
      <c r="M561">
        <f t="shared" si="62"/>
        <v>38.9</v>
      </c>
      <c r="N561">
        <f>SUM(N556+N560)</f>
        <v>239.42019999999999</v>
      </c>
      <c r="O561">
        <f>SUM(O556+O560)</f>
        <v>226.29</v>
      </c>
    </row>
    <row r="562" spans="2:15" ht="15.75" thickBot="1" x14ac:dyDescent="0.3">
      <c r="B562" t="s">
        <v>497</v>
      </c>
      <c r="C562" s="14">
        <v>-12</v>
      </c>
      <c r="D562" s="14">
        <v>-13.3</v>
      </c>
      <c r="E562" s="45">
        <f>250/(1000)</f>
        <v>0.25</v>
      </c>
      <c r="F562" s="45"/>
      <c r="G562" s="14"/>
      <c r="H562" s="14"/>
      <c r="I562" s="14"/>
      <c r="J562" s="38"/>
      <c r="L562" s="14">
        <v>-6</v>
      </c>
      <c r="M562" s="14">
        <v>-6.6</v>
      </c>
      <c r="N562" s="14"/>
      <c r="O562" s="14"/>
    </row>
    <row r="563" spans="2:15" x14ac:dyDescent="0.25">
      <c r="B563" t="s">
        <v>230</v>
      </c>
      <c r="C563">
        <f>SUM(C561:C562)</f>
        <v>67.5</v>
      </c>
      <c r="D563">
        <f t="shared" ref="D563:F563" si="63">SUM(D561:D562)</f>
        <v>76</v>
      </c>
      <c r="E563" s="41">
        <f t="shared" si="63"/>
        <v>67.984000000000009</v>
      </c>
      <c r="F563" s="41">
        <f t="shared" si="63"/>
        <v>62.451999999999998</v>
      </c>
      <c r="G563">
        <f t="shared" ref="G563:I563" si="64">SUM(G561:G562)</f>
        <v>0</v>
      </c>
      <c r="H563">
        <f t="shared" si="64"/>
        <v>0</v>
      </c>
      <c r="I563">
        <f t="shared" si="64"/>
        <v>0</v>
      </c>
      <c r="L563">
        <f t="shared" ref="L563:O563" si="65">SUM(L561:L562)</f>
        <v>53.1</v>
      </c>
      <c r="M563">
        <f t="shared" si="65"/>
        <v>32.299999999999997</v>
      </c>
      <c r="N563">
        <f t="shared" si="65"/>
        <v>239.42019999999999</v>
      </c>
      <c r="O563">
        <f t="shared" si="65"/>
        <v>226.29</v>
      </c>
    </row>
    <row r="564" spans="2:15" x14ac:dyDescent="0.25">
      <c r="E564" s="47"/>
      <c r="F564" s="47"/>
    </row>
    <row r="565" spans="2:15" x14ac:dyDescent="0.25">
      <c r="B565" s="15" t="s">
        <v>306</v>
      </c>
      <c r="E565" s="47"/>
      <c r="F565" s="47"/>
    </row>
    <row r="566" spans="2:15" x14ac:dyDescent="0.25">
      <c r="B566" t="s">
        <v>26</v>
      </c>
      <c r="C566">
        <v>123.2</v>
      </c>
      <c r="D566">
        <v>121.2</v>
      </c>
      <c r="E566" s="47">
        <f>106398/(1000)</f>
        <v>106.398</v>
      </c>
      <c r="F566" s="47">
        <f>94075/(1000)</f>
        <v>94.075000000000003</v>
      </c>
      <c r="L566">
        <v>56.8</v>
      </c>
      <c r="M566">
        <v>66.599999999999994</v>
      </c>
      <c r="N566">
        <v>66.5</v>
      </c>
      <c r="O566">
        <v>55.6</v>
      </c>
    </row>
    <row r="567" spans="2:15" x14ac:dyDescent="0.25">
      <c r="B567" t="s">
        <v>28</v>
      </c>
      <c r="C567">
        <v>56.7</v>
      </c>
      <c r="D567">
        <v>51.7</v>
      </c>
      <c r="E567" s="47">
        <f>51060/(1000)</f>
        <v>51.06</v>
      </c>
      <c r="F567" s="47">
        <f>44330/(1000)</f>
        <v>44.33</v>
      </c>
      <c r="L567">
        <v>31</v>
      </c>
      <c r="M567">
        <v>27.7</v>
      </c>
      <c r="N567" s="43">
        <v>28.462</v>
      </c>
      <c r="O567" s="43">
        <v>25.3</v>
      </c>
    </row>
    <row r="568" spans="2:15" x14ac:dyDescent="0.25">
      <c r="B568" t="s">
        <v>526</v>
      </c>
      <c r="C568" s="62">
        <f>C567/C566</f>
        <v>0.46022727272727276</v>
      </c>
      <c r="D568" s="62">
        <f t="shared" ref="D568" si="66">D567/D566</f>
        <v>0.42656765676567659</v>
      </c>
      <c r="E568" s="62">
        <f t="shared" ref="E568" si="67">E567/E566</f>
        <v>0.47989623865110248</v>
      </c>
      <c r="F568" s="62">
        <f t="shared" ref="F568" si="68">F567/F566</f>
        <v>0.47121977145894228</v>
      </c>
      <c r="G568" s="62"/>
      <c r="L568" s="62">
        <f t="shared" ref="L568:O568" si="69">L567/L566</f>
        <v>0.54577464788732399</v>
      </c>
      <c r="M568" s="62">
        <f t="shared" si="69"/>
        <v>0.41591591591591592</v>
      </c>
      <c r="N568" s="62">
        <f t="shared" si="69"/>
        <v>0.42799999999999999</v>
      </c>
      <c r="O568" s="62">
        <f t="shared" si="69"/>
        <v>0.45503597122302158</v>
      </c>
    </row>
    <row r="569" spans="2:15" x14ac:dyDescent="0.25">
      <c r="B569" t="s">
        <v>495</v>
      </c>
      <c r="C569">
        <v>36</v>
      </c>
      <c r="D569">
        <v>30.6</v>
      </c>
      <c r="E569" s="47">
        <f>32075/(1000)</f>
        <v>32.075000000000003</v>
      </c>
      <c r="F569" s="47">
        <f>29572/(1000)</f>
        <v>29.571999999999999</v>
      </c>
      <c r="L569">
        <v>24.5</v>
      </c>
      <c r="M569">
        <v>16</v>
      </c>
      <c r="N569">
        <v>17.600000000000001</v>
      </c>
      <c r="O569">
        <v>13.7</v>
      </c>
    </row>
    <row r="570" spans="2:15" x14ac:dyDescent="0.25">
      <c r="B570" t="s">
        <v>527</v>
      </c>
      <c r="C570" s="62">
        <f>C569/C566</f>
        <v>0.29220779220779219</v>
      </c>
      <c r="D570" s="62">
        <f>D569/D566</f>
        <v>0.25247524752475248</v>
      </c>
      <c r="E570" s="62">
        <f>E569/E566</f>
        <v>0.30146243350438923</v>
      </c>
      <c r="F570" s="62">
        <f>F569/F566</f>
        <v>0.31434493754982723</v>
      </c>
      <c r="G570" s="62"/>
      <c r="L570" s="62">
        <f>L569/L566</f>
        <v>0.43133802816901412</v>
      </c>
      <c r="M570" s="62">
        <f>M569/M566</f>
        <v>0.24024024024024027</v>
      </c>
      <c r="N570" s="62">
        <f>N569/N566</f>
        <v>0.26466165413533838</v>
      </c>
      <c r="O570" s="62">
        <f>O569/O566</f>
        <v>0.24640287769784172</v>
      </c>
    </row>
    <row r="571" spans="2:15" ht="15.75" thickBot="1" x14ac:dyDescent="0.3">
      <c r="B571" t="s">
        <v>316</v>
      </c>
      <c r="C571" s="14">
        <v>28.9</v>
      </c>
      <c r="D571" s="14">
        <v>-7.6</v>
      </c>
      <c r="E571" s="45">
        <f>-40574/(1000)</f>
        <v>-40.573999999999998</v>
      </c>
      <c r="F571" s="45">
        <f>-2244/(1000)</f>
        <v>-2.2440000000000002</v>
      </c>
      <c r="G571" s="14"/>
      <c r="H571" s="14"/>
      <c r="I571" s="14"/>
      <c r="J571" s="38"/>
      <c r="L571" s="14">
        <v>0.4</v>
      </c>
      <c r="M571" s="14">
        <v>-0.7</v>
      </c>
      <c r="N571" s="14"/>
      <c r="O571" s="14"/>
    </row>
    <row r="572" spans="2:15" x14ac:dyDescent="0.25">
      <c r="B572" t="s">
        <v>496</v>
      </c>
      <c r="C572">
        <f>SUM(C569+C571)</f>
        <v>64.900000000000006</v>
      </c>
      <c r="D572">
        <f t="shared" ref="D572:F572" si="70">SUM(D569+D571)</f>
        <v>23</v>
      </c>
      <c r="E572" s="41">
        <f t="shared" si="70"/>
        <v>-8.4989999999999952</v>
      </c>
      <c r="F572" s="41">
        <f t="shared" si="70"/>
        <v>27.327999999999999</v>
      </c>
      <c r="G572">
        <f t="shared" ref="G572" si="71">SUM(G569:G571)</f>
        <v>0</v>
      </c>
      <c r="H572">
        <f t="shared" ref="H572" si="72">SUM(H569:H571)</f>
        <v>0</v>
      </c>
      <c r="I572">
        <f t="shared" ref="I572" si="73">SUM(I569:I571)</f>
        <v>0</v>
      </c>
      <c r="L572">
        <f t="shared" ref="L572:M572" si="74">SUM(L569+L571)</f>
        <v>24.9</v>
      </c>
      <c r="M572">
        <f t="shared" si="74"/>
        <v>15.3</v>
      </c>
      <c r="N572" s="43">
        <f>SUM(N567+N571)</f>
        <v>28.462</v>
      </c>
      <c r="O572" s="43">
        <f>SUM(O567+O571)</f>
        <v>25.3</v>
      </c>
    </row>
    <row r="573" spans="2:15" ht="15.75" thickBot="1" x14ac:dyDescent="0.3">
      <c r="B573" t="s">
        <v>497</v>
      </c>
      <c r="C573" s="14">
        <v>-0.5</v>
      </c>
      <c r="D573" s="31">
        <v>-0.3</v>
      </c>
      <c r="E573" s="45">
        <f>297/(1000)</f>
        <v>0.29699999999999999</v>
      </c>
      <c r="F573" s="45">
        <f>0/(1000)</f>
        <v>0</v>
      </c>
      <c r="G573" s="14"/>
      <c r="H573" s="14"/>
      <c r="I573" s="14"/>
      <c r="J573" s="38"/>
      <c r="L573" s="14"/>
      <c r="M573" s="14">
        <v>-0.3</v>
      </c>
      <c r="N573" s="76"/>
      <c r="O573" s="76"/>
    </row>
    <row r="574" spans="2:15" x14ac:dyDescent="0.25">
      <c r="B574" t="s">
        <v>230</v>
      </c>
      <c r="C574">
        <f>SUM(C572:C573)</f>
        <v>64.400000000000006</v>
      </c>
      <c r="D574">
        <f t="shared" ref="D574" si="75">SUM(D572:D573)</f>
        <v>22.7</v>
      </c>
      <c r="E574" s="41">
        <f t="shared" ref="E574" si="76">SUM(E572:E573)</f>
        <v>-8.2019999999999946</v>
      </c>
      <c r="F574" s="41">
        <f t="shared" ref="F574" si="77">SUM(F572:F573)</f>
        <v>27.327999999999999</v>
      </c>
      <c r="G574">
        <f t="shared" ref="G574" si="78">SUM(G572:G573)</f>
        <v>0</v>
      </c>
      <c r="H574">
        <f t="shared" ref="H574" si="79">SUM(H572:H573)</f>
        <v>0</v>
      </c>
      <c r="I574">
        <f t="shared" ref="I574" si="80">SUM(I572:I573)</f>
        <v>0</v>
      </c>
      <c r="L574">
        <f t="shared" ref="L574:O574" si="81">SUM(L572:L573)</f>
        <v>24.9</v>
      </c>
      <c r="M574">
        <f t="shared" si="81"/>
        <v>15</v>
      </c>
      <c r="N574" s="43">
        <f t="shared" si="81"/>
        <v>28.462</v>
      </c>
      <c r="O574" s="43">
        <f t="shared" si="81"/>
        <v>25.3</v>
      </c>
    </row>
    <row r="575" spans="2:15" x14ac:dyDescent="0.25">
      <c r="E575" s="17"/>
      <c r="F575" s="17"/>
    </row>
    <row r="576" spans="2:15" x14ac:dyDescent="0.25">
      <c r="B576" s="15" t="s">
        <v>300</v>
      </c>
      <c r="E576" s="17"/>
      <c r="F576" s="17"/>
    </row>
    <row r="577" spans="2:19" x14ac:dyDescent="0.25">
      <c r="B577" t="s">
        <v>26</v>
      </c>
      <c r="C577">
        <v>0.7</v>
      </c>
      <c r="E577" s="17"/>
      <c r="F577" s="17"/>
      <c r="L577">
        <v>1.2</v>
      </c>
    </row>
    <row r="578" spans="2:19" x14ac:dyDescent="0.25">
      <c r="B578" t="s">
        <v>28</v>
      </c>
      <c r="C578">
        <v>0.5</v>
      </c>
      <c r="E578" s="17"/>
      <c r="F578" s="17"/>
      <c r="L578">
        <v>0.8</v>
      </c>
    </row>
    <row r="579" spans="2:19" x14ac:dyDescent="0.25">
      <c r="B579" t="s">
        <v>526</v>
      </c>
      <c r="C579" s="62">
        <f>C578/C577</f>
        <v>0.7142857142857143</v>
      </c>
      <c r="E579" s="17"/>
      <c r="F579" s="17"/>
      <c r="L579" s="62">
        <f>L578/L577</f>
        <v>0.66666666666666674</v>
      </c>
    </row>
    <row r="580" spans="2:19" x14ac:dyDescent="0.25">
      <c r="B580" t="s">
        <v>495</v>
      </c>
      <c r="C580">
        <v>-9.6</v>
      </c>
      <c r="D580">
        <v>8.6</v>
      </c>
      <c r="E580" s="17">
        <f>-6096/(1000)</f>
        <v>-6.0960000000000001</v>
      </c>
      <c r="F580" s="17">
        <f>-5906/(1000)</f>
        <v>-5.9059999999999997</v>
      </c>
      <c r="L580">
        <v>-5.6</v>
      </c>
      <c r="M580">
        <v>-6</v>
      </c>
      <c r="N580">
        <v>-4</v>
      </c>
      <c r="O580">
        <v>-3.2</v>
      </c>
    </row>
    <row r="581" spans="2:19" ht="15.75" thickBot="1" x14ac:dyDescent="0.3">
      <c r="B581" t="s">
        <v>316</v>
      </c>
      <c r="C581" s="14"/>
      <c r="D581" s="14"/>
      <c r="E581" s="14"/>
      <c r="F581" s="14"/>
      <c r="G581" s="14"/>
      <c r="H581" s="14"/>
      <c r="I581" s="14"/>
      <c r="J581" s="38"/>
      <c r="L581" s="14"/>
      <c r="M581" s="14"/>
      <c r="N581" s="14"/>
      <c r="O581" s="14"/>
    </row>
    <row r="582" spans="2:19" x14ac:dyDescent="0.25">
      <c r="B582" t="s">
        <v>496</v>
      </c>
      <c r="C582" s="60">
        <f>SUM(C580:C581)</f>
        <v>-9.6</v>
      </c>
      <c r="D582" s="60">
        <f>SUM(D580:D581)</f>
        <v>8.6</v>
      </c>
      <c r="E582" s="60">
        <f t="shared" ref="E582:F582" si="82">SUM(E580:E581)</f>
        <v>-6.0960000000000001</v>
      </c>
      <c r="F582" s="60">
        <f t="shared" si="82"/>
        <v>-5.9059999999999997</v>
      </c>
      <c r="L582" s="60">
        <f>SUM(L580:L581)</f>
        <v>-5.6</v>
      </c>
      <c r="M582" s="60">
        <f>SUM(M580:M581)</f>
        <v>-6</v>
      </c>
      <c r="N582" s="60">
        <f t="shared" ref="N582:O582" si="83">SUM(N580:N581)</f>
        <v>-4</v>
      </c>
      <c r="O582" s="60">
        <f t="shared" si="83"/>
        <v>-3.2</v>
      </c>
    </row>
    <row r="583" spans="2:19" ht="15.75" thickBot="1" x14ac:dyDescent="0.3">
      <c r="B583" t="s">
        <v>497</v>
      </c>
      <c r="C583" s="14">
        <v>-5.9</v>
      </c>
      <c r="D583" s="14">
        <v>-4.2</v>
      </c>
      <c r="E583" s="14">
        <f>-4083/(1000)</f>
        <v>-4.0830000000000002</v>
      </c>
      <c r="F583" s="14">
        <f>-4278/(1000)</f>
        <v>-4.2779999999999996</v>
      </c>
      <c r="G583" s="14">
        <f t="shared" ref="G583:G584" si="84">SUM(G581:G582)</f>
        <v>0</v>
      </c>
      <c r="H583" s="14">
        <f t="shared" ref="H583:H584" si="85">SUM(H581:H582)</f>
        <v>0</v>
      </c>
      <c r="I583" s="14">
        <f t="shared" ref="I583:I584" si="86">SUM(I581:I582)</f>
        <v>0</v>
      </c>
      <c r="J583" s="38"/>
      <c r="L583" s="14">
        <v>-1.8</v>
      </c>
      <c r="M583" s="14">
        <v>-3.1</v>
      </c>
      <c r="N583" s="14"/>
      <c r="O583" s="14"/>
    </row>
    <row r="584" spans="2:19" x14ac:dyDescent="0.25">
      <c r="B584" t="s">
        <v>230</v>
      </c>
      <c r="C584">
        <f>SUM(C582:C583)</f>
        <v>-15.5</v>
      </c>
      <c r="D584">
        <f t="shared" ref="D584" si="87">SUM(D582:D583)</f>
        <v>4.3999999999999995</v>
      </c>
      <c r="E584">
        <f t="shared" ref="E584" si="88">SUM(E582:E583)</f>
        <v>-10.179</v>
      </c>
      <c r="F584">
        <f t="shared" ref="F584" si="89">SUM(F582:F583)</f>
        <v>-10.183999999999999</v>
      </c>
      <c r="G584">
        <f t="shared" si="84"/>
        <v>0</v>
      </c>
      <c r="H584">
        <f t="shared" si="85"/>
        <v>0</v>
      </c>
      <c r="I584">
        <f t="shared" si="86"/>
        <v>0</v>
      </c>
      <c r="L584">
        <f t="shared" ref="L584:O584" si="90">SUM(L582:L583)</f>
        <v>-7.3999999999999995</v>
      </c>
      <c r="M584">
        <f t="shared" si="90"/>
        <v>-9.1</v>
      </c>
      <c r="N584">
        <f t="shared" si="90"/>
        <v>-4</v>
      </c>
      <c r="O584">
        <f t="shared" si="90"/>
        <v>-3.2</v>
      </c>
    </row>
    <row r="586" spans="2:19" x14ac:dyDescent="0.25">
      <c r="B586" t="s">
        <v>493</v>
      </c>
      <c r="C586" s="32">
        <f t="shared" ref="C586:F587" si="91">SUM(C577+C566+C555)</f>
        <v>1142.8</v>
      </c>
      <c r="D586" s="32">
        <f t="shared" si="91"/>
        <v>1058.8</v>
      </c>
      <c r="E586" s="32">
        <f t="shared" si="91"/>
        <v>961.03899999999999</v>
      </c>
      <c r="F586" s="32">
        <f t="shared" si="91"/>
        <v>898.92400000000009</v>
      </c>
      <c r="G586" s="32">
        <f t="shared" ref="G586:I586" si="92">SUM(G577+G566+G555)</f>
        <v>0</v>
      </c>
      <c r="H586" s="32">
        <f t="shared" si="92"/>
        <v>0</v>
      </c>
      <c r="I586" s="32">
        <f t="shared" si="92"/>
        <v>0</v>
      </c>
      <c r="J586" s="32"/>
      <c r="L586" s="32">
        <f t="shared" ref="L586:O586" si="93">SUM(L577+L566+L555)</f>
        <v>677.6</v>
      </c>
      <c r="M586" s="32">
        <f t="shared" si="93"/>
        <v>574.4</v>
      </c>
      <c r="N586" s="32">
        <f t="shared" si="93"/>
        <v>546.29999999999995</v>
      </c>
      <c r="O586" s="32">
        <f t="shared" si="93"/>
        <v>499.3</v>
      </c>
    </row>
    <row r="587" spans="2:19" x14ac:dyDescent="0.25">
      <c r="B587" t="s">
        <v>494</v>
      </c>
      <c r="C587" s="32">
        <f t="shared" si="91"/>
        <v>558.80000000000007</v>
      </c>
      <c r="D587" s="32">
        <f t="shared" si="91"/>
        <v>517.9</v>
      </c>
      <c r="E587" s="32">
        <f t="shared" si="91"/>
        <v>486.88900000000001</v>
      </c>
      <c r="F587" s="32">
        <f t="shared" si="91"/>
        <v>464.608</v>
      </c>
      <c r="G587" s="32">
        <f>SUM(G578+G567+G556)</f>
        <v>0</v>
      </c>
      <c r="H587" s="32">
        <f>SUM(H578+H567+H556)</f>
        <v>0</v>
      </c>
      <c r="I587" s="32">
        <f>SUM(I578+I567+I556)</f>
        <v>0</v>
      </c>
      <c r="J587" s="32"/>
      <c r="L587" s="32">
        <f t="shared" ref="L587:O587" si="94">SUM(L578+L567+L556)</f>
        <v>329.90000000000003</v>
      </c>
      <c r="M587" s="32">
        <f t="shared" si="94"/>
        <v>273.8</v>
      </c>
      <c r="N587" s="32">
        <f t="shared" si="94"/>
        <v>267.88220000000001</v>
      </c>
      <c r="O587" s="32">
        <f t="shared" si="94"/>
        <v>251.59</v>
      </c>
    </row>
    <row r="588" spans="2:19" x14ac:dyDescent="0.25">
      <c r="B588" t="s">
        <v>498</v>
      </c>
      <c r="C588" s="32">
        <f t="shared" ref="C588:I588" si="95">SUM(C580+C569+C558)</f>
        <v>105.9</v>
      </c>
      <c r="D588" s="32">
        <f t="shared" si="95"/>
        <v>128.5</v>
      </c>
      <c r="E588" s="32">
        <f t="shared" si="95"/>
        <v>93.203000000000003</v>
      </c>
      <c r="F588" s="32">
        <f t="shared" si="95"/>
        <v>88.802999999999997</v>
      </c>
      <c r="G588" s="32">
        <f t="shared" si="95"/>
        <v>0</v>
      </c>
      <c r="H588" s="32">
        <f t="shared" si="95"/>
        <v>0</v>
      </c>
      <c r="I588" s="32">
        <f t="shared" si="95"/>
        <v>0</v>
      </c>
      <c r="J588" s="32"/>
      <c r="L588" s="32">
        <f t="shared" ref="L588:O588" si="96">SUM(L580+L569+L558)</f>
        <v>78</v>
      </c>
      <c r="M588" s="32">
        <f t="shared" si="96"/>
        <v>48.9</v>
      </c>
      <c r="N588" s="32">
        <f t="shared" si="96"/>
        <v>51.7</v>
      </c>
      <c r="O588" s="32">
        <f t="shared" si="96"/>
        <v>39.9</v>
      </c>
    </row>
    <row r="590" spans="2:19" x14ac:dyDescent="0.25">
      <c r="I590" s="15"/>
      <c r="J590" s="15"/>
      <c r="K590" s="15"/>
      <c r="L590" s="15"/>
      <c r="M590" s="15"/>
      <c r="N590" s="15"/>
      <c r="O590" s="15"/>
      <c r="P590" s="15"/>
      <c r="Q590" s="15"/>
      <c r="R590" s="15"/>
      <c r="S590" s="15"/>
    </row>
    <row r="591" spans="2:19" ht="15.75" thickBot="1" x14ac:dyDescent="0.3">
      <c r="B591" s="15" t="s">
        <v>299</v>
      </c>
      <c r="C591" s="13">
        <v>44280</v>
      </c>
      <c r="D591" s="13">
        <v>43919</v>
      </c>
      <c r="E591" s="13">
        <v>43552</v>
      </c>
      <c r="F591" s="13">
        <v>43188</v>
      </c>
      <c r="G591" s="13">
        <v>42824</v>
      </c>
      <c r="H591" s="13">
        <v>42460</v>
      </c>
      <c r="I591" s="13">
        <v>42089</v>
      </c>
      <c r="L591" s="13">
        <v>44476</v>
      </c>
      <c r="M591" s="13">
        <v>44112</v>
      </c>
      <c r="N591" s="13">
        <v>43748</v>
      </c>
      <c r="O591" s="13">
        <v>43384</v>
      </c>
      <c r="P591" s="15"/>
      <c r="Q591" s="15"/>
      <c r="R591" s="15"/>
      <c r="S591" s="15"/>
    </row>
    <row r="592" spans="2:19" x14ac:dyDescent="0.25">
      <c r="B592" t="s">
        <v>301</v>
      </c>
      <c r="C592">
        <v>79.5</v>
      </c>
      <c r="D592">
        <v>89.3</v>
      </c>
      <c r="E592">
        <v>67.2</v>
      </c>
      <c r="F592" s="17">
        <f>65137/(1000)</f>
        <v>65.137</v>
      </c>
      <c r="I592" s="15"/>
      <c r="J592" s="15"/>
      <c r="K592" s="15"/>
      <c r="L592">
        <v>59.1</v>
      </c>
      <c r="M592">
        <v>38.9</v>
      </c>
      <c r="N592" s="81">
        <f>N558</f>
        <v>38.1</v>
      </c>
      <c r="O592" s="81">
        <f>O558</f>
        <v>29.4</v>
      </c>
      <c r="P592" s="15"/>
      <c r="Q592" s="15"/>
      <c r="R592" s="15"/>
      <c r="S592" s="15"/>
    </row>
    <row r="593" spans="2:19" x14ac:dyDescent="0.25">
      <c r="B593" t="s">
        <v>500</v>
      </c>
      <c r="F593" s="17"/>
      <c r="I593" s="15"/>
      <c r="J593" s="15"/>
      <c r="K593" s="15"/>
      <c r="M593" s="15"/>
      <c r="N593" s="84"/>
      <c r="O593" s="84"/>
      <c r="P593" s="15"/>
      <c r="Q593" s="15"/>
      <c r="R593" s="15"/>
      <c r="S593" s="15"/>
    </row>
    <row r="594" spans="2:19" x14ac:dyDescent="0.25">
      <c r="B594" t="s">
        <v>302</v>
      </c>
      <c r="C594">
        <v>24.8</v>
      </c>
      <c r="D594">
        <v>25.8</v>
      </c>
      <c r="E594">
        <v>26.7</v>
      </c>
      <c r="F594" s="17">
        <f>26306/(1000)</f>
        <v>26.306000000000001</v>
      </c>
      <c r="I594" s="15"/>
      <c r="J594" s="15"/>
      <c r="K594" s="15"/>
      <c r="L594">
        <v>12.9</v>
      </c>
      <c r="M594">
        <v>13.6</v>
      </c>
      <c r="N594" s="77">
        <v>13.6</v>
      </c>
      <c r="O594" s="77">
        <v>14.39</v>
      </c>
      <c r="P594" s="15"/>
      <c r="Q594" s="15"/>
      <c r="R594" s="15"/>
      <c r="S594" s="15"/>
    </row>
    <row r="595" spans="2:19" x14ac:dyDescent="0.25">
      <c r="B595" t="s">
        <v>303</v>
      </c>
      <c r="C595">
        <v>68.2</v>
      </c>
      <c r="D595">
        <v>69</v>
      </c>
      <c r="F595" s="17"/>
      <c r="I595" s="15"/>
      <c r="J595" s="15"/>
      <c r="K595" s="15"/>
      <c r="L595">
        <v>36.4</v>
      </c>
      <c r="M595">
        <v>36.799999999999997</v>
      </c>
      <c r="N595" s="77">
        <v>36.978000000000002</v>
      </c>
      <c r="O595" s="77"/>
      <c r="P595" s="15"/>
      <c r="Q595" s="15"/>
      <c r="R595" s="15"/>
      <c r="S595" s="15"/>
    </row>
    <row r="596" spans="2:19" ht="15.75" thickBot="1" x14ac:dyDescent="0.3">
      <c r="B596" t="s">
        <v>304</v>
      </c>
      <c r="C596" s="14">
        <v>12.2</v>
      </c>
      <c r="D596" s="14">
        <v>9.5</v>
      </c>
      <c r="E596" s="14">
        <v>7.6</v>
      </c>
      <c r="F596" s="14">
        <f>5845/(1000)</f>
        <v>5.8449999999999998</v>
      </c>
      <c r="G596" s="14"/>
      <c r="H596" s="14"/>
      <c r="I596" s="14"/>
      <c r="J596" s="38"/>
      <c r="K596" s="15"/>
      <c r="L596" s="14">
        <v>8.4</v>
      </c>
      <c r="M596" s="14">
        <v>6.2</v>
      </c>
      <c r="N596" s="82">
        <v>4.7359999999999998</v>
      </c>
      <c r="O596" s="82">
        <v>3.79</v>
      </c>
      <c r="P596" s="15"/>
      <c r="Q596" s="15"/>
      <c r="R596" s="15"/>
      <c r="S596" s="15"/>
    </row>
    <row r="597" spans="2:19" s="15" customFormat="1" x14ac:dyDescent="0.25">
      <c r="B597" s="15" t="s">
        <v>305</v>
      </c>
      <c r="C597" s="15">
        <f>SUM(C592:C596)</f>
        <v>184.7</v>
      </c>
      <c r="D597" s="15">
        <f>SUM(D592:D596)</f>
        <v>193.6</v>
      </c>
      <c r="E597" s="15">
        <v>101.5</v>
      </c>
      <c r="F597" s="15">
        <f>SUM(F592:F596)</f>
        <v>97.287999999999997</v>
      </c>
      <c r="L597" s="15">
        <f>SUM(L592:L596)</f>
        <v>116.80000000000001</v>
      </c>
      <c r="M597" s="15">
        <f>SUM(M592:M596)</f>
        <v>95.5</v>
      </c>
      <c r="N597" s="44">
        <f>SUM(N592:N596)</f>
        <v>93.414000000000001</v>
      </c>
      <c r="O597" s="44">
        <f>SUM(O592:O596)</f>
        <v>47.58</v>
      </c>
    </row>
    <row r="598" spans="2:19" s="15" customFormat="1" x14ac:dyDescent="0.25">
      <c r="F598" s="17"/>
    </row>
    <row r="599" spans="2:19" s="15" customFormat="1" x14ac:dyDescent="0.25">
      <c r="B599" s="15" t="s">
        <v>306</v>
      </c>
      <c r="F599" s="17"/>
    </row>
    <row r="600" spans="2:19" s="15" customFormat="1" x14ac:dyDescent="0.25">
      <c r="B600" t="s">
        <v>301</v>
      </c>
      <c r="C600">
        <v>36</v>
      </c>
      <c r="D600">
        <v>30.6</v>
      </c>
      <c r="E600">
        <v>32.1</v>
      </c>
      <c r="F600" s="17">
        <f>29572/(1000)</f>
        <v>29.571999999999999</v>
      </c>
      <c r="G600"/>
      <c r="H600"/>
      <c r="I600"/>
      <c r="J600"/>
      <c r="L600">
        <v>24.5</v>
      </c>
      <c r="M600" s="17">
        <v>16.7</v>
      </c>
      <c r="N600" s="83">
        <f>N569</f>
        <v>17.600000000000001</v>
      </c>
      <c r="O600" s="83">
        <f>O569</f>
        <v>13.7</v>
      </c>
    </row>
    <row r="601" spans="2:19" s="15" customFormat="1" x14ac:dyDescent="0.25">
      <c r="B601" t="s">
        <v>302</v>
      </c>
      <c r="C601">
        <v>2.1</v>
      </c>
      <c r="D601">
        <v>2.5</v>
      </c>
      <c r="E601">
        <v>1.8</v>
      </c>
      <c r="F601" s="17">
        <f>1974/(1000)</f>
        <v>1.974</v>
      </c>
      <c r="G601"/>
      <c r="H601"/>
      <c r="I601"/>
      <c r="J601"/>
      <c r="L601">
        <v>0.6</v>
      </c>
      <c r="M601" s="15">
        <v>1.2</v>
      </c>
      <c r="N601" s="83">
        <v>1.3680000000000001</v>
      </c>
      <c r="O601" s="83">
        <v>1.1739999999999999</v>
      </c>
    </row>
    <row r="602" spans="2:19" s="15" customFormat="1" x14ac:dyDescent="0.25">
      <c r="B602" t="s">
        <v>303</v>
      </c>
      <c r="C602">
        <v>2.1</v>
      </c>
      <c r="D602">
        <v>2.1</v>
      </c>
      <c r="E602"/>
      <c r="F602" s="17"/>
      <c r="G602"/>
      <c r="H602"/>
      <c r="I602"/>
      <c r="J602"/>
      <c r="L602">
        <v>0.7</v>
      </c>
      <c r="M602" s="15">
        <v>1.1000000000000001</v>
      </c>
      <c r="N602" s="83">
        <v>1.2070000000000001</v>
      </c>
      <c r="O602" s="83"/>
    </row>
    <row r="603" spans="2:19" s="15" customFormat="1" ht="15.75" thickBot="1" x14ac:dyDescent="0.3">
      <c r="B603" t="s">
        <v>304</v>
      </c>
      <c r="C603" s="14">
        <v>1.4</v>
      </c>
      <c r="D603" s="14">
        <v>0.5</v>
      </c>
      <c r="E603" s="14">
        <v>0.7</v>
      </c>
      <c r="F603" s="14">
        <f>358/(1000)</f>
        <v>0.35799999999999998</v>
      </c>
      <c r="G603" s="14"/>
      <c r="H603" s="14"/>
      <c r="I603" s="14"/>
      <c r="J603" s="38"/>
      <c r="L603" s="14">
        <v>0.5</v>
      </c>
      <c r="M603" s="14">
        <v>0.4</v>
      </c>
      <c r="N603" s="76">
        <v>0.24199999999999999</v>
      </c>
      <c r="O603" s="76">
        <v>4.1000000000000002E-2</v>
      </c>
    </row>
    <row r="604" spans="2:19" s="15" customFormat="1" x14ac:dyDescent="0.25">
      <c r="B604" s="15" t="s">
        <v>305</v>
      </c>
      <c r="C604" s="15">
        <f>SUM(C600:C603)</f>
        <v>41.6</v>
      </c>
      <c r="D604" s="15">
        <v>35.700000000000003</v>
      </c>
      <c r="E604" s="15">
        <v>34.6</v>
      </c>
      <c r="F604" s="15">
        <f>SUM(F599:F603)</f>
        <v>31.904</v>
      </c>
      <c r="L604" s="15">
        <f t="shared" ref="L604:O604" si="97">SUM(L600:L603)</f>
        <v>26.3</v>
      </c>
      <c r="M604" s="15">
        <f t="shared" si="97"/>
        <v>19.399999999999999</v>
      </c>
      <c r="N604" s="42">
        <f t="shared" si="97"/>
        <v>20.417000000000002</v>
      </c>
      <c r="O604" s="42">
        <f t="shared" si="97"/>
        <v>14.914999999999999</v>
      </c>
    </row>
    <row r="605" spans="2:19" s="15" customFormat="1" x14ac:dyDescent="0.25">
      <c r="F605" s="17"/>
    </row>
    <row r="606" spans="2:19" s="15" customFormat="1" x14ac:dyDescent="0.25">
      <c r="B606" s="15" t="s">
        <v>300</v>
      </c>
      <c r="F606" s="17"/>
    </row>
    <row r="607" spans="2:19" s="15" customFormat="1" x14ac:dyDescent="0.25">
      <c r="B607" t="s">
        <v>301</v>
      </c>
      <c r="C607">
        <v>-9.6</v>
      </c>
      <c r="D607">
        <v>-8.6</v>
      </c>
      <c r="E607">
        <v>-6.1</v>
      </c>
      <c r="F607" s="17">
        <f>-5906/(1000)</f>
        <v>-5.9059999999999997</v>
      </c>
      <c r="G607"/>
      <c r="H607"/>
      <c r="I607"/>
      <c r="J607"/>
      <c r="L607">
        <v>-5.6</v>
      </c>
      <c r="M607">
        <v>-6</v>
      </c>
      <c r="N607" s="83">
        <v>-4.0110000000000001</v>
      </c>
      <c r="O607" s="83">
        <v>-3.181</v>
      </c>
    </row>
    <row r="608" spans="2:19" s="15" customFormat="1" x14ac:dyDescent="0.25">
      <c r="B608" t="s">
        <v>302</v>
      </c>
      <c r="D608"/>
      <c r="E608"/>
      <c r="F608" s="17"/>
      <c r="G608"/>
      <c r="H608"/>
    </row>
    <row r="609" spans="2:16" s="15" customFormat="1" x14ac:dyDescent="0.25">
      <c r="B609" t="s">
        <v>303</v>
      </c>
    </row>
    <row r="610" spans="2:16" s="15" customFormat="1" ht="15.75" thickBot="1" x14ac:dyDescent="0.3">
      <c r="B610" t="s">
        <v>304</v>
      </c>
      <c r="C610" s="14"/>
      <c r="D610" s="14"/>
      <c r="E610" s="14"/>
      <c r="F610" s="14"/>
      <c r="G610" s="14"/>
      <c r="H610" s="14"/>
      <c r="I610" s="14"/>
      <c r="J610" s="38"/>
      <c r="L610" s="14">
        <v>0.2</v>
      </c>
      <c r="M610" s="14"/>
      <c r="N610" s="14"/>
      <c r="O610" s="14"/>
    </row>
    <row r="611" spans="2:16" s="15" customFormat="1" x14ac:dyDescent="0.25">
      <c r="B611" s="15" t="s">
        <v>305</v>
      </c>
      <c r="C611" s="15">
        <f>SUM(C606:C610)</f>
        <v>-9.6</v>
      </c>
      <c r="D611" s="15">
        <v>-8.6</v>
      </c>
      <c r="E611" s="15">
        <v>-6.1</v>
      </c>
      <c r="F611" s="15">
        <f>SUM(F605:F610)</f>
        <v>-5.9059999999999997</v>
      </c>
      <c r="L611" s="15">
        <f>SUM(L606:L610)</f>
        <v>-5.3999999999999995</v>
      </c>
      <c r="M611" s="15">
        <f>SUM(M606:M610)</f>
        <v>-6</v>
      </c>
      <c r="N611" s="44">
        <f>SUM(N606:N610)</f>
        <v>-4.0110000000000001</v>
      </c>
      <c r="O611" s="44">
        <f>SUM(O606:O610)</f>
        <v>-3.181</v>
      </c>
    </row>
    <row r="612" spans="2:16" s="15" customFormat="1" x14ac:dyDescent="0.25">
      <c r="H612" s="33"/>
      <c r="I612" s="33"/>
      <c r="J612" s="33"/>
      <c r="K612" s="33"/>
      <c r="L612" s="33"/>
      <c r="M612" s="33"/>
      <c r="N612" s="33"/>
      <c r="O612" s="33"/>
    </row>
    <row r="613" spans="2:16" ht="15.75" thickBot="1" x14ac:dyDescent="0.3">
      <c r="C613" s="13">
        <v>44280</v>
      </c>
      <c r="D613" s="13">
        <v>43919</v>
      </c>
      <c r="E613" s="13">
        <v>43552</v>
      </c>
      <c r="F613" s="13">
        <v>43188</v>
      </c>
      <c r="G613" s="13">
        <v>42824</v>
      </c>
      <c r="H613" s="13">
        <v>42460</v>
      </c>
      <c r="I613" s="13">
        <v>42089</v>
      </c>
      <c r="L613" s="13">
        <v>44476</v>
      </c>
      <c r="M613" s="13">
        <v>44112</v>
      </c>
      <c r="N613" s="13">
        <v>43748</v>
      </c>
      <c r="O613" s="13">
        <v>43384</v>
      </c>
    </row>
    <row r="614" spans="2:16" x14ac:dyDescent="0.25">
      <c r="H614" s="33"/>
      <c r="I614" s="33"/>
      <c r="J614" s="33"/>
      <c r="K614" s="33"/>
      <c r="L614" s="33"/>
      <c r="M614" s="33"/>
      <c r="N614" s="33"/>
      <c r="O614" s="33"/>
    </row>
    <row r="615" spans="2:16" x14ac:dyDescent="0.25">
      <c r="B615" s="15" t="s">
        <v>299</v>
      </c>
      <c r="C615" s="15"/>
      <c r="E615" s="33"/>
      <c r="F615" s="33"/>
      <c r="G615" s="33"/>
      <c r="H615" s="33"/>
      <c r="I615" s="33"/>
      <c r="J615" s="33"/>
      <c r="K615" s="33"/>
      <c r="L615" s="33"/>
      <c r="M615" s="33"/>
      <c r="N615" s="33"/>
      <c r="O615" s="33"/>
    </row>
    <row r="616" spans="2:16" x14ac:dyDescent="0.25">
      <c r="B616" t="s">
        <v>307</v>
      </c>
      <c r="C616">
        <v>551.5</v>
      </c>
      <c r="D616">
        <v>517.4</v>
      </c>
      <c r="E616">
        <v>455.4</v>
      </c>
      <c r="F616" s="43">
        <f>421894/(1000)</f>
        <v>421.89400000000001</v>
      </c>
      <c r="G616" s="43">
        <f>395121/(1000)</f>
        <v>395.12099999999998</v>
      </c>
      <c r="H616" s="43">
        <v>390.041</v>
      </c>
      <c r="I616" s="43">
        <v>359.33699999999999</v>
      </c>
      <c r="J616" s="33"/>
      <c r="K616" s="33"/>
      <c r="L616">
        <v>336.7</v>
      </c>
      <c r="M616" s="53">
        <v>277.39999999999998</v>
      </c>
      <c r="N616" s="54">
        <v>261.09199999999998</v>
      </c>
      <c r="O616" s="54">
        <v>237.85400000000001</v>
      </c>
    </row>
    <row r="617" spans="2:16" x14ac:dyDescent="0.25">
      <c r="B617" t="s">
        <v>308</v>
      </c>
      <c r="C617">
        <v>431.4</v>
      </c>
      <c r="D617">
        <v>375.3</v>
      </c>
      <c r="E617">
        <v>357</v>
      </c>
      <c r="F617" s="43">
        <f>343508/(1000)</f>
        <v>343.50799999999998</v>
      </c>
      <c r="G617" s="43">
        <f>321550/(1000)</f>
        <v>321.55</v>
      </c>
      <c r="H617" s="43">
        <v>320.16199999999998</v>
      </c>
      <c r="I617" s="43">
        <v>306.75400000000002</v>
      </c>
      <c r="J617" s="33"/>
      <c r="K617" s="33"/>
      <c r="L617" s="53">
        <v>257.7</v>
      </c>
      <c r="M617" s="53">
        <v>213.2</v>
      </c>
      <c r="N617" s="54">
        <v>13.882999999999999</v>
      </c>
      <c r="O617" s="54">
        <v>183.62799999999999</v>
      </c>
    </row>
    <row r="618" spans="2:16" ht="15.75" thickBot="1" x14ac:dyDescent="0.3">
      <c r="B618" t="s">
        <v>309</v>
      </c>
      <c r="C618" s="14">
        <v>36</v>
      </c>
      <c r="D618" s="14">
        <v>44.9</v>
      </c>
      <c r="E618" s="14">
        <v>42.2</v>
      </c>
      <c r="F618" s="45">
        <f>133522/(1000)</f>
        <v>133.52199999999999</v>
      </c>
      <c r="G618" s="45">
        <f>117498/(1000)</f>
        <v>117.498</v>
      </c>
      <c r="H618" s="45">
        <v>82.923000000000002</v>
      </c>
      <c r="I618" s="45">
        <v>62.954999999999998</v>
      </c>
      <c r="J618" s="33"/>
      <c r="K618" s="33"/>
      <c r="L618" s="14">
        <v>25.2</v>
      </c>
      <c r="M618" s="14">
        <v>17.2</v>
      </c>
      <c r="N618" s="31">
        <v>24.867000000000001</v>
      </c>
      <c r="O618" s="31">
        <v>22.248999999999999</v>
      </c>
    </row>
    <row r="619" spans="2:16" s="15" customFormat="1" x14ac:dyDescent="0.25">
      <c r="B619" s="15" t="s">
        <v>115</v>
      </c>
      <c r="C619" s="33">
        <f t="shared" ref="C619:I619" si="98">SUM(C616:C618)</f>
        <v>1018.9</v>
      </c>
      <c r="D619" s="33">
        <f t="shared" si="98"/>
        <v>937.6</v>
      </c>
      <c r="E619" s="33">
        <f t="shared" si="98"/>
        <v>854.6</v>
      </c>
      <c r="F619" s="33">
        <f t="shared" si="98"/>
        <v>898.92399999999998</v>
      </c>
      <c r="G619" s="33">
        <f t="shared" si="98"/>
        <v>834.1690000000001</v>
      </c>
      <c r="H619" s="33">
        <f t="shared" si="98"/>
        <v>793.12599999999998</v>
      </c>
      <c r="I619" s="33">
        <f t="shared" si="98"/>
        <v>729.04600000000005</v>
      </c>
      <c r="J619" s="33"/>
      <c r="K619" s="33"/>
      <c r="L619" s="33">
        <f>SUM(L616:L618)</f>
        <v>619.6</v>
      </c>
      <c r="M619" s="33">
        <f>SUM(M616:M618)</f>
        <v>507.79999999999995</v>
      </c>
      <c r="N619" s="37">
        <f>SUM(N616:N618)</f>
        <v>299.84199999999998</v>
      </c>
      <c r="O619" s="37">
        <f>SUM(O616:O618)</f>
        <v>443.73099999999999</v>
      </c>
      <c r="P619" s="33"/>
    </row>
    <row r="620" spans="2:16" s="15" customFormat="1" x14ac:dyDescent="0.25">
      <c r="E620" s="33"/>
      <c r="F620" s="33"/>
      <c r="G620" s="33"/>
      <c r="H620" s="33"/>
      <c r="I620" s="33"/>
      <c r="J620" s="33"/>
      <c r="K620" s="33"/>
      <c r="L620" s="33"/>
      <c r="M620" s="33"/>
      <c r="N620" s="33"/>
      <c r="O620" s="33"/>
    </row>
    <row r="621" spans="2:16" s="15" customFormat="1" x14ac:dyDescent="0.25">
      <c r="B621" s="15" t="s">
        <v>306</v>
      </c>
      <c r="E621" s="33"/>
      <c r="F621" s="33"/>
      <c r="G621" s="33"/>
      <c r="H621" s="33"/>
      <c r="I621" s="33"/>
      <c r="J621" s="33"/>
      <c r="K621" s="33"/>
      <c r="L621" s="33"/>
      <c r="M621" s="33"/>
      <c r="N621" s="33"/>
      <c r="O621" s="33"/>
    </row>
    <row r="622" spans="2:16" s="15" customFormat="1" x14ac:dyDescent="0.25">
      <c r="B622" t="s">
        <v>310</v>
      </c>
      <c r="C622">
        <v>57</v>
      </c>
      <c r="D622">
        <v>53.8</v>
      </c>
      <c r="E622">
        <v>52.6</v>
      </c>
      <c r="F622" s="24">
        <v>50.045000000000002</v>
      </c>
      <c r="G622" s="33"/>
      <c r="L622" s="17">
        <v>36.9</v>
      </c>
      <c r="M622" s="17">
        <v>28.6</v>
      </c>
      <c r="N622" s="83">
        <v>29.661999999999999</v>
      </c>
      <c r="O622" s="44">
        <v>28.867000000000001</v>
      </c>
    </row>
    <row r="623" spans="2:16" s="15" customFormat="1" x14ac:dyDescent="0.25">
      <c r="B623" t="s">
        <v>311</v>
      </c>
      <c r="C623">
        <v>25.5</v>
      </c>
      <c r="D623">
        <v>21.6</v>
      </c>
      <c r="E623">
        <v>8.1</v>
      </c>
      <c r="F623" s="24">
        <v>3.07</v>
      </c>
      <c r="G623" s="33"/>
      <c r="L623" s="17">
        <v>16.2</v>
      </c>
      <c r="M623" s="17">
        <v>12.3</v>
      </c>
      <c r="N623" s="83">
        <v>11.646000000000001</v>
      </c>
      <c r="O623" s="44">
        <v>3.35</v>
      </c>
    </row>
    <row r="624" spans="2:16" s="15" customFormat="1" x14ac:dyDescent="0.25">
      <c r="B624" t="s">
        <v>312</v>
      </c>
      <c r="C624">
        <v>6.8</v>
      </c>
      <c r="D624">
        <v>6.2</v>
      </c>
      <c r="E624">
        <v>8.6999999999999993</v>
      </c>
      <c r="F624" s="24">
        <v>7.27</v>
      </c>
      <c r="G624" s="33"/>
      <c r="L624" s="17">
        <v>3.7</v>
      </c>
      <c r="M624" s="17">
        <v>2.8</v>
      </c>
      <c r="N624" s="83">
        <v>3.8879999999999999</v>
      </c>
      <c r="O624" s="44">
        <v>3.7440000000000002</v>
      </c>
    </row>
    <row r="625" spans="2:18" s="15" customFormat="1" ht="15.75" thickBot="1" x14ac:dyDescent="0.3">
      <c r="B625" t="s">
        <v>313</v>
      </c>
      <c r="C625" s="14">
        <v>33.9</v>
      </c>
      <c r="D625" s="14">
        <v>39.6</v>
      </c>
      <c r="E625" s="14">
        <v>37</v>
      </c>
      <c r="F625" s="14">
        <v>33.69</v>
      </c>
      <c r="G625" s="14"/>
      <c r="H625" s="14"/>
      <c r="I625" s="14"/>
      <c r="J625" s="38"/>
      <c r="L625" s="14"/>
      <c r="M625" s="14">
        <v>22.9</v>
      </c>
      <c r="N625" s="76">
        <v>21.3</v>
      </c>
      <c r="O625" s="76">
        <v>19.652999999999999</v>
      </c>
    </row>
    <row r="626" spans="2:18" s="15" customFormat="1" x14ac:dyDescent="0.25">
      <c r="B626" s="15" t="s">
        <v>115</v>
      </c>
      <c r="C626" s="33">
        <f>SUM(C622:C625)</f>
        <v>123.19999999999999</v>
      </c>
      <c r="D626" s="33">
        <f>SUM(D622:D625)</f>
        <v>121.20000000000002</v>
      </c>
      <c r="E626" s="33">
        <f>SUM(E622:E625)</f>
        <v>106.4</v>
      </c>
      <c r="F626" s="33">
        <f>SUM(F622:F625)</f>
        <v>94.075000000000003</v>
      </c>
      <c r="G626" s="33"/>
      <c r="L626" s="33">
        <f>SUM(L622:L625)</f>
        <v>56.8</v>
      </c>
      <c r="M626" s="33">
        <f>SUM(M622:M625)</f>
        <v>66.599999999999994</v>
      </c>
      <c r="N626" s="44">
        <f>SUM(N622:N625)</f>
        <v>66.495999999999995</v>
      </c>
      <c r="O626" s="44">
        <f>SUM(O622:O625)</f>
        <v>55.613999999999997</v>
      </c>
    </row>
    <row r="627" spans="2:18" s="15" customFormat="1" x14ac:dyDescent="0.25">
      <c r="G627" s="33"/>
    </row>
    <row r="628" spans="2:18" s="15" customFormat="1" x14ac:dyDescent="0.25">
      <c r="B628" s="15" t="s">
        <v>300</v>
      </c>
      <c r="G628" s="33"/>
    </row>
    <row r="629" spans="2:18" s="15" customFormat="1" x14ac:dyDescent="0.25">
      <c r="B629" t="s">
        <v>313</v>
      </c>
      <c r="G629" s="33"/>
    </row>
    <row r="630" spans="2:18" s="15" customFormat="1" ht="15.75" thickBot="1" x14ac:dyDescent="0.3">
      <c r="B630" t="s">
        <v>499</v>
      </c>
      <c r="C630" s="14">
        <v>0.7</v>
      </c>
      <c r="D630" s="14"/>
      <c r="E630" s="14"/>
      <c r="F630" s="14"/>
      <c r="G630" s="14"/>
      <c r="H630" s="14"/>
      <c r="I630" s="14"/>
      <c r="J630" s="38"/>
      <c r="L630" s="14">
        <v>1.2</v>
      </c>
      <c r="M630" s="14"/>
      <c r="N630" s="14"/>
      <c r="O630" s="14"/>
    </row>
    <row r="631" spans="2:18" s="15" customFormat="1" x14ac:dyDescent="0.25">
      <c r="B631" s="15" t="s">
        <v>115</v>
      </c>
      <c r="C631" s="33">
        <f>SUM(C630)</f>
        <v>0.7</v>
      </c>
      <c r="D631" s="33"/>
      <c r="E631" s="33"/>
      <c r="G631" s="33"/>
      <c r="L631" s="33">
        <f>SUM(L630)</f>
        <v>1.2</v>
      </c>
    </row>
    <row r="632" spans="2:18" s="15" customFormat="1" x14ac:dyDescent="0.25">
      <c r="G632" s="33"/>
    </row>
    <row r="633" spans="2:18" s="15" customFormat="1" x14ac:dyDescent="0.25">
      <c r="B633" s="15" t="s">
        <v>115</v>
      </c>
      <c r="D633" s="17"/>
      <c r="G633" s="33"/>
    </row>
    <row r="634" spans="2:18" s="15" customFormat="1" x14ac:dyDescent="0.25">
      <c r="B634" t="s">
        <v>307</v>
      </c>
      <c r="C634" s="17">
        <f>C616</f>
        <v>551.5</v>
      </c>
      <c r="D634" s="17">
        <f t="shared" ref="D634:G634" si="99">D616</f>
        <v>517.4</v>
      </c>
      <c r="E634" s="17">
        <f t="shared" si="99"/>
        <v>455.4</v>
      </c>
      <c r="F634" s="17">
        <f t="shared" si="99"/>
        <v>421.89400000000001</v>
      </c>
      <c r="G634" s="43">
        <f t="shared" si="99"/>
        <v>395.12099999999998</v>
      </c>
      <c r="H634" s="43">
        <v>390.041</v>
      </c>
      <c r="I634" s="43">
        <v>359.33699999999999</v>
      </c>
      <c r="L634" s="17">
        <f>L616</f>
        <v>336.7</v>
      </c>
      <c r="M634" s="17">
        <f t="shared" ref="M634:P634" si="100">M616</f>
        <v>277.39999999999998</v>
      </c>
      <c r="N634" s="17">
        <f t="shared" si="100"/>
        <v>261.09199999999998</v>
      </c>
      <c r="O634" s="17">
        <f t="shared" si="100"/>
        <v>237.85400000000001</v>
      </c>
      <c r="P634" s="17">
        <f t="shared" si="100"/>
        <v>0</v>
      </c>
    </row>
    <row r="635" spans="2:18" s="15" customFormat="1" x14ac:dyDescent="0.25">
      <c r="B635" t="s">
        <v>308</v>
      </c>
      <c r="C635" s="17">
        <f t="shared" ref="C635:G636" si="101">C617</f>
        <v>431.4</v>
      </c>
      <c r="D635" s="17">
        <f t="shared" si="101"/>
        <v>375.3</v>
      </c>
      <c r="E635" s="17">
        <f t="shared" si="101"/>
        <v>357</v>
      </c>
      <c r="F635" s="17">
        <f t="shared" si="101"/>
        <v>343.50799999999998</v>
      </c>
      <c r="G635" s="43">
        <f t="shared" si="101"/>
        <v>321.55</v>
      </c>
      <c r="H635" s="43">
        <v>320.16199999999998</v>
      </c>
      <c r="I635" s="43">
        <v>306.75400000000002</v>
      </c>
      <c r="L635" s="17">
        <f t="shared" ref="L635:P635" si="102">L617</f>
        <v>257.7</v>
      </c>
      <c r="M635" s="17">
        <f t="shared" si="102"/>
        <v>213.2</v>
      </c>
      <c r="N635" s="17">
        <f t="shared" si="102"/>
        <v>13.882999999999999</v>
      </c>
      <c r="O635" s="17">
        <f t="shared" si="102"/>
        <v>183.62799999999999</v>
      </c>
      <c r="P635" s="17">
        <f t="shared" si="102"/>
        <v>0</v>
      </c>
    </row>
    <row r="636" spans="2:18" s="15" customFormat="1" x14ac:dyDescent="0.25">
      <c r="B636" t="s">
        <v>309</v>
      </c>
      <c r="C636" s="17">
        <f t="shared" si="101"/>
        <v>36</v>
      </c>
      <c r="D636" s="17">
        <f t="shared" si="101"/>
        <v>44.9</v>
      </c>
      <c r="E636" s="17">
        <f t="shared" si="101"/>
        <v>42.2</v>
      </c>
      <c r="F636" s="17">
        <f t="shared" si="101"/>
        <v>133.52199999999999</v>
      </c>
      <c r="G636" s="43">
        <f t="shared" si="101"/>
        <v>117.498</v>
      </c>
      <c r="H636" s="43">
        <v>82.923000000000002</v>
      </c>
      <c r="I636" s="43">
        <v>62.954999999999998</v>
      </c>
      <c r="L636" s="17">
        <f t="shared" ref="L636:P636" si="103">L618</f>
        <v>25.2</v>
      </c>
      <c r="M636" s="17">
        <f t="shared" si="103"/>
        <v>17.2</v>
      </c>
      <c r="N636" s="17">
        <f t="shared" si="103"/>
        <v>24.867000000000001</v>
      </c>
      <c r="O636" s="17">
        <f t="shared" si="103"/>
        <v>22.248999999999999</v>
      </c>
      <c r="P636" s="17">
        <f t="shared" si="103"/>
        <v>0</v>
      </c>
    </row>
    <row r="637" spans="2:18" s="15" customFormat="1" x14ac:dyDescent="0.25">
      <c r="B637" t="s">
        <v>310</v>
      </c>
      <c r="C637" s="17">
        <f>C622</f>
        <v>57</v>
      </c>
      <c r="D637" s="17">
        <f t="shared" ref="D637:F637" si="104">D622</f>
        <v>53.8</v>
      </c>
      <c r="E637" s="17">
        <f t="shared" si="104"/>
        <v>52.6</v>
      </c>
      <c r="F637" s="17">
        <f t="shared" si="104"/>
        <v>50.045000000000002</v>
      </c>
      <c r="G637" s="43"/>
      <c r="H637" s="43"/>
      <c r="I637" s="43"/>
      <c r="L637" s="17">
        <f>L622</f>
        <v>36.9</v>
      </c>
      <c r="M637" s="17">
        <f t="shared" ref="M637:O637" si="105">M622</f>
        <v>28.6</v>
      </c>
      <c r="N637" s="17">
        <f t="shared" si="105"/>
        <v>29.661999999999999</v>
      </c>
      <c r="O637" s="17">
        <f t="shared" si="105"/>
        <v>28.867000000000001</v>
      </c>
      <c r="P637" s="17"/>
    </row>
    <row r="638" spans="2:18" s="15" customFormat="1" x14ac:dyDescent="0.25">
      <c r="B638" t="s">
        <v>311</v>
      </c>
      <c r="C638" s="17">
        <f t="shared" ref="C638:F640" si="106">C623</f>
        <v>25.5</v>
      </c>
      <c r="D638" s="17">
        <f t="shared" si="106"/>
        <v>21.6</v>
      </c>
      <c r="E638" s="17">
        <f t="shared" si="106"/>
        <v>8.1</v>
      </c>
      <c r="F638" s="17">
        <f t="shared" si="106"/>
        <v>3.07</v>
      </c>
      <c r="G638" s="17"/>
      <c r="H638" s="17"/>
      <c r="I638" s="17"/>
      <c r="L638" s="17">
        <f t="shared" ref="L638:O638" si="107">L623</f>
        <v>16.2</v>
      </c>
      <c r="M638" s="17">
        <f t="shared" si="107"/>
        <v>12.3</v>
      </c>
      <c r="N638" s="17">
        <f t="shared" si="107"/>
        <v>11.646000000000001</v>
      </c>
      <c r="O638" s="17">
        <f t="shared" si="107"/>
        <v>3.35</v>
      </c>
      <c r="P638" s="17"/>
    </row>
    <row r="639" spans="2:18" s="15" customFormat="1" x14ac:dyDescent="0.25">
      <c r="B639" t="s">
        <v>312</v>
      </c>
      <c r="C639" s="17">
        <f t="shared" si="106"/>
        <v>6.8</v>
      </c>
      <c r="D639" s="17">
        <f t="shared" si="106"/>
        <v>6.2</v>
      </c>
      <c r="E639" s="17">
        <f t="shared" si="106"/>
        <v>8.6999999999999993</v>
      </c>
      <c r="F639" s="17">
        <f t="shared" si="106"/>
        <v>7.27</v>
      </c>
      <c r="G639" s="17"/>
      <c r="H639" s="17"/>
      <c r="I639" s="17"/>
      <c r="L639" s="17">
        <f t="shared" ref="L639:O639" si="108">L624</f>
        <v>3.7</v>
      </c>
      <c r="M639" s="17">
        <f t="shared" si="108"/>
        <v>2.8</v>
      </c>
      <c r="N639" s="17">
        <f t="shared" si="108"/>
        <v>3.8879999999999999</v>
      </c>
      <c r="O639" s="17">
        <f t="shared" si="108"/>
        <v>3.7440000000000002</v>
      </c>
      <c r="P639" s="17"/>
    </row>
    <row r="640" spans="2:18" s="15" customFormat="1" ht="15.75" thickBot="1" x14ac:dyDescent="0.3">
      <c r="B640" t="s">
        <v>313</v>
      </c>
      <c r="C640" s="14">
        <f t="shared" si="106"/>
        <v>33.9</v>
      </c>
      <c r="D640" s="14">
        <f t="shared" si="106"/>
        <v>39.6</v>
      </c>
      <c r="E640" s="14">
        <f t="shared" si="106"/>
        <v>37</v>
      </c>
      <c r="F640" s="14">
        <f t="shared" si="106"/>
        <v>33.69</v>
      </c>
      <c r="G640" s="14"/>
      <c r="H640" s="14"/>
      <c r="I640" s="14"/>
      <c r="L640" s="14">
        <f t="shared" ref="L640:O640" si="109">L625</f>
        <v>0</v>
      </c>
      <c r="M640" s="14">
        <f t="shared" si="109"/>
        <v>22.9</v>
      </c>
      <c r="N640" s="14">
        <f t="shared" si="109"/>
        <v>21.3</v>
      </c>
      <c r="O640" s="14">
        <f t="shared" si="109"/>
        <v>19.652999999999999</v>
      </c>
      <c r="P640" s="14"/>
      <c r="Q640" s="14"/>
      <c r="R640" s="14"/>
    </row>
    <row r="641" spans="2:18" s="15" customFormat="1" x14ac:dyDescent="0.25">
      <c r="B641" s="15" t="s">
        <v>115</v>
      </c>
      <c r="C641" s="33">
        <f t="shared" ref="C641:I641" si="110">SUM(C634:C640)</f>
        <v>1142.1000000000001</v>
      </c>
      <c r="D641" s="33">
        <f t="shared" si="110"/>
        <v>1058.8</v>
      </c>
      <c r="E641" s="33">
        <f t="shared" si="110"/>
        <v>961.00000000000011</v>
      </c>
      <c r="F641" s="33">
        <f t="shared" si="110"/>
        <v>992.99900000000002</v>
      </c>
      <c r="G641" s="33">
        <f t="shared" si="110"/>
        <v>834.1690000000001</v>
      </c>
      <c r="H641" s="33">
        <f t="shared" si="110"/>
        <v>793.12599999999998</v>
      </c>
      <c r="I641" s="33">
        <f t="shared" si="110"/>
        <v>729.04600000000005</v>
      </c>
      <c r="J641" s="33"/>
      <c r="L641" s="33">
        <f>SUM(L634:L640)</f>
        <v>676.40000000000009</v>
      </c>
      <c r="M641" s="33">
        <f>SUM(M634:M640)</f>
        <v>574.39999999999986</v>
      </c>
      <c r="N641" s="33">
        <f>SUM(N634:N640)</f>
        <v>366.33799999999997</v>
      </c>
      <c r="O641" s="33">
        <f>SUM(O634:O640)</f>
        <v>499.34500000000008</v>
      </c>
      <c r="P641" s="33">
        <f>SUM(P634:P640)</f>
        <v>0</v>
      </c>
      <c r="Q641" s="33"/>
      <c r="R641" s="33"/>
    </row>
    <row r="642" spans="2:18" s="15" customFormat="1" x14ac:dyDescent="0.25">
      <c r="G642" s="33"/>
    </row>
    <row r="643" spans="2:18" s="15" customFormat="1" x14ac:dyDescent="0.25">
      <c r="G643" s="33"/>
    </row>
    <row r="644" spans="2:18" s="15" customFormat="1" x14ac:dyDescent="0.25"/>
    <row r="645" spans="2:18" s="15" customFormat="1" x14ac:dyDescent="0.25">
      <c r="G645" s="33"/>
    </row>
    <row r="646" spans="2:18" s="15" customFormat="1" x14ac:dyDescent="0.25">
      <c r="B646" s="106" t="s">
        <v>545</v>
      </c>
      <c r="C646" s="106"/>
      <c r="D646" s="106"/>
      <c r="E646" s="106"/>
      <c r="F646" s="106"/>
      <c r="G646" s="106"/>
      <c r="H646" s="106"/>
      <c r="I646" s="106"/>
      <c r="J646" s="106"/>
      <c r="K646" s="106"/>
      <c r="L646" s="106"/>
      <c r="M646" s="106"/>
      <c r="N646" s="106"/>
      <c r="O646" s="106"/>
      <c r="P646" s="106"/>
    </row>
    <row r="647" spans="2:18" s="15" customFormat="1" x14ac:dyDescent="0.25">
      <c r="G647" s="33"/>
    </row>
    <row r="648" spans="2:18" s="15" customFormat="1" x14ac:dyDescent="0.25">
      <c r="G648" s="33"/>
    </row>
    <row r="649" spans="2:18" s="15" customFormat="1" ht="15.75" thickBot="1" x14ac:dyDescent="0.3">
      <c r="B649" s="15" t="s">
        <v>546</v>
      </c>
      <c r="C649" s="13">
        <v>44280</v>
      </c>
      <c r="D649" s="13">
        <v>43919</v>
      </c>
      <c r="E649" s="13">
        <v>43552</v>
      </c>
      <c r="F649" s="13">
        <v>43188</v>
      </c>
      <c r="G649" s="13">
        <v>42824</v>
      </c>
      <c r="H649" s="13">
        <v>42460</v>
      </c>
      <c r="I649" s="13">
        <v>42089</v>
      </c>
      <c r="J649"/>
      <c r="K649"/>
      <c r="L649" s="13">
        <v>44476</v>
      </c>
      <c r="M649" s="13">
        <v>44112</v>
      </c>
      <c r="N649" s="13">
        <v>43748</v>
      </c>
      <c r="O649" s="13">
        <v>43384</v>
      </c>
    </row>
    <row r="650" spans="2:18" s="15" customFormat="1" x14ac:dyDescent="0.25">
      <c r="B650" t="s">
        <v>26</v>
      </c>
      <c r="C650" s="32">
        <v>1142.8</v>
      </c>
      <c r="D650" s="32"/>
      <c r="G650" s="33"/>
    </row>
    <row r="651" spans="2:18" s="15" customFormat="1" x14ac:dyDescent="0.25">
      <c r="B651" t="s">
        <v>530</v>
      </c>
      <c r="C651">
        <v>-78.099999999999994</v>
      </c>
      <c r="G651" s="33"/>
    </row>
    <row r="652" spans="2:18" s="15" customFormat="1" x14ac:dyDescent="0.25">
      <c r="B652" t="s">
        <v>644</v>
      </c>
      <c r="C652">
        <v>-26.9</v>
      </c>
      <c r="D652">
        <v>-28.3</v>
      </c>
      <c r="G652" s="33"/>
    </row>
    <row r="653" spans="2:18" s="15" customFormat="1" x14ac:dyDescent="0.25">
      <c r="B653" t="s">
        <v>304</v>
      </c>
      <c r="C653">
        <v>-13.6</v>
      </c>
      <c r="D653">
        <v>-10</v>
      </c>
      <c r="G653" s="33"/>
    </row>
    <row r="654" spans="2:18" s="15" customFormat="1" x14ac:dyDescent="0.25">
      <c r="B654" t="s">
        <v>532</v>
      </c>
      <c r="C654">
        <v>98.1</v>
      </c>
      <c r="G654" s="33"/>
    </row>
    <row r="655" spans="2:18" s="15" customFormat="1" x14ac:dyDescent="0.25">
      <c r="B655" t="s">
        <v>533</v>
      </c>
      <c r="C655">
        <v>0.3</v>
      </c>
      <c r="G655" s="33"/>
    </row>
    <row r="656" spans="2:18" s="15" customFormat="1" ht="15.75" thickBot="1" x14ac:dyDescent="0.3">
      <c r="B656" t="s">
        <v>534</v>
      </c>
      <c r="C656" s="14">
        <v>-5.9</v>
      </c>
      <c r="D656" s="19"/>
      <c r="E656" s="19"/>
      <c r="F656" s="19"/>
      <c r="G656" s="63"/>
      <c r="H656" s="19"/>
      <c r="I656" s="19"/>
      <c r="J656" s="69"/>
    </row>
    <row r="657" spans="2:10" s="15" customFormat="1" x14ac:dyDescent="0.25">
      <c r="B657" s="15" t="s">
        <v>535</v>
      </c>
      <c r="C657" s="33">
        <f>SUM(C654:C656)</f>
        <v>92.499999999999986</v>
      </c>
      <c r="G657" s="33"/>
    </row>
    <row r="658" spans="2:10" s="15" customFormat="1" x14ac:dyDescent="0.25">
      <c r="G658" s="33"/>
    </row>
    <row r="659" spans="2:10" s="15" customFormat="1" x14ac:dyDescent="0.25">
      <c r="B659" s="15" t="s">
        <v>547</v>
      </c>
      <c r="G659" s="33"/>
    </row>
    <row r="660" spans="2:10" s="15" customFormat="1" x14ac:dyDescent="0.25">
      <c r="B660" t="s">
        <v>26</v>
      </c>
      <c r="C660" s="32">
        <v>1142.8</v>
      </c>
      <c r="G660" s="33"/>
    </row>
    <row r="661" spans="2:10" s="15" customFormat="1" x14ac:dyDescent="0.25">
      <c r="B661" t="s">
        <v>530</v>
      </c>
      <c r="C661" s="17"/>
      <c r="G661" s="33"/>
    </row>
    <row r="662" spans="2:10" s="15" customFormat="1" x14ac:dyDescent="0.25">
      <c r="B662" t="s">
        <v>531</v>
      </c>
      <c r="C662" s="17">
        <v>110.8</v>
      </c>
      <c r="G662" s="33"/>
    </row>
    <row r="663" spans="2:10" s="15" customFormat="1" x14ac:dyDescent="0.25">
      <c r="B663" t="s">
        <v>532</v>
      </c>
      <c r="C663" s="17">
        <v>105.9</v>
      </c>
      <c r="G663" s="33"/>
    </row>
    <row r="664" spans="2:10" s="15" customFormat="1" x14ac:dyDescent="0.25">
      <c r="B664" t="s">
        <v>533</v>
      </c>
      <c r="C664" s="17">
        <v>0.3</v>
      </c>
      <c r="G664" s="33"/>
    </row>
    <row r="665" spans="2:10" s="15" customFormat="1" ht="15.75" thickBot="1" x14ac:dyDescent="0.3">
      <c r="B665" t="s">
        <v>534</v>
      </c>
      <c r="C665" s="14">
        <v>-18.7</v>
      </c>
      <c r="D665" s="19"/>
      <c r="E665" s="19"/>
      <c r="F665" s="19"/>
      <c r="G665" s="63"/>
      <c r="H665" s="19"/>
      <c r="I665" s="19"/>
      <c r="J665" s="69"/>
    </row>
    <row r="666" spans="2:10" s="15" customFormat="1" x14ac:dyDescent="0.25">
      <c r="B666" s="15" t="s">
        <v>535</v>
      </c>
      <c r="C666" s="33">
        <f>SUM(C663:C665)</f>
        <v>87.5</v>
      </c>
      <c r="G666" s="33"/>
    </row>
    <row r="667" spans="2:10" s="15" customFormat="1" x14ac:dyDescent="0.25">
      <c r="G667" s="33"/>
    </row>
    <row r="668" spans="2:10" s="15" customFormat="1" x14ac:dyDescent="0.25">
      <c r="B668" s="15" t="s">
        <v>546</v>
      </c>
      <c r="G668" s="33"/>
    </row>
    <row r="669" spans="2:10" s="15" customFormat="1" x14ac:dyDescent="0.25">
      <c r="B669" t="s">
        <v>528</v>
      </c>
      <c r="C669">
        <v>133.19999999999999</v>
      </c>
      <c r="G669" s="33"/>
    </row>
    <row r="670" spans="2:10" s="15" customFormat="1" x14ac:dyDescent="0.25">
      <c r="B670" t="s">
        <v>536</v>
      </c>
      <c r="C670">
        <v>-17.5</v>
      </c>
      <c r="G670" s="33"/>
    </row>
    <row r="671" spans="2:10" s="15" customFormat="1" x14ac:dyDescent="0.25">
      <c r="B671" s="17" t="s">
        <v>537</v>
      </c>
      <c r="C671" s="17">
        <v>-4.4000000000000004</v>
      </c>
      <c r="G671" s="33"/>
    </row>
    <row r="672" spans="2:10" s="15" customFormat="1" x14ac:dyDescent="0.25">
      <c r="B672" s="17" t="s">
        <v>289</v>
      </c>
      <c r="C672" s="17">
        <v>-0.2</v>
      </c>
      <c r="G672" s="33"/>
    </row>
    <row r="673" spans="2:10" s="15" customFormat="1" x14ac:dyDescent="0.25">
      <c r="B673" s="17" t="s">
        <v>538</v>
      </c>
      <c r="C673" s="17">
        <v>-35</v>
      </c>
      <c r="G673" s="33"/>
    </row>
    <row r="674" spans="2:10" s="15" customFormat="1" ht="15.75" thickBot="1" x14ac:dyDescent="0.3">
      <c r="B674" s="17" t="s">
        <v>539</v>
      </c>
      <c r="C674" s="18">
        <v>-8.6999999999999993</v>
      </c>
      <c r="D674" s="19"/>
      <c r="E674" s="19"/>
      <c r="F674" s="19"/>
      <c r="G674" s="63"/>
      <c r="H674" s="19"/>
      <c r="I674" s="19"/>
      <c r="J674" s="69"/>
    </row>
    <row r="675" spans="2:10" s="15" customFormat="1" x14ac:dyDescent="0.25">
      <c r="B675" s="17" t="s">
        <v>115</v>
      </c>
      <c r="C675" s="15">
        <f>SUM(C669:C674)</f>
        <v>67.399999999999977</v>
      </c>
      <c r="G675" s="33"/>
    </row>
    <row r="676" spans="2:10" s="15" customFormat="1" x14ac:dyDescent="0.25">
      <c r="B676" s="17"/>
      <c r="G676" s="33"/>
    </row>
    <row r="677" spans="2:10" s="15" customFormat="1" x14ac:dyDescent="0.25">
      <c r="B677" s="15" t="s">
        <v>547</v>
      </c>
      <c r="G677" s="33"/>
    </row>
    <row r="678" spans="2:10" s="15" customFormat="1" x14ac:dyDescent="0.25">
      <c r="B678" t="s">
        <v>528</v>
      </c>
      <c r="C678">
        <v>133.19999999999999</v>
      </c>
      <c r="G678" s="33"/>
    </row>
    <row r="679" spans="2:10" s="15" customFormat="1" x14ac:dyDescent="0.25">
      <c r="B679" t="s">
        <v>548</v>
      </c>
      <c r="C679">
        <v>79.599999999999994</v>
      </c>
      <c r="G679" s="33"/>
    </row>
    <row r="680" spans="2:10" s="15" customFormat="1" x14ac:dyDescent="0.25">
      <c r="B680" t="s">
        <v>290</v>
      </c>
      <c r="C680">
        <v>-66.400000000000006</v>
      </c>
      <c r="G680" s="33"/>
    </row>
    <row r="681" spans="2:10" s="15" customFormat="1" x14ac:dyDescent="0.25">
      <c r="B681" t="s">
        <v>549</v>
      </c>
      <c r="C681">
        <v>-12.8</v>
      </c>
      <c r="G681" s="33"/>
    </row>
    <row r="682" spans="2:10" s="15" customFormat="1" x14ac:dyDescent="0.25">
      <c r="B682" t="s">
        <v>550</v>
      </c>
      <c r="C682">
        <v>-0.4</v>
      </c>
      <c r="G682" s="33"/>
    </row>
    <row r="683" spans="2:10" s="15" customFormat="1" x14ac:dyDescent="0.25">
      <c r="B683" t="s">
        <v>551</v>
      </c>
      <c r="C683" s="41">
        <f>SUM(C679:C682)</f>
        <v>-1.2101430968414206E-14</v>
      </c>
      <c r="G683" s="33"/>
    </row>
    <row r="684" spans="2:10" s="15" customFormat="1" x14ac:dyDescent="0.25">
      <c r="B684" t="s">
        <v>536</v>
      </c>
      <c r="C684" s="17">
        <v>-17.5</v>
      </c>
      <c r="G684" s="33"/>
    </row>
    <row r="685" spans="2:10" s="15" customFormat="1" x14ac:dyDescent="0.25">
      <c r="B685" s="17" t="s">
        <v>537</v>
      </c>
      <c r="C685" s="17">
        <v>-4.4000000000000004</v>
      </c>
      <c r="G685" s="33"/>
    </row>
    <row r="686" spans="2:10" s="15" customFormat="1" x14ac:dyDescent="0.25">
      <c r="B686" s="17" t="s">
        <v>289</v>
      </c>
      <c r="C686" s="17">
        <v>-0.2</v>
      </c>
      <c r="G686" s="33"/>
    </row>
    <row r="687" spans="2:10" s="15" customFormat="1" x14ac:dyDescent="0.25">
      <c r="B687" s="17" t="s">
        <v>538</v>
      </c>
      <c r="C687" s="17">
        <v>-35</v>
      </c>
      <c r="G687" s="33"/>
    </row>
    <row r="688" spans="2:10" s="15" customFormat="1" ht="15.75" thickBot="1" x14ac:dyDescent="0.3">
      <c r="B688" s="17" t="s">
        <v>539</v>
      </c>
      <c r="C688" s="18">
        <v>-8.6999999999999993</v>
      </c>
      <c r="D688" s="19"/>
      <c r="E688" s="19"/>
      <c r="F688" s="19"/>
      <c r="G688" s="63"/>
      <c r="H688" s="19"/>
      <c r="I688" s="19"/>
      <c r="J688" s="69"/>
    </row>
    <row r="689" spans="2:10" s="15" customFormat="1" x14ac:dyDescent="0.25">
      <c r="B689" s="15" t="s">
        <v>529</v>
      </c>
      <c r="C689" s="15">
        <f>SUM(C678:C688)</f>
        <v>67.399999999999949</v>
      </c>
      <c r="G689" s="33"/>
    </row>
    <row r="690" spans="2:10" s="15" customFormat="1" x14ac:dyDescent="0.25">
      <c r="B690" s="17"/>
      <c r="G690" s="33"/>
    </row>
    <row r="691" spans="2:10" s="15" customFormat="1" x14ac:dyDescent="0.25">
      <c r="B691" s="17"/>
      <c r="G691" s="33"/>
    </row>
    <row r="692" spans="2:10" s="15" customFormat="1" x14ac:dyDescent="0.25">
      <c r="B692" t="s">
        <v>540</v>
      </c>
      <c r="C692" s="17">
        <v>-85.9</v>
      </c>
      <c r="D692" s="17">
        <v>120.5</v>
      </c>
      <c r="G692" s="33"/>
    </row>
    <row r="693" spans="2:10" s="15" customFormat="1" x14ac:dyDescent="0.25">
      <c r="B693" t="s">
        <v>541</v>
      </c>
      <c r="C693" s="17">
        <v>67.400000000000006</v>
      </c>
      <c r="D693" s="17">
        <v>89.6</v>
      </c>
      <c r="G693" s="33"/>
    </row>
    <row r="694" spans="2:10" s="15" customFormat="1" x14ac:dyDescent="0.25">
      <c r="B694" t="s">
        <v>542</v>
      </c>
      <c r="C694">
        <v>-37.1</v>
      </c>
      <c r="D694" s="17">
        <v>-37.1</v>
      </c>
      <c r="G694" s="33"/>
    </row>
    <row r="695" spans="2:10" s="15" customFormat="1" x14ac:dyDescent="0.25">
      <c r="B695" t="s">
        <v>213</v>
      </c>
      <c r="C695" s="17">
        <v>-16.8</v>
      </c>
      <c r="D695" s="17">
        <v>-1.5</v>
      </c>
      <c r="G695" s="33"/>
    </row>
    <row r="696" spans="2:10" s="15" customFormat="1" x14ac:dyDescent="0.25">
      <c r="B696" t="s">
        <v>543</v>
      </c>
      <c r="C696" s="17">
        <v>79.400000000000006</v>
      </c>
      <c r="D696" s="17"/>
      <c r="G696" s="33"/>
    </row>
    <row r="697" spans="2:10" s="15" customFormat="1" ht="15.75" thickBot="1" x14ac:dyDescent="0.3">
      <c r="B697" t="s">
        <v>544</v>
      </c>
      <c r="C697" s="18">
        <v>-5.5</v>
      </c>
      <c r="D697" s="18">
        <v>-16.399999999999999</v>
      </c>
      <c r="E697" s="19"/>
      <c r="F697" s="19"/>
      <c r="G697" s="63"/>
      <c r="H697" s="19"/>
      <c r="I697" s="19"/>
      <c r="J697" s="69"/>
    </row>
    <row r="698" spans="2:10" s="15" customFormat="1" x14ac:dyDescent="0.25">
      <c r="B698" s="15" t="s">
        <v>570</v>
      </c>
      <c r="C698" s="15">
        <f>SUM(C692:C697)</f>
        <v>1.5</v>
      </c>
      <c r="D698" s="15">
        <f>SUM(D692:D697)</f>
        <v>155.1</v>
      </c>
      <c r="G698" s="33"/>
    </row>
    <row r="701" spans="2:10" ht="15.75" thickBot="1" x14ac:dyDescent="0.3">
      <c r="B701" s="15" t="s">
        <v>1352</v>
      </c>
      <c r="C701" s="13">
        <v>43919</v>
      </c>
      <c r="D701" s="13">
        <v>43919</v>
      </c>
    </row>
    <row r="702" spans="2:10" x14ac:dyDescent="0.25">
      <c r="B702" t="s">
        <v>26</v>
      </c>
      <c r="C702" s="32">
        <f>D7</f>
        <v>1058.8</v>
      </c>
      <c r="D702" s="32">
        <f>D7</f>
        <v>1058.8</v>
      </c>
    </row>
    <row r="703" spans="2:10" x14ac:dyDescent="0.25">
      <c r="B703" t="s">
        <v>27</v>
      </c>
      <c r="C703" s="32">
        <f>D8</f>
        <v>-546.9</v>
      </c>
      <c r="D703" s="32">
        <f>D8</f>
        <v>-546.9</v>
      </c>
    </row>
    <row r="704" spans="2:10" x14ac:dyDescent="0.25">
      <c r="B704" t="s">
        <v>226</v>
      </c>
      <c r="C704" s="32">
        <f>D9</f>
        <v>-0.6</v>
      </c>
      <c r="D704" s="32">
        <f>D9</f>
        <v>-0.6</v>
      </c>
    </row>
    <row r="705" spans="2:4" x14ac:dyDescent="0.25">
      <c r="B705" s="15" t="s">
        <v>28</v>
      </c>
      <c r="C705" s="32">
        <f>D10</f>
        <v>511.3</v>
      </c>
      <c r="D705" s="32">
        <f>SUM(D702:D704)</f>
        <v>511.29999999999995</v>
      </c>
    </row>
    <row r="706" spans="2:4" x14ac:dyDescent="0.25">
      <c r="C706" s="32"/>
    </row>
    <row r="707" spans="2:4" x14ac:dyDescent="0.25">
      <c r="B707" t="s">
        <v>647</v>
      </c>
      <c r="C707" s="32"/>
    </row>
    <row r="708" spans="2:4" x14ac:dyDescent="0.25">
      <c r="B708" t="s">
        <v>227</v>
      </c>
      <c r="C708" s="32">
        <v>-321.8</v>
      </c>
      <c r="D708">
        <v>-313.8</v>
      </c>
    </row>
    <row r="709" spans="2:4" x14ac:dyDescent="0.25">
      <c r="B709" t="s">
        <v>29</v>
      </c>
      <c r="C709" s="32">
        <v>-93.8</v>
      </c>
      <c r="D709">
        <v>-93.8</v>
      </c>
    </row>
    <row r="710" spans="2:4" x14ac:dyDescent="0.25">
      <c r="B710" s="15" t="s">
        <v>30</v>
      </c>
      <c r="C710" s="85">
        <f>SUM(C705:C709)</f>
        <v>95.7</v>
      </c>
      <c r="D710" s="85">
        <f>SUM(D705:D709)</f>
        <v>103.69999999999995</v>
      </c>
    </row>
    <row r="712" spans="2:4" x14ac:dyDescent="0.25">
      <c r="B712" t="s">
        <v>228</v>
      </c>
      <c r="C712">
        <v>0.4</v>
      </c>
      <c r="D712">
        <v>0.5</v>
      </c>
    </row>
    <row r="713" spans="2:4" x14ac:dyDescent="0.25">
      <c r="B713" t="s">
        <v>229</v>
      </c>
      <c r="C713" s="85">
        <v>-4.2</v>
      </c>
      <c r="D713" s="86">
        <v>-18.3</v>
      </c>
    </row>
    <row r="715" spans="2:4" x14ac:dyDescent="0.25">
      <c r="B715" s="15" t="s">
        <v>230</v>
      </c>
      <c r="C715" s="32">
        <f>SUM(C710:C714)</f>
        <v>91.9</v>
      </c>
      <c r="D715" s="32">
        <f>SUM(D710:D714)</f>
        <v>85.899999999999949</v>
      </c>
    </row>
    <row r="717" spans="2:4" x14ac:dyDescent="0.25">
      <c r="B717" t="s">
        <v>231</v>
      </c>
      <c r="C717" s="86">
        <v>-19.7</v>
      </c>
      <c r="D717" s="86">
        <v>-18.5</v>
      </c>
    </row>
    <row r="718" spans="2:4" x14ac:dyDescent="0.25">
      <c r="B718" s="15" t="s">
        <v>40</v>
      </c>
      <c r="C718" s="85">
        <f>SUM(C715:C717)</f>
        <v>72.2</v>
      </c>
      <c r="D718" s="85">
        <f>SUM(D715:D717)</f>
        <v>67.399999999999949</v>
      </c>
    </row>
    <row r="721" spans="2:8" ht="15.75" thickBot="1" x14ac:dyDescent="0.3">
      <c r="B721" s="15"/>
      <c r="C721" s="13">
        <v>43552</v>
      </c>
      <c r="D721" s="87" t="s">
        <v>1353</v>
      </c>
    </row>
    <row r="722" spans="2:8" x14ac:dyDescent="0.25">
      <c r="B722" t="s">
        <v>49</v>
      </c>
      <c r="C722" s="32">
        <f>E50</f>
        <v>123.7</v>
      </c>
      <c r="D722" s="32"/>
    </row>
    <row r="723" spans="2:8" x14ac:dyDescent="0.25">
      <c r="B723" t="s">
        <v>245</v>
      </c>
      <c r="C723" s="32">
        <f>E51</f>
        <v>0</v>
      </c>
      <c r="D723" s="32">
        <v>473.1</v>
      </c>
    </row>
    <row r="724" spans="2:8" x14ac:dyDescent="0.25">
      <c r="B724" t="s">
        <v>48</v>
      </c>
      <c r="C724" s="32">
        <f>E52</f>
        <v>1000.7</v>
      </c>
      <c r="D724" s="32"/>
    </row>
    <row r="725" spans="2:8" x14ac:dyDescent="0.25">
      <c r="B725" t="s">
        <v>246</v>
      </c>
      <c r="C725" s="32">
        <f>E53</f>
        <v>18.7</v>
      </c>
      <c r="D725" s="32">
        <v>1.7</v>
      </c>
    </row>
    <row r="726" spans="2:8" x14ac:dyDescent="0.25">
      <c r="B726" s="15" t="s">
        <v>261</v>
      </c>
      <c r="C726" s="32">
        <f>E54</f>
        <v>1143.0999999999999</v>
      </c>
      <c r="D726" s="32">
        <f>SUM(C726+D725+D723)</f>
        <v>1617.9</v>
      </c>
      <c r="H726" s="32"/>
    </row>
    <row r="727" spans="2:8" x14ac:dyDescent="0.25">
      <c r="C727" s="32"/>
      <c r="D727" s="32"/>
    </row>
    <row r="728" spans="2:8" x14ac:dyDescent="0.25">
      <c r="B728" t="s">
        <v>54</v>
      </c>
      <c r="C728" s="32"/>
      <c r="D728" s="32"/>
    </row>
    <row r="729" spans="2:8" x14ac:dyDescent="0.25">
      <c r="B729" t="s">
        <v>55</v>
      </c>
      <c r="C729" s="32">
        <f>E57</f>
        <v>68.2</v>
      </c>
      <c r="D729" s="32"/>
    </row>
    <row r="730" spans="2:8" x14ac:dyDescent="0.25">
      <c r="B730" t="s">
        <v>247</v>
      </c>
      <c r="C730" s="32">
        <f>E59</f>
        <v>1.6</v>
      </c>
      <c r="D730" s="32">
        <v>0.7</v>
      </c>
    </row>
    <row r="731" spans="2:8" x14ac:dyDescent="0.25">
      <c r="B731" t="s">
        <v>56</v>
      </c>
      <c r="C731" s="32">
        <f>E60</f>
        <v>68.900000000000006</v>
      </c>
      <c r="D731" s="32">
        <v>-9.4</v>
      </c>
    </row>
    <row r="732" spans="2:8" x14ac:dyDescent="0.25">
      <c r="B732" t="s">
        <v>57</v>
      </c>
      <c r="C732" s="32">
        <f>E61</f>
        <v>60.5</v>
      </c>
      <c r="D732" s="32"/>
    </row>
    <row r="733" spans="2:8" x14ac:dyDescent="0.25">
      <c r="B733" s="15" t="s">
        <v>260</v>
      </c>
      <c r="C733" s="32">
        <f>E62</f>
        <v>199.2</v>
      </c>
      <c r="D733" s="32">
        <f>SUM(C733+D731+D730)</f>
        <v>190.49999999999997</v>
      </c>
    </row>
    <row r="734" spans="2:8" x14ac:dyDescent="0.25">
      <c r="C734" s="32"/>
      <c r="D734" s="32"/>
    </row>
    <row r="735" spans="2:8" x14ac:dyDescent="0.25">
      <c r="B735" s="15" t="s">
        <v>58</v>
      </c>
      <c r="C735" s="32">
        <f>E64</f>
        <v>1342.3</v>
      </c>
      <c r="D735" s="32">
        <f>SUM(D733+D726)</f>
        <v>1808.4</v>
      </c>
    </row>
    <row r="736" spans="2:8" x14ac:dyDescent="0.25">
      <c r="C736" s="32"/>
      <c r="D736" s="32"/>
    </row>
    <row r="737" spans="2:4" x14ac:dyDescent="0.25">
      <c r="B737" t="s">
        <v>59</v>
      </c>
      <c r="C737" s="32"/>
      <c r="D737" s="32"/>
    </row>
    <row r="738" spans="2:4" x14ac:dyDescent="0.25">
      <c r="B738" t="s">
        <v>252</v>
      </c>
      <c r="C738" s="32"/>
      <c r="D738" s="32"/>
    </row>
    <row r="739" spans="2:4" x14ac:dyDescent="0.25">
      <c r="B739" t="s">
        <v>60</v>
      </c>
      <c r="C739" s="32">
        <f t="shared" ref="C739:C744" si="111">E68</f>
        <v>-185.8</v>
      </c>
      <c r="D739" s="32">
        <v>5</v>
      </c>
    </row>
    <row r="740" spans="2:4" x14ac:dyDescent="0.25">
      <c r="B740" t="s">
        <v>248</v>
      </c>
      <c r="C740" s="32" t="str">
        <f t="shared" si="111"/>
        <v>-</v>
      </c>
      <c r="D740" s="32">
        <v>-82.7</v>
      </c>
    </row>
    <row r="741" spans="2:4" x14ac:dyDescent="0.25">
      <c r="B741" t="s">
        <v>249</v>
      </c>
      <c r="C741" s="32">
        <f t="shared" si="111"/>
        <v>-10.199999999999999</v>
      </c>
      <c r="D741" s="32"/>
    </row>
    <row r="742" spans="2:4" x14ac:dyDescent="0.25">
      <c r="B742" t="s">
        <v>250</v>
      </c>
      <c r="C742" s="32">
        <f t="shared" si="111"/>
        <v>-15.4</v>
      </c>
      <c r="D742" s="32">
        <v>1.9</v>
      </c>
    </row>
    <row r="743" spans="2:4" x14ac:dyDescent="0.25">
      <c r="B743" t="s">
        <v>251</v>
      </c>
      <c r="C743" s="32">
        <f t="shared" si="111"/>
        <v>-7.3</v>
      </c>
      <c r="D743" s="32"/>
    </row>
    <row r="744" spans="2:4" x14ac:dyDescent="0.25">
      <c r="B744" s="15" t="s">
        <v>262</v>
      </c>
      <c r="C744" s="32">
        <f t="shared" si="111"/>
        <v>-218.7</v>
      </c>
      <c r="D744" s="32">
        <f>SUM(C744+D742+D740+D739)</f>
        <v>-294.5</v>
      </c>
    </row>
    <row r="745" spans="2:4" x14ac:dyDescent="0.25">
      <c r="C745" s="32"/>
      <c r="D745" s="32"/>
    </row>
    <row r="746" spans="2:4" x14ac:dyDescent="0.25">
      <c r="B746" t="s">
        <v>63</v>
      </c>
      <c r="C746" s="32"/>
      <c r="D746" s="32"/>
    </row>
    <row r="747" spans="2:4" x14ac:dyDescent="0.25">
      <c r="B747" t="s">
        <v>252</v>
      </c>
      <c r="C747" s="32">
        <f t="shared" ref="C747:C753" si="112">E76</f>
        <v>-178.8</v>
      </c>
      <c r="D747" s="32"/>
    </row>
    <row r="748" spans="2:4" x14ac:dyDescent="0.25">
      <c r="B748" t="s">
        <v>253</v>
      </c>
      <c r="C748" s="32">
        <f t="shared" si="112"/>
        <v>-33.6</v>
      </c>
      <c r="D748" s="32">
        <v>32.4</v>
      </c>
    </row>
    <row r="749" spans="2:4" x14ac:dyDescent="0.25">
      <c r="B749" t="s">
        <v>248</v>
      </c>
      <c r="C749" s="32" t="str">
        <f t="shared" si="112"/>
        <v>-</v>
      </c>
      <c r="D749" s="32">
        <v>-423.5</v>
      </c>
    </row>
    <row r="750" spans="2:4" x14ac:dyDescent="0.25">
      <c r="B750" t="s">
        <v>250</v>
      </c>
      <c r="C750" s="32">
        <f t="shared" si="112"/>
        <v>-1.7</v>
      </c>
      <c r="D750" s="32">
        <v>0.8</v>
      </c>
    </row>
    <row r="751" spans="2:4" x14ac:dyDescent="0.25">
      <c r="B751" t="s">
        <v>251</v>
      </c>
      <c r="C751" s="32">
        <f t="shared" si="112"/>
        <v>-2.5</v>
      </c>
      <c r="D751" s="32"/>
    </row>
    <row r="752" spans="2:4" x14ac:dyDescent="0.25">
      <c r="B752" t="s">
        <v>254</v>
      </c>
      <c r="C752" s="32">
        <f t="shared" si="112"/>
        <v>-4</v>
      </c>
      <c r="D752" s="32"/>
    </row>
    <row r="753" spans="2:4" x14ac:dyDescent="0.25">
      <c r="B753" s="15" t="s">
        <v>263</v>
      </c>
      <c r="C753" s="32">
        <f t="shared" si="112"/>
        <v>-220.6</v>
      </c>
      <c r="D753" s="32">
        <f>SUM(C753+D750+D749+D748)</f>
        <v>-610.9</v>
      </c>
    </row>
    <row r="754" spans="2:4" x14ac:dyDescent="0.25">
      <c r="C754" s="32"/>
      <c r="D754" s="32"/>
    </row>
    <row r="755" spans="2:4" x14ac:dyDescent="0.25">
      <c r="B755" s="15" t="s">
        <v>65</v>
      </c>
      <c r="C755" s="32">
        <f>E84</f>
        <v>-439.3</v>
      </c>
      <c r="D755" s="32">
        <f>D753+D744</f>
        <v>-905.4</v>
      </c>
    </row>
    <row r="756" spans="2:4" x14ac:dyDescent="0.25">
      <c r="C756" s="32"/>
      <c r="D756" s="32"/>
    </row>
    <row r="757" spans="2:4" x14ac:dyDescent="0.25">
      <c r="B757" s="15" t="s">
        <v>66</v>
      </c>
      <c r="C757" s="32">
        <f>E86</f>
        <v>903</v>
      </c>
      <c r="D757" s="32"/>
    </row>
    <row r="758" spans="2:4" x14ac:dyDescent="0.25">
      <c r="C758" s="32"/>
      <c r="D758" s="32"/>
    </row>
    <row r="759" spans="2:4" x14ac:dyDescent="0.25">
      <c r="B759" t="s">
        <v>255</v>
      </c>
      <c r="C759" s="32"/>
      <c r="D759" s="32"/>
    </row>
    <row r="760" spans="2:4" x14ac:dyDescent="0.25">
      <c r="B760" t="s">
        <v>256</v>
      </c>
      <c r="C760" s="32">
        <f>E89</f>
        <v>5</v>
      </c>
      <c r="D760" s="32">
        <v>5</v>
      </c>
    </row>
    <row r="761" spans="2:4" x14ac:dyDescent="0.25">
      <c r="B761" t="s">
        <v>257</v>
      </c>
      <c r="C761" s="32">
        <f>E90</f>
        <v>-372</v>
      </c>
      <c r="D761" s="32">
        <v>-372</v>
      </c>
    </row>
    <row r="762" spans="2:4" x14ac:dyDescent="0.25">
      <c r="B762" t="s">
        <v>71</v>
      </c>
      <c r="C762" s="32">
        <f>E91</f>
        <v>113.3</v>
      </c>
      <c r="D762" s="32">
        <v>113.3</v>
      </c>
    </row>
    <row r="763" spans="2:4" x14ac:dyDescent="0.25">
      <c r="B763" t="s">
        <v>258</v>
      </c>
      <c r="C763" s="32"/>
      <c r="D763" s="32"/>
    </row>
    <row r="764" spans="2:4" x14ac:dyDescent="0.25">
      <c r="B764" t="s">
        <v>259</v>
      </c>
      <c r="C764" s="32">
        <f>E93</f>
        <v>0.8</v>
      </c>
      <c r="D764" s="32">
        <v>0.8</v>
      </c>
    </row>
    <row r="765" spans="2:4" x14ac:dyDescent="0.25">
      <c r="B765" t="s">
        <v>72</v>
      </c>
      <c r="C765" s="32">
        <f>E94</f>
        <v>1155.9000000000001</v>
      </c>
      <c r="D765" s="32">
        <v>1155.9000000000001</v>
      </c>
    </row>
    <row r="766" spans="2:4" x14ac:dyDescent="0.25">
      <c r="B766" s="15" t="s">
        <v>73</v>
      </c>
      <c r="C766" s="32">
        <f>E95</f>
        <v>903</v>
      </c>
      <c r="D766" s="32">
        <v>903</v>
      </c>
    </row>
    <row r="767" spans="2:4" x14ac:dyDescent="0.25">
      <c r="B767" s="15"/>
    </row>
    <row r="770" spans="2:16" x14ac:dyDescent="0.25">
      <c r="B770" s="106" t="s">
        <v>315</v>
      </c>
      <c r="C770" s="106"/>
      <c r="D770" s="106"/>
      <c r="E770" s="106"/>
      <c r="F770" s="106"/>
      <c r="G770" s="106"/>
      <c r="H770" s="106"/>
      <c r="I770" s="106"/>
      <c r="J770" s="106"/>
      <c r="K770" s="106"/>
      <c r="L770" s="106"/>
      <c r="M770" s="106"/>
      <c r="N770" s="106"/>
      <c r="O770" s="106"/>
      <c r="P770" s="106"/>
    </row>
    <row r="771" spans="2:16" x14ac:dyDescent="0.25">
      <c r="B771" s="15"/>
      <c r="C771" s="15"/>
    </row>
    <row r="773" spans="2:16" ht="15.75" thickBot="1" x14ac:dyDescent="0.3">
      <c r="B773" t="s">
        <v>316</v>
      </c>
      <c r="C773" s="13">
        <v>44280</v>
      </c>
      <c r="D773" s="13">
        <v>43919</v>
      </c>
      <c r="E773" s="13">
        <v>43552</v>
      </c>
      <c r="F773" s="13">
        <v>43188</v>
      </c>
      <c r="G773" s="13">
        <v>42824</v>
      </c>
      <c r="H773" s="13">
        <v>42460</v>
      </c>
      <c r="I773" s="13">
        <v>42089</v>
      </c>
      <c r="L773" s="13">
        <v>44476</v>
      </c>
      <c r="M773" s="13">
        <v>44112</v>
      </c>
      <c r="N773" s="13">
        <v>43748</v>
      </c>
      <c r="O773" s="13">
        <v>43384</v>
      </c>
    </row>
    <row r="774" spans="2:16" x14ac:dyDescent="0.25">
      <c r="B774" t="s">
        <v>317</v>
      </c>
      <c r="D774">
        <v>-0.3</v>
      </c>
      <c r="E774">
        <v>17.899999999999999</v>
      </c>
      <c r="N774" s="43">
        <v>-0.30499999999999999</v>
      </c>
      <c r="O774" s="43">
        <v>-16.23</v>
      </c>
    </row>
    <row r="775" spans="2:16" x14ac:dyDescent="0.25">
      <c r="B775" t="s">
        <v>318</v>
      </c>
      <c r="C775">
        <v>-0.6</v>
      </c>
      <c r="D775">
        <v>3.5</v>
      </c>
      <c r="E775">
        <v>22.5</v>
      </c>
      <c r="N775" s="43">
        <v>3.92</v>
      </c>
      <c r="O775" s="43">
        <v>12.8</v>
      </c>
    </row>
    <row r="776" spans="2:16" s="15" customFormat="1" x14ac:dyDescent="0.25">
      <c r="B776" s="17" t="s">
        <v>319</v>
      </c>
      <c r="D776" s="17">
        <v>1.6</v>
      </c>
      <c r="E776" s="15" t="s">
        <v>42</v>
      </c>
      <c r="N776" s="43">
        <v>2.2090000000000001</v>
      </c>
      <c r="O776" s="43"/>
    </row>
    <row r="777" spans="2:16" x14ac:dyDescent="0.25">
      <c r="B777" t="s">
        <v>320</v>
      </c>
      <c r="D777">
        <v>1.8</v>
      </c>
      <c r="E777" t="s">
        <v>42</v>
      </c>
      <c r="L777">
        <v>-0.4</v>
      </c>
      <c r="N777" s="43">
        <v>1.796</v>
      </c>
      <c r="O777" s="43"/>
    </row>
    <row r="778" spans="2:16" x14ac:dyDescent="0.25">
      <c r="B778" t="s">
        <v>321</v>
      </c>
      <c r="C778">
        <v>1.9</v>
      </c>
      <c r="D778">
        <v>1</v>
      </c>
      <c r="E778">
        <v>0.4</v>
      </c>
      <c r="F778">
        <v>1.625</v>
      </c>
      <c r="M778">
        <v>0.7</v>
      </c>
      <c r="N778" s="43">
        <v>9.0999999999999998E-2</v>
      </c>
      <c r="O778" s="43">
        <v>0.88</v>
      </c>
    </row>
    <row r="779" spans="2:16" ht="15.75" thickBot="1" x14ac:dyDescent="0.3">
      <c r="B779" t="s">
        <v>416</v>
      </c>
      <c r="C779" s="14">
        <v>-30.2</v>
      </c>
      <c r="D779" s="14"/>
      <c r="E779" s="14"/>
      <c r="F779" s="14"/>
      <c r="G779" s="14"/>
      <c r="H779" s="14"/>
      <c r="I779" s="14"/>
      <c r="L779" s="14"/>
      <c r="M779" s="14"/>
      <c r="N779" s="14"/>
      <c r="O779" s="14"/>
    </row>
    <row r="780" spans="2:16" s="15" customFormat="1" x14ac:dyDescent="0.25">
      <c r="B780" s="15" t="s">
        <v>648</v>
      </c>
      <c r="C780" s="15">
        <f>SUM(C774:C779)</f>
        <v>-28.9</v>
      </c>
      <c r="D780" s="15">
        <f>SUM(D774:D779)</f>
        <v>7.6000000000000005</v>
      </c>
      <c r="E780" s="15">
        <f>SUM(E774:E779)</f>
        <v>40.799999999999997</v>
      </c>
      <c r="F780" s="15">
        <f>SUM(F774:F779)</f>
        <v>1.625</v>
      </c>
      <c r="G780" s="15">
        <f>SUM(G774:G779)</f>
        <v>0</v>
      </c>
      <c r="H780" s="15">
        <v>0.83499999999999996</v>
      </c>
      <c r="I780" s="15">
        <f>SUM(I774:I779)</f>
        <v>0</v>
      </c>
      <c r="L780" s="15">
        <f t="shared" ref="L780:O780" si="113">SUM(L774:L779)</f>
        <v>-0.4</v>
      </c>
      <c r="M780" s="15">
        <f t="shared" si="113"/>
        <v>0.7</v>
      </c>
      <c r="N780" s="42">
        <f t="shared" si="113"/>
        <v>7.7110000000000003</v>
      </c>
      <c r="O780" s="42">
        <f t="shared" si="113"/>
        <v>-2.5499999999999998</v>
      </c>
    </row>
    <row r="782" spans="2:16" x14ac:dyDescent="0.25">
      <c r="B782" t="s">
        <v>322</v>
      </c>
      <c r="D782" t="s">
        <v>42</v>
      </c>
      <c r="E782">
        <v>-0.5</v>
      </c>
      <c r="F782">
        <v>2.6850000000000001</v>
      </c>
    </row>
    <row r="783" spans="2:16" x14ac:dyDescent="0.25">
      <c r="B783" t="s">
        <v>323</v>
      </c>
      <c r="D783" t="s">
        <v>42</v>
      </c>
      <c r="E783">
        <v>-0.2</v>
      </c>
      <c r="F783">
        <v>0.62</v>
      </c>
    </row>
    <row r="784" spans="2:16" x14ac:dyDescent="0.25">
      <c r="B784" t="s">
        <v>324</v>
      </c>
      <c r="D784">
        <v>7.6</v>
      </c>
      <c r="E784">
        <v>40.1</v>
      </c>
    </row>
    <row r="785" spans="2:15" x14ac:dyDescent="0.25">
      <c r="B785" t="s">
        <v>325</v>
      </c>
    </row>
    <row r="786" spans="2:15" x14ac:dyDescent="0.25">
      <c r="B786" t="s">
        <v>706</v>
      </c>
      <c r="L786">
        <v>-1.2</v>
      </c>
      <c r="M786">
        <v>-0.6</v>
      </c>
    </row>
    <row r="787" spans="2:15" x14ac:dyDescent="0.25">
      <c r="B787" t="s">
        <v>226</v>
      </c>
      <c r="C787">
        <v>0.8</v>
      </c>
      <c r="D787">
        <v>0.9</v>
      </c>
      <c r="E787">
        <v>2.9</v>
      </c>
      <c r="N787" s="43">
        <v>0.6</v>
      </c>
      <c r="O787" s="43"/>
    </row>
    <row r="788" spans="2:15" x14ac:dyDescent="0.25">
      <c r="B788" t="s">
        <v>326</v>
      </c>
      <c r="C788">
        <v>26.9</v>
      </c>
      <c r="D788">
        <v>28.3</v>
      </c>
      <c r="E788">
        <v>28.5</v>
      </c>
      <c r="F788">
        <v>28.28</v>
      </c>
      <c r="G788">
        <v>25.69</v>
      </c>
      <c r="H788">
        <v>21.914999999999999</v>
      </c>
      <c r="I788">
        <v>16.658999999999999</v>
      </c>
      <c r="L788">
        <v>13.5</v>
      </c>
      <c r="M788">
        <v>14.8</v>
      </c>
      <c r="N788" s="43">
        <v>14.967000000000001</v>
      </c>
      <c r="O788" s="43">
        <v>15.564</v>
      </c>
    </row>
    <row r="789" spans="2:15" x14ac:dyDescent="0.25">
      <c r="B789" t="s">
        <v>304</v>
      </c>
      <c r="C789">
        <v>13.6</v>
      </c>
      <c r="D789">
        <v>10</v>
      </c>
      <c r="E789">
        <v>8.3000000000000007</v>
      </c>
      <c r="F789">
        <v>6.2</v>
      </c>
      <c r="G789">
        <v>3.93</v>
      </c>
      <c r="H789">
        <v>3.1909999999999998</v>
      </c>
      <c r="I789">
        <v>3.1789999999999998</v>
      </c>
      <c r="L789">
        <v>9.1</v>
      </c>
      <c r="M789">
        <v>6.6</v>
      </c>
      <c r="N789" s="43">
        <v>4.9779999999999998</v>
      </c>
      <c r="O789" s="43">
        <v>3.831</v>
      </c>
    </row>
    <row r="790" spans="2:15" x14ac:dyDescent="0.25">
      <c r="B790" t="s">
        <v>303</v>
      </c>
      <c r="C790">
        <v>70.3</v>
      </c>
      <c r="D790">
        <v>71.099999999999994</v>
      </c>
      <c r="E790" t="s">
        <v>42</v>
      </c>
      <c r="L790">
        <v>37.1</v>
      </c>
      <c r="M790">
        <v>37.9</v>
      </c>
      <c r="N790" s="43">
        <v>38.185000000000002</v>
      </c>
      <c r="O790" s="43"/>
    </row>
    <row r="791" spans="2:15" x14ac:dyDescent="0.25">
      <c r="B791" t="s">
        <v>327</v>
      </c>
      <c r="D791">
        <v>14</v>
      </c>
      <c r="E791" t="s">
        <v>42</v>
      </c>
      <c r="N791" s="43">
        <v>7.798</v>
      </c>
      <c r="O791" s="43"/>
    </row>
    <row r="792" spans="2:15" x14ac:dyDescent="0.25">
      <c r="B792" t="s">
        <v>328</v>
      </c>
      <c r="N792" s="43"/>
      <c r="O792" s="43"/>
    </row>
    <row r="793" spans="2:15" x14ac:dyDescent="0.25">
      <c r="B793" t="s">
        <v>329</v>
      </c>
      <c r="D793" t="s">
        <v>42</v>
      </c>
      <c r="E793">
        <v>5</v>
      </c>
      <c r="F793">
        <v>4.3899999999999997</v>
      </c>
      <c r="G793">
        <v>4.4800000000000004</v>
      </c>
      <c r="H793">
        <v>3.89</v>
      </c>
      <c r="I793">
        <v>3.65</v>
      </c>
      <c r="N793" s="43"/>
      <c r="O793" s="43">
        <v>2.8090000000000002</v>
      </c>
    </row>
    <row r="794" spans="2:15" x14ac:dyDescent="0.25">
      <c r="B794" t="s">
        <v>330</v>
      </c>
      <c r="D794" t="s">
        <v>42</v>
      </c>
      <c r="E794">
        <v>76.900000000000006</v>
      </c>
      <c r="F794">
        <v>75.92</v>
      </c>
      <c r="G794">
        <v>73</v>
      </c>
      <c r="H794">
        <v>70.400000000000006</v>
      </c>
      <c r="I794">
        <v>66.474000000000004</v>
      </c>
      <c r="N794" s="43">
        <v>3.9E-2</v>
      </c>
      <c r="O794" s="43">
        <v>41.296999999999997</v>
      </c>
    </row>
    <row r="795" spans="2:15" x14ac:dyDescent="0.25">
      <c r="B795" t="s">
        <v>621</v>
      </c>
      <c r="C795">
        <v>0.1</v>
      </c>
      <c r="D795">
        <v>0.1</v>
      </c>
      <c r="E795">
        <v>0.1</v>
      </c>
      <c r="N795" s="43"/>
      <c r="O795" s="43"/>
    </row>
    <row r="796" spans="2:15" x14ac:dyDescent="0.25">
      <c r="B796" t="s">
        <v>331</v>
      </c>
      <c r="N796" s="43"/>
      <c r="O796" s="43"/>
    </row>
    <row r="797" spans="2:15" x14ac:dyDescent="0.25">
      <c r="B797" t="s">
        <v>1282</v>
      </c>
      <c r="C797">
        <v>-0.3</v>
      </c>
      <c r="D797">
        <v>-0.3</v>
      </c>
      <c r="E797">
        <v>-1</v>
      </c>
      <c r="F797">
        <v>-1.04</v>
      </c>
      <c r="G797">
        <v>-0.83</v>
      </c>
      <c r="L797">
        <v>-0.2</v>
      </c>
      <c r="M797">
        <v>-0.1</v>
      </c>
      <c r="N797" s="43">
        <v>-0.14199999999999999</v>
      </c>
      <c r="O797" s="43">
        <v>-0.52400000000000002</v>
      </c>
    </row>
    <row r="798" spans="2:15" x14ac:dyDescent="0.25">
      <c r="B798" t="s">
        <v>620</v>
      </c>
      <c r="C798">
        <v>-7.3</v>
      </c>
      <c r="D798">
        <v>-7.4</v>
      </c>
      <c r="E798">
        <v>-7.9</v>
      </c>
      <c r="F798">
        <v>-7.1340000000000003</v>
      </c>
      <c r="G798">
        <v>-6.28</v>
      </c>
      <c r="H798">
        <v>-10.17</v>
      </c>
      <c r="I798">
        <v>-8.0500000000000007</v>
      </c>
      <c r="L798">
        <v>-3.9</v>
      </c>
      <c r="M798">
        <v>-4</v>
      </c>
      <c r="N798" s="43">
        <v>-3.9390000000000001</v>
      </c>
      <c r="O798" s="43">
        <v>-4.0880000000000001</v>
      </c>
    </row>
    <row r="799" spans="2:15" x14ac:dyDescent="0.25">
      <c r="B799" t="s">
        <v>268</v>
      </c>
      <c r="C799">
        <v>4.7</v>
      </c>
      <c r="D799">
        <v>4.2</v>
      </c>
      <c r="E799">
        <v>3.5</v>
      </c>
      <c r="F799">
        <v>3.9340000000000002</v>
      </c>
      <c r="G799">
        <v>2.44</v>
      </c>
      <c r="H799">
        <v>3</v>
      </c>
      <c r="I799">
        <v>1.66</v>
      </c>
      <c r="L799">
        <v>2.8</v>
      </c>
      <c r="M799">
        <v>2.4</v>
      </c>
      <c r="N799" s="43">
        <v>2.38</v>
      </c>
      <c r="O799" s="43">
        <v>1.9510000000000001</v>
      </c>
    </row>
    <row r="801" spans="2:16" x14ac:dyDescent="0.25">
      <c r="B801" s="106" t="s">
        <v>332</v>
      </c>
      <c r="C801" s="106"/>
      <c r="D801" s="106"/>
      <c r="E801" s="106"/>
      <c r="F801" s="106"/>
      <c r="G801" s="106"/>
      <c r="H801" s="106"/>
      <c r="I801" s="106"/>
      <c r="J801" s="106"/>
      <c r="K801" s="106"/>
      <c r="L801" s="106"/>
      <c r="M801" s="106"/>
      <c r="N801" s="106"/>
      <c r="O801" s="106"/>
      <c r="P801" s="106"/>
    </row>
    <row r="803" spans="2:16" ht="15.75" thickBot="1" x14ac:dyDescent="0.3">
      <c r="C803" s="13">
        <v>44280</v>
      </c>
      <c r="D803" s="13">
        <v>43919</v>
      </c>
      <c r="E803" s="13">
        <v>43552</v>
      </c>
      <c r="F803" s="13">
        <v>43188</v>
      </c>
      <c r="G803" s="13">
        <v>42824</v>
      </c>
      <c r="H803" s="13">
        <v>42460</v>
      </c>
      <c r="I803" s="13">
        <v>42089</v>
      </c>
      <c r="L803" s="13">
        <v>44476</v>
      </c>
      <c r="M803" s="13">
        <v>44112</v>
      </c>
      <c r="N803" s="13">
        <v>43748</v>
      </c>
      <c r="O803" s="13">
        <v>43384</v>
      </c>
    </row>
    <row r="804" spans="2:16" x14ac:dyDescent="0.25">
      <c r="B804" t="s">
        <v>333</v>
      </c>
      <c r="C804" s="24">
        <v>6538</v>
      </c>
      <c r="D804" s="24">
        <v>6432</v>
      </c>
      <c r="E804" s="24">
        <v>6400</v>
      </c>
      <c r="F804" s="24">
        <v>6142</v>
      </c>
      <c r="G804" s="24">
        <v>6152</v>
      </c>
      <c r="H804" s="24">
        <v>5008</v>
      </c>
      <c r="I804" s="24">
        <v>4863</v>
      </c>
    </row>
    <row r="805" spans="2:16" ht="15.75" thickBot="1" x14ac:dyDescent="0.3">
      <c r="B805" t="s">
        <v>334</v>
      </c>
      <c r="C805" s="14">
        <v>732</v>
      </c>
      <c r="D805" s="14">
        <v>707</v>
      </c>
      <c r="E805" s="14">
        <v>597</v>
      </c>
      <c r="F805" s="14">
        <v>559</v>
      </c>
      <c r="G805" s="14">
        <v>659</v>
      </c>
      <c r="H805" s="14">
        <v>466</v>
      </c>
      <c r="I805" s="14">
        <v>397</v>
      </c>
    </row>
    <row r="806" spans="2:16" s="15" customFormat="1" x14ac:dyDescent="0.25">
      <c r="B806" s="15" t="s">
        <v>115</v>
      </c>
      <c r="C806" s="37">
        <f>SUM(C804:C805)</f>
        <v>7270</v>
      </c>
      <c r="D806" s="37">
        <v>7139</v>
      </c>
      <c r="E806" s="37">
        <v>6997</v>
      </c>
      <c r="F806" s="37">
        <f>SUM(F804:F805)</f>
        <v>6701</v>
      </c>
      <c r="G806" s="37">
        <f>SUM(G804:G805)</f>
        <v>6811</v>
      </c>
      <c r="H806" s="37">
        <f>SUM(H804:H805)</f>
        <v>5474</v>
      </c>
      <c r="I806" s="37">
        <f>SUM(I804:I805)</f>
        <v>5260</v>
      </c>
    </row>
    <row r="808" spans="2:16" x14ac:dyDescent="0.25">
      <c r="B808" t="s">
        <v>335</v>
      </c>
      <c r="C808" s="24">
        <v>8904</v>
      </c>
      <c r="D808" s="24">
        <v>8506</v>
      </c>
      <c r="E808" s="24">
        <v>8447</v>
      </c>
    </row>
    <row r="809" spans="2:16" ht="15.75" thickBot="1" x14ac:dyDescent="0.3">
      <c r="B809" t="s">
        <v>336</v>
      </c>
      <c r="C809" s="31">
        <v>1100</v>
      </c>
      <c r="D809" s="31">
        <v>1055</v>
      </c>
      <c r="E809" s="14">
        <v>614</v>
      </c>
      <c r="F809" s="14"/>
      <c r="G809" s="14"/>
      <c r="H809" s="14"/>
      <c r="I809" s="14"/>
    </row>
    <row r="810" spans="2:16" s="15" customFormat="1" x14ac:dyDescent="0.25">
      <c r="B810" s="15" t="s">
        <v>115</v>
      </c>
      <c r="C810" s="37">
        <f>SUM(C808:C809)</f>
        <v>10004</v>
      </c>
      <c r="D810" s="37">
        <v>9561</v>
      </c>
      <c r="E810" s="37">
        <v>9061</v>
      </c>
    </row>
    <row r="813" spans="2:16" x14ac:dyDescent="0.25">
      <c r="B813" s="106" t="s">
        <v>337</v>
      </c>
      <c r="C813" s="106"/>
      <c r="D813" s="106"/>
      <c r="E813" s="106"/>
      <c r="F813" s="106"/>
      <c r="G813" s="106"/>
      <c r="H813" s="106"/>
      <c r="I813" s="106"/>
      <c r="J813" s="106"/>
      <c r="K813" s="106"/>
      <c r="L813" s="106"/>
      <c r="M813" s="106"/>
      <c r="N813" s="106"/>
      <c r="O813" s="106"/>
      <c r="P813" s="106"/>
    </row>
    <row r="815" spans="2:16" ht="15.75" thickBot="1" x14ac:dyDescent="0.3">
      <c r="C815" s="13">
        <v>44280</v>
      </c>
      <c r="D815" s="13">
        <v>43919</v>
      </c>
      <c r="E815" s="13">
        <v>43552</v>
      </c>
      <c r="F815" s="13">
        <v>43188</v>
      </c>
      <c r="G815" s="13">
        <v>42824</v>
      </c>
      <c r="H815" s="13">
        <v>42460</v>
      </c>
      <c r="I815" s="13">
        <v>42089</v>
      </c>
      <c r="L815" s="13">
        <v>44476</v>
      </c>
      <c r="M815" s="13">
        <v>44112</v>
      </c>
      <c r="N815" s="13">
        <v>43748</v>
      </c>
      <c r="O815" s="13">
        <v>43384</v>
      </c>
    </row>
    <row r="816" spans="2:16" x14ac:dyDescent="0.25">
      <c r="B816" t="s">
        <v>338</v>
      </c>
      <c r="C816">
        <v>227.6</v>
      </c>
      <c r="D816">
        <v>203.1</v>
      </c>
      <c r="E816">
        <v>187.8</v>
      </c>
      <c r="F816">
        <v>180.95</v>
      </c>
      <c r="G816">
        <v>162.94</v>
      </c>
      <c r="H816">
        <v>143.55000000000001</v>
      </c>
      <c r="I816">
        <v>122.51</v>
      </c>
    </row>
    <row r="817" spans="2:9" x14ac:dyDescent="0.25">
      <c r="B817" t="s">
        <v>339</v>
      </c>
      <c r="C817">
        <v>19.2</v>
      </c>
      <c r="D817">
        <v>17.5</v>
      </c>
      <c r="E817">
        <v>16.100000000000001</v>
      </c>
      <c r="F817">
        <v>15.23</v>
      </c>
      <c r="G817">
        <v>13.34</v>
      </c>
      <c r="H817">
        <v>11.044</v>
      </c>
      <c r="I817">
        <v>10.050000000000001</v>
      </c>
    </row>
    <row r="818" spans="2:9" ht="15.75" thickBot="1" x14ac:dyDescent="0.3">
      <c r="B818" t="s">
        <v>340</v>
      </c>
      <c r="C818" s="14">
        <v>7.6</v>
      </c>
      <c r="D818" s="14">
        <v>6.9</v>
      </c>
      <c r="E818" s="14">
        <v>6.2</v>
      </c>
      <c r="F818" s="14">
        <v>5.73</v>
      </c>
      <c r="G818" s="14">
        <v>5.25</v>
      </c>
      <c r="H818" s="14">
        <v>4.2939999999999996</v>
      </c>
      <c r="I818" s="14">
        <v>3.984</v>
      </c>
    </row>
    <row r="819" spans="2:9" s="15" customFormat="1" x14ac:dyDescent="0.25">
      <c r="C819" s="15">
        <f t="shared" ref="C819:I819" si="114">SUM(C816:C818)</f>
        <v>254.39999999999998</v>
      </c>
      <c r="D819" s="15">
        <f t="shared" si="114"/>
        <v>227.5</v>
      </c>
      <c r="E819" s="15">
        <f t="shared" si="114"/>
        <v>210.1</v>
      </c>
      <c r="F819" s="15">
        <f t="shared" si="114"/>
        <v>201.90999999999997</v>
      </c>
      <c r="G819" s="15">
        <f t="shared" si="114"/>
        <v>181.53</v>
      </c>
      <c r="H819" s="42">
        <f t="shared" si="114"/>
        <v>158.88800000000003</v>
      </c>
      <c r="I819" s="42">
        <f t="shared" si="114"/>
        <v>136.54400000000001</v>
      </c>
    </row>
    <row r="820" spans="2:9" s="15" customFormat="1" x14ac:dyDescent="0.25"/>
    <row r="821" spans="2:9" s="15" customFormat="1" x14ac:dyDescent="0.25"/>
    <row r="822" spans="2:9" ht="15.75" thickBot="1" x14ac:dyDescent="0.3">
      <c r="C822" s="13">
        <v>44280</v>
      </c>
      <c r="D822" s="13">
        <v>43919</v>
      </c>
      <c r="E822" s="13">
        <v>43552</v>
      </c>
      <c r="F822" s="13">
        <v>43188</v>
      </c>
      <c r="G822" s="13">
        <v>42824</v>
      </c>
      <c r="H822" s="13">
        <v>42460</v>
      </c>
      <c r="I822" s="13">
        <v>42089</v>
      </c>
    </row>
    <row r="823" spans="2:9" x14ac:dyDescent="0.25">
      <c r="B823" t="s">
        <v>341</v>
      </c>
      <c r="C823">
        <v>2.1</v>
      </c>
      <c r="D823">
        <v>1.8</v>
      </c>
      <c r="E823">
        <v>1.9</v>
      </c>
      <c r="F823">
        <v>1.135</v>
      </c>
      <c r="G823">
        <v>1.41</v>
      </c>
    </row>
    <row r="824" spans="2:9" x14ac:dyDescent="0.25">
      <c r="B824" t="s">
        <v>342</v>
      </c>
      <c r="C824">
        <v>0.5</v>
      </c>
      <c r="D824">
        <v>0.5</v>
      </c>
      <c r="E824">
        <v>0.5</v>
      </c>
      <c r="F824">
        <v>0.5</v>
      </c>
      <c r="G824">
        <v>0.53</v>
      </c>
    </row>
    <row r="825" spans="2:9" x14ac:dyDescent="0.25">
      <c r="B825" t="s">
        <v>343</v>
      </c>
      <c r="C825">
        <v>1.8</v>
      </c>
      <c r="D825">
        <v>0</v>
      </c>
      <c r="E825">
        <v>0</v>
      </c>
      <c r="F825">
        <v>0.03</v>
      </c>
    </row>
    <row r="826" spans="2:9" x14ac:dyDescent="0.25">
      <c r="B826" t="s">
        <v>344</v>
      </c>
      <c r="C826" s="12">
        <v>0.1</v>
      </c>
      <c r="D826">
        <v>0.1</v>
      </c>
      <c r="E826">
        <v>0.1</v>
      </c>
      <c r="F826">
        <v>7.4999999999999997E-2</v>
      </c>
      <c r="G826">
        <v>7.2999999999999995E-2</v>
      </c>
    </row>
    <row r="827" spans="2:9" x14ac:dyDescent="0.25">
      <c r="B827" t="s">
        <v>345</v>
      </c>
      <c r="C827">
        <f>SUM(C823:C826)</f>
        <v>4.5</v>
      </c>
      <c r="D827">
        <f>SUM(D823:D826)</f>
        <v>2.4</v>
      </c>
      <c r="E827">
        <f>SUM(E823:E826)</f>
        <v>2.5</v>
      </c>
      <c r="F827">
        <f>SUM(F823:F826)</f>
        <v>1.74</v>
      </c>
      <c r="G827">
        <f>SUM(G823:G826)</f>
        <v>2.0129999999999999</v>
      </c>
    </row>
    <row r="828" spans="2:9" x14ac:dyDescent="0.25">
      <c r="B828" t="s">
        <v>346</v>
      </c>
      <c r="C828">
        <v>5.5</v>
      </c>
      <c r="D828">
        <v>2.6</v>
      </c>
      <c r="E828">
        <v>2.7</v>
      </c>
    </row>
    <row r="829" spans="2:9" x14ac:dyDescent="0.25">
      <c r="B829" t="s">
        <v>347</v>
      </c>
      <c r="C829">
        <v>2.2000000000000002</v>
      </c>
      <c r="D829">
        <v>0.1</v>
      </c>
      <c r="E829">
        <v>0</v>
      </c>
    </row>
    <row r="830" spans="2:9" ht="15.75" thickBot="1" x14ac:dyDescent="0.3">
      <c r="B830" t="s">
        <v>348</v>
      </c>
      <c r="C830" s="14">
        <v>0.2</v>
      </c>
      <c r="D830" s="14">
        <v>0.1</v>
      </c>
      <c r="E830" s="14">
        <v>0.1</v>
      </c>
      <c r="F830" s="14"/>
      <c r="G830" s="14"/>
      <c r="H830" s="14"/>
      <c r="I830" s="14"/>
    </row>
    <row r="831" spans="2:9" s="15" customFormat="1" x14ac:dyDescent="0.25">
      <c r="B831" s="15" t="s">
        <v>349</v>
      </c>
      <c r="C831" s="15">
        <f>SUM(C827:C830)</f>
        <v>12.399999999999999</v>
      </c>
      <c r="D831" s="15">
        <v>2.8</v>
      </c>
      <c r="E831" s="15">
        <v>2.8</v>
      </c>
      <c r="F831" s="15">
        <v>2.81</v>
      </c>
      <c r="G831" s="15">
        <v>3.33</v>
      </c>
    </row>
    <row r="836" spans="2:16" x14ac:dyDescent="0.25">
      <c r="B836" s="106" t="s">
        <v>352</v>
      </c>
      <c r="C836" s="106"/>
      <c r="D836" s="106"/>
      <c r="E836" s="106"/>
      <c r="F836" s="106"/>
      <c r="G836" s="106"/>
      <c r="H836" s="106"/>
      <c r="I836" s="106"/>
      <c r="J836" s="106"/>
      <c r="K836" s="106"/>
      <c r="L836" s="106"/>
      <c r="M836" s="106"/>
      <c r="N836" s="106"/>
      <c r="O836" s="106"/>
      <c r="P836" s="106"/>
    </row>
    <row r="839" spans="2:16" ht="15.75" thickBot="1" x14ac:dyDescent="0.3">
      <c r="C839" s="13">
        <v>44280</v>
      </c>
      <c r="D839" s="13">
        <v>43919</v>
      </c>
      <c r="E839" s="13">
        <v>43552</v>
      </c>
      <c r="F839" s="13">
        <v>43188</v>
      </c>
      <c r="G839" s="13">
        <v>42824</v>
      </c>
      <c r="H839" s="13">
        <v>42460</v>
      </c>
      <c r="I839" s="13">
        <v>42089</v>
      </c>
      <c r="L839" s="13">
        <v>44476</v>
      </c>
      <c r="M839" s="13">
        <v>44112</v>
      </c>
      <c r="N839" s="13">
        <v>43748</v>
      </c>
      <c r="O839" s="13">
        <v>43384</v>
      </c>
    </row>
    <row r="840" spans="2:16" x14ac:dyDescent="0.25">
      <c r="B840" t="s">
        <v>501</v>
      </c>
      <c r="C840">
        <v>500</v>
      </c>
      <c r="D840">
        <v>500</v>
      </c>
      <c r="E840">
        <v>500</v>
      </c>
      <c r="F840">
        <v>500</v>
      </c>
      <c r="G840">
        <v>500</v>
      </c>
      <c r="H840">
        <v>500</v>
      </c>
      <c r="I840">
        <v>500</v>
      </c>
      <c r="L840">
        <v>500</v>
      </c>
      <c r="M840">
        <v>500</v>
      </c>
    </row>
    <row r="841" spans="2:16" x14ac:dyDescent="0.25">
      <c r="B841" t="s">
        <v>350</v>
      </c>
      <c r="C841">
        <v>11.6</v>
      </c>
      <c r="D841">
        <v>9.6</v>
      </c>
      <c r="E841">
        <v>5.0999999999999996</v>
      </c>
      <c r="F841" s="41">
        <v>3.1195369999999998</v>
      </c>
      <c r="G841" s="41">
        <v>4.0324059999999999</v>
      </c>
      <c r="H841" s="41">
        <v>2.0489839999999999</v>
      </c>
      <c r="I841" s="41">
        <v>1.1097159999999999</v>
      </c>
      <c r="L841">
        <v>8.4</v>
      </c>
      <c r="M841">
        <v>8.4</v>
      </c>
    </row>
    <row r="842" spans="2:16" x14ac:dyDescent="0.25">
      <c r="B842" t="s">
        <v>351</v>
      </c>
      <c r="C842">
        <f>SUM(C840:C841)</f>
        <v>511.6</v>
      </c>
      <c r="D842">
        <v>509.6</v>
      </c>
      <c r="E842">
        <v>505.1</v>
      </c>
      <c r="F842" s="41">
        <f>SUM(F840:F841)</f>
        <v>503.11953699999998</v>
      </c>
      <c r="G842" s="41">
        <f>SUM(G840:G841)</f>
        <v>504.03240599999998</v>
      </c>
      <c r="H842" s="41">
        <f>SUM(H840:H841)</f>
        <v>502.04898400000002</v>
      </c>
      <c r="I842" s="41">
        <f>SUM(I840:I841)</f>
        <v>501.10971599999999</v>
      </c>
      <c r="L842">
        <f>SUM(L840:L841)</f>
        <v>508.4</v>
      </c>
      <c r="M842">
        <f>SUM(M840:M841)</f>
        <v>508.4</v>
      </c>
    </row>
    <row r="845" spans="2:16" x14ac:dyDescent="0.25">
      <c r="B845" s="106" t="s">
        <v>360</v>
      </c>
      <c r="C845" s="106"/>
      <c r="D845" s="106"/>
      <c r="E845" s="106"/>
      <c r="F845" s="106"/>
      <c r="G845" s="106"/>
      <c r="H845" s="106"/>
      <c r="I845" s="106"/>
      <c r="J845" s="106"/>
      <c r="K845" s="106"/>
      <c r="L845" s="106"/>
      <c r="M845" s="106"/>
      <c r="N845" s="106"/>
      <c r="O845" s="106"/>
      <c r="P845" s="106"/>
    </row>
    <row r="847" spans="2:16" ht="15.75" thickBot="1" x14ac:dyDescent="0.3">
      <c r="C847" s="13">
        <v>44280</v>
      </c>
      <c r="D847" s="13">
        <v>43919</v>
      </c>
      <c r="E847" s="13">
        <v>43552</v>
      </c>
      <c r="F847" s="13">
        <v>43188</v>
      </c>
      <c r="G847" s="13">
        <v>42824</v>
      </c>
      <c r="H847" s="13">
        <v>42460</v>
      </c>
      <c r="I847" s="13">
        <v>42089</v>
      </c>
      <c r="L847" s="13">
        <v>44476</v>
      </c>
      <c r="M847" s="13">
        <v>44112</v>
      </c>
      <c r="N847" s="13">
        <v>43748</v>
      </c>
      <c r="O847" s="13">
        <v>43384</v>
      </c>
    </row>
    <row r="848" spans="2:16" x14ac:dyDescent="0.25">
      <c r="B848" t="s">
        <v>353</v>
      </c>
      <c r="C848">
        <v>0.3</v>
      </c>
      <c r="D848">
        <v>0.4</v>
      </c>
      <c r="E848">
        <v>0.5</v>
      </c>
      <c r="F848">
        <v>0.68500000000000005</v>
      </c>
      <c r="G848">
        <v>0.76</v>
      </c>
      <c r="H848">
        <v>0.41</v>
      </c>
      <c r="I848">
        <v>0.57199999999999995</v>
      </c>
    </row>
    <row r="849" spans="2:16" ht="15.75" thickBot="1" x14ac:dyDescent="0.3">
      <c r="B849" t="s">
        <v>354</v>
      </c>
      <c r="C849" s="14">
        <v>0</v>
      </c>
      <c r="D849" s="14">
        <v>0.1</v>
      </c>
      <c r="E849" s="14">
        <v>0.1</v>
      </c>
      <c r="F849" s="14"/>
      <c r="G849" s="14"/>
      <c r="H849" s="14"/>
      <c r="I849" s="14"/>
    </row>
    <row r="850" spans="2:16" s="15" customFormat="1" x14ac:dyDescent="0.25">
      <c r="B850" s="15" t="s">
        <v>355</v>
      </c>
      <c r="C850" s="15">
        <f>SUM(C848:C849)</f>
        <v>0.3</v>
      </c>
      <c r="D850" s="15">
        <v>0.5</v>
      </c>
      <c r="E850" s="15">
        <v>0.6</v>
      </c>
      <c r="F850" s="42">
        <f>SUM(F848:F849)</f>
        <v>0.68500000000000005</v>
      </c>
      <c r="G850" s="42">
        <f>SUM(G848:G849)</f>
        <v>0.76</v>
      </c>
      <c r="H850" s="42">
        <f>SUM(H848:H849)</f>
        <v>0.41</v>
      </c>
      <c r="I850" s="42">
        <f>SUM(I848:I849)</f>
        <v>0.57199999999999995</v>
      </c>
    </row>
    <row r="852" spans="2:16" x14ac:dyDescent="0.25">
      <c r="B852" t="s">
        <v>356</v>
      </c>
      <c r="C852">
        <v>6</v>
      </c>
      <c r="D852">
        <v>4.4000000000000004</v>
      </c>
      <c r="E852">
        <v>4.0999999999999996</v>
      </c>
    </row>
    <row r="853" spans="2:16" x14ac:dyDescent="0.25">
      <c r="B853" t="s">
        <v>357</v>
      </c>
      <c r="C853">
        <v>12.8</v>
      </c>
      <c r="D853">
        <v>14</v>
      </c>
      <c r="E853" t="s">
        <v>42</v>
      </c>
    </row>
    <row r="854" spans="2:16" ht="15.75" thickBot="1" x14ac:dyDescent="0.3">
      <c r="B854" t="s">
        <v>358</v>
      </c>
      <c r="C854" s="14">
        <v>-0.1</v>
      </c>
      <c r="D854" s="14">
        <v>-0.1</v>
      </c>
      <c r="E854" s="14">
        <v>0</v>
      </c>
      <c r="F854" s="14"/>
      <c r="G854" s="14"/>
      <c r="H854" s="14"/>
      <c r="I854" s="14"/>
    </row>
    <row r="855" spans="2:16" s="15" customFormat="1" x14ac:dyDescent="0.25">
      <c r="B855" s="15" t="s">
        <v>359</v>
      </c>
      <c r="C855" s="15">
        <f>SUM(C852:C854)</f>
        <v>18.7</v>
      </c>
      <c r="D855" s="15">
        <v>18.3</v>
      </c>
      <c r="E855" s="15">
        <v>4.0999999999999996</v>
      </c>
      <c r="F855" s="15">
        <f>SUM(F852:F854)</f>
        <v>0</v>
      </c>
      <c r="G855" s="15">
        <f>SUM(G852:G854)</f>
        <v>0</v>
      </c>
      <c r="H855" s="15">
        <f>SUM(H852:H854)</f>
        <v>0</v>
      </c>
      <c r="I855" s="15">
        <f>SUM(I852:I854)</f>
        <v>0</v>
      </c>
    </row>
    <row r="858" spans="2:16" x14ac:dyDescent="0.25">
      <c r="B858" s="106" t="s">
        <v>502</v>
      </c>
      <c r="C858" s="106"/>
      <c r="D858" s="106"/>
      <c r="E858" s="106"/>
      <c r="F858" s="106"/>
      <c r="G858" s="106"/>
      <c r="H858" s="106"/>
      <c r="I858" s="106"/>
      <c r="J858" s="106"/>
      <c r="K858" s="106"/>
      <c r="L858" s="106"/>
      <c r="M858" s="106"/>
      <c r="N858" s="106"/>
      <c r="O858" s="106"/>
      <c r="P858" s="106"/>
    </row>
    <row r="861" spans="2:16" ht="15.75" thickBot="1" x14ac:dyDescent="0.3">
      <c r="B861" t="s">
        <v>503</v>
      </c>
      <c r="C861" s="13">
        <v>44280</v>
      </c>
      <c r="D861" s="13">
        <v>43919</v>
      </c>
      <c r="E861" s="13">
        <v>43552</v>
      </c>
      <c r="F861" s="13">
        <v>43188</v>
      </c>
      <c r="G861" s="13">
        <v>42824</v>
      </c>
      <c r="H861" s="13">
        <v>42460</v>
      </c>
      <c r="I861" s="13">
        <v>42089</v>
      </c>
      <c r="L861" s="13">
        <v>44476</v>
      </c>
      <c r="M861" s="13">
        <v>44112</v>
      </c>
      <c r="N861" s="13">
        <v>43748</v>
      </c>
      <c r="O861" s="13">
        <v>43384</v>
      </c>
    </row>
    <row r="862" spans="2:16" x14ac:dyDescent="0.25">
      <c r="B862" t="s">
        <v>504</v>
      </c>
      <c r="C862">
        <v>24.7</v>
      </c>
      <c r="D862">
        <v>24.8</v>
      </c>
      <c r="E862" s="43">
        <v>24.806999999999999</v>
      </c>
      <c r="F862" s="43">
        <v>24.911999999999999</v>
      </c>
      <c r="G862" s="43">
        <v>27.396000000000001</v>
      </c>
      <c r="H862" s="43">
        <v>17.931999999999999</v>
      </c>
    </row>
    <row r="863" spans="2:16" ht="15.75" thickBot="1" x14ac:dyDescent="0.3">
      <c r="B863" t="s">
        <v>505</v>
      </c>
      <c r="C863" s="14">
        <v>12.4</v>
      </c>
      <c r="D863" s="14">
        <v>12.3</v>
      </c>
      <c r="E863" s="76">
        <v>12.385</v>
      </c>
      <c r="F863" s="76">
        <v>12.429</v>
      </c>
      <c r="G863" s="76">
        <v>12.454000000000001</v>
      </c>
      <c r="H863" s="76">
        <v>9.9619999999999997</v>
      </c>
      <c r="I863" s="76">
        <v>8.9420000000000002</v>
      </c>
      <c r="L863" s="14">
        <v>21.5</v>
      </c>
      <c r="M863" s="14">
        <v>12.4</v>
      </c>
      <c r="N863" s="14"/>
      <c r="O863" s="14"/>
    </row>
    <row r="864" spans="2:16" s="15" customFormat="1" x14ac:dyDescent="0.25">
      <c r="B864" s="15" t="s">
        <v>115</v>
      </c>
      <c r="C864" s="15">
        <f t="shared" ref="C864:I864" si="115">SUM(C862:C863)</f>
        <v>37.1</v>
      </c>
      <c r="D864" s="15">
        <f t="shared" si="115"/>
        <v>37.1</v>
      </c>
      <c r="E864" s="44">
        <f t="shared" si="115"/>
        <v>37.192</v>
      </c>
      <c r="F864" s="44">
        <f t="shared" si="115"/>
        <v>37.341000000000001</v>
      </c>
      <c r="G864" s="44">
        <f t="shared" si="115"/>
        <v>39.85</v>
      </c>
      <c r="H864" s="44">
        <f t="shared" si="115"/>
        <v>27.893999999999998</v>
      </c>
      <c r="I864" s="44">
        <f t="shared" si="115"/>
        <v>8.9420000000000002</v>
      </c>
      <c r="L864" s="15">
        <f>SUM(L862:L863)</f>
        <v>21.5</v>
      </c>
      <c r="M864" s="15">
        <f>SUM(M862:M863)</f>
        <v>12.4</v>
      </c>
    </row>
    <row r="866" spans="2:16" x14ac:dyDescent="0.25">
      <c r="B866" s="106" t="s">
        <v>55</v>
      </c>
      <c r="C866" s="106"/>
      <c r="D866" s="106"/>
      <c r="E866" s="106"/>
      <c r="F866" s="106"/>
      <c r="G866" s="106"/>
      <c r="H866" s="106"/>
      <c r="I866" s="106"/>
      <c r="J866" s="106"/>
      <c r="K866" s="106"/>
      <c r="L866" s="106"/>
      <c r="M866" s="106"/>
      <c r="N866" s="106"/>
      <c r="O866" s="106"/>
      <c r="P866" s="106"/>
    </row>
    <row r="868" spans="2:16" ht="15.75" thickBot="1" x14ac:dyDescent="0.3">
      <c r="C868" s="13">
        <v>44280</v>
      </c>
      <c r="D868" s="13">
        <v>43919</v>
      </c>
      <c r="E868" s="13">
        <v>43552</v>
      </c>
      <c r="F868" s="13">
        <v>43188</v>
      </c>
      <c r="G868" s="13">
        <v>42824</v>
      </c>
      <c r="H868" s="13">
        <v>42460</v>
      </c>
      <c r="I868" s="13">
        <v>42089</v>
      </c>
      <c r="L868" s="13">
        <v>44476</v>
      </c>
      <c r="M868" s="13">
        <v>44112</v>
      </c>
      <c r="N868" s="13">
        <v>43748</v>
      </c>
      <c r="O868" s="13">
        <v>43384</v>
      </c>
    </row>
    <row r="869" spans="2:16" x14ac:dyDescent="0.25">
      <c r="B869" t="s">
        <v>374</v>
      </c>
      <c r="C869">
        <v>83.7</v>
      </c>
      <c r="D869">
        <v>62.8</v>
      </c>
      <c r="E869">
        <v>68.2</v>
      </c>
      <c r="F869">
        <v>60.53</v>
      </c>
      <c r="G869">
        <v>56.42</v>
      </c>
      <c r="H869" s="43">
        <v>52.475999999999999</v>
      </c>
      <c r="I869" s="43">
        <v>48.473999999999997</v>
      </c>
      <c r="L869">
        <v>80.900000000000006</v>
      </c>
      <c r="M869">
        <v>79.8</v>
      </c>
      <c r="N869">
        <v>72.2</v>
      </c>
    </row>
    <row r="870" spans="2:16" x14ac:dyDescent="0.25">
      <c r="B870" t="s">
        <v>707</v>
      </c>
      <c r="C870">
        <v>487.6</v>
      </c>
      <c r="D870">
        <v>438.3</v>
      </c>
      <c r="E870">
        <v>388.1</v>
      </c>
      <c r="F870">
        <v>355.7</v>
      </c>
      <c r="G870">
        <v>315</v>
      </c>
      <c r="H870" s="43">
        <v>381.863</v>
      </c>
      <c r="I870" s="43">
        <v>340.96800000000002</v>
      </c>
      <c r="L870">
        <v>304.60000000000002</v>
      </c>
      <c r="M870">
        <v>245</v>
      </c>
      <c r="N870">
        <v>222.9</v>
      </c>
    </row>
    <row r="872" spans="2:16" x14ac:dyDescent="0.25">
      <c r="B872" t="s">
        <v>250</v>
      </c>
      <c r="C872">
        <v>3.9</v>
      </c>
      <c r="D872">
        <v>3.2</v>
      </c>
      <c r="E872">
        <v>2.6</v>
      </c>
      <c r="F872">
        <v>2.2999999999999998</v>
      </c>
      <c r="G872">
        <v>1.9</v>
      </c>
      <c r="H872">
        <v>2</v>
      </c>
      <c r="I872">
        <v>2</v>
      </c>
    </row>
    <row r="873" spans="2:16" x14ac:dyDescent="0.25">
      <c r="B873" t="s">
        <v>619</v>
      </c>
      <c r="C873">
        <v>9.3000000000000007</v>
      </c>
      <c r="D873">
        <v>8.6999999999999993</v>
      </c>
      <c r="E873">
        <v>8.1</v>
      </c>
      <c r="F873">
        <v>8.1</v>
      </c>
      <c r="G873">
        <v>7.8</v>
      </c>
      <c r="H873">
        <v>8.3000000000000007</v>
      </c>
      <c r="I873">
        <v>7.6</v>
      </c>
    </row>
    <row r="876" spans="2:16" x14ac:dyDescent="0.25">
      <c r="B876" s="106" t="s">
        <v>506</v>
      </c>
      <c r="C876" s="106"/>
      <c r="D876" s="106"/>
      <c r="E876" s="106"/>
      <c r="F876" s="106"/>
      <c r="G876" s="106"/>
      <c r="H876" s="106"/>
      <c r="I876" s="106"/>
      <c r="J876" s="106"/>
      <c r="K876" s="106"/>
      <c r="L876" s="106"/>
      <c r="M876" s="106"/>
      <c r="N876" s="106"/>
      <c r="O876" s="106"/>
      <c r="P876" s="106"/>
    </row>
    <row r="878" spans="2:16" ht="15.75" thickBot="1" x14ac:dyDescent="0.3">
      <c r="B878" t="s">
        <v>509</v>
      </c>
      <c r="C878" s="13">
        <v>44280</v>
      </c>
      <c r="D878" s="13">
        <v>43919</v>
      </c>
      <c r="E878" s="13">
        <v>43552</v>
      </c>
      <c r="F878" s="13">
        <v>43188</v>
      </c>
      <c r="G878" s="13">
        <v>42824</v>
      </c>
      <c r="H878" s="13">
        <v>42460</v>
      </c>
      <c r="I878" s="13">
        <v>42089</v>
      </c>
      <c r="L878" s="13">
        <v>44476</v>
      </c>
      <c r="M878" s="13">
        <v>44112</v>
      </c>
      <c r="N878" s="13">
        <v>43748</v>
      </c>
      <c r="O878" s="13">
        <v>43384</v>
      </c>
    </row>
    <row r="879" spans="2:16" x14ac:dyDescent="0.25">
      <c r="B879" t="s">
        <v>507</v>
      </c>
      <c r="C879">
        <v>16.5</v>
      </c>
      <c r="D879">
        <v>0.1</v>
      </c>
    </row>
    <row r="880" spans="2:16" ht="15.75" thickBot="1" x14ac:dyDescent="0.3">
      <c r="B880" t="s">
        <v>508</v>
      </c>
      <c r="C880" s="14">
        <v>-5.0999999999999996</v>
      </c>
      <c r="D880" s="14">
        <v>-0.1</v>
      </c>
      <c r="E880" s="14"/>
      <c r="F880" s="14"/>
      <c r="G880" s="14"/>
      <c r="H880" s="14"/>
      <c r="I880" s="14"/>
    </row>
    <row r="881" spans="2:16" x14ac:dyDescent="0.25">
      <c r="B881" t="s">
        <v>509</v>
      </c>
      <c r="C881" s="15">
        <f>SUM(C879:C880)</f>
        <v>11.4</v>
      </c>
      <c r="D881" s="15">
        <f>SUM(D879:D880)</f>
        <v>0</v>
      </c>
    </row>
    <row r="884" spans="2:16" x14ac:dyDescent="0.25">
      <c r="B884" s="106" t="s">
        <v>250</v>
      </c>
      <c r="C884" s="106"/>
      <c r="D884" s="106"/>
      <c r="E884" s="106"/>
      <c r="F884" s="106"/>
      <c r="G884" s="106"/>
      <c r="H884" s="106"/>
      <c r="I884" s="106"/>
      <c r="J884" s="106"/>
      <c r="K884" s="106"/>
      <c r="L884" s="106"/>
      <c r="M884" s="106"/>
      <c r="N884" s="106"/>
      <c r="O884" s="106"/>
      <c r="P884" s="106"/>
    </row>
    <row r="886" spans="2:16" ht="15.75" thickBot="1" x14ac:dyDescent="0.3">
      <c r="C886" s="13">
        <v>44280</v>
      </c>
      <c r="D886" s="13">
        <v>43919</v>
      </c>
      <c r="E886" s="13">
        <v>43552</v>
      </c>
      <c r="F886" s="13">
        <v>43188</v>
      </c>
      <c r="G886" s="13">
        <v>42824</v>
      </c>
      <c r="H886" s="13">
        <v>42460</v>
      </c>
      <c r="I886" s="13">
        <v>42089</v>
      </c>
      <c r="L886" s="13">
        <v>44476</v>
      </c>
      <c r="M886" s="13">
        <v>44112</v>
      </c>
      <c r="N886" s="13">
        <v>43748</v>
      </c>
      <c r="O886" s="13">
        <v>43384</v>
      </c>
    </row>
    <row r="887" spans="2:16" x14ac:dyDescent="0.25">
      <c r="B887" t="s">
        <v>515</v>
      </c>
    </row>
    <row r="888" spans="2:16" x14ac:dyDescent="0.25">
      <c r="B888" t="s">
        <v>516</v>
      </c>
      <c r="C888">
        <v>1.9</v>
      </c>
      <c r="D888">
        <v>0.7</v>
      </c>
      <c r="E888" s="43">
        <v>0.66700000000000004</v>
      </c>
      <c r="F888" s="43"/>
    </row>
    <row r="889" spans="2:16" x14ac:dyDescent="0.25">
      <c r="B889" t="s">
        <v>517</v>
      </c>
      <c r="C889">
        <v>2.1</v>
      </c>
      <c r="D889">
        <v>1.3</v>
      </c>
      <c r="E889" s="43">
        <v>7.2999999999999995E-2</v>
      </c>
      <c r="F889" s="43"/>
    </row>
    <row r="890" spans="2:16" x14ac:dyDescent="0.25">
      <c r="B890" t="s">
        <v>518</v>
      </c>
      <c r="C890">
        <v>-0.4</v>
      </c>
      <c r="D890">
        <v>-0.1</v>
      </c>
      <c r="E890" s="43"/>
      <c r="F890" s="43"/>
    </row>
    <row r="891" spans="2:16" ht="15.75" thickBot="1" x14ac:dyDescent="0.3">
      <c r="B891" t="s">
        <v>519</v>
      </c>
      <c r="C891" s="14">
        <v>-0.2</v>
      </c>
      <c r="D891" s="14"/>
      <c r="E891" s="76"/>
      <c r="F891" s="76"/>
    </row>
    <row r="892" spans="2:16" s="15" customFormat="1" x14ac:dyDescent="0.25">
      <c r="B892" s="15" t="s">
        <v>520</v>
      </c>
      <c r="C892" s="15">
        <f>SUM(C888:C891)</f>
        <v>3.4</v>
      </c>
      <c r="D892" s="15">
        <f>SUM(D888:D891)</f>
        <v>1.9</v>
      </c>
      <c r="E892" s="44">
        <f>SUM(E888:E891)</f>
        <v>0.74</v>
      </c>
      <c r="F892" s="44"/>
    </row>
    <row r="893" spans="2:16" x14ac:dyDescent="0.25">
      <c r="E893" s="43"/>
      <c r="F893" s="43"/>
    </row>
    <row r="894" spans="2:16" x14ac:dyDescent="0.25">
      <c r="B894" t="s">
        <v>521</v>
      </c>
      <c r="E894" s="43"/>
      <c r="F894" s="43"/>
    </row>
    <row r="895" spans="2:16" x14ac:dyDescent="0.25">
      <c r="B895" t="s">
        <v>516</v>
      </c>
      <c r="C895">
        <v>1.1000000000000001</v>
      </c>
      <c r="D895">
        <v>2.2999999999999998</v>
      </c>
      <c r="E895" s="43">
        <v>2.3679999999999999</v>
      </c>
      <c r="F895" s="43"/>
    </row>
    <row r="896" spans="2:16" x14ac:dyDescent="0.25">
      <c r="B896" t="s">
        <v>517</v>
      </c>
      <c r="C896">
        <v>0.4</v>
      </c>
      <c r="D896">
        <v>1.2</v>
      </c>
      <c r="E896" s="43">
        <v>2.1680000000000001</v>
      </c>
      <c r="F896" s="43"/>
    </row>
    <row r="897" spans="2:30" x14ac:dyDescent="0.25">
      <c r="B897" t="s">
        <v>518</v>
      </c>
      <c r="C897">
        <v>-0.8</v>
      </c>
      <c r="D897">
        <v>-1.6</v>
      </c>
      <c r="E897" s="43">
        <v>-1.7190000000000001</v>
      </c>
      <c r="F897" s="43"/>
    </row>
    <row r="898" spans="2:30" ht="15.75" thickBot="1" x14ac:dyDescent="0.3">
      <c r="B898" t="s">
        <v>519</v>
      </c>
      <c r="C898" s="14"/>
      <c r="D898" s="14">
        <v>-0.8</v>
      </c>
      <c r="E898" s="76">
        <v>-0.48199999999999998</v>
      </c>
      <c r="F898" s="76"/>
    </row>
    <row r="899" spans="2:30" x14ac:dyDescent="0.25">
      <c r="B899" s="15" t="s">
        <v>520</v>
      </c>
      <c r="C899" s="15">
        <f>SUM(C895:C898)</f>
        <v>0.7</v>
      </c>
      <c r="D899" s="15">
        <f>SUM(D895:D898)</f>
        <v>1.0999999999999999</v>
      </c>
      <c r="E899" s="44">
        <f>SUM(E895:E898)</f>
        <v>2.3349999999999991</v>
      </c>
      <c r="F899" s="43"/>
    </row>
    <row r="900" spans="2:30" x14ac:dyDescent="0.25">
      <c r="E900" s="43"/>
      <c r="F900" s="43"/>
    </row>
    <row r="901" spans="2:30" x14ac:dyDescent="0.25">
      <c r="B901" t="s">
        <v>522</v>
      </c>
      <c r="E901" s="43"/>
      <c r="F901" s="43"/>
      <c r="R901" s="15"/>
      <c r="S901" s="15"/>
      <c r="T901" s="15"/>
      <c r="U901" s="15"/>
      <c r="V901" s="15"/>
      <c r="W901" s="15"/>
      <c r="X901" s="15"/>
      <c r="AA901" s="15"/>
      <c r="AB901" s="15"/>
      <c r="AC901" s="15"/>
      <c r="AD901" s="15"/>
    </row>
    <row r="902" spans="2:30" x14ac:dyDescent="0.25">
      <c r="B902" t="s">
        <v>516</v>
      </c>
      <c r="C902">
        <v>2.2000000000000002</v>
      </c>
      <c r="D902">
        <v>8.6</v>
      </c>
      <c r="E902" s="43"/>
      <c r="F902" s="43"/>
    </row>
    <row r="903" spans="2:30" x14ac:dyDescent="0.25">
      <c r="B903" t="s">
        <v>517</v>
      </c>
      <c r="C903">
        <v>2.7</v>
      </c>
      <c r="D903">
        <v>5.2</v>
      </c>
      <c r="E903" s="43"/>
      <c r="F903" s="43"/>
    </row>
    <row r="904" spans="2:30" x14ac:dyDescent="0.25">
      <c r="B904" t="s">
        <v>518</v>
      </c>
      <c r="C904">
        <v>-2.2999999999999998</v>
      </c>
      <c r="D904">
        <v>-9.6999999999999993</v>
      </c>
      <c r="E904" s="43">
        <v>13.946999999999999</v>
      </c>
      <c r="F904" s="43"/>
    </row>
    <row r="905" spans="2:30" ht="15.75" thickBot="1" x14ac:dyDescent="0.3">
      <c r="B905" t="s">
        <v>519</v>
      </c>
      <c r="C905" s="14">
        <v>-0.3</v>
      </c>
      <c r="D905" s="14">
        <v>-1.9</v>
      </c>
      <c r="E905" s="76">
        <v>-8.5310000000000006</v>
      </c>
      <c r="F905" s="76"/>
    </row>
    <row r="906" spans="2:30" s="15" customFormat="1" x14ac:dyDescent="0.25">
      <c r="B906" s="15" t="s">
        <v>520</v>
      </c>
      <c r="C906" s="15">
        <f>SUM(C902:C905)</f>
        <v>2.3000000000000007</v>
      </c>
      <c r="D906" s="15">
        <f>SUM(D902:D905)</f>
        <v>2.2000000000000015</v>
      </c>
      <c r="E906" s="44">
        <f>SUM(E902:E905)</f>
        <v>5.4159999999999986</v>
      </c>
      <c r="F906" s="44"/>
    </row>
    <row r="907" spans="2:30" x14ac:dyDescent="0.25">
      <c r="E907" s="43"/>
      <c r="F907" s="43"/>
    </row>
    <row r="908" spans="2:30" x14ac:dyDescent="0.25">
      <c r="B908" t="s">
        <v>371</v>
      </c>
      <c r="C908">
        <v>4.3</v>
      </c>
      <c r="D908">
        <v>3.9</v>
      </c>
      <c r="E908" s="43">
        <v>15.4</v>
      </c>
      <c r="F908" s="43">
        <v>0.83499999999999996</v>
      </c>
    </row>
    <row r="909" spans="2:30" ht="15.75" thickBot="1" x14ac:dyDescent="0.3">
      <c r="B909" t="s">
        <v>372</v>
      </c>
      <c r="C909" s="14">
        <v>2.1</v>
      </c>
      <c r="D909" s="14">
        <v>1.3</v>
      </c>
      <c r="E909" s="76">
        <v>1.7</v>
      </c>
      <c r="F909" s="76">
        <v>2.2000000000000002</v>
      </c>
    </row>
    <row r="910" spans="2:30" s="15" customFormat="1" x14ac:dyDescent="0.25">
      <c r="B910" s="15" t="s">
        <v>115</v>
      </c>
      <c r="C910" s="15">
        <f>SUM(C908:C909)</f>
        <v>6.4</v>
      </c>
      <c r="D910" s="15">
        <f>SUM(D908:D909)</f>
        <v>5.2</v>
      </c>
      <c r="E910" s="44">
        <f>SUM(E908:E909)</f>
        <v>17.100000000000001</v>
      </c>
      <c r="F910" s="44">
        <f>SUM(F908:F909)</f>
        <v>3.0350000000000001</v>
      </c>
    </row>
    <row r="911" spans="2:30" s="15" customFormat="1" x14ac:dyDescent="0.25">
      <c r="E911" s="44"/>
      <c r="F911" s="44"/>
    </row>
    <row r="912" spans="2:30" s="15" customFormat="1" x14ac:dyDescent="0.25">
      <c r="E912" s="44"/>
      <c r="F912" s="44"/>
    </row>
    <row r="913" spans="2:16" s="15" customFormat="1" x14ac:dyDescent="0.25">
      <c r="B913" s="106" t="s">
        <v>221</v>
      </c>
      <c r="C913" s="106"/>
      <c r="D913" s="106"/>
      <c r="E913" s="106"/>
      <c r="F913" s="106"/>
      <c r="G913" s="106"/>
      <c r="H913" s="106"/>
      <c r="I913" s="106"/>
      <c r="J913" s="106"/>
      <c r="K913" s="106"/>
      <c r="L913" s="106"/>
      <c r="M913" s="106"/>
      <c r="N913" s="106"/>
      <c r="O913" s="106"/>
      <c r="P913" s="106"/>
    </row>
    <row r="914" spans="2:16" s="15" customFormat="1" x14ac:dyDescent="0.25">
      <c r="B914"/>
      <c r="C914" s="25"/>
      <c r="D914" s="25"/>
      <c r="E914"/>
      <c r="F914"/>
      <c r="G914"/>
      <c r="H914"/>
      <c r="I914"/>
      <c r="J914"/>
      <c r="K914"/>
      <c r="L914"/>
      <c r="M914"/>
      <c r="N914"/>
      <c r="O914"/>
      <c r="P914"/>
    </row>
    <row r="915" spans="2:16" s="15" customFormat="1" x14ac:dyDescent="0.25">
      <c r="B915"/>
      <c r="C915" s="25"/>
      <c r="D915" s="25"/>
      <c r="E915"/>
      <c r="F915"/>
      <c r="G915"/>
      <c r="H915"/>
      <c r="I915"/>
      <c r="J915"/>
      <c r="K915"/>
      <c r="L915"/>
      <c r="M915"/>
      <c r="N915"/>
      <c r="O915"/>
      <c r="P915"/>
    </row>
    <row r="916" spans="2:16" s="15" customFormat="1" ht="15.75" thickBot="1" x14ac:dyDescent="0.3">
      <c r="B916" s="15" t="s">
        <v>221</v>
      </c>
      <c r="C916" s="13">
        <v>44280</v>
      </c>
      <c r="D916" s="13">
        <v>43919</v>
      </c>
      <c r="E916" s="13">
        <v>43552</v>
      </c>
      <c r="F916" s="13">
        <v>43188</v>
      </c>
      <c r="G916" s="13">
        <v>42824</v>
      </c>
      <c r="H916" s="13">
        <v>42460</v>
      </c>
      <c r="I916" s="13"/>
      <c r="J916" s="52"/>
      <c r="K916"/>
      <c r="L916" s="13">
        <v>44476</v>
      </c>
      <c r="M916" s="13">
        <v>44112</v>
      </c>
      <c r="N916" s="13">
        <v>43748</v>
      </c>
      <c r="O916" s="13">
        <v>43384</v>
      </c>
      <c r="P916"/>
    </row>
    <row r="917" spans="2:16" s="15" customFormat="1" x14ac:dyDescent="0.25">
      <c r="B917" t="s">
        <v>1447</v>
      </c>
      <c r="C917">
        <v>22.9</v>
      </c>
      <c r="D917">
        <v>14.8</v>
      </c>
      <c r="E917">
        <v>10.8</v>
      </c>
      <c r="F917">
        <v>10</v>
      </c>
      <c r="G917">
        <v>7.2</v>
      </c>
      <c r="H917"/>
      <c r="I917"/>
      <c r="J917"/>
      <c r="K917"/>
      <c r="L917">
        <v>4.0999999999999996</v>
      </c>
      <c r="M917">
        <v>8.4</v>
      </c>
      <c r="N917">
        <v>4.7</v>
      </c>
      <c r="O917">
        <v>4.8</v>
      </c>
      <c r="P917"/>
    </row>
    <row r="918" spans="2:16" s="15" customFormat="1" x14ac:dyDescent="0.25">
      <c r="B918" t="s">
        <v>610</v>
      </c>
      <c r="C918">
        <v>4.8</v>
      </c>
      <c r="D918">
        <v>11.1</v>
      </c>
      <c r="E918">
        <v>8.8000000000000007</v>
      </c>
      <c r="F918">
        <v>12.8</v>
      </c>
      <c r="G918">
        <v>16.8</v>
      </c>
      <c r="H918"/>
      <c r="I918"/>
      <c r="J918"/>
      <c r="K918"/>
      <c r="L918">
        <v>5.6</v>
      </c>
      <c r="M918">
        <v>1.8</v>
      </c>
      <c r="N918">
        <v>3.3</v>
      </c>
      <c r="O918">
        <v>7.5</v>
      </c>
      <c r="P918"/>
    </row>
    <row r="919" spans="2:16" s="15" customFormat="1" x14ac:dyDescent="0.25">
      <c r="B919" t="s">
        <v>306</v>
      </c>
      <c r="C919">
        <v>6.6</v>
      </c>
      <c r="D919">
        <v>4.8</v>
      </c>
      <c r="E919">
        <v>3</v>
      </c>
      <c r="F919">
        <v>5.5</v>
      </c>
      <c r="G919">
        <v>5.8</v>
      </c>
      <c r="H919"/>
      <c r="I919"/>
      <c r="J919"/>
      <c r="K919"/>
      <c r="L919">
        <v>2</v>
      </c>
      <c r="M919">
        <v>3.6</v>
      </c>
      <c r="N919">
        <v>1.6</v>
      </c>
      <c r="O919">
        <v>2.5</v>
      </c>
      <c r="P919"/>
    </row>
    <row r="920" spans="2:16" s="15" customFormat="1" x14ac:dyDescent="0.25">
      <c r="B920" t="s">
        <v>611</v>
      </c>
      <c r="C920">
        <v>5.6</v>
      </c>
      <c r="D920">
        <v>3.5</v>
      </c>
      <c r="E920">
        <v>5.7</v>
      </c>
      <c r="F920">
        <v>1.1000000000000001</v>
      </c>
      <c r="G920">
        <v>1.3</v>
      </c>
      <c r="H920"/>
      <c r="I920"/>
      <c r="J920"/>
      <c r="K920"/>
      <c r="L920">
        <v>2.9</v>
      </c>
      <c r="M920">
        <v>1.9</v>
      </c>
      <c r="N920">
        <v>2.9</v>
      </c>
      <c r="O920">
        <v>0.7</v>
      </c>
      <c r="P920"/>
    </row>
    <row r="921" spans="2:16" s="15" customFormat="1" x14ac:dyDescent="0.25">
      <c r="B921" t="s">
        <v>612</v>
      </c>
      <c r="C921">
        <v>2.1</v>
      </c>
      <c r="D921">
        <v>1.8</v>
      </c>
      <c r="E921">
        <v>3.7</v>
      </c>
      <c r="F921">
        <v>7.3</v>
      </c>
      <c r="G921">
        <v>6.4</v>
      </c>
      <c r="H921"/>
      <c r="I921"/>
      <c r="J921"/>
      <c r="K921"/>
      <c r="L921">
        <v>0.9</v>
      </c>
      <c r="M921">
        <v>0.6</v>
      </c>
      <c r="N921">
        <v>4.3</v>
      </c>
      <c r="O921">
        <v>5</v>
      </c>
      <c r="P921"/>
    </row>
    <row r="922" spans="2:16" s="15" customFormat="1" ht="15.75" thickBot="1" x14ac:dyDescent="0.3">
      <c r="B922" t="s">
        <v>613</v>
      </c>
      <c r="C922" s="14">
        <v>2.5</v>
      </c>
      <c r="D922" s="14">
        <v>2.2000000000000002</v>
      </c>
      <c r="E922" s="14">
        <v>2.5</v>
      </c>
      <c r="F922" s="14">
        <v>1.7</v>
      </c>
      <c r="G922" s="14">
        <v>1.2</v>
      </c>
      <c r="H922" s="14"/>
      <c r="I922" s="14"/>
      <c r="J922"/>
      <c r="K922"/>
      <c r="L922" s="14">
        <v>1.3</v>
      </c>
      <c r="M922" s="14">
        <v>1</v>
      </c>
      <c r="N922" s="14">
        <v>0.5</v>
      </c>
      <c r="O922" s="14">
        <v>1.3</v>
      </c>
      <c r="P922"/>
    </row>
    <row r="923" spans="2:16" s="15" customFormat="1" x14ac:dyDescent="0.25">
      <c r="B923" t="s">
        <v>115</v>
      </c>
      <c r="C923" s="15">
        <f>SUM(C917:C922)</f>
        <v>44.5</v>
      </c>
      <c r="D923" s="15">
        <f>SUM(D917:D922)</f>
        <v>38.200000000000003</v>
      </c>
      <c r="E923" s="15">
        <f>SUM(E917:E922)</f>
        <v>34.5</v>
      </c>
      <c r="F923" s="15">
        <f>SUM(F917:F922)</f>
        <v>38.400000000000006</v>
      </c>
      <c r="G923" s="15">
        <f>SUM(G917:G922)</f>
        <v>38.700000000000003</v>
      </c>
      <c r="J923"/>
      <c r="K923"/>
      <c r="L923" s="15">
        <f>SUM(L917:L922)</f>
        <v>16.8</v>
      </c>
      <c r="M923" s="15">
        <f>SUM(M917:M922)</f>
        <v>17.3</v>
      </c>
      <c r="N923" s="15">
        <f>SUM(N917:N922)</f>
        <v>17.3</v>
      </c>
      <c r="O923" s="15">
        <f>SUM(O917:O922)</f>
        <v>21.8</v>
      </c>
      <c r="P923"/>
    </row>
    <row r="924" spans="2:16" s="15" customFormat="1" x14ac:dyDescent="0.25">
      <c r="E924" s="44"/>
      <c r="F924" s="44"/>
    </row>
    <row r="925" spans="2:16" s="15" customFormat="1" x14ac:dyDescent="0.25">
      <c r="E925" s="44"/>
      <c r="F925" s="44"/>
    </row>
    <row r="926" spans="2:16" s="15" customFormat="1" x14ac:dyDescent="0.25">
      <c r="E926" s="44"/>
      <c r="F926" s="44"/>
    </row>
    <row r="927" spans="2:16" s="15" customFormat="1" x14ac:dyDescent="0.25">
      <c r="E927" s="44"/>
      <c r="F927" s="44"/>
    </row>
    <row r="928" spans="2:16" s="15" customFormat="1" x14ac:dyDescent="0.25">
      <c r="B928" s="106" t="s">
        <v>56</v>
      </c>
      <c r="C928" s="106"/>
      <c r="D928" s="106"/>
      <c r="E928" s="106"/>
      <c r="F928" s="106"/>
      <c r="G928" s="106"/>
      <c r="H928" s="106"/>
      <c r="I928" s="106"/>
      <c r="J928" s="106"/>
      <c r="K928" s="106"/>
      <c r="L928" s="106"/>
      <c r="M928" s="106"/>
      <c r="N928" s="106"/>
      <c r="O928" s="106"/>
      <c r="P928" s="106"/>
    </row>
    <row r="929" spans="2:21" s="15" customFormat="1" x14ac:dyDescent="0.25">
      <c r="E929" s="44"/>
      <c r="F929" s="44"/>
    </row>
    <row r="930" spans="2:21" s="15" customFormat="1" x14ac:dyDescent="0.25">
      <c r="E930" s="44"/>
      <c r="F930" s="44"/>
    </row>
    <row r="931" spans="2:21" s="15" customFormat="1" x14ac:dyDescent="0.25">
      <c r="E931" s="44"/>
      <c r="F931" s="44"/>
    </row>
    <row r="932" spans="2:21" s="15" customFormat="1" ht="15.75" thickBot="1" x14ac:dyDescent="0.3">
      <c r="B932"/>
      <c r="C932" s="13">
        <v>44280</v>
      </c>
      <c r="D932" s="13">
        <v>43919</v>
      </c>
      <c r="E932" s="13">
        <v>43552</v>
      </c>
      <c r="F932" s="13">
        <v>43188</v>
      </c>
      <c r="G932" s="13">
        <v>42824</v>
      </c>
      <c r="H932" s="13">
        <v>42460</v>
      </c>
      <c r="I932" s="13">
        <v>42089</v>
      </c>
      <c r="J932"/>
      <c r="K932"/>
      <c r="L932" s="13">
        <v>44476</v>
      </c>
      <c r="M932" s="13">
        <v>44112</v>
      </c>
      <c r="N932" s="13">
        <v>43748</v>
      </c>
      <c r="O932" s="13">
        <v>43384</v>
      </c>
    </row>
    <row r="933" spans="2:21" s="15" customFormat="1" x14ac:dyDescent="0.25">
      <c r="B933" t="s">
        <v>1355</v>
      </c>
      <c r="C933">
        <v>11.4</v>
      </c>
      <c r="D933">
        <v>17.399999999999999</v>
      </c>
      <c r="E933" s="43">
        <v>15.831</v>
      </c>
      <c r="F933" s="43">
        <v>14.609</v>
      </c>
      <c r="G933" s="83">
        <v>13.975</v>
      </c>
      <c r="H933" s="83">
        <v>13.826000000000001</v>
      </c>
    </row>
    <row r="934" spans="2:21" s="15" customFormat="1" x14ac:dyDescent="0.25">
      <c r="B934" t="s">
        <v>1356</v>
      </c>
      <c r="C934">
        <v>0.3</v>
      </c>
      <c r="D934">
        <v>1.6</v>
      </c>
      <c r="E934" s="43">
        <v>0.29099999999999998</v>
      </c>
      <c r="F934" s="43">
        <v>1.595</v>
      </c>
      <c r="G934" s="83">
        <v>0</v>
      </c>
      <c r="H934" s="83">
        <v>0</v>
      </c>
    </row>
    <row r="935" spans="2:21" s="15" customFormat="1" x14ac:dyDescent="0.25">
      <c r="B935" t="s">
        <v>1357</v>
      </c>
      <c r="C935">
        <v>20.5</v>
      </c>
      <c r="D935">
        <v>29.5</v>
      </c>
      <c r="E935" s="43">
        <v>27.937999999999999</v>
      </c>
      <c r="F935" s="43">
        <v>29.702999999999999</v>
      </c>
      <c r="G935" s="83">
        <v>24.273</v>
      </c>
      <c r="H935" s="83">
        <v>16.283000000000001</v>
      </c>
      <c r="R935" s="37"/>
      <c r="S935" s="37"/>
    </row>
    <row r="936" spans="2:21" s="15" customFormat="1" x14ac:dyDescent="0.25">
      <c r="B936" s="17" t="s">
        <v>628</v>
      </c>
      <c r="C936">
        <v>9</v>
      </c>
      <c r="D936">
        <v>2.2000000000000002</v>
      </c>
      <c r="E936" s="43">
        <v>7.1040000000000001</v>
      </c>
      <c r="F936" s="43">
        <v>7.6529999999999996</v>
      </c>
      <c r="G936" s="83">
        <v>7.617</v>
      </c>
      <c r="H936" s="83">
        <v>5.6219999999999999</v>
      </c>
      <c r="S936" s="37"/>
    </row>
    <row r="937" spans="2:21" s="15" customFormat="1" x14ac:dyDescent="0.25">
      <c r="B937" t="s">
        <v>1359</v>
      </c>
      <c r="C937">
        <v>0.5</v>
      </c>
      <c r="D937">
        <v>1.5</v>
      </c>
      <c r="E937" s="43">
        <v>12.308999999999999</v>
      </c>
      <c r="F937" s="43">
        <v>15.86</v>
      </c>
      <c r="G937" s="83">
        <v>17.111000000000001</v>
      </c>
      <c r="H937" s="83">
        <v>16.677</v>
      </c>
      <c r="R937" s="37"/>
      <c r="S937" s="37"/>
    </row>
    <row r="938" spans="2:21" s="15" customFormat="1" ht="15.75" thickBot="1" x14ac:dyDescent="0.3">
      <c r="B938" t="s">
        <v>1360</v>
      </c>
      <c r="C938" s="14">
        <v>7.6</v>
      </c>
      <c r="D938" s="14">
        <v>3.7</v>
      </c>
      <c r="E938" s="76">
        <v>5.4130000000000003</v>
      </c>
      <c r="F938" s="76">
        <v>5.4279999999999999</v>
      </c>
      <c r="G938" s="91">
        <v>6.5910000000000002</v>
      </c>
      <c r="H938" s="91">
        <v>5.9630000000000001</v>
      </c>
      <c r="I938" s="76"/>
      <c r="L938" s="14"/>
      <c r="M938" s="14"/>
      <c r="N938" s="14"/>
      <c r="O938" s="14"/>
      <c r="R938" s="37"/>
      <c r="S938" s="37"/>
    </row>
    <row r="939" spans="2:21" s="15" customFormat="1" x14ac:dyDescent="0.25">
      <c r="B939" s="15" t="s">
        <v>115</v>
      </c>
      <c r="C939" s="15">
        <f>SUM(C933:C938)</f>
        <v>49.300000000000004</v>
      </c>
      <c r="D939" s="15">
        <f>SUM(D933:D938)</f>
        <v>55.900000000000006</v>
      </c>
      <c r="E939" s="44">
        <f t="shared" ref="E939:F939" si="116">SUM(E933:E938)</f>
        <v>68.885999999999996</v>
      </c>
      <c r="F939" s="44">
        <f t="shared" si="116"/>
        <v>74.847999999999985</v>
      </c>
      <c r="G939" s="44">
        <f t="shared" ref="G939" si="117">SUM(G933:G938)</f>
        <v>69.566999999999993</v>
      </c>
      <c r="H939" s="44">
        <f t="shared" ref="H939" si="118">SUM(H933:H938)</f>
        <v>58.371000000000002</v>
      </c>
      <c r="T939" s="37"/>
      <c r="U939" s="37"/>
    </row>
    <row r="940" spans="2:21" s="15" customFormat="1" x14ac:dyDescent="0.25">
      <c r="E940" s="44"/>
      <c r="F940" s="44"/>
      <c r="R940" s="37"/>
      <c r="S940" s="37"/>
    </row>
    <row r="941" spans="2:21" s="15" customFormat="1" x14ac:dyDescent="0.25">
      <c r="B941" t="s">
        <v>1358</v>
      </c>
      <c r="C941">
        <v>587.9</v>
      </c>
      <c r="D941">
        <v>579.20000000000005</v>
      </c>
      <c r="E941" s="43">
        <v>578.33600000000001</v>
      </c>
      <c r="F941" s="43">
        <v>576.79499999999996</v>
      </c>
      <c r="G941" s="92">
        <v>576.79499999999996</v>
      </c>
      <c r="H941" s="92">
        <v>580.49300000000005</v>
      </c>
      <c r="R941" s="37"/>
      <c r="S941" s="37"/>
    </row>
    <row r="942" spans="2:21" s="15" customFormat="1" x14ac:dyDescent="0.25">
      <c r="E942" s="44"/>
      <c r="F942" s="44"/>
      <c r="R942" s="37"/>
      <c r="S942" s="37"/>
      <c r="T942" s="37"/>
      <c r="U942" s="37"/>
    </row>
    <row r="944" spans="2:21" x14ac:dyDescent="0.25">
      <c r="B944" s="106" t="s">
        <v>60</v>
      </c>
      <c r="C944" s="106"/>
      <c r="D944" s="106"/>
      <c r="E944" s="106"/>
      <c r="F944" s="106"/>
      <c r="G944" s="106"/>
      <c r="H944" s="106"/>
      <c r="I944" s="106"/>
      <c r="J944" s="106"/>
      <c r="K944" s="106"/>
      <c r="L944" s="106"/>
      <c r="M944" s="106"/>
      <c r="N944" s="106"/>
      <c r="O944" s="106"/>
      <c r="P944" s="106"/>
    </row>
    <row r="946" spans="2:16" ht="15.75" thickBot="1" x14ac:dyDescent="0.3">
      <c r="C946" s="13">
        <v>44280</v>
      </c>
      <c r="D946" s="13">
        <v>43919</v>
      </c>
      <c r="E946" s="13">
        <v>43552</v>
      </c>
      <c r="F946" s="13">
        <v>43188</v>
      </c>
      <c r="G946" s="13">
        <v>42824</v>
      </c>
      <c r="H946" s="13">
        <v>42460</v>
      </c>
      <c r="I946" s="13">
        <v>42089</v>
      </c>
      <c r="L946" s="13">
        <v>44476</v>
      </c>
      <c r="M946" s="13">
        <v>44112</v>
      </c>
      <c r="N946" s="13">
        <v>43748</v>
      </c>
      <c r="O946" s="13">
        <v>43384</v>
      </c>
    </row>
    <row r="947" spans="2:16" x14ac:dyDescent="0.25">
      <c r="B947" t="s">
        <v>371</v>
      </c>
    </row>
    <row r="948" spans="2:16" x14ac:dyDescent="0.25">
      <c r="B948" t="s">
        <v>1361</v>
      </c>
      <c r="C948">
        <v>107.1</v>
      </c>
      <c r="D948">
        <v>110.8</v>
      </c>
      <c r="E948" s="43">
        <v>108.827</v>
      </c>
      <c r="F948" s="43">
        <v>106.709</v>
      </c>
      <c r="G948" s="43">
        <v>98.68</v>
      </c>
      <c r="H948" s="43">
        <v>79.778999999999996</v>
      </c>
    </row>
    <row r="949" spans="2:16" x14ac:dyDescent="0.25">
      <c r="B949" t="s">
        <v>1362</v>
      </c>
      <c r="C949">
        <v>57.9</v>
      </c>
      <c r="D949">
        <v>45.1</v>
      </c>
      <c r="E949" s="43">
        <v>43.567999999999998</v>
      </c>
      <c r="F949" s="43">
        <v>46.637999999999998</v>
      </c>
      <c r="G949" s="43">
        <v>44.115000000000002</v>
      </c>
      <c r="H949" s="43">
        <v>46.16</v>
      </c>
    </row>
    <row r="950" spans="2:16" x14ac:dyDescent="0.25">
      <c r="B950" t="s">
        <v>1363</v>
      </c>
      <c r="C950">
        <v>17.600000000000001</v>
      </c>
      <c r="D950">
        <v>6.7</v>
      </c>
      <c r="E950" s="43">
        <v>3.9710000000000001</v>
      </c>
      <c r="F950" s="43">
        <v>2.9510000000000001</v>
      </c>
      <c r="G950" s="43">
        <v>1.427</v>
      </c>
      <c r="H950" s="43">
        <v>5.9320000000000004</v>
      </c>
    </row>
    <row r="951" spans="2:16" x14ac:dyDescent="0.25">
      <c r="B951" t="s">
        <v>1366</v>
      </c>
      <c r="E951" s="43">
        <v>5.0830000000000002</v>
      </c>
      <c r="F951" s="43">
        <v>4.0629999999999997</v>
      </c>
      <c r="G951" s="43">
        <v>4.1859999999999999</v>
      </c>
      <c r="H951" s="43">
        <v>4.4859999999999998</v>
      </c>
    </row>
    <row r="952" spans="2:16" ht="15.75" thickBot="1" x14ac:dyDescent="0.3">
      <c r="B952" t="s">
        <v>1364</v>
      </c>
      <c r="C952" s="14">
        <v>28.5</v>
      </c>
      <c r="D952" s="14">
        <v>34</v>
      </c>
      <c r="E952" s="76"/>
      <c r="F952" s="76"/>
      <c r="G952" s="76">
        <v>17.478999999999999</v>
      </c>
      <c r="H952" s="76">
        <v>14.087999999999999</v>
      </c>
      <c r="I952" s="14"/>
    </row>
    <row r="953" spans="2:16" x14ac:dyDescent="0.25">
      <c r="B953" t="s">
        <v>115</v>
      </c>
      <c r="C953">
        <f t="shared" ref="C953:H953" si="119">SUM(C948:C952)</f>
        <v>211.1</v>
      </c>
      <c r="D953">
        <f t="shared" si="119"/>
        <v>196.6</v>
      </c>
      <c r="E953" s="43">
        <f t="shared" si="119"/>
        <v>161.44899999999998</v>
      </c>
      <c r="F953" s="43">
        <f t="shared" si="119"/>
        <v>160.36099999999999</v>
      </c>
      <c r="G953" s="43">
        <f t="shared" si="119"/>
        <v>165.887</v>
      </c>
      <c r="H953" s="43">
        <f t="shared" si="119"/>
        <v>150.44499999999996</v>
      </c>
    </row>
    <row r="954" spans="2:16" x14ac:dyDescent="0.25">
      <c r="G954" s="43"/>
      <c r="H954" s="43"/>
    </row>
    <row r="955" spans="2:16" x14ac:dyDescent="0.25">
      <c r="B955" t="s">
        <v>1365</v>
      </c>
      <c r="C955">
        <v>509.3</v>
      </c>
      <c r="D955">
        <v>387.7</v>
      </c>
      <c r="E955" s="24">
        <v>329.45699999999999</v>
      </c>
      <c r="F955" s="24">
        <v>268.70600000000002</v>
      </c>
      <c r="G955" s="43">
        <v>207.61199999999999</v>
      </c>
      <c r="H955" s="43">
        <v>175.55099999999999</v>
      </c>
    </row>
    <row r="956" spans="2:16" x14ac:dyDescent="0.25">
      <c r="G956" s="43"/>
      <c r="H956" s="43"/>
    </row>
    <row r="959" spans="2:16" x14ac:dyDescent="0.25">
      <c r="B959" s="106" t="s">
        <v>511</v>
      </c>
      <c r="C959" s="106"/>
      <c r="D959" s="106"/>
      <c r="E959" s="106"/>
      <c r="F959" s="106"/>
      <c r="G959" s="106"/>
      <c r="H959" s="106"/>
      <c r="I959" s="106"/>
      <c r="J959" s="106"/>
      <c r="K959" s="106"/>
      <c r="L959" s="106"/>
      <c r="M959" s="106"/>
      <c r="N959" s="106"/>
      <c r="O959" s="106"/>
      <c r="P959" s="106"/>
    </row>
    <row r="962" spans="2:15" ht="15.75" thickBot="1" x14ac:dyDescent="0.3">
      <c r="C962" s="13">
        <v>44280</v>
      </c>
      <c r="D962" s="13">
        <v>43919</v>
      </c>
      <c r="E962" s="13">
        <v>43552</v>
      </c>
      <c r="F962" s="13">
        <v>43188</v>
      </c>
      <c r="G962" s="13">
        <v>42824</v>
      </c>
      <c r="H962" s="13">
        <v>42460</v>
      </c>
      <c r="I962" s="13">
        <v>42089</v>
      </c>
      <c r="L962" s="13">
        <v>44476</v>
      </c>
      <c r="M962" s="13">
        <v>44112</v>
      </c>
      <c r="N962" s="13">
        <v>43748</v>
      </c>
      <c r="O962" s="13">
        <v>43384</v>
      </c>
    </row>
    <row r="963" spans="2:15" x14ac:dyDescent="0.25">
      <c r="B963" t="s">
        <v>57</v>
      </c>
      <c r="C963">
        <v>101.4</v>
      </c>
      <c r="D963">
        <v>79.099999999999994</v>
      </c>
      <c r="E963">
        <v>60.5</v>
      </c>
      <c r="F963">
        <v>59.8</v>
      </c>
      <c r="G963">
        <v>39.997999999999998</v>
      </c>
      <c r="H963">
        <v>16.347000000000001</v>
      </c>
      <c r="L963">
        <v>164.7</v>
      </c>
      <c r="M963">
        <v>114.1</v>
      </c>
    </row>
    <row r="964" spans="2:15" x14ac:dyDescent="0.25">
      <c r="B964" t="s">
        <v>512</v>
      </c>
    </row>
    <row r="965" spans="2:15" ht="15.75" thickBot="1" x14ac:dyDescent="0.3">
      <c r="B965" t="s">
        <v>513</v>
      </c>
      <c r="C965" s="14">
        <v>-100</v>
      </c>
      <c r="D965" s="14">
        <v>-165</v>
      </c>
      <c r="E965" s="14">
        <v>-181</v>
      </c>
      <c r="F965" s="14">
        <v>-195</v>
      </c>
      <c r="G965" s="14">
        <v>-202</v>
      </c>
      <c r="H965" s="14">
        <v>-8</v>
      </c>
      <c r="L965" s="14">
        <v>-100</v>
      </c>
      <c r="M965" s="14">
        <v>-165</v>
      </c>
      <c r="N965" s="14"/>
      <c r="O965" s="14"/>
    </row>
    <row r="966" spans="2:15" x14ac:dyDescent="0.25">
      <c r="B966" t="s">
        <v>514</v>
      </c>
      <c r="C966">
        <f t="shared" ref="C966:H966" si="120">SUM(C963:C965)</f>
        <v>1.4000000000000057</v>
      </c>
      <c r="D966">
        <f t="shared" si="120"/>
        <v>-85.9</v>
      </c>
      <c r="E966">
        <f t="shared" si="120"/>
        <v>-120.5</v>
      </c>
      <c r="F966">
        <f t="shared" si="120"/>
        <v>-135.19999999999999</v>
      </c>
      <c r="G966">
        <f t="shared" si="120"/>
        <v>-162.00200000000001</v>
      </c>
      <c r="H966">
        <f t="shared" si="120"/>
        <v>8.3470000000000013</v>
      </c>
      <c r="L966">
        <f t="shared" ref="L966:O966" si="121">SUM(L963:L965)</f>
        <v>64.699999999999989</v>
      </c>
      <c r="M966">
        <f t="shared" si="121"/>
        <v>-50.900000000000006</v>
      </c>
      <c r="N966">
        <f t="shared" si="121"/>
        <v>0</v>
      </c>
      <c r="O966">
        <f t="shared" si="121"/>
        <v>0</v>
      </c>
    </row>
    <row r="969" spans="2:15" x14ac:dyDescent="0.25">
      <c r="B969" t="s">
        <v>252</v>
      </c>
    </row>
    <row r="970" spans="2:15" ht="15.75" thickBot="1" x14ac:dyDescent="0.3">
      <c r="B970" t="s">
        <v>63</v>
      </c>
      <c r="C970" s="13">
        <v>44280</v>
      </c>
      <c r="D970" s="13">
        <v>43919</v>
      </c>
      <c r="E970" s="13">
        <v>43552</v>
      </c>
      <c r="F970" s="13">
        <v>43188</v>
      </c>
      <c r="G970" s="13">
        <v>42824</v>
      </c>
      <c r="H970" s="13">
        <v>42460</v>
      </c>
      <c r="I970" s="13">
        <v>42089</v>
      </c>
    </row>
    <row r="971" spans="2:15" s="38" customFormat="1" x14ac:dyDescent="0.25">
      <c r="B971" s="38" t="s">
        <v>375</v>
      </c>
      <c r="C971">
        <v>98.7</v>
      </c>
      <c r="D971" s="38">
        <v>163.30000000000001</v>
      </c>
      <c r="E971" s="38">
        <v>178.8</v>
      </c>
      <c r="F971" s="24">
        <v>194.51900000000001</v>
      </c>
    </row>
    <row r="972" spans="2:15" x14ac:dyDescent="0.25">
      <c r="B972" t="s">
        <v>510</v>
      </c>
      <c r="C972">
        <v>100</v>
      </c>
      <c r="D972">
        <v>165</v>
      </c>
      <c r="E972">
        <v>-181</v>
      </c>
      <c r="F972">
        <v>-195</v>
      </c>
    </row>
    <row r="975" spans="2:15" x14ac:dyDescent="0.25">
      <c r="B975" t="s">
        <v>376</v>
      </c>
    </row>
    <row r="976" spans="2:15" x14ac:dyDescent="0.25">
      <c r="B976" t="s">
        <v>160</v>
      </c>
      <c r="L976">
        <v>100</v>
      </c>
    </row>
    <row r="977" spans="2:16" ht="15.75" thickBot="1" x14ac:dyDescent="0.3">
      <c r="B977" t="s">
        <v>377</v>
      </c>
      <c r="C977" s="14">
        <v>100</v>
      </c>
      <c r="D977" s="14">
        <v>165</v>
      </c>
      <c r="E977" s="14">
        <v>-181</v>
      </c>
      <c r="F977" s="14">
        <v>-195</v>
      </c>
      <c r="G977" s="14">
        <v>-210</v>
      </c>
      <c r="H977" s="14">
        <v>-202</v>
      </c>
      <c r="L977" s="14"/>
      <c r="M977" s="14">
        <v>165</v>
      </c>
      <c r="N977" s="14"/>
      <c r="O977" s="14"/>
    </row>
    <row r="978" spans="2:16" x14ac:dyDescent="0.25">
      <c r="B978" t="s">
        <v>115</v>
      </c>
      <c r="C978">
        <f>SUM(C976:C977)</f>
        <v>100</v>
      </c>
      <c r="D978">
        <f>SUM(D976:D977)</f>
        <v>165</v>
      </c>
      <c r="E978">
        <f t="shared" ref="E978:H978" si="122">SUM(E976:E977)</f>
        <v>-181</v>
      </c>
      <c r="F978">
        <f t="shared" si="122"/>
        <v>-195</v>
      </c>
      <c r="G978">
        <f t="shared" si="122"/>
        <v>-210</v>
      </c>
      <c r="H978">
        <f t="shared" si="122"/>
        <v>-202</v>
      </c>
      <c r="L978">
        <f t="shared" ref="L978" si="123">SUM(L976:L977)</f>
        <v>100</v>
      </c>
      <c r="M978">
        <f t="shared" ref="M978" si="124">SUM(M976:M977)</f>
        <v>165</v>
      </c>
      <c r="N978">
        <f t="shared" ref="N978" si="125">SUM(N976:N977)</f>
        <v>0</v>
      </c>
      <c r="O978">
        <f t="shared" ref="O978" si="126">SUM(O976:O977)</f>
        <v>0</v>
      </c>
    </row>
    <row r="980" spans="2:16" x14ac:dyDescent="0.25">
      <c r="B980" s="106" t="s">
        <v>623</v>
      </c>
      <c r="C980" s="106"/>
      <c r="D980" s="106"/>
      <c r="E980" s="106"/>
      <c r="F980" s="106"/>
      <c r="G980" s="106"/>
      <c r="H980" s="106"/>
      <c r="I980" s="106"/>
      <c r="J980" s="106"/>
      <c r="K980" s="106"/>
      <c r="L980" s="106"/>
      <c r="M980" s="106"/>
      <c r="N980" s="106"/>
      <c r="O980" s="106"/>
      <c r="P980" s="106"/>
    </row>
    <row r="982" spans="2:16" ht="15.75" thickBot="1" x14ac:dyDescent="0.3">
      <c r="C982" s="13">
        <v>44280</v>
      </c>
      <c r="D982" s="13">
        <v>43919</v>
      </c>
      <c r="E982" s="13">
        <v>43552</v>
      </c>
      <c r="F982" s="13">
        <v>43188</v>
      </c>
      <c r="G982" s="13">
        <v>42824</v>
      </c>
      <c r="H982" s="13">
        <v>42460</v>
      </c>
      <c r="I982" s="13">
        <v>42089</v>
      </c>
      <c r="L982" s="13">
        <v>44476</v>
      </c>
      <c r="M982" s="13">
        <v>44112</v>
      </c>
      <c r="N982" s="13">
        <v>43748</v>
      </c>
      <c r="O982" s="13">
        <v>43384</v>
      </c>
    </row>
    <row r="983" spans="2:16" x14ac:dyDescent="0.25">
      <c r="B983" t="s">
        <v>624</v>
      </c>
      <c r="C983">
        <v>0.2</v>
      </c>
      <c r="D983">
        <v>0.4</v>
      </c>
      <c r="E983" s="43">
        <v>0.40500000000000003</v>
      </c>
      <c r="F983" s="43">
        <v>0.40300000000000002</v>
      </c>
      <c r="G983" s="43">
        <v>0.39700000000000002</v>
      </c>
      <c r="H983" s="43">
        <v>0.29699999999999999</v>
      </c>
    </row>
    <row r="984" spans="2:16" x14ac:dyDescent="0.25">
      <c r="B984" t="s">
        <v>625</v>
      </c>
      <c r="C984">
        <v>11.3</v>
      </c>
      <c r="D984">
        <v>13.3</v>
      </c>
      <c r="E984" s="43">
        <v>13.265000000000001</v>
      </c>
      <c r="F984" s="43">
        <v>14.194000000000001</v>
      </c>
      <c r="G984" s="43">
        <v>12.054</v>
      </c>
      <c r="H984" s="43">
        <v>8.734</v>
      </c>
    </row>
    <row r="985" spans="2:16" x14ac:dyDescent="0.25">
      <c r="B985" t="s">
        <v>626</v>
      </c>
      <c r="C985">
        <v>3.3</v>
      </c>
      <c r="D985">
        <v>4</v>
      </c>
      <c r="E985" s="43">
        <v>3.923</v>
      </c>
      <c r="F985" s="43">
        <v>4.5389999999999997</v>
      </c>
      <c r="G985" s="43">
        <v>3.4159999999999999</v>
      </c>
      <c r="H985" s="43">
        <v>1.018</v>
      </c>
    </row>
    <row r="986" spans="2:16" x14ac:dyDescent="0.25">
      <c r="B986" t="s">
        <v>627</v>
      </c>
      <c r="C986">
        <v>1.1000000000000001</v>
      </c>
      <c r="D986">
        <v>1.1000000000000001</v>
      </c>
      <c r="E986" s="43">
        <v>0.112</v>
      </c>
      <c r="F986" s="43">
        <v>0.112</v>
      </c>
      <c r="G986" s="43">
        <v>0.49</v>
      </c>
      <c r="H986" s="43"/>
    </row>
    <row r="987" spans="2:16" x14ac:dyDescent="0.25">
      <c r="B987" t="s">
        <v>628</v>
      </c>
      <c r="C987">
        <v>0.6</v>
      </c>
      <c r="D987">
        <v>1.8</v>
      </c>
      <c r="E987" s="43">
        <v>0.94799999999999995</v>
      </c>
      <c r="F987" s="43">
        <v>0.93400000000000005</v>
      </c>
      <c r="G987" s="43">
        <v>0.112</v>
      </c>
      <c r="H987" s="43">
        <v>0.112</v>
      </c>
    </row>
    <row r="988" spans="2:16" ht="15.75" thickBot="1" x14ac:dyDescent="0.3">
      <c r="B988" t="s">
        <v>629</v>
      </c>
      <c r="C988" s="14">
        <v>0.2</v>
      </c>
      <c r="D988" s="14">
        <v>0.3</v>
      </c>
      <c r="E988" s="14"/>
      <c r="F988" s="14"/>
      <c r="G988" s="76">
        <v>0.52100000000000002</v>
      </c>
      <c r="H988" s="76"/>
    </row>
    <row r="989" spans="2:16" s="15" customFormat="1" x14ac:dyDescent="0.25">
      <c r="B989" s="15" t="s">
        <v>115</v>
      </c>
      <c r="C989" s="15">
        <f t="shared" ref="C989:H989" si="127">SUM(C983:C988)</f>
        <v>16.7</v>
      </c>
      <c r="D989" s="15">
        <f t="shared" si="127"/>
        <v>20.900000000000006</v>
      </c>
      <c r="E989" s="44">
        <f t="shared" si="127"/>
        <v>18.652999999999999</v>
      </c>
      <c r="F989" s="44">
        <f t="shared" si="127"/>
        <v>20.182000000000002</v>
      </c>
      <c r="G989" s="44">
        <f t="shared" si="127"/>
        <v>16.989999999999998</v>
      </c>
      <c r="H989" s="44">
        <f t="shared" si="127"/>
        <v>10.161000000000001</v>
      </c>
    </row>
    <row r="990" spans="2:16" s="15" customFormat="1" x14ac:dyDescent="0.25"/>
    <row r="991" spans="2:16" s="15" customFormat="1" x14ac:dyDescent="0.25">
      <c r="B991" s="106" t="s">
        <v>660</v>
      </c>
      <c r="C991" s="106"/>
      <c r="D991" s="106"/>
      <c r="E991" s="106"/>
      <c r="F991" s="106"/>
      <c r="G991" s="106"/>
      <c r="H991" s="106"/>
      <c r="I991" s="106"/>
      <c r="J991" s="106"/>
      <c r="K991" s="106"/>
      <c r="L991" s="106"/>
      <c r="M991" s="106"/>
      <c r="N991" s="106"/>
      <c r="O991" s="106"/>
      <c r="P991" s="106"/>
    </row>
    <row r="992" spans="2:16" s="15" customFormat="1" x14ac:dyDescent="0.25"/>
    <row r="993" spans="2:15" s="15" customFormat="1" x14ac:dyDescent="0.25"/>
    <row r="994" spans="2:15" s="15" customFormat="1" ht="15.75" thickBot="1" x14ac:dyDescent="0.3">
      <c r="B994" t="s">
        <v>630</v>
      </c>
      <c r="C994" s="13">
        <v>44280</v>
      </c>
      <c r="D994" s="13">
        <v>43919</v>
      </c>
      <c r="E994" s="13">
        <v>43552</v>
      </c>
      <c r="F994" s="13">
        <v>43188</v>
      </c>
      <c r="G994" s="13">
        <v>42824</v>
      </c>
      <c r="H994" s="13">
        <v>42460</v>
      </c>
      <c r="I994" s="13">
        <v>42089</v>
      </c>
      <c r="J994"/>
      <c r="K994"/>
      <c r="L994" s="13">
        <v>44476</v>
      </c>
      <c r="M994" s="13">
        <v>44112</v>
      </c>
      <c r="N994" s="13">
        <v>43748</v>
      </c>
      <c r="O994" s="13">
        <v>43384</v>
      </c>
    </row>
    <row r="995" spans="2:15" s="15" customFormat="1" x14ac:dyDescent="0.25">
      <c r="B995" s="17" t="s">
        <v>516</v>
      </c>
      <c r="C995">
        <v>37.5</v>
      </c>
      <c r="D995" s="17">
        <v>35</v>
      </c>
      <c r="E995" s="83">
        <v>25.402000000000001</v>
      </c>
      <c r="F995" s="83">
        <v>12.609</v>
      </c>
    </row>
    <row r="996" spans="2:15" s="15" customFormat="1" x14ac:dyDescent="0.25">
      <c r="B996" s="17" t="s">
        <v>661</v>
      </c>
      <c r="C996" s="17">
        <v>-1.4</v>
      </c>
      <c r="D996" s="17"/>
      <c r="E996" s="83"/>
      <c r="F996" s="83">
        <v>-10.765000000000001</v>
      </c>
    </row>
    <row r="997" spans="2:15" s="15" customFormat="1" x14ac:dyDescent="0.25">
      <c r="B997" t="s">
        <v>631</v>
      </c>
      <c r="C997" s="17">
        <v>-9.4</v>
      </c>
      <c r="D997" s="17">
        <v>2.5</v>
      </c>
      <c r="E997" s="83">
        <v>9.6359999999999992</v>
      </c>
      <c r="F997" s="83">
        <v>5.3250000000000002</v>
      </c>
    </row>
    <row r="998" spans="2:15" s="15" customFormat="1" ht="15.75" thickBot="1" x14ac:dyDescent="0.3">
      <c r="B998" t="s">
        <v>662</v>
      </c>
      <c r="C998" s="19"/>
      <c r="D998" s="19"/>
      <c r="E998" s="90"/>
      <c r="F998" s="90"/>
    </row>
    <row r="999" spans="2:15" s="15" customFormat="1" x14ac:dyDescent="0.25">
      <c r="B999" s="17" t="s">
        <v>520</v>
      </c>
      <c r="C999" s="17">
        <f>SUM(C995:C998)</f>
        <v>26.700000000000003</v>
      </c>
      <c r="D999" s="17">
        <f>SUM(D995:D998)</f>
        <v>37.5</v>
      </c>
      <c r="E999" s="83">
        <f>SUM(E995:E998)</f>
        <v>35.037999999999997</v>
      </c>
      <c r="F999" s="83">
        <f>SUM(F995:F998)</f>
        <v>7.1689999999999996</v>
      </c>
    </row>
    <row r="1000" spans="2:15" s="15" customFormat="1" x14ac:dyDescent="0.25">
      <c r="E1000" s="44"/>
      <c r="F1000" s="44"/>
    </row>
    <row r="1001" spans="2:15" s="15" customFormat="1" x14ac:dyDescent="0.25">
      <c r="B1001" t="s">
        <v>632</v>
      </c>
      <c r="E1001" s="44"/>
      <c r="F1001" s="44"/>
    </row>
    <row r="1002" spans="2:15" s="15" customFormat="1" x14ac:dyDescent="0.25">
      <c r="B1002" s="17" t="s">
        <v>516</v>
      </c>
      <c r="C1002" s="17">
        <v>-8</v>
      </c>
      <c r="D1002" s="17">
        <v>-7.1</v>
      </c>
      <c r="E1002" s="83">
        <v>-4.2039999999999997</v>
      </c>
      <c r="F1002" s="83">
        <v>-4.1040000000000001</v>
      </c>
    </row>
    <row r="1003" spans="2:15" s="15" customFormat="1" x14ac:dyDescent="0.25">
      <c r="B1003" s="17" t="s">
        <v>661</v>
      </c>
      <c r="C1003" s="17">
        <v>1.4</v>
      </c>
      <c r="E1003" s="83"/>
      <c r="F1003" s="83">
        <v>3.2040000000000002</v>
      </c>
    </row>
    <row r="1004" spans="2:15" s="15" customFormat="1" x14ac:dyDescent="0.25">
      <c r="B1004" t="s">
        <v>631</v>
      </c>
      <c r="C1004" s="17"/>
      <c r="E1004" s="44"/>
      <c r="F1004" s="44"/>
    </row>
    <row r="1005" spans="2:15" s="15" customFormat="1" ht="15.75" thickBot="1" x14ac:dyDescent="0.3">
      <c r="B1005" t="s">
        <v>662</v>
      </c>
      <c r="C1005" s="18">
        <v>0.4</v>
      </c>
      <c r="D1005" s="18">
        <v>-0.9</v>
      </c>
      <c r="E1005" s="91">
        <v>-2.8959999999999999</v>
      </c>
      <c r="F1005" s="91">
        <v>-6.2690000000000001</v>
      </c>
    </row>
    <row r="1006" spans="2:15" s="15" customFormat="1" x14ac:dyDescent="0.25">
      <c r="B1006" s="17" t="s">
        <v>520</v>
      </c>
      <c r="C1006" s="17">
        <f>SUM(C1002:C1005)</f>
        <v>-6.1999999999999993</v>
      </c>
      <c r="D1006" s="17">
        <f>SUM(D1002:D1005)</f>
        <v>-8</v>
      </c>
      <c r="E1006" s="83">
        <f>SUM(E1002:E1005)</f>
        <v>-7.1</v>
      </c>
      <c r="F1006" s="83">
        <f>SUM(F1002:F1005)</f>
        <v>-7.1690000000000005</v>
      </c>
    </row>
    <row r="1007" spans="2:15" s="15" customFormat="1" x14ac:dyDescent="0.25">
      <c r="E1007" s="44"/>
      <c r="F1007" s="44"/>
    </row>
    <row r="1008" spans="2:15" s="15" customFormat="1" x14ac:dyDescent="0.25">
      <c r="B1008" t="s">
        <v>633</v>
      </c>
      <c r="E1008" s="44"/>
      <c r="F1008" s="44"/>
    </row>
    <row r="1009" spans="2:10" s="15" customFormat="1" x14ac:dyDescent="0.25">
      <c r="B1009" s="17" t="s">
        <v>516</v>
      </c>
      <c r="C1009" s="17">
        <f>C1002+C995</f>
        <v>29.5</v>
      </c>
      <c r="D1009" s="17">
        <f>D1002+D995</f>
        <v>27.9</v>
      </c>
      <c r="E1009" s="83">
        <f>E1002+E995</f>
        <v>21.198</v>
      </c>
      <c r="F1009" s="83">
        <f>F1002+F995</f>
        <v>8.504999999999999</v>
      </c>
    </row>
    <row r="1010" spans="2:10" s="15" customFormat="1" x14ac:dyDescent="0.25">
      <c r="B1010" s="17" t="s">
        <v>661</v>
      </c>
      <c r="C1010" s="17">
        <f>C1003+C996</f>
        <v>0</v>
      </c>
      <c r="E1010" s="44"/>
      <c r="F1010" s="44"/>
    </row>
    <row r="1011" spans="2:10" s="15" customFormat="1" x14ac:dyDescent="0.25">
      <c r="B1011" t="s">
        <v>631</v>
      </c>
      <c r="C1011" s="17">
        <f>C1004+C997</f>
        <v>-9.4</v>
      </c>
      <c r="E1011" s="44"/>
      <c r="F1011" s="44"/>
    </row>
    <row r="1012" spans="2:10" s="15" customFormat="1" ht="15.75" thickBot="1" x14ac:dyDescent="0.3">
      <c r="B1012" t="s">
        <v>662</v>
      </c>
      <c r="C1012" s="18">
        <f>C1005+C998</f>
        <v>0.4</v>
      </c>
      <c r="D1012" s="19"/>
      <c r="E1012" s="90"/>
      <c r="F1012" s="90"/>
    </row>
    <row r="1013" spans="2:10" s="17" customFormat="1" x14ac:dyDescent="0.25">
      <c r="B1013" s="17" t="s">
        <v>520</v>
      </c>
      <c r="C1013" s="17">
        <f>C1006+C999</f>
        <v>20.500000000000004</v>
      </c>
      <c r="E1013" s="83"/>
      <c r="F1013" s="83"/>
    </row>
    <row r="1014" spans="2:10" s="15" customFormat="1" x14ac:dyDescent="0.25">
      <c r="E1014" s="44"/>
      <c r="F1014" s="44"/>
    </row>
    <row r="1015" spans="2:10" s="15" customFormat="1" x14ac:dyDescent="0.25">
      <c r="B1015" t="s">
        <v>654</v>
      </c>
      <c r="C1015" s="17">
        <v>15.9</v>
      </c>
      <c r="D1015" s="17">
        <v>26.6</v>
      </c>
      <c r="E1015" s="83">
        <v>4.5</v>
      </c>
      <c r="F1015" s="83">
        <v>11.2</v>
      </c>
      <c r="G1015" s="17"/>
      <c r="H1015" s="17"/>
      <c r="I1015" s="17"/>
      <c r="J1015" s="17"/>
    </row>
    <row r="1016" spans="2:10" s="15" customFormat="1" x14ac:dyDescent="0.25">
      <c r="B1016" t="s">
        <v>655</v>
      </c>
      <c r="C1016" s="17">
        <v>5.4</v>
      </c>
      <c r="D1016" s="17">
        <v>6.7</v>
      </c>
      <c r="E1016" s="83">
        <v>30.5</v>
      </c>
      <c r="F1016" s="83">
        <v>26.751000000000001</v>
      </c>
      <c r="G1016" s="17"/>
      <c r="H1016" s="17"/>
      <c r="I1016" s="17"/>
      <c r="J1016" s="17"/>
    </row>
    <row r="1017" spans="2:10" s="15" customFormat="1" x14ac:dyDescent="0.25">
      <c r="B1017" t="s">
        <v>656</v>
      </c>
      <c r="C1017" s="17">
        <v>5.4</v>
      </c>
      <c r="D1017" s="17">
        <v>4.2</v>
      </c>
      <c r="E1017" s="83"/>
      <c r="F1017" s="83"/>
      <c r="G1017" s="17"/>
      <c r="H1017" s="17"/>
      <c r="I1017" s="17"/>
      <c r="J1017" s="17"/>
    </row>
    <row r="1018" spans="2:10" s="15" customFormat="1" x14ac:dyDescent="0.25">
      <c r="B1018" t="s">
        <v>657</v>
      </c>
      <c r="C1018" s="17">
        <f>SUM(C1015:C1017)</f>
        <v>26.700000000000003</v>
      </c>
      <c r="D1018" s="17">
        <f>SUM(D1015:D1017)</f>
        <v>37.500000000000007</v>
      </c>
      <c r="E1018" s="83">
        <f>SUM(E1015:E1017)</f>
        <v>35</v>
      </c>
      <c r="F1018" s="83">
        <f>SUM(F1015:F1017)</f>
        <v>37.951000000000001</v>
      </c>
      <c r="G1018" s="17"/>
      <c r="H1018" s="17"/>
      <c r="I1018" s="17"/>
      <c r="J1018" s="17"/>
    </row>
    <row r="1019" spans="2:10" s="15" customFormat="1" ht="15.75" thickBot="1" x14ac:dyDescent="0.3">
      <c r="B1019" t="s">
        <v>658</v>
      </c>
      <c r="C1019" s="18">
        <v>-6.2</v>
      </c>
      <c r="D1019" s="18">
        <v>-8</v>
      </c>
      <c r="E1019" s="91">
        <v>-7.1</v>
      </c>
      <c r="F1019" s="91">
        <v>-8.3079999999999998</v>
      </c>
      <c r="G1019" s="17"/>
      <c r="H1019" s="17"/>
      <c r="I1019" s="17"/>
      <c r="J1019" s="17"/>
    </row>
    <row r="1020" spans="2:10" s="15" customFormat="1" x14ac:dyDescent="0.25">
      <c r="B1020" s="15" t="s">
        <v>659</v>
      </c>
      <c r="C1020" s="15">
        <f>SUM(C1018:C1019)</f>
        <v>20.500000000000004</v>
      </c>
      <c r="D1020" s="15">
        <f>SUM(D1018:D1019)</f>
        <v>29.500000000000007</v>
      </c>
      <c r="E1020" s="44">
        <f>SUM(E1018:E1019)</f>
        <v>27.9</v>
      </c>
      <c r="F1020" s="44">
        <f>SUM(F1018:F1019)</f>
        <v>29.643000000000001</v>
      </c>
      <c r="G1020" s="17"/>
      <c r="H1020" s="17"/>
      <c r="I1020" s="17"/>
      <c r="J1020" s="17"/>
    </row>
    <row r="1021" spans="2:10" s="15" customFormat="1" x14ac:dyDescent="0.25">
      <c r="F1021" s="17"/>
      <c r="G1021" s="17"/>
      <c r="H1021" s="17"/>
      <c r="I1021" s="17"/>
      <c r="J1021" s="17"/>
    </row>
    <row r="1022" spans="2:10" s="15" customFormat="1" x14ac:dyDescent="0.25"/>
    <row r="1023" spans="2:10" s="15" customFormat="1" x14ac:dyDescent="0.25"/>
    <row r="1024" spans="2:10" s="15" customFormat="1" x14ac:dyDescent="0.25"/>
    <row r="1025" spans="2:16" s="15" customFormat="1" x14ac:dyDescent="0.25">
      <c r="B1025" s="106" t="s">
        <v>669</v>
      </c>
      <c r="C1025" s="106"/>
      <c r="D1025" s="106"/>
      <c r="E1025" s="106"/>
      <c r="F1025" s="106"/>
      <c r="G1025" s="106"/>
      <c r="H1025" s="106"/>
      <c r="I1025" s="106"/>
      <c r="J1025" s="106"/>
      <c r="K1025" s="106"/>
      <c r="L1025" s="106"/>
      <c r="M1025" s="106"/>
      <c r="N1025" s="106"/>
      <c r="O1025" s="106"/>
      <c r="P1025" s="106"/>
    </row>
    <row r="1026" spans="2:16" s="15" customFormat="1" x14ac:dyDescent="0.25"/>
    <row r="1027" spans="2:16" s="15" customFormat="1" ht="15.75" thickBot="1" x14ac:dyDescent="0.3">
      <c r="B1027" t="s">
        <v>670</v>
      </c>
      <c r="C1027" s="13">
        <v>44280</v>
      </c>
      <c r="D1027" s="13">
        <v>43919</v>
      </c>
      <c r="E1027" s="13">
        <v>43552</v>
      </c>
      <c r="F1027" s="13">
        <v>43188</v>
      </c>
      <c r="G1027" s="13">
        <v>42824</v>
      </c>
      <c r="H1027" s="13">
        <v>42460</v>
      </c>
      <c r="I1027" s="13">
        <v>42089</v>
      </c>
      <c r="J1027"/>
      <c r="K1027"/>
      <c r="L1027" s="13">
        <v>44476</v>
      </c>
      <c r="M1027" s="13">
        <v>44112</v>
      </c>
      <c r="N1027" s="13">
        <v>43748</v>
      </c>
      <c r="O1027" s="13">
        <v>43384</v>
      </c>
    </row>
    <row r="1028" spans="2:16" s="15" customFormat="1" x14ac:dyDescent="0.25">
      <c r="B1028" t="s">
        <v>671</v>
      </c>
      <c r="C1028" s="17">
        <v>57</v>
      </c>
      <c r="D1028" s="17">
        <v>54.7</v>
      </c>
      <c r="E1028" s="17"/>
      <c r="F1028" s="17"/>
      <c r="G1028" s="17"/>
      <c r="H1028" s="17"/>
      <c r="I1028" s="17"/>
      <c r="J1028" s="17"/>
      <c r="K1028" s="17"/>
      <c r="L1028" s="17">
        <v>36.9</v>
      </c>
      <c r="M1028" s="17">
        <v>28.6</v>
      </c>
      <c r="N1028" s="17"/>
      <c r="O1028" s="17"/>
    </row>
    <row r="1029" spans="2:16" s="15" customFormat="1" ht="15.75" thickBot="1" x14ac:dyDescent="0.3">
      <c r="B1029" t="s">
        <v>672</v>
      </c>
      <c r="C1029" s="18">
        <v>8.1999999999999993</v>
      </c>
      <c r="D1029" s="18">
        <v>12.2</v>
      </c>
      <c r="E1029" s="18"/>
      <c r="F1029" s="18"/>
      <c r="G1029" s="18"/>
      <c r="H1029" s="18"/>
      <c r="I1029" s="18"/>
      <c r="J1029" s="17"/>
      <c r="K1029" s="17"/>
      <c r="L1029" s="18">
        <v>6.3</v>
      </c>
      <c r="M1029" s="18">
        <v>4.5</v>
      </c>
      <c r="N1029" s="18"/>
      <c r="O1029" s="18"/>
    </row>
    <row r="1030" spans="2:16" s="15" customFormat="1" x14ac:dyDescent="0.25">
      <c r="B1030" s="15" t="s">
        <v>673</v>
      </c>
      <c r="C1030" s="15">
        <f>SUM(C1028:C1029)</f>
        <v>65.2</v>
      </c>
      <c r="D1030" s="15">
        <f>SUM(D1028:D1029)</f>
        <v>66.900000000000006</v>
      </c>
      <c r="L1030" s="15">
        <f>SUM(L1028:L1029)</f>
        <v>43.199999999999996</v>
      </c>
      <c r="M1030" s="15">
        <f>SUM(M1028:M1029)</f>
        <v>33.1</v>
      </c>
    </row>
    <row r="1031" spans="2:16" s="15" customFormat="1" x14ac:dyDescent="0.25">
      <c r="C1031" s="17"/>
      <c r="D1031" s="17"/>
      <c r="E1031" s="17"/>
      <c r="F1031" s="17"/>
      <c r="G1031" s="17"/>
      <c r="H1031" s="17"/>
      <c r="I1031" s="17"/>
      <c r="J1031" s="17"/>
      <c r="K1031" s="17"/>
      <c r="L1031" s="17"/>
      <c r="M1031" s="17"/>
      <c r="N1031" s="17"/>
      <c r="O1031" s="17"/>
    </row>
    <row r="1032" spans="2:16" s="15" customFormat="1" x14ac:dyDescent="0.25">
      <c r="B1032" t="s">
        <v>213</v>
      </c>
      <c r="C1032" s="17"/>
      <c r="D1032" s="17"/>
      <c r="E1032" s="17"/>
      <c r="F1032" s="17"/>
      <c r="G1032" s="17"/>
      <c r="H1032" s="17"/>
      <c r="I1032" s="17"/>
      <c r="J1032" s="17"/>
      <c r="K1032" s="17"/>
      <c r="L1032" s="17"/>
      <c r="M1032" s="17"/>
      <c r="N1032" s="17"/>
      <c r="O1032" s="17"/>
    </row>
    <row r="1033" spans="2:16" s="15" customFormat="1" x14ac:dyDescent="0.25">
      <c r="B1033" t="s">
        <v>674</v>
      </c>
      <c r="C1033" s="17">
        <v>1.6</v>
      </c>
      <c r="D1033" s="17">
        <v>1.3</v>
      </c>
      <c r="E1033" s="17"/>
      <c r="F1033" s="17"/>
      <c r="G1033" s="17"/>
      <c r="H1033" s="17"/>
      <c r="I1033" s="17"/>
      <c r="J1033" s="17"/>
      <c r="K1033" s="17"/>
      <c r="L1033">
        <v>1.6</v>
      </c>
      <c r="M1033" s="17">
        <v>1.6</v>
      </c>
      <c r="N1033" s="17"/>
      <c r="O1033" s="17"/>
    </row>
    <row r="1034" spans="2:16" s="15" customFormat="1" x14ac:dyDescent="0.25">
      <c r="C1034" s="17"/>
      <c r="D1034" s="17"/>
      <c r="E1034" s="17"/>
      <c r="F1034" s="17"/>
      <c r="G1034" s="17"/>
      <c r="H1034" s="17"/>
      <c r="I1034" s="17"/>
      <c r="J1034" s="17"/>
      <c r="K1034" s="17"/>
      <c r="L1034" s="17"/>
      <c r="M1034" s="17"/>
      <c r="N1034" s="17"/>
      <c r="O1034" s="17"/>
    </row>
    <row r="1035" spans="2:16" s="15" customFormat="1" x14ac:dyDescent="0.25">
      <c r="B1035" t="s">
        <v>675</v>
      </c>
      <c r="C1035" s="17"/>
      <c r="D1035" s="17"/>
      <c r="E1035" s="17"/>
      <c r="F1035" s="17"/>
      <c r="G1035" s="17"/>
      <c r="H1035" s="17"/>
      <c r="I1035" s="17"/>
      <c r="J1035" s="17"/>
      <c r="K1035" s="17"/>
      <c r="L1035" s="17"/>
      <c r="M1035" s="17"/>
      <c r="N1035" s="17"/>
      <c r="O1035" s="17"/>
    </row>
    <row r="1036" spans="2:16" s="15" customFormat="1" x14ac:dyDescent="0.25">
      <c r="B1036" t="s">
        <v>676</v>
      </c>
      <c r="C1036" s="17"/>
      <c r="D1036" s="17"/>
      <c r="E1036" s="17"/>
      <c r="F1036" s="17"/>
      <c r="G1036" s="17"/>
      <c r="H1036" s="17"/>
      <c r="I1036" s="17"/>
      <c r="J1036" s="17"/>
      <c r="K1036" s="17"/>
      <c r="L1036" s="17"/>
      <c r="M1036" s="17"/>
      <c r="N1036" s="17"/>
      <c r="O1036" s="17"/>
    </row>
    <row r="1037" spans="2:16" s="15" customFormat="1" x14ac:dyDescent="0.25">
      <c r="B1037" t="s">
        <v>677</v>
      </c>
      <c r="C1037" s="17">
        <v>0.3</v>
      </c>
      <c r="D1037" s="17">
        <v>1.6</v>
      </c>
      <c r="E1037" s="17"/>
      <c r="F1037" s="17"/>
      <c r="G1037" s="17"/>
      <c r="H1037" s="17"/>
      <c r="I1037" s="17"/>
      <c r="J1037" s="17"/>
      <c r="K1037" s="17"/>
      <c r="L1037" s="17"/>
      <c r="M1037" s="17">
        <v>0.3</v>
      </c>
      <c r="N1037" s="17"/>
      <c r="O1037" s="17"/>
    </row>
    <row r="1038" spans="2:16" s="15" customFormat="1" x14ac:dyDescent="0.25">
      <c r="B1038" t="s">
        <v>678</v>
      </c>
      <c r="C1038" s="17"/>
      <c r="D1038" s="17"/>
      <c r="E1038" s="17"/>
      <c r="F1038" s="17"/>
      <c r="G1038" s="17"/>
      <c r="H1038" s="17"/>
      <c r="I1038" s="17"/>
      <c r="J1038" s="17"/>
      <c r="K1038" s="17"/>
      <c r="L1038" s="17"/>
      <c r="M1038" s="17">
        <v>3.8</v>
      </c>
      <c r="N1038" s="17"/>
      <c r="O1038" s="17"/>
    </row>
    <row r="1039" spans="2:16" s="15" customFormat="1" x14ac:dyDescent="0.25">
      <c r="B1039" t="s">
        <v>679</v>
      </c>
      <c r="C1039" s="17">
        <v>26.7</v>
      </c>
      <c r="D1039" s="17">
        <v>37.5</v>
      </c>
      <c r="F1039" s="17"/>
      <c r="G1039" s="17"/>
      <c r="H1039" s="17"/>
      <c r="I1039" s="17"/>
      <c r="J1039" s="17"/>
      <c r="K1039" s="17"/>
      <c r="L1039" s="17">
        <v>22.3</v>
      </c>
      <c r="M1039" s="17">
        <v>29.1</v>
      </c>
      <c r="N1039" s="17"/>
      <c r="O1039" s="17"/>
    </row>
    <row r="1040" spans="2:16" s="69" customFormat="1" x14ac:dyDescent="0.25">
      <c r="B1040" t="s">
        <v>680</v>
      </c>
      <c r="C1040" s="17">
        <v>-6.2</v>
      </c>
      <c r="D1040" s="17">
        <v>-8</v>
      </c>
      <c r="E1040" s="17"/>
      <c r="F1040" s="17"/>
      <c r="G1040" s="17"/>
      <c r="H1040" s="17"/>
      <c r="I1040" s="17"/>
      <c r="J1040" s="17"/>
      <c r="K1040" s="17"/>
      <c r="L1040" s="17">
        <v>-5.2</v>
      </c>
      <c r="M1040" s="17">
        <v>-7.4</v>
      </c>
      <c r="N1040" s="17"/>
      <c r="O1040" s="17"/>
    </row>
    <row r="1041" spans="2:15" s="69" customFormat="1" x14ac:dyDescent="0.25">
      <c r="B1041" t="s">
        <v>681</v>
      </c>
      <c r="C1041" s="17">
        <f>SUM(C1039:C1040)</f>
        <v>20.5</v>
      </c>
      <c r="D1041" s="17">
        <f>SUM(D1039:D1040)</f>
        <v>29.5</v>
      </c>
      <c r="E1041" s="17"/>
      <c r="F1041" s="17"/>
      <c r="G1041" s="17"/>
      <c r="H1041" s="17"/>
      <c r="I1041" s="17"/>
      <c r="J1041" s="17"/>
      <c r="K1041" s="17"/>
      <c r="L1041" s="17">
        <f>SUM(L1039:L1040)</f>
        <v>17.100000000000001</v>
      </c>
      <c r="M1041" s="17">
        <f>SUM(M1039:M1040)</f>
        <v>21.700000000000003</v>
      </c>
      <c r="N1041" s="17"/>
      <c r="O1041" s="17"/>
    </row>
    <row r="1042" spans="2:15" s="15" customFormat="1" x14ac:dyDescent="0.25">
      <c r="C1042" s="17"/>
      <c r="D1042" s="17"/>
      <c r="E1042" s="17"/>
      <c r="F1042" s="17"/>
      <c r="G1042" s="17"/>
      <c r="H1042" s="17"/>
      <c r="I1042" s="17"/>
      <c r="J1042" s="17"/>
      <c r="K1042" s="17"/>
      <c r="L1042" s="17"/>
      <c r="M1042" s="17"/>
      <c r="N1042" s="17"/>
      <c r="O1042" s="17"/>
    </row>
    <row r="1043" spans="2:15" s="15" customFormat="1" x14ac:dyDescent="0.25">
      <c r="B1043" t="s">
        <v>682</v>
      </c>
      <c r="C1043" s="17"/>
      <c r="D1043" s="17"/>
      <c r="E1043" s="17"/>
      <c r="F1043" s="17"/>
      <c r="G1043" s="17"/>
      <c r="H1043" s="17"/>
      <c r="I1043" s="17"/>
      <c r="J1043" s="17"/>
      <c r="K1043" s="17"/>
      <c r="L1043" s="17"/>
      <c r="M1043" s="17"/>
      <c r="N1043" s="17"/>
      <c r="O1043" s="17"/>
    </row>
    <row r="1044" spans="2:15" s="15" customFormat="1" x14ac:dyDescent="0.25">
      <c r="B1044" t="s">
        <v>625</v>
      </c>
      <c r="C1044" s="17"/>
      <c r="D1044" s="17"/>
      <c r="E1044" s="17"/>
      <c r="F1044" s="17"/>
      <c r="G1044" s="17"/>
      <c r="H1044" s="17"/>
      <c r="I1044" s="17"/>
      <c r="J1044" s="17"/>
      <c r="K1044" s="17"/>
      <c r="L1044" s="17"/>
      <c r="M1044" s="17"/>
      <c r="N1044" s="17"/>
      <c r="O1044" s="17"/>
    </row>
    <row r="1045" spans="2:15" s="15" customFormat="1" x14ac:dyDescent="0.25">
      <c r="B1045" t="s">
        <v>683</v>
      </c>
      <c r="C1045" s="17">
        <v>12.5</v>
      </c>
      <c r="D1045" s="17">
        <v>13.3</v>
      </c>
      <c r="E1045" s="17"/>
      <c r="F1045" s="17"/>
      <c r="G1045" s="17"/>
      <c r="H1045" s="17"/>
      <c r="I1045" s="17"/>
      <c r="J1045" s="17"/>
      <c r="K1045" s="17"/>
      <c r="L1045" s="17">
        <v>11.3</v>
      </c>
      <c r="M1045" s="17">
        <v>13.1</v>
      </c>
      <c r="N1045" s="17"/>
      <c r="O1045" s="17"/>
    </row>
    <row r="1046" spans="2:15" s="15" customFormat="1" x14ac:dyDescent="0.25">
      <c r="B1046" t="s">
        <v>684</v>
      </c>
      <c r="C1046" s="17">
        <v>-1.2</v>
      </c>
      <c r="D1046" s="17"/>
      <c r="E1046" s="17"/>
      <c r="F1046" s="17"/>
      <c r="G1046" s="17"/>
      <c r="H1046" s="17"/>
      <c r="I1046" s="17"/>
      <c r="J1046" s="17"/>
      <c r="K1046" s="17"/>
      <c r="L1046" s="17">
        <v>-1</v>
      </c>
      <c r="M1046" s="17"/>
      <c r="N1046" s="17"/>
      <c r="O1046" s="17"/>
    </row>
    <row r="1047" spans="2:15" s="15" customFormat="1" x14ac:dyDescent="0.25">
      <c r="B1047" t="s">
        <v>685</v>
      </c>
      <c r="C1047" s="17">
        <f>SUM(C1045:C1046)</f>
        <v>11.3</v>
      </c>
      <c r="D1047" s="17">
        <f>SUM(D1045:D1046)</f>
        <v>13.3</v>
      </c>
      <c r="E1047" s="17"/>
      <c r="F1047" s="17"/>
      <c r="G1047" s="17"/>
      <c r="H1047" s="17"/>
      <c r="I1047" s="17"/>
      <c r="J1047" s="17"/>
      <c r="K1047" s="17"/>
      <c r="L1047" s="17">
        <f>SUM(L1045:L1046)</f>
        <v>10.3</v>
      </c>
      <c r="M1047" s="17">
        <f>SUM(M1045:M1046)</f>
        <v>13.1</v>
      </c>
      <c r="N1047" s="17"/>
      <c r="O1047" s="17"/>
    </row>
    <row r="1048" spans="2:15" s="15" customFormat="1" x14ac:dyDescent="0.25">
      <c r="C1048" s="17"/>
      <c r="D1048" s="17"/>
      <c r="E1048" s="17"/>
      <c r="F1048" s="17"/>
      <c r="G1048" s="17"/>
      <c r="H1048" s="17"/>
      <c r="I1048" s="17"/>
      <c r="J1048" s="17"/>
      <c r="K1048" s="17"/>
      <c r="L1048" s="17"/>
      <c r="M1048" s="17"/>
      <c r="N1048" s="17"/>
      <c r="O1048" s="17"/>
    </row>
    <row r="1049" spans="2:15" s="15" customFormat="1" x14ac:dyDescent="0.25">
      <c r="B1049" t="s">
        <v>686</v>
      </c>
      <c r="C1049" s="17"/>
      <c r="D1049" s="17"/>
      <c r="E1049" s="17"/>
      <c r="F1049" s="17"/>
      <c r="G1049" s="17"/>
      <c r="H1049" s="17"/>
      <c r="I1049" s="17"/>
      <c r="J1049" s="17"/>
      <c r="K1049" s="17"/>
      <c r="L1049" s="17"/>
      <c r="M1049" s="17"/>
      <c r="N1049" s="17"/>
      <c r="O1049" s="17"/>
    </row>
    <row r="1050" spans="2:15" s="15" customFormat="1" x14ac:dyDescent="0.25">
      <c r="B1050" t="s">
        <v>687</v>
      </c>
      <c r="C1050" s="17">
        <v>3.3</v>
      </c>
      <c r="D1050" s="17">
        <v>4</v>
      </c>
      <c r="E1050" s="17"/>
      <c r="F1050" s="17"/>
      <c r="G1050" s="17"/>
      <c r="H1050" s="17"/>
      <c r="I1050" s="17"/>
      <c r="J1050" s="17"/>
      <c r="K1050" s="17"/>
      <c r="L1050" s="17">
        <v>2.6</v>
      </c>
      <c r="M1050" s="17">
        <v>3.9</v>
      </c>
      <c r="N1050" s="17"/>
      <c r="O1050" s="17"/>
    </row>
    <row r="1051" spans="2:15" s="15" customFormat="1" x14ac:dyDescent="0.25">
      <c r="B1051" t="s">
        <v>688</v>
      </c>
      <c r="C1051" s="17"/>
      <c r="D1051" s="17"/>
      <c r="E1051" s="17"/>
      <c r="F1051" s="17"/>
      <c r="G1051" s="17"/>
      <c r="H1051" s="17"/>
      <c r="I1051" s="17"/>
      <c r="J1051" s="17"/>
      <c r="K1051" s="17"/>
      <c r="L1051" s="17"/>
      <c r="M1051" s="17"/>
      <c r="N1051" s="17"/>
      <c r="O1051" s="17"/>
    </row>
    <row r="1052" spans="2:15" s="15" customFormat="1" x14ac:dyDescent="0.25">
      <c r="B1052" t="s">
        <v>689</v>
      </c>
      <c r="C1052" s="17">
        <f>SUM(C1050:C1051)</f>
        <v>3.3</v>
      </c>
      <c r="D1052" s="17">
        <f>SUM(D1050:D1051)</f>
        <v>4</v>
      </c>
      <c r="E1052" s="17"/>
      <c r="F1052" s="17"/>
      <c r="G1052" s="17"/>
      <c r="H1052" s="17"/>
      <c r="I1052" s="17"/>
      <c r="J1052" s="17"/>
      <c r="K1052" s="17"/>
      <c r="L1052" s="17"/>
      <c r="M1052" s="17"/>
      <c r="N1052" s="17"/>
      <c r="O1052" s="17"/>
    </row>
    <row r="1053" spans="2:15" s="15" customFormat="1" x14ac:dyDescent="0.25">
      <c r="C1053" s="17"/>
      <c r="D1053" s="17"/>
      <c r="E1053" s="17"/>
      <c r="F1053" s="17"/>
      <c r="G1053" s="17"/>
      <c r="H1053" s="17"/>
      <c r="I1053" s="17"/>
      <c r="J1053" s="17"/>
      <c r="K1053" s="17"/>
      <c r="L1053" s="17"/>
      <c r="M1053" s="17"/>
      <c r="N1053" s="17"/>
      <c r="O1053" s="17"/>
    </row>
    <row r="1054" spans="2:15" s="15" customFormat="1" x14ac:dyDescent="0.25">
      <c r="B1054" t="s">
        <v>690</v>
      </c>
      <c r="C1054" s="17"/>
      <c r="D1054" s="17"/>
      <c r="E1054" s="17"/>
      <c r="F1054" s="17"/>
      <c r="G1054" s="17"/>
      <c r="H1054" s="17"/>
      <c r="I1054" s="17"/>
      <c r="J1054" s="17"/>
      <c r="K1054" s="17"/>
      <c r="L1054" s="17"/>
      <c r="M1054" s="17"/>
      <c r="N1054" s="17"/>
      <c r="O1054" s="17"/>
    </row>
    <row r="1055" spans="2:15" s="15" customFormat="1" x14ac:dyDescent="0.25">
      <c r="B1055" t="s">
        <v>691</v>
      </c>
      <c r="C1055" s="17">
        <v>-17.600000000000001</v>
      </c>
      <c r="D1055" s="17">
        <v>-6.7</v>
      </c>
      <c r="E1055" s="17"/>
      <c r="F1055" s="17"/>
      <c r="G1055" s="17"/>
      <c r="H1055" s="17"/>
      <c r="I1055" s="17"/>
      <c r="J1055" s="17"/>
      <c r="K1055" s="17"/>
      <c r="L1055">
        <v>-5.0999999999999996</v>
      </c>
      <c r="M1055" s="17">
        <v>-1.9</v>
      </c>
      <c r="N1055" s="17"/>
      <c r="O1055" s="17"/>
    </row>
    <row r="1056" spans="2:15" s="15" customFormat="1" x14ac:dyDescent="0.25">
      <c r="C1056" s="17"/>
      <c r="D1056" s="17"/>
      <c r="E1056" s="17"/>
      <c r="F1056" s="17"/>
      <c r="G1056" s="17"/>
      <c r="H1056" s="17"/>
      <c r="I1056" s="17"/>
      <c r="J1056" s="17"/>
      <c r="K1056" s="17"/>
      <c r="L1056" s="17"/>
      <c r="M1056" s="17"/>
      <c r="N1056" s="17"/>
      <c r="O1056" s="17"/>
    </row>
    <row r="1057" spans="2:16" s="15" customFormat="1" x14ac:dyDescent="0.25">
      <c r="B1057" t="s">
        <v>692</v>
      </c>
      <c r="C1057" s="17">
        <v>25.2</v>
      </c>
      <c r="D1057" s="17">
        <v>49.7</v>
      </c>
      <c r="E1057" s="17"/>
      <c r="F1057" s="17"/>
      <c r="G1057" s="17"/>
      <c r="H1057" s="17"/>
      <c r="I1057" s="17"/>
      <c r="J1057" s="17"/>
      <c r="K1057" s="17"/>
      <c r="L1057">
        <v>31.1</v>
      </c>
      <c r="M1057">
        <v>48.3</v>
      </c>
      <c r="N1057" s="17"/>
      <c r="O1057" s="17"/>
    </row>
    <row r="1058" spans="2:16" s="15" customFormat="1" x14ac:dyDescent="0.25">
      <c r="C1058" s="17"/>
      <c r="D1058" s="17"/>
      <c r="E1058" s="17"/>
      <c r="F1058" s="17"/>
      <c r="G1058" s="17"/>
      <c r="H1058" s="17"/>
      <c r="I1058" s="17"/>
      <c r="J1058" s="17"/>
      <c r="K1058" s="17"/>
      <c r="L1058" s="17"/>
      <c r="M1058" s="17"/>
      <c r="N1058" s="17"/>
      <c r="O1058" s="17"/>
    </row>
    <row r="1059" spans="2:16" s="15" customFormat="1" x14ac:dyDescent="0.25">
      <c r="B1059" s="106" t="s">
        <v>693</v>
      </c>
      <c r="C1059" s="106"/>
      <c r="D1059" s="106"/>
      <c r="E1059" s="106"/>
      <c r="F1059" s="106"/>
      <c r="G1059" s="106"/>
      <c r="H1059" s="106"/>
      <c r="I1059" s="106"/>
      <c r="J1059" s="106"/>
      <c r="K1059" s="106"/>
      <c r="L1059" s="106"/>
      <c r="M1059" s="106"/>
      <c r="N1059" s="106"/>
      <c r="O1059" s="106"/>
      <c r="P1059" s="106"/>
    </row>
    <row r="1060" spans="2:16" s="15" customFormat="1" x14ac:dyDescent="0.25">
      <c r="C1060" s="17"/>
      <c r="D1060" s="17"/>
      <c r="E1060" s="17"/>
      <c r="F1060" s="17"/>
      <c r="G1060" s="17"/>
      <c r="H1060" s="17"/>
      <c r="I1060" s="17"/>
      <c r="J1060" s="17"/>
      <c r="K1060" s="17"/>
      <c r="L1060" s="17"/>
      <c r="M1060" s="17"/>
      <c r="N1060" s="17"/>
      <c r="O1060" s="17"/>
    </row>
    <row r="1061" spans="2:16" s="15" customFormat="1" ht="15.75" thickBot="1" x14ac:dyDescent="0.3">
      <c r="C1061" s="13">
        <v>44280</v>
      </c>
      <c r="D1061" s="13">
        <v>43919</v>
      </c>
      <c r="E1061" s="13">
        <v>43552</v>
      </c>
      <c r="F1061" s="13">
        <v>43188</v>
      </c>
      <c r="G1061" s="13">
        <v>42824</v>
      </c>
      <c r="H1061" s="13">
        <v>42460</v>
      </c>
      <c r="I1061" s="13">
        <v>42089</v>
      </c>
      <c r="J1061"/>
      <c r="K1061"/>
      <c r="L1061" s="13">
        <v>44476</v>
      </c>
      <c r="M1061" s="13">
        <v>44112</v>
      </c>
      <c r="N1061" s="13">
        <v>43748</v>
      </c>
      <c r="O1061" s="13">
        <v>43384</v>
      </c>
    </row>
    <row r="1062" spans="2:16" s="15" customFormat="1" x14ac:dyDescent="0.25">
      <c r="B1062" t="s">
        <v>694</v>
      </c>
      <c r="C1062">
        <v>936.2</v>
      </c>
      <c r="D1062" s="17">
        <v>981.2</v>
      </c>
      <c r="E1062" s="17">
        <v>981.3</v>
      </c>
      <c r="F1062" s="17">
        <v>979.8</v>
      </c>
      <c r="G1062" s="17"/>
      <c r="H1062" s="17"/>
      <c r="I1062" s="17"/>
      <c r="J1062" s="17"/>
      <c r="K1062" s="17"/>
      <c r="L1062" s="17"/>
      <c r="M1062" s="17"/>
      <c r="N1062" s="17"/>
      <c r="O1062" s="17"/>
    </row>
    <row r="1063" spans="2:16" s="15" customFormat="1" x14ac:dyDescent="0.25">
      <c r="C1063" s="17"/>
      <c r="D1063" s="17"/>
      <c r="E1063" s="17"/>
      <c r="F1063" s="17"/>
      <c r="G1063" s="17"/>
      <c r="H1063" s="17"/>
      <c r="I1063" s="17"/>
      <c r="J1063" s="17"/>
      <c r="K1063" s="17"/>
      <c r="L1063" s="17"/>
      <c r="M1063" s="17"/>
      <c r="N1063" s="17"/>
      <c r="O1063" s="17"/>
    </row>
    <row r="1064" spans="2:16" s="15" customFormat="1" x14ac:dyDescent="0.25">
      <c r="C1064" s="17"/>
      <c r="D1064" s="17"/>
      <c r="E1064" s="17"/>
      <c r="F1064" s="17"/>
      <c r="G1064" s="17"/>
      <c r="H1064" s="17"/>
      <c r="I1064" s="17"/>
      <c r="J1064" s="17"/>
      <c r="K1064" s="17"/>
      <c r="L1064" s="17"/>
      <c r="M1064" s="17"/>
      <c r="N1064" s="17"/>
      <c r="O1064" s="17"/>
    </row>
    <row r="1065" spans="2:16" s="15" customFormat="1" x14ac:dyDescent="0.25">
      <c r="C1065" s="17"/>
      <c r="D1065" s="17"/>
      <c r="E1065" s="17"/>
      <c r="F1065" s="17"/>
      <c r="G1065" s="17"/>
      <c r="H1065" s="17"/>
      <c r="I1065" s="17"/>
      <c r="J1065" s="17"/>
      <c r="K1065" s="17"/>
      <c r="L1065" s="17"/>
      <c r="M1065" s="17"/>
      <c r="N1065" s="17"/>
    </row>
    <row r="1067" spans="2:16" x14ac:dyDescent="0.25">
      <c r="B1067" s="106" t="s">
        <v>625</v>
      </c>
      <c r="C1067" s="106"/>
      <c r="D1067" s="106"/>
      <c r="E1067" s="106"/>
      <c r="F1067" s="106"/>
      <c r="G1067" s="106"/>
      <c r="H1067" s="106"/>
      <c r="I1067" s="106"/>
      <c r="J1067" s="106"/>
      <c r="K1067" s="106"/>
      <c r="L1067" s="106"/>
      <c r="M1067" s="106"/>
      <c r="N1067" s="106"/>
      <c r="O1067" s="106"/>
      <c r="P1067" s="106"/>
    </row>
    <row r="1069" spans="2:16" ht="15.75" thickBot="1" x14ac:dyDescent="0.3">
      <c r="C1069" s="13">
        <v>44280</v>
      </c>
      <c r="D1069" s="13">
        <v>43919</v>
      </c>
      <c r="E1069" s="13">
        <v>43552</v>
      </c>
      <c r="F1069" s="13">
        <v>43188</v>
      </c>
      <c r="G1069" s="13">
        <v>42824</v>
      </c>
      <c r="H1069" s="13">
        <v>42460</v>
      </c>
      <c r="I1069" s="13">
        <v>42089</v>
      </c>
      <c r="L1069" s="13">
        <v>44476</v>
      </c>
      <c r="M1069" s="13">
        <v>44112</v>
      </c>
      <c r="N1069" s="13">
        <v>43748</v>
      </c>
      <c r="O1069" s="13">
        <v>43384</v>
      </c>
    </row>
    <row r="1070" spans="2:16" x14ac:dyDescent="0.25">
      <c r="B1070" t="s">
        <v>630</v>
      </c>
    </row>
    <row r="1071" spans="2:16" x14ac:dyDescent="0.25">
      <c r="B1071" t="s">
        <v>516</v>
      </c>
      <c r="C1071">
        <v>13.3</v>
      </c>
    </row>
    <row r="1072" spans="2:16" x14ac:dyDescent="0.25">
      <c r="B1072" t="s">
        <v>631</v>
      </c>
      <c r="C1072">
        <v>-0.8</v>
      </c>
    </row>
    <row r="1073" spans="2:3" x14ac:dyDescent="0.25">
      <c r="B1073" t="s">
        <v>517</v>
      </c>
    </row>
    <row r="1074" spans="2:3" x14ac:dyDescent="0.25">
      <c r="B1074" t="s">
        <v>520</v>
      </c>
      <c r="C1074">
        <f>SUM(C1070:C1073)</f>
        <v>12.5</v>
      </c>
    </row>
    <row r="1076" spans="2:3" x14ac:dyDescent="0.25">
      <c r="B1076" t="s">
        <v>632</v>
      </c>
    </row>
    <row r="1077" spans="2:3" x14ac:dyDescent="0.25">
      <c r="B1077" t="s">
        <v>516</v>
      </c>
    </row>
    <row r="1078" spans="2:3" x14ac:dyDescent="0.25">
      <c r="B1078" t="s">
        <v>631</v>
      </c>
    </row>
    <row r="1079" spans="2:3" x14ac:dyDescent="0.25">
      <c r="B1079" t="s">
        <v>517</v>
      </c>
      <c r="C1079">
        <v>-1.2</v>
      </c>
    </row>
    <row r="1080" spans="2:3" x14ac:dyDescent="0.25">
      <c r="B1080" t="s">
        <v>520</v>
      </c>
      <c r="C1080">
        <f>SUM(C1076:C1079)</f>
        <v>-1.2</v>
      </c>
    </row>
    <row r="1082" spans="2:3" x14ac:dyDescent="0.25">
      <c r="B1082" t="s">
        <v>633</v>
      </c>
    </row>
    <row r="1083" spans="2:3" x14ac:dyDescent="0.25">
      <c r="B1083" t="s">
        <v>516</v>
      </c>
      <c r="C1083">
        <v>13.3</v>
      </c>
    </row>
    <row r="1084" spans="2:3" x14ac:dyDescent="0.25">
      <c r="B1084" t="s">
        <v>631</v>
      </c>
      <c r="C1084">
        <v>-0.8</v>
      </c>
    </row>
    <row r="1085" spans="2:3" x14ac:dyDescent="0.25">
      <c r="B1085" t="s">
        <v>517</v>
      </c>
      <c r="C1085">
        <v>-1.2</v>
      </c>
    </row>
    <row r="1086" spans="2:3" x14ac:dyDescent="0.25">
      <c r="B1086" t="s">
        <v>520</v>
      </c>
      <c r="C1086">
        <f>SUM(C1083:C1085)</f>
        <v>11.3</v>
      </c>
    </row>
    <row r="1088" spans="2:3" x14ac:dyDescent="0.25">
      <c r="B1088" t="s">
        <v>634</v>
      </c>
    </row>
    <row r="1090" spans="2:16" x14ac:dyDescent="0.25">
      <c r="B1090" t="s">
        <v>653</v>
      </c>
    </row>
    <row r="1092" spans="2:16" x14ac:dyDescent="0.25">
      <c r="B1092" t="s">
        <v>654</v>
      </c>
      <c r="C1092">
        <v>10.5</v>
      </c>
      <c r="D1092">
        <v>13.3</v>
      </c>
    </row>
    <row r="1093" spans="2:16" x14ac:dyDescent="0.25">
      <c r="B1093" t="s">
        <v>655</v>
      </c>
      <c r="C1093">
        <v>1.2</v>
      </c>
    </row>
    <row r="1094" spans="2:16" x14ac:dyDescent="0.25">
      <c r="B1094" t="s">
        <v>656</v>
      </c>
      <c r="C1094">
        <v>0.8</v>
      </c>
    </row>
    <row r="1095" spans="2:16" x14ac:dyDescent="0.25">
      <c r="B1095" t="s">
        <v>657</v>
      </c>
      <c r="C1095">
        <f>SUM(C1092:C1094)</f>
        <v>12.5</v>
      </c>
      <c r="D1095">
        <f>SUM(D1092:D1094)</f>
        <v>13.3</v>
      </c>
    </row>
    <row r="1096" spans="2:16" ht="15.75" thickBot="1" x14ac:dyDescent="0.3">
      <c r="B1096" t="s">
        <v>658</v>
      </c>
      <c r="C1096" s="14">
        <v>-1.2</v>
      </c>
      <c r="D1096" s="14"/>
      <c r="E1096" s="14"/>
      <c r="F1096" s="14"/>
    </row>
    <row r="1097" spans="2:16" s="15" customFormat="1" x14ac:dyDescent="0.25">
      <c r="B1097" s="15" t="s">
        <v>659</v>
      </c>
      <c r="C1097" s="15">
        <f>SUM(C1095:C1096)</f>
        <v>11.3</v>
      </c>
      <c r="D1097" s="15">
        <f>SUM(D1095:D1096)</f>
        <v>13.3</v>
      </c>
    </row>
    <row r="1098" spans="2:16" s="15" customFormat="1" x14ac:dyDescent="0.25"/>
    <row r="1099" spans="2:16" s="15" customFormat="1" x14ac:dyDescent="0.25"/>
    <row r="1100" spans="2:16" s="15" customFormat="1" x14ac:dyDescent="0.25">
      <c r="B1100" s="106" t="s">
        <v>1329</v>
      </c>
      <c r="C1100" s="106"/>
      <c r="D1100" s="106"/>
      <c r="E1100" s="106"/>
      <c r="F1100" s="106"/>
      <c r="G1100" s="106"/>
      <c r="H1100" s="106"/>
      <c r="I1100" s="106"/>
      <c r="J1100" s="106"/>
      <c r="K1100" s="106"/>
      <c r="L1100" s="106"/>
      <c r="M1100" s="106"/>
      <c r="N1100" s="106"/>
      <c r="O1100" s="106"/>
      <c r="P1100" s="106"/>
    </row>
    <row r="1101" spans="2:16" s="15" customFormat="1" x14ac:dyDescent="0.25"/>
    <row r="1102" spans="2:16" s="15" customFormat="1" ht="15.75" thickBot="1" x14ac:dyDescent="0.3">
      <c r="B1102" s="15" t="s">
        <v>1330</v>
      </c>
      <c r="C1102" s="13">
        <v>44280</v>
      </c>
      <c r="D1102" s="13">
        <v>43919</v>
      </c>
      <c r="E1102" s="13">
        <v>43552</v>
      </c>
      <c r="F1102" s="13">
        <v>43188</v>
      </c>
      <c r="G1102" s="13">
        <v>42824</v>
      </c>
      <c r="H1102" s="13">
        <v>42460</v>
      </c>
      <c r="I1102" s="13">
        <v>42089</v>
      </c>
      <c r="J1102"/>
      <c r="K1102"/>
      <c r="L1102" s="13">
        <v>44476</v>
      </c>
      <c r="M1102" s="13">
        <v>44112</v>
      </c>
      <c r="N1102" s="13">
        <v>43748</v>
      </c>
      <c r="O1102" s="13">
        <v>43384</v>
      </c>
    </row>
    <row r="1103" spans="2:16" s="15" customFormat="1" x14ac:dyDescent="0.25">
      <c r="B1103" t="s">
        <v>516</v>
      </c>
      <c r="C1103">
        <f>D1107</f>
        <v>2.4</v>
      </c>
      <c r="D1103">
        <v>2.5</v>
      </c>
      <c r="E1103">
        <v>2.5</v>
      </c>
      <c r="F1103" s="43">
        <v>2.5169999999999999</v>
      </c>
      <c r="G1103" s="43">
        <v>2.52</v>
      </c>
      <c r="H1103" s="43">
        <v>2.508</v>
      </c>
      <c r="I1103"/>
      <c r="L1103">
        <f>C1107</f>
        <v>2.4</v>
      </c>
      <c r="M1103" s="17">
        <f>D1107</f>
        <v>2.4</v>
      </c>
      <c r="N1103" s="17">
        <f t="shared" ref="N1103:O1103" si="128">E1107</f>
        <v>2.5</v>
      </c>
      <c r="O1103" s="17">
        <f t="shared" si="128"/>
        <v>2.5169999999999999</v>
      </c>
    </row>
    <row r="1104" spans="2:16" s="15" customFormat="1" x14ac:dyDescent="0.25">
      <c r="B1104" t="s">
        <v>362</v>
      </c>
      <c r="C1104"/>
      <c r="D1104"/>
      <c r="E1104"/>
      <c r="F1104" s="43"/>
      <c r="G1104" s="43"/>
      <c r="H1104" s="43">
        <v>4.3999999999999997E-2</v>
      </c>
      <c r="I1104"/>
      <c r="L1104"/>
      <c r="O1104" s="17">
        <v>7.0000000000000007E-2</v>
      </c>
    </row>
    <row r="1105" spans="2:15" s="15" customFormat="1" x14ac:dyDescent="0.25">
      <c r="B1105" t="s">
        <v>1331</v>
      </c>
      <c r="C1105"/>
      <c r="D1105"/>
      <c r="E1105"/>
      <c r="F1105" s="43"/>
      <c r="G1105" s="43"/>
      <c r="H1105" s="43">
        <v>1.4350000000000001</v>
      </c>
      <c r="I1105"/>
      <c r="L1105"/>
    </row>
    <row r="1106" spans="2:15" s="15" customFormat="1" x14ac:dyDescent="0.25">
      <c r="B1106" t="s">
        <v>543</v>
      </c>
      <c r="C1106"/>
      <c r="D1106">
        <v>-0.1</v>
      </c>
      <c r="E1106"/>
      <c r="F1106" s="43"/>
      <c r="G1106" s="43"/>
      <c r="H1106" s="43">
        <v>-1.47</v>
      </c>
      <c r="I1106"/>
      <c r="L1106"/>
      <c r="N1106" s="17">
        <v>-0.15</v>
      </c>
    </row>
    <row r="1107" spans="2:15" s="15" customFormat="1" x14ac:dyDescent="0.25">
      <c r="B1107" t="s">
        <v>1337</v>
      </c>
      <c r="C1107">
        <f>SUM(C1103:C1106)</f>
        <v>2.4</v>
      </c>
      <c r="D1107">
        <f>SUM(D1103:D1106)</f>
        <v>2.4</v>
      </c>
      <c r="E1107">
        <f t="shared" ref="E1107:O1107" si="129">SUM(E1103:E1106)</f>
        <v>2.5</v>
      </c>
      <c r="F1107" s="43">
        <f t="shared" si="129"/>
        <v>2.5169999999999999</v>
      </c>
      <c r="G1107" s="43">
        <f t="shared" si="129"/>
        <v>2.52</v>
      </c>
      <c r="H1107" s="43">
        <f t="shared" si="129"/>
        <v>2.5170000000000003</v>
      </c>
      <c r="I1107" s="43"/>
      <c r="J1107" s="43"/>
      <c r="K1107" s="43"/>
      <c r="L1107" s="43">
        <f t="shared" si="129"/>
        <v>2.4</v>
      </c>
      <c r="M1107" s="43">
        <f t="shared" si="129"/>
        <v>2.4</v>
      </c>
      <c r="N1107" s="43">
        <f t="shared" si="129"/>
        <v>2.35</v>
      </c>
      <c r="O1107" s="43">
        <f t="shared" si="129"/>
        <v>2.5869999999999997</v>
      </c>
    </row>
    <row r="1108" spans="2:15" s="15" customFormat="1" x14ac:dyDescent="0.25">
      <c r="B1108" t="s">
        <v>1332</v>
      </c>
      <c r="C1108">
        <f>D1112</f>
        <v>0.3</v>
      </c>
      <c r="D1108">
        <v>0.3</v>
      </c>
      <c r="E1108">
        <v>0.3</v>
      </c>
      <c r="F1108" s="43">
        <v>0.2</v>
      </c>
      <c r="G1108" s="43">
        <v>0.16</v>
      </c>
      <c r="H1108" s="43">
        <v>0.11799999999999999</v>
      </c>
      <c r="I1108"/>
      <c r="L1108">
        <f>C1108</f>
        <v>0.3</v>
      </c>
      <c r="M1108">
        <f>D1108</f>
        <v>0.3</v>
      </c>
      <c r="N1108">
        <f>E1108</f>
        <v>0.3</v>
      </c>
      <c r="O1108">
        <f>F1108</f>
        <v>0.2</v>
      </c>
    </row>
    <row r="1109" spans="2:15" s="15" customFormat="1" x14ac:dyDescent="0.25">
      <c r="B1109" t="s">
        <v>1333</v>
      </c>
      <c r="C1109"/>
      <c r="D1109"/>
      <c r="E1109"/>
      <c r="F1109" s="43">
        <v>0.04</v>
      </c>
      <c r="G1109" s="43">
        <v>0.04</v>
      </c>
      <c r="H1109" s="43">
        <v>7.0999999999999994E-2</v>
      </c>
      <c r="I1109"/>
      <c r="L1109"/>
      <c r="N1109">
        <v>2.1000000000000001E-2</v>
      </c>
      <c r="O1109" s="17">
        <v>2.3800000000000002E-2</v>
      </c>
    </row>
    <row r="1110" spans="2:15" s="15" customFormat="1" x14ac:dyDescent="0.25">
      <c r="B1110" t="s">
        <v>1336</v>
      </c>
      <c r="C1110"/>
      <c r="D1110"/>
      <c r="E1110"/>
      <c r="F1110" s="43"/>
      <c r="G1110" s="43"/>
      <c r="H1110" s="43"/>
      <c r="I1110"/>
      <c r="L1110"/>
      <c r="N1110"/>
    </row>
    <row r="1111" spans="2:15" s="15" customFormat="1" x14ac:dyDescent="0.25">
      <c r="B1111" t="s">
        <v>543</v>
      </c>
      <c r="C1111"/>
      <c r="E1111"/>
      <c r="F1111" s="43"/>
      <c r="G1111" s="43"/>
      <c r="H1111" s="43">
        <v>-3.1E-2</v>
      </c>
      <c r="I1111"/>
      <c r="L1111"/>
      <c r="N1111">
        <v>-2.3E-2</v>
      </c>
      <c r="O1111" s="17">
        <v>3.1E-2</v>
      </c>
    </row>
    <row r="1112" spans="2:15" s="15" customFormat="1" ht="15.75" thickBot="1" x14ac:dyDescent="0.3">
      <c r="B1112" t="s">
        <v>1337</v>
      </c>
      <c r="C1112" s="76">
        <f>SUM(C1108:C1111)</f>
        <v>0.3</v>
      </c>
      <c r="D1112" s="76">
        <f>SUM(D1108:D1111)</f>
        <v>0.3</v>
      </c>
      <c r="E1112" s="76">
        <f t="shared" ref="E1112:O1112" si="130">SUM(E1108:E1111)</f>
        <v>0.3</v>
      </c>
      <c r="F1112" s="76">
        <f t="shared" si="130"/>
        <v>0.24000000000000002</v>
      </c>
      <c r="G1112" s="76">
        <f t="shared" si="130"/>
        <v>0.2</v>
      </c>
      <c r="H1112" s="76">
        <f t="shared" si="130"/>
        <v>0.158</v>
      </c>
      <c r="I1112" s="43"/>
      <c r="J1112" s="43"/>
      <c r="K1112" s="43"/>
      <c r="L1112" s="76">
        <f t="shared" si="130"/>
        <v>0.3</v>
      </c>
      <c r="M1112" s="76">
        <f t="shared" si="130"/>
        <v>0.3</v>
      </c>
      <c r="N1112" s="76">
        <f t="shared" si="130"/>
        <v>0.29799999999999999</v>
      </c>
      <c r="O1112" s="76">
        <f t="shared" si="130"/>
        <v>0.25480000000000003</v>
      </c>
    </row>
    <row r="1113" spans="2:15" s="15" customFormat="1" x14ac:dyDescent="0.25">
      <c r="B1113" t="s">
        <v>650</v>
      </c>
      <c r="C1113">
        <f>C1107-C1112</f>
        <v>2.1</v>
      </c>
      <c r="D1113">
        <f>D1107-D1112</f>
        <v>2.1</v>
      </c>
      <c r="E1113">
        <f t="shared" ref="E1113:O1113" si="131">E1107-E1112</f>
        <v>2.2000000000000002</v>
      </c>
      <c r="F1113" s="43">
        <f t="shared" si="131"/>
        <v>2.2769999999999997</v>
      </c>
      <c r="G1113" s="43">
        <f t="shared" si="131"/>
        <v>2.3199999999999998</v>
      </c>
      <c r="H1113" s="43">
        <f t="shared" si="131"/>
        <v>2.3590000000000004</v>
      </c>
      <c r="I1113" s="43"/>
      <c r="J1113" s="43"/>
      <c r="K1113" s="43"/>
      <c r="L1113" s="43">
        <f t="shared" si="131"/>
        <v>2.1</v>
      </c>
      <c r="M1113" s="43">
        <f t="shared" si="131"/>
        <v>2.1</v>
      </c>
      <c r="N1113" s="43">
        <f t="shared" si="131"/>
        <v>2.052</v>
      </c>
      <c r="O1113" s="43">
        <f t="shared" si="131"/>
        <v>2.3321999999999998</v>
      </c>
    </row>
    <row r="1114" spans="2:15" s="15" customFormat="1" x14ac:dyDescent="0.25">
      <c r="B1114"/>
      <c r="C1114"/>
      <c r="D1114"/>
      <c r="E1114"/>
      <c r="F1114" s="43"/>
      <c r="G1114" s="43"/>
      <c r="H1114" s="43"/>
      <c r="I1114"/>
      <c r="L1114"/>
    </row>
    <row r="1115" spans="2:15" s="15" customFormat="1" x14ac:dyDescent="0.25">
      <c r="B1115" s="15" t="s">
        <v>1334</v>
      </c>
      <c r="C1115"/>
      <c r="D1115"/>
      <c r="E1115"/>
      <c r="F1115" s="43"/>
      <c r="G1115" s="43"/>
      <c r="H1115" s="43"/>
      <c r="I1115"/>
      <c r="L1115"/>
    </row>
    <row r="1116" spans="2:15" s="15" customFormat="1" x14ac:dyDescent="0.25">
      <c r="B1116" t="s">
        <v>516</v>
      </c>
      <c r="C1116">
        <f>D1120</f>
        <v>63.9</v>
      </c>
      <c r="D1116">
        <v>59.4</v>
      </c>
      <c r="E1116">
        <v>53.7</v>
      </c>
      <c r="F1116" s="43">
        <v>48.72</v>
      </c>
      <c r="G1116" s="43">
        <v>41.173999999999999</v>
      </c>
      <c r="H1116" s="43">
        <v>35.225000000000001</v>
      </c>
      <c r="I1116"/>
      <c r="L1116">
        <f>C1120</f>
        <v>62.4</v>
      </c>
      <c r="M1116">
        <f>D1120</f>
        <v>63.9</v>
      </c>
      <c r="N1116">
        <f t="shared" ref="N1116:O1116" si="132">E1120</f>
        <v>59.400000000000006</v>
      </c>
      <c r="O1116">
        <f t="shared" si="132"/>
        <v>53.714999999999996</v>
      </c>
    </row>
    <row r="1117" spans="2:15" s="15" customFormat="1" x14ac:dyDescent="0.25">
      <c r="B1117" t="s">
        <v>362</v>
      </c>
      <c r="C1117">
        <v>6.4</v>
      </c>
      <c r="D1117">
        <v>5.4</v>
      </c>
      <c r="E1117">
        <v>4.7</v>
      </c>
      <c r="F1117" s="43">
        <v>6.3259999999999996</v>
      </c>
      <c r="G1117" s="43">
        <v>5.6449999999999996</v>
      </c>
      <c r="H1117" s="43">
        <v>6.0970000000000004</v>
      </c>
      <c r="I1117"/>
      <c r="L1117">
        <v>5</v>
      </c>
      <c r="M1117" s="17">
        <v>1.9</v>
      </c>
      <c r="N1117" s="17">
        <v>2.6789999999999998</v>
      </c>
      <c r="O1117" s="17">
        <v>2.3410000000000002</v>
      </c>
    </row>
    <row r="1118" spans="2:15" s="15" customFormat="1" x14ac:dyDescent="0.25">
      <c r="B1118" t="s">
        <v>1331</v>
      </c>
      <c r="C1118"/>
      <c r="D1118">
        <v>0.5</v>
      </c>
      <c r="E1118">
        <v>1.6</v>
      </c>
      <c r="F1118" s="43"/>
      <c r="G1118" s="43">
        <v>1.9910000000000001</v>
      </c>
      <c r="H1118" s="43">
        <v>0.57699999999999996</v>
      </c>
      <c r="I1118"/>
      <c r="L1118">
        <v>0.4</v>
      </c>
      <c r="M1118" s="17">
        <v>0.1</v>
      </c>
      <c r="N1118" s="17">
        <v>0.46500000000000002</v>
      </c>
      <c r="O1118" s="17">
        <v>5.7000000000000002E-2</v>
      </c>
    </row>
    <row r="1119" spans="2:15" s="15" customFormat="1" x14ac:dyDescent="0.25">
      <c r="B1119" t="s">
        <v>543</v>
      </c>
      <c r="C1119">
        <v>-7.9</v>
      </c>
      <c r="D1119">
        <v>-1.4</v>
      </c>
      <c r="E1119">
        <v>-0.6</v>
      </c>
      <c r="F1119" s="43">
        <v>-1.331</v>
      </c>
      <c r="G1119" s="43">
        <v>-0.09</v>
      </c>
      <c r="H1119" s="43">
        <v>-0.72499999999999998</v>
      </c>
      <c r="I1119"/>
      <c r="L1119">
        <v>-0.3</v>
      </c>
      <c r="M1119" s="17">
        <v>-0.2</v>
      </c>
      <c r="N1119" s="17">
        <v>-0.40100000000000002</v>
      </c>
      <c r="O1119" s="17">
        <v>-0.314</v>
      </c>
    </row>
    <row r="1120" spans="2:15" s="15" customFormat="1" x14ac:dyDescent="0.25">
      <c r="B1120" t="s">
        <v>1337</v>
      </c>
      <c r="C1120">
        <f>SUM(C1116:C1119)</f>
        <v>62.4</v>
      </c>
      <c r="D1120">
        <f>SUM(D1116:D1119)</f>
        <v>63.9</v>
      </c>
      <c r="E1120">
        <f t="shared" ref="E1120:O1120" si="133">SUM(E1116:E1119)</f>
        <v>59.400000000000006</v>
      </c>
      <c r="F1120" s="43">
        <f t="shared" si="133"/>
        <v>53.714999999999996</v>
      </c>
      <c r="G1120" s="43">
        <f t="shared" si="133"/>
        <v>48.72</v>
      </c>
      <c r="H1120" s="43">
        <f t="shared" si="133"/>
        <v>41.173999999999999</v>
      </c>
      <c r="I1120" s="43"/>
      <c r="J1120" s="43"/>
      <c r="K1120" s="43"/>
      <c r="L1120" s="43">
        <f t="shared" si="133"/>
        <v>67.500000000000014</v>
      </c>
      <c r="M1120" s="43">
        <f t="shared" si="133"/>
        <v>65.699999999999989</v>
      </c>
      <c r="N1120" s="83">
        <f t="shared" si="133"/>
        <v>62.143000000000008</v>
      </c>
      <c r="O1120" s="83">
        <f t="shared" si="133"/>
        <v>55.798999999999999</v>
      </c>
    </row>
    <row r="1121" spans="2:15" s="69" customFormat="1" x14ac:dyDescent="0.25">
      <c r="B1121" s="38" t="s">
        <v>1332</v>
      </c>
      <c r="C1121">
        <f>D1125</f>
        <v>26.8</v>
      </c>
      <c r="D1121" s="38">
        <v>22.5</v>
      </c>
      <c r="E1121" s="38">
        <v>18.7</v>
      </c>
      <c r="F1121" s="43">
        <v>15.468999999999999</v>
      </c>
      <c r="G1121" s="89">
        <v>12.608000000000001</v>
      </c>
      <c r="H1121" s="89">
        <v>9.9779999999999998</v>
      </c>
      <c r="I1121" s="38"/>
      <c r="L1121">
        <f>C1125</f>
        <v>29.400000000000002</v>
      </c>
      <c r="M1121">
        <f>D1125</f>
        <v>26.8</v>
      </c>
      <c r="N1121" s="17">
        <f>E1125</f>
        <v>22.5</v>
      </c>
      <c r="O1121" s="17">
        <f>F1125</f>
        <v>18.716000000000001</v>
      </c>
    </row>
    <row r="1122" spans="2:15" s="15" customFormat="1" x14ac:dyDescent="0.25">
      <c r="B1122" t="s">
        <v>1333</v>
      </c>
      <c r="C1122">
        <v>4</v>
      </c>
      <c r="D1122">
        <v>4.3</v>
      </c>
      <c r="E1122" s="88">
        <v>4</v>
      </c>
      <c r="F1122" s="43">
        <v>3.4470000000000001</v>
      </c>
      <c r="G1122" s="89">
        <v>2.9380000000000002</v>
      </c>
      <c r="H1122" s="89">
        <v>2.6840000000000002</v>
      </c>
      <c r="I1122"/>
      <c r="L1122">
        <v>2.1</v>
      </c>
      <c r="M1122" s="17">
        <v>2.2000000000000002</v>
      </c>
      <c r="N1122" s="17">
        <v>2.2530000000000001</v>
      </c>
      <c r="O1122" s="17">
        <v>2.121</v>
      </c>
    </row>
    <row r="1123" spans="2:15" s="15" customFormat="1" x14ac:dyDescent="0.25">
      <c r="B1123" t="s">
        <v>1336</v>
      </c>
      <c r="D1123">
        <v>1.3</v>
      </c>
      <c r="F1123" s="43"/>
      <c r="G1123" s="43"/>
      <c r="H1123" s="43"/>
      <c r="I1123"/>
      <c r="N1123" s="17">
        <v>1.2769999999999999</v>
      </c>
      <c r="O1123" s="17"/>
    </row>
    <row r="1124" spans="2:15" s="15" customFormat="1" x14ac:dyDescent="0.25">
      <c r="B1124" t="s">
        <v>543</v>
      </c>
      <c r="C1124">
        <v>-1.4</v>
      </c>
      <c r="D1124" s="17">
        <v>-1.3</v>
      </c>
      <c r="E1124" s="88">
        <v>-0.2</v>
      </c>
      <c r="F1124" s="43">
        <v>-0.2</v>
      </c>
      <c r="G1124" s="89">
        <v>-7.6999999999999999E-2</v>
      </c>
      <c r="H1124" s="89">
        <v>-5.3999999999999999E-2</v>
      </c>
      <c r="I1124"/>
      <c r="L1124">
        <v>-0.2</v>
      </c>
      <c r="M1124" s="17">
        <v>-0.1</v>
      </c>
      <c r="N1124" s="17">
        <v>0.35</v>
      </c>
      <c r="O1124" s="17">
        <v>-1.4999999999999999E-2</v>
      </c>
    </row>
    <row r="1125" spans="2:15" s="15" customFormat="1" ht="15.75" thickBot="1" x14ac:dyDescent="0.3">
      <c r="B1125" t="s">
        <v>1337</v>
      </c>
      <c r="C1125" s="76">
        <f>SUM(C1121:C1124)</f>
        <v>29.400000000000002</v>
      </c>
      <c r="D1125" s="76">
        <f>SUM(D1121:D1124)</f>
        <v>26.8</v>
      </c>
      <c r="E1125" s="76">
        <f>SUM(E1121:E1124)</f>
        <v>22.5</v>
      </c>
      <c r="F1125" s="76">
        <f t="shared" ref="F1125:O1125" si="134">SUM(F1121:F1124)</f>
        <v>18.716000000000001</v>
      </c>
      <c r="G1125" s="76">
        <f t="shared" si="134"/>
        <v>15.469000000000001</v>
      </c>
      <c r="H1125" s="76">
        <f t="shared" si="134"/>
        <v>12.607999999999999</v>
      </c>
      <c r="I1125" s="43"/>
      <c r="J1125" s="43"/>
      <c r="K1125" s="43"/>
      <c r="L1125" s="76">
        <f t="shared" si="134"/>
        <v>31.300000000000004</v>
      </c>
      <c r="M1125" s="76">
        <f t="shared" si="134"/>
        <v>28.9</v>
      </c>
      <c r="N1125" s="76">
        <f t="shared" si="134"/>
        <v>26.380000000000003</v>
      </c>
      <c r="O1125" s="76">
        <f t="shared" si="134"/>
        <v>20.821999999999999</v>
      </c>
    </row>
    <row r="1126" spans="2:15" s="15" customFormat="1" x14ac:dyDescent="0.25">
      <c r="B1126" t="s">
        <v>650</v>
      </c>
      <c r="C1126">
        <f>C1120-C1125</f>
        <v>33</v>
      </c>
      <c r="D1126">
        <f>D1120-D1125</f>
        <v>37.099999999999994</v>
      </c>
      <c r="E1126">
        <f t="shared" ref="E1126:O1126" si="135">E1120-E1125</f>
        <v>36.900000000000006</v>
      </c>
      <c r="F1126" s="43">
        <f t="shared" si="135"/>
        <v>34.998999999999995</v>
      </c>
      <c r="G1126" s="43">
        <f t="shared" si="135"/>
        <v>33.250999999999998</v>
      </c>
      <c r="H1126" s="43">
        <f t="shared" si="135"/>
        <v>28.566000000000003</v>
      </c>
      <c r="I1126" s="43"/>
      <c r="J1126" s="43"/>
      <c r="K1126" s="43"/>
      <c r="L1126" s="43">
        <f t="shared" si="135"/>
        <v>36.20000000000001</v>
      </c>
      <c r="M1126" s="43">
        <f t="shared" si="135"/>
        <v>36.79999999999999</v>
      </c>
      <c r="N1126" s="83">
        <f t="shared" si="135"/>
        <v>35.763000000000005</v>
      </c>
      <c r="O1126" s="83">
        <f t="shared" si="135"/>
        <v>34.977000000000004</v>
      </c>
    </row>
    <row r="1127" spans="2:15" s="15" customFormat="1" x14ac:dyDescent="0.25">
      <c r="B1127"/>
      <c r="C1127"/>
      <c r="D1127"/>
      <c r="E1127"/>
      <c r="F1127"/>
      <c r="G1127" s="43"/>
      <c r="H1127" s="43"/>
      <c r="I1127"/>
      <c r="L1127"/>
      <c r="N1127" s="17"/>
      <c r="O1127" s="17"/>
    </row>
    <row r="1128" spans="2:15" s="15" customFormat="1" x14ac:dyDescent="0.25">
      <c r="B1128" s="15" t="s">
        <v>1335</v>
      </c>
      <c r="C1128"/>
      <c r="D1128"/>
      <c r="E1128"/>
      <c r="F1128"/>
      <c r="G1128" s="43"/>
      <c r="H1128" s="43"/>
      <c r="I1128"/>
      <c r="L1128"/>
      <c r="M1128" s="17"/>
      <c r="N1128" s="17"/>
      <c r="O1128" s="17"/>
    </row>
    <row r="1129" spans="2:15" s="15" customFormat="1" x14ac:dyDescent="0.25">
      <c r="B1129" t="s">
        <v>516</v>
      </c>
      <c r="C1129">
        <f>D1133</f>
        <v>239.9</v>
      </c>
      <c r="D1129">
        <v>222.9</v>
      </c>
      <c r="E1129">
        <v>206.9</v>
      </c>
      <c r="F1129" s="43">
        <v>183.625</v>
      </c>
      <c r="G1129" s="43">
        <v>155.23500000000001</v>
      </c>
      <c r="H1129" s="43">
        <v>127.57899999999999</v>
      </c>
      <c r="I1129"/>
      <c r="L1129">
        <f>C1133</f>
        <v>245.3</v>
      </c>
      <c r="M1129" s="17">
        <f>D1133</f>
        <v>239.9</v>
      </c>
      <c r="N1129" s="17">
        <f t="shared" ref="N1129:O1129" si="136">E1133</f>
        <v>222.9</v>
      </c>
      <c r="O1129" s="17">
        <f t="shared" si="136"/>
        <v>206.86799999999999</v>
      </c>
    </row>
    <row r="1130" spans="2:15" s="15" customFormat="1" x14ac:dyDescent="0.25">
      <c r="B1130" t="s">
        <v>362</v>
      </c>
      <c r="C1130">
        <v>12.5</v>
      </c>
      <c r="D1130">
        <v>17.600000000000001</v>
      </c>
      <c r="E1130">
        <v>16</v>
      </c>
      <c r="F1130" s="43">
        <v>25.459</v>
      </c>
      <c r="G1130" s="43">
        <v>32.898000000000003</v>
      </c>
      <c r="H1130" s="43">
        <v>28.030999999999999</v>
      </c>
      <c r="I1130"/>
      <c r="L1130">
        <v>11.6</v>
      </c>
      <c r="M1130" s="17">
        <v>5.8</v>
      </c>
      <c r="N1130" s="17">
        <v>9.5679999999999996</v>
      </c>
      <c r="O1130" s="17">
        <v>10.379</v>
      </c>
    </row>
    <row r="1131" spans="2:15" s="15" customFormat="1" x14ac:dyDescent="0.25">
      <c r="B1131" t="s">
        <v>1331</v>
      </c>
      <c r="C1131">
        <v>0.4</v>
      </c>
      <c r="D1131">
        <v>0.3</v>
      </c>
      <c r="E1131">
        <v>0.6</v>
      </c>
      <c r="F1131" s="44"/>
      <c r="G1131" s="43">
        <v>1.0620000000000001</v>
      </c>
      <c r="H1131" s="43">
        <v>0.66900000000000004</v>
      </c>
      <c r="I1131"/>
      <c r="L1131">
        <v>0</v>
      </c>
      <c r="M1131" s="17">
        <v>0</v>
      </c>
      <c r="N1131" s="17">
        <v>0.32700000000000001</v>
      </c>
      <c r="O1131" s="17">
        <v>5.8000000000000003E-2</v>
      </c>
    </row>
    <row r="1132" spans="2:15" s="15" customFormat="1" x14ac:dyDescent="0.25">
      <c r="B1132" t="s">
        <v>543</v>
      </c>
      <c r="C1132">
        <v>-7.5</v>
      </c>
      <c r="D1132">
        <v>-0.9</v>
      </c>
      <c r="E1132">
        <v>-0.6</v>
      </c>
      <c r="F1132" s="43">
        <v>-2.2160000000000002</v>
      </c>
      <c r="G1132" s="43">
        <v>-5.57</v>
      </c>
      <c r="H1132" s="43">
        <v>-1.044</v>
      </c>
      <c r="I1132"/>
      <c r="L1132">
        <v>0.3</v>
      </c>
      <c r="M1132" s="17">
        <v>-0.2</v>
      </c>
      <c r="N1132" s="17">
        <v>-0.46700000000000003</v>
      </c>
      <c r="O1132" s="17">
        <v>-0.187</v>
      </c>
    </row>
    <row r="1133" spans="2:15" s="15" customFormat="1" x14ac:dyDescent="0.25">
      <c r="B1133" t="s">
        <v>1337</v>
      </c>
      <c r="C1133">
        <f>SUM(C1129:C1132)</f>
        <v>245.3</v>
      </c>
      <c r="D1133">
        <f>SUM(D1129:D1132)</f>
        <v>239.9</v>
      </c>
      <c r="E1133">
        <f t="shared" ref="E1133:O1133" si="137">SUM(E1129:E1132)</f>
        <v>222.9</v>
      </c>
      <c r="F1133" s="43">
        <f>SUM(F1129:F1132)</f>
        <v>206.86799999999999</v>
      </c>
      <c r="G1133" s="43">
        <f t="shared" si="137"/>
        <v>183.62500000000003</v>
      </c>
      <c r="H1133" s="43">
        <f t="shared" si="137"/>
        <v>155.23499999999999</v>
      </c>
      <c r="I1133" s="43"/>
      <c r="J1133" s="43"/>
      <c r="K1133" s="43"/>
      <c r="L1133" s="43">
        <f t="shared" si="137"/>
        <v>257.20000000000005</v>
      </c>
      <c r="M1133" s="83">
        <f t="shared" si="137"/>
        <v>245.50000000000003</v>
      </c>
      <c r="N1133" s="83">
        <f t="shared" si="137"/>
        <v>232.328</v>
      </c>
      <c r="O1133" s="83">
        <f t="shared" si="137"/>
        <v>217.11799999999997</v>
      </c>
    </row>
    <row r="1134" spans="2:15" s="15" customFormat="1" x14ac:dyDescent="0.25">
      <c r="B1134" t="s">
        <v>1332</v>
      </c>
      <c r="C1134">
        <f>D1138</f>
        <v>162.00000000000003</v>
      </c>
      <c r="D1134">
        <v>138.30000000000001</v>
      </c>
      <c r="E1134">
        <v>114.2</v>
      </c>
      <c r="F1134" s="43">
        <v>90.36</v>
      </c>
      <c r="G1134" s="43">
        <v>71.414000000000001</v>
      </c>
      <c r="H1134" s="43">
        <v>52.326000000000001</v>
      </c>
      <c r="I1134"/>
      <c r="L1134">
        <f>C1138</f>
        <v>180.80000000000004</v>
      </c>
      <c r="M1134" s="17">
        <f t="shared" ref="M1134:O1134" si="138">D1138</f>
        <v>162.00000000000003</v>
      </c>
      <c r="N1134" s="17">
        <f t="shared" si="138"/>
        <v>138.29999999999998</v>
      </c>
      <c r="O1134" s="17">
        <f t="shared" si="138"/>
        <v>114.24099999999999</v>
      </c>
    </row>
    <row r="1135" spans="2:15" s="15" customFormat="1" x14ac:dyDescent="0.25">
      <c r="B1135" t="s">
        <v>1333</v>
      </c>
      <c r="C1135">
        <v>22.9</v>
      </c>
      <c r="D1135">
        <v>24</v>
      </c>
      <c r="E1135">
        <v>24.5</v>
      </c>
      <c r="F1135" s="43">
        <v>24.792999999999999</v>
      </c>
      <c r="G1135" s="43">
        <v>22.712</v>
      </c>
      <c r="H1135" s="43">
        <v>19.16</v>
      </c>
      <c r="I1135"/>
      <c r="L1135">
        <v>11.4</v>
      </c>
      <c r="M1135" s="17">
        <v>12.6</v>
      </c>
      <c r="N1135" s="17">
        <v>12.693</v>
      </c>
      <c r="O1135" s="17">
        <v>13.412000000000001</v>
      </c>
    </row>
    <row r="1136" spans="2:15" s="15" customFormat="1" x14ac:dyDescent="0.25">
      <c r="B1136" t="s">
        <v>1336</v>
      </c>
      <c r="C1136"/>
      <c r="D1136">
        <v>0.4</v>
      </c>
      <c r="E1136"/>
      <c r="F1136" s="43"/>
      <c r="G1136" s="43"/>
      <c r="H1136" s="43"/>
      <c r="I1136"/>
      <c r="L1136"/>
      <c r="M1136" s="17"/>
      <c r="N1136" s="17"/>
      <c r="O1136" s="17"/>
    </row>
    <row r="1137" spans="2:15" s="15" customFormat="1" x14ac:dyDescent="0.25">
      <c r="B1137" t="s">
        <v>543</v>
      </c>
      <c r="C1137">
        <v>-4.0999999999999996</v>
      </c>
      <c r="D1137">
        <v>-0.7</v>
      </c>
      <c r="E1137">
        <v>-0.4</v>
      </c>
      <c r="F1137" s="43">
        <v>-0.91200000000000003</v>
      </c>
      <c r="G1137" s="43">
        <v>-3.766</v>
      </c>
      <c r="H1137" s="43">
        <v>-7.1999999999999995E-2</v>
      </c>
      <c r="I1137"/>
      <c r="L1137">
        <v>-0.2</v>
      </c>
      <c r="M1137" s="17">
        <v>-0.2</v>
      </c>
      <c r="N1137" s="17"/>
      <c r="O1137" s="17"/>
    </row>
    <row r="1138" spans="2:15" s="15" customFormat="1" ht="15.75" thickBot="1" x14ac:dyDescent="0.3">
      <c r="B1138" t="s">
        <v>1337</v>
      </c>
      <c r="C1138" s="76">
        <f>SUM(C1134:C1137)</f>
        <v>180.80000000000004</v>
      </c>
      <c r="D1138" s="76">
        <f>SUM(D1134:D1137)</f>
        <v>162.00000000000003</v>
      </c>
      <c r="E1138" s="76">
        <f t="shared" ref="E1138:H1138" si="139">SUM(E1134:E1137)</f>
        <v>138.29999999999998</v>
      </c>
      <c r="F1138" s="76">
        <f t="shared" si="139"/>
        <v>114.24099999999999</v>
      </c>
      <c r="G1138" s="76">
        <f t="shared" si="139"/>
        <v>90.36</v>
      </c>
      <c r="H1138" s="76">
        <f t="shared" si="139"/>
        <v>71.414000000000001</v>
      </c>
      <c r="I1138" s="43"/>
      <c r="J1138" s="43"/>
      <c r="K1138" s="43"/>
      <c r="L1138" s="76">
        <f>SUM(L1134:L1137)</f>
        <v>192.00000000000006</v>
      </c>
      <c r="M1138" s="76">
        <f t="shared" ref="M1138:O1138" si="140">SUM(M1134:M1137)</f>
        <v>174.40000000000003</v>
      </c>
      <c r="N1138" s="76">
        <f t="shared" si="140"/>
        <v>150.99299999999999</v>
      </c>
      <c r="O1138" s="76">
        <f t="shared" si="140"/>
        <v>127.65299999999999</v>
      </c>
    </row>
    <row r="1139" spans="2:15" s="15" customFormat="1" x14ac:dyDescent="0.25">
      <c r="B1139" t="s">
        <v>650</v>
      </c>
      <c r="C1139">
        <f>C1133-C1138</f>
        <v>64.499999999999972</v>
      </c>
      <c r="D1139">
        <f>D1133-D1138</f>
        <v>77.899999999999977</v>
      </c>
      <c r="E1139">
        <f t="shared" ref="E1139:H1139" si="141">E1133-E1138</f>
        <v>84.600000000000023</v>
      </c>
      <c r="F1139" s="43">
        <f t="shared" si="141"/>
        <v>92.62700000000001</v>
      </c>
      <c r="G1139" s="43">
        <f t="shared" si="141"/>
        <v>93.265000000000029</v>
      </c>
      <c r="H1139" s="43">
        <f t="shared" si="141"/>
        <v>83.820999999999984</v>
      </c>
      <c r="I1139" s="43"/>
      <c r="J1139" s="43"/>
      <c r="K1139" s="43"/>
      <c r="L1139" s="43">
        <f t="shared" ref="L1139:O1139" si="142">L1133-L1138</f>
        <v>65.199999999999989</v>
      </c>
      <c r="M1139" s="43">
        <f t="shared" si="142"/>
        <v>71.099999999999994</v>
      </c>
      <c r="N1139" s="83">
        <f t="shared" si="142"/>
        <v>81.335000000000008</v>
      </c>
      <c r="O1139" s="83">
        <f t="shared" si="142"/>
        <v>89.464999999999975</v>
      </c>
    </row>
    <row r="1140" spans="2:15" s="15" customFormat="1" x14ac:dyDescent="0.25">
      <c r="B1140"/>
      <c r="C1140"/>
      <c r="D1140"/>
      <c r="E1140"/>
      <c r="F1140" s="43"/>
      <c r="G1140" s="43"/>
      <c r="H1140" s="43"/>
      <c r="I1140"/>
      <c r="L1140"/>
      <c r="N1140" s="17"/>
      <c r="O1140" s="17"/>
    </row>
    <row r="1141" spans="2:15" s="15" customFormat="1" x14ac:dyDescent="0.25">
      <c r="B1141" s="15" t="s">
        <v>115</v>
      </c>
      <c r="C1141"/>
      <c r="D1141"/>
      <c r="E1141"/>
      <c r="F1141" s="43"/>
      <c r="G1141" s="43"/>
      <c r="H1141" s="43"/>
      <c r="I1141"/>
      <c r="L1141"/>
      <c r="N1141" s="17"/>
      <c r="O1141" s="17"/>
    </row>
    <row r="1142" spans="2:15" s="15" customFormat="1" x14ac:dyDescent="0.25">
      <c r="B1142" t="s">
        <v>516</v>
      </c>
      <c r="C1142">
        <f>D1146</f>
        <v>306.2</v>
      </c>
      <c r="D1142">
        <f t="shared" ref="D1142:E1152" si="143">D1103+D1116+D1129</f>
        <v>284.8</v>
      </c>
      <c r="E1142">
        <f t="shared" ref="E1142:H1142" si="144">E1103+E1116+E1129</f>
        <v>263.10000000000002</v>
      </c>
      <c r="F1142" s="43">
        <f t="shared" si="144"/>
        <v>234.86199999999999</v>
      </c>
      <c r="G1142" s="43">
        <f t="shared" si="144"/>
        <v>198.92900000000003</v>
      </c>
      <c r="H1142" s="43">
        <f t="shared" si="144"/>
        <v>165.31200000000001</v>
      </c>
      <c r="I1142"/>
      <c r="L1142" s="43">
        <f t="shared" ref="L1142:O1142" si="145">L1103+L1116+L1129</f>
        <v>310.10000000000002</v>
      </c>
      <c r="M1142" s="43">
        <f t="shared" si="145"/>
        <v>306.2</v>
      </c>
      <c r="N1142" s="43">
        <f t="shared" si="145"/>
        <v>284.8</v>
      </c>
      <c r="O1142" s="43">
        <f t="shared" si="145"/>
        <v>263.10000000000002</v>
      </c>
    </row>
    <row r="1143" spans="2:15" s="15" customFormat="1" x14ac:dyDescent="0.25">
      <c r="B1143" t="s">
        <v>362</v>
      </c>
      <c r="C1143">
        <f t="shared" ref="C1143:C1152" si="146">C1104+C1117+C1130</f>
        <v>18.899999999999999</v>
      </c>
      <c r="D1143">
        <f t="shared" si="143"/>
        <v>23</v>
      </c>
      <c r="E1143">
        <f t="shared" ref="E1143:H1143" si="147">E1104+E1117+E1130</f>
        <v>20.7</v>
      </c>
      <c r="F1143" s="43">
        <f t="shared" si="147"/>
        <v>31.785</v>
      </c>
      <c r="G1143" s="43">
        <f t="shared" si="147"/>
        <v>38.543000000000006</v>
      </c>
      <c r="H1143" s="43">
        <f t="shared" si="147"/>
        <v>34.171999999999997</v>
      </c>
      <c r="I1143"/>
      <c r="L1143" s="43">
        <f t="shared" ref="L1143:O1143" si="148">L1104+L1117+L1130</f>
        <v>16.600000000000001</v>
      </c>
      <c r="M1143" s="43">
        <f t="shared" si="148"/>
        <v>7.6999999999999993</v>
      </c>
      <c r="N1143" s="43">
        <f t="shared" si="148"/>
        <v>12.247</v>
      </c>
      <c r="O1143" s="43">
        <f t="shared" si="148"/>
        <v>12.79</v>
      </c>
    </row>
    <row r="1144" spans="2:15" s="15" customFormat="1" x14ac:dyDescent="0.25">
      <c r="B1144" t="s">
        <v>1331</v>
      </c>
      <c r="C1144">
        <f t="shared" si="146"/>
        <v>0.4</v>
      </c>
      <c r="D1144">
        <f t="shared" si="143"/>
        <v>0.8</v>
      </c>
      <c r="E1144">
        <f t="shared" ref="E1144:H1144" si="149">E1105+E1118+E1131</f>
        <v>2.2000000000000002</v>
      </c>
      <c r="F1144" s="43">
        <f>F1105+F1118+F1132</f>
        <v>-2.2160000000000002</v>
      </c>
      <c r="G1144" s="43">
        <f t="shared" si="149"/>
        <v>3.0529999999999999</v>
      </c>
      <c r="H1144" s="43">
        <f t="shared" si="149"/>
        <v>2.681</v>
      </c>
      <c r="I1144"/>
      <c r="L1144" s="43">
        <f t="shared" ref="L1144:O1144" si="150">L1105+L1118+L1131</f>
        <v>0.4</v>
      </c>
      <c r="M1144" s="43">
        <f t="shared" si="150"/>
        <v>0.1</v>
      </c>
      <c r="N1144" s="43">
        <f t="shared" si="150"/>
        <v>0.79200000000000004</v>
      </c>
      <c r="O1144" s="43">
        <f t="shared" si="150"/>
        <v>0.115</v>
      </c>
    </row>
    <row r="1145" spans="2:15" s="15" customFormat="1" x14ac:dyDescent="0.25">
      <c r="B1145" t="s">
        <v>543</v>
      </c>
      <c r="C1145">
        <f t="shared" si="146"/>
        <v>-15.4</v>
      </c>
      <c r="D1145">
        <f t="shared" si="143"/>
        <v>-2.4</v>
      </c>
      <c r="E1145">
        <f t="shared" ref="E1145:H1145" si="151">E1106+E1119+E1132</f>
        <v>-1.2</v>
      </c>
      <c r="F1145" s="43">
        <f t="shared" si="151"/>
        <v>-3.5470000000000002</v>
      </c>
      <c r="G1145" s="43">
        <f t="shared" si="151"/>
        <v>-5.66</v>
      </c>
      <c r="H1145" s="43">
        <f t="shared" si="151"/>
        <v>-3.2389999999999999</v>
      </c>
      <c r="I1145"/>
      <c r="L1145" s="43">
        <f t="shared" ref="L1145:O1145" si="152">L1106+L1119+L1132</f>
        <v>0</v>
      </c>
      <c r="M1145" s="43">
        <f t="shared" si="152"/>
        <v>-0.4</v>
      </c>
      <c r="N1145" s="43">
        <f t="shared" si="152"/>
        <v>-1.018</v>
      </c>
      <c r="O1145" s="43">
        <f t="shared" si="152"/>
        <v>-0.501</v>
      </c>
    </row>
    <row r="1146" spans="2:15" s="15" customFormat="1" x14ac:dyDescent="0.25">
      <c r="B1146" t="s">
        <v>1337</v>
      </c>
      <c r="C1146">
        <f t="shared" si="146"/>
        <v>310.10000000000002</v>
      </c>
      <c r="D1146">
        <f t="shared" si="143"/>
        <v>306.2</v>
      </c>
      <c r="E1146">
        <f t="shared" ref="E1146:H1146" si="153">E1107+E1120+E1133</f>
        <v>284.8</v>
      </c>
      <c r="F1146" s="43">
        <f t="shared" si="153"/>
        <v>263.10000000000002</v>
      </c>
      <c r="G1146" s="43">
        <f t="shared" si="153"/>
        <v>234.86500000000004</v>
      </c>
      <c r="H1146" s="43">
        <f t="shared" si="153"/>
        <v>198.92599999999999</v>
      </c>
      <c r="I1146"/>
      <c r="L1146" s="43">
        <f t="shared" ref="L1146:O1146" si="154">L1107+L1120+L1133</f>
        <v>327.10000000000008</v>
      </c>
      <c r="M1146" s="43">
        <f t="shared" si="154"/>
        <v>313.60000000000002</v>
      </c>
      <c r="N1146" s="43">
        <f t="shared" si="154"/>
        <v>296.82100000000003</v>
      </c>
      <c r="O1146" s="43">
        <f t="shared" si="154"/>
        <v>275.50399999999996</v>
      </c>
    </row>
    <row r="1147" spans="2:15" s="15" customFormat="1" x14ac:dyDescent="0.25">
      <c r="B1147" s="38" t="s">
        <v>1332</v>
      </c>
      <c r="C1147">
        <f t="shared" si="146"/>
        <v>189.10000000000002</v>
      </c>
      <c r="D1147">
        <f t="shared" si="143"/>
        <v>161.10000000000002</v>
      </c>
      <c r="E1147">
        <f t="shared" ref="E1147:H1147" si="155">E1108+E1121+E1134</f>
        <v>133.19999999999999</v>
      </c>
      <c r="F1147" s="43">
        <f t="shared" si="155"/>
        <v>106.029</v>
      </c>
      <c r="G1147" s="43">
        <f t="shared" si="155"/>
        <v>84.182000000000002</v>
      </c>
      <c r="H1147" s="43">
        <f t="shared" si="155"/>
        <v>62.421999999999997</v>
      </c>
      <c r="I1147"/>
      <c r="L1147" s="43">
        <f t="shared" ref="L1147:O1147" si="156">L1108+L1121+L1134</f>
        <v>210.50000000000006</v>
      </c>
      <c r="M1147" s="43">
        <f t="shared" si="156"/>
        <v>189.10000000000002</v>
      </c>
      <c r="N1147" s="43">
        <f t="shared" si="156"/>
        <v>161.1</v>
      </c>
      <c r="O1147" s="43">
        <f t="shared" si="156"/>
        <v>133.15699999999998</v>
      </c>
    </row>
    <row r="1148" spans="2:15" s="15" customFormat="1" x14ac:dyDescent="0.25">
      <c r="B1148" t="s">
        <v>1333</v>
      </c>
      <c r="C1148">
        <f t="shared" si="146"/>
        <v>26.9</v>
      </c>
      <c r="D1148">
        <f t="shared" si="143"/>
        <v>28.3</v>
      </c>
      <c r="E1148">
        <f t="shared" ref="E1148:H1148" si="157">E1109+E1122+E1135</f>
        <v>28.5</v>
      </c>
      <c r="F1148" s="43">
        <f t="shared" si="157"/>
        <v>28.28</v>
      </c>
      <c r="G1148" s="43">
        <f t="shared" si="157"/>
        <v>25.69</v>
      </c>
      <c r="H1148" s="43">
        <f t="shared" si="157"/>
        <v>21.914999999999999</v>
      </c>
      <c r="I1148"/>
      <c r="L1148" s="43">
        <f t="shared" ref="L1148:O1148" si="158">L1109+L1122+L1135</f>
        <v>13.5</v>
      </c>
      <c r="M1148" s="43">
        <f t="shared" si="158"/>
        <v>14.8</v>
      </c>
      <c r="N1148" s="43">
        <f t="shared" si="158"/>
        <v>14.966999999999999</v>
      </c>
      <c r="O1148" s="43">
        <f t="shared" si="158"/>
        <v>15.556800000000001</v>
      </c>
    </row>
    <row r="1149" spans="2:15" s="15" customFormat="1" x14ac:dyDescent="0.25">
      <c r="B1149" t="s">
        <v>1336</v>
      </c>
      <c r="C1149">
        <f t="shared" si="146"/>
        <v>0</v>
      </c>
      <c r="D1149">
        <f t="shared" si="143"/>
        <v>1.7000000000000002</v>
      </c>
      <c r="E1149">
        <f>E1110+E1124+E1136</f>
        <v>-0.2</v>
      </c>
      <c r="F1149" s="43">
        <f t="shared" ref="F1149:H1149" si="159">F1110+F1123+F1136</f>
        <v>0</v>
      </c>
      <c r="G1149" s="43">
        <f t="shared" si="159"/>
        <v>0</v>
      </c>
      <c r="H1149" s="43">
        <f t="shared" si="159"/>
        <v>0</v>
      </c>
      <c r="I1149"/>
      <c r="L1149" s="43">
        <f>L1110+L1123+L1136</f>
        <v>0</v>
      </c>
      <c r="M1149" s="43">
        <f t="shared" ref="M1149:O1149" si="160">M1110+M1123+M1136</f>
        <v>0</v>
      </c>
      <c r="N1149" s="43">
        <f t="shared" si="160"/>
        <v>1.2769999999999999</v>
      </c>
      <c r="O1149" s="43">
        <f t="shared" si="160"/>
        <v>0</v>
      </c>
    </row>
    <row r="1150" spans="2:15" s="15" customFormat="1" x14ac:dyDescent="0.25">
      <c r="B1150" t="s">
        <v>543</v>
      </c>
      <c r="C1150">
        <f t="shared" si="146"/>
        <v>-5.5</v>
      </c>
      <c r="D1150">
        <f t="shared" si="143"/>
        <v>-2</v>
      </c>
      <c r="E1150">
        <f t="shared" si="143"/>
        <v>-0.60000000000000009</v>
      </c>
      <c r="F1150" s="43">
        <f t="shared" ref="F1150:H1150" si="161">F1111+F1124+F1137</f>
        <v>-1.1120000000000001</v>
      </c>
      <c r="G1150" s="43">
        <f t="shared" si="161"/>
        <v>-3.843</v>
      </c>
      <c r="H1150" s="43">
        <f t="shared" si="161"/>
        <v>-0.15699999999999997</v>
      </c>
      <c r="I1150"/>
      <c r="L1150" s="43">
        <f>L1111+L1124+L1137</f>
        <v>-0.4</v>
      </c>
      <c r="M1150" s="43">
        <f t="shared" ref="M1150:O1150" si="162">M1111+M1124+M1137</f>
        <v>-0.30000000000000004</v>
      </c>
      <c r="N1150" s="43">
        <f t="shared" si="162"/>
        <v>0.32699999999999996</v>
      </c>
      <c r="O1150" s="43">
        <f t="shared" si="162"/>
        <v>1.6E-2</v>
      </c>
    </row>
    <row r="1151" spans="2:15" s="15" customFormat="1" ht="15.75" thickBot="1" x14ac:dyDescent="0.3">
      <c r="B1151" t="s">
        <v>1337</v>
      </c>
      <c r="C1151" s="14">
        <f t="shared" si="146"/>
        <v>210.50000000000006</v>
      </c>
      <c r="D1151" s="14">
        <f t="shared" si="143"/>
        <v>189.10000000000002</v>
      </c>
      <c r="E1151" s="14">
        <f t="shared" ref="E1151:H1151" si="163">E1112+E1125+E1138</f>
        <v>161.1</v>
      </c>
      <c r="F1151" s="76">
        <f t="shared" si="163"/>
        <v>133.19699999999997</v>
      </c>
      <c r="G1151" s="76">
        <f t="shared" si="163"/>
        <v>106.029</v>
      </c>
      <c r="H1151" s="76">
        <f t="shared" si="163"/>
        <v>84.18</v>
      </c>
      <c r="I1151"/>
      <c r="L1151" s="76">
        <f t="shared" ref="L1151:O1151" si="164">L1112+L1125+L1138</f>
        <v>223.60000000000005</v>
      </c>
      <c r="M1151" s="76">
        <f t="shared" si="164"/>
        <v>203.60000000000002</v>
      </c>
      <c r="N1151" s="76">
        <f t="shared" si="164"/>
        <v>177.67099999999999</v>
      </c>
      <c r="O1151" s="76">
        <f t="shared" si="164"/>
        <v>148.72979999999998</v>
      </c>
    </row>
    <row r="1152" spans="2:15" s="15" customFormat="1" x14ac:dyDescent="0.25">
      <c r="B1152" t="s">
        <v>650</v>
      </c>
      <c r="C1152">
        <f t="shared" si="146"/>
        <v>99.599999999999966</v>
      </c>
      <c r="D1152">
        <f t="shared" si="143"/>
        <v>117.09999999999997</v>
      </c>
      <c r="E1152">
        <f t="shared" ref="E1152:H1152" si="165">E1113+E1126+E1139</f>
        <v>123.70000000000003</v>
      </c>
      <c r="F1152" s="43">
        <f t="shared" si="165"/>
        <v>129.90300000000002</v>
      </c>
      <c r="G1152" s="43">
        <f t="shared" si="165"/>
        <v>128.83600000000001</v>
      </c>
      <c r="H1152" s="43">
        <f t="shared" si="165"/>
        <v>114.74599999999998</v>
      </c>
      <c r="I1152"/>
      <c r="L1152" s="43">
        <f t="shared" ref="L1152:O1152" si="166">L1113+L1126+L1139</f>
        <v>103.5</v>
      </c>
      <c r="M1152" s="43">
        <f t="shared" si="166"/>
        <v>109.99999999999999</v>
      </c>
      <c r="N1152" s="43">
        <f t="shared" si="166"/>
        <v>119.15</v>
      </c>
      <c r="O1152" s="43">
        <f t="shared" si="166"/>
        <v>126.77419999999998</v>
      </c>
    </row>
    <row r="1153" spans="2:16" s="15" customFormat="1" x14ac:dyDescent="0.25">
      <c r="B1153"/>
      <c r="C1153"/>
      <c r="D1153"/>
      <c r="E1153"/>
      <c r="F1153"/>
      <c r="G1153"/>
      <c r="H1153"/>
      <c r="I1153"/>
    </row>
    <row r="1154" spans="2:16" s="15" customFormat="1" x14ac:dyDescent="0.25">
      <c r="B1154"/>
      <c r="C1154"/>
      <c r="D1154"/>
      <c r="E1154"/>
      <c r="F1154"/>
      <c r="G1154"/>
      <c r="H1154"/>
      <c r="I1154"/>
    </row>
    <row r="1156" spans="2:16" x14ac:dyDescent="0.25">
      <c r="B1156" s="106" t="s">
        <v>639</v>
      </c>
      <c r="C1156" s="106"/>
      <c r="D1156" s="106"/>
      <c r="E1156" s="106"/>
      <c r="F1156" s="106"/>
      <c r="G1156" s="106"/>
      <c r="H1156" s="106"/>
      <c r="I1156" s="106"/>
      <c r="J1156" s="106"/>
      <c r="K1156" s="106"/>
      <c r="L1156" s="106"/>
      <c r="M1156" s="106"/>
      <c r="N1156" s="106"/>
      <c r="O1156" s="106"/>
      <c r="P1156" s="106"/>
    </row>
    <row r="1158" spans="2:16" ht="15.75" thickBot="1" x14ac:dyDescent="0.3">
      <c r="B1158" s="15" t="s">
        <v>506</v>
      </c>
      <c r="C1158" s="13">
        <v>44280</v>
      </c>
      <c r="D1158" s="13">
        <v>43919</v>
      </c>
      <c r="E1158" s="13">
        <v>43552</v>
      </c>
      <c r="F1158" s="13">
        <v>43188</v>
      </c>
      <c r="G1158" s="13">
        <v>42824</v>
      </c>
      <c r="H1158" s="13">
        <v>42460</v>
      </c>
      <c r="I1158" s="13">
        <v>42089</v>
      </c>
      <c r="L1158" s="13">
        <v>44476</v>
      </c>
      <c r="M1158" s="13">
        <v>44112</v>
      </c>
      <c r="N1158" s="13">
        <v>43748</v>
      </c>
      <c r="O1158" s="13">
        <v>43384</v>
      </c>
    </row>
    <row r="1159" spans="2:16" x14ac:dyDescent="0.25">
      <c r="B1159" t="s">
        <v>516</v>
      </c>
      <c r="C1159">
        <v>981.3</v>
      </c>
      <c r="D1159">
        <v>981.3</v>
      </c>
      <c r="E1159">
        <v>979.8</v>
      </c>
      <c r="F1159">
        <v>979.84500000000003</v>
      </c>
      <c r="G1159">
        <v>965.92499999999995</v>
      </c>
      <c r="H1159">
        <v>952.03200000000004</v>
      </c>
      <c r="L1159">
        <f>C1163</f>
        <v>958.49999999999989</v>
      </c>
      <c r="M1159">
        <f>D1163</f>
        <v>981.3</v>
      </c>
      <c r="N1159">
        <f>E1163</f>
        <v>981.3</v>
      </c>
      <c r="O1159">
        <f>F1163</f>
        <v>979.84500000000003</v>
      </c>
    </row>
    <row r="1160" spans="2:16" x14ac:dyDescent="0.25">
      <c r="B1160" t="s">
        <v>362</v>
      </c>
      <c r="E1160">
        <v>1.5</v>
      </c>
    </row>
    <row r="1161" spans="2:16" x14ac:dyDescent="0.25">
      <c r="B1161" t="s">
        <v>649</v>
      </c>
      <c r="C1161">
        <v>11.8</v>
      </c>
      <c r="G1161">
        <v>13.92</v>
      </c>
      <c r="H1161">
        <v>13.893000000000001</v>
      </c>
      <c r="L1161">
        <v>1.9</v>
      </c>
      <c r="M1161">
        <v>0.4</v>
      </c>
    </row>
    <row r="1162" spans="2:16" x14ac:dyDescent="0.25">
      <c r="B1162" t="s">
        <v>543</v>
      </c>
      <c r="C1162">
        <v>-34.6</v>
      </c>
      <c r="L1162">
        <v>-0.3</v>
      </c>
    </row>
    <row r="1163" spans="2:16" x14ac:dyDescent="0.25">
      <c r="B1163" t="s">
        <v>1337</v>
      </c>
      <c r="C1163">
        <f>SUM(C1159:C1162)</f>
        <v>958.49999999999989</v>
      </c>
      <c r="D1163">
        <f>SUM(D1159:D1162)</f>
        <v>981.3</v>
      </c>
      <c r="E1163">
        <f>SUM(E1159:E1162)</f>
        <v>981.3</v>
      </c>
      <c r="F1163">
        <f t="shared" ref="F1163:H1163" si="167">SUM(F1159:F1162)</f>
        <v>979.84500000000003</v>
      </c>
      <c r="G1163">
        <f t="shared" si="167"/>
        <v>979.84499999999991</v>
      </c>
      <c r="H1163">
        <f t="shared" si="167"/>
        <v>965.92500000000007</v>
      </c>
      <c r="L1163">
        <f t="shared" ref="L1163" si="168">SUM(L1159:L1162)</f>
        <v>960.09999999999991</v>
      </c>
      <c r="M1163">
        <f t="shared" ref="M1163" si="169">SUM(M1159:M1162)</f>
        <v>981.69999999999993</v>
      </c>
      <c r="N1163">
        <f t="shared" ref="N1163" si="170">SUM(N1159:N1162)</f>
        <v>981.3</v>
      </c>
      <c r="O1163">
        <f t="shared" ref="O1163" si="171">SUM(O1159:O1162)</f>
        <v>979.84500000000003</v>
      </c>
    </row>
    <row r="1164" spans="2:16" x14ac:dyDescent="0.25">
      <c r="B1164" t="s">
        <v>1340</v>
      </c>
      <c r="C1164">
        <f>D1169</f>
        <v>0.1</v>
      </c>
      <c r="L1164">
        <f>C1169</f>
        <v>0.1</v>
      </c>
      <c r="M1164">
        <f t="shared" ref="M1164:O1164" si="172">D1169</f>
        <v>0.1</v>
      </c>
      <c r="N1164">
        <f t="shared" si="172"/>
        <v>0</v>
      </c>
      <c r="O1164">
        <f t="shared" si="172"/>
        <v>0</v>
      </c>
    </row>
    <row r="1165" spans="2:16" x14ac:dyDescent="0.25">
      <c r="B1165" t="s">
        <v>1341</v>
      </c>
    </row>
    <row r="1166" spans="2:16" x14ac:dyDescent="0.25">
      <c r="B1166" t="s">
        <v>543</v>
      </c>
    </row>
    <row r="1167" spans="2:16" x14ac:dyDescent="0.25">
      <c r="B1167" t="s">
        <v>364</v>
      </c>
      <c r="L1167">
        <v>1.3</v>
      </c>
    </row>
    <row r="1168" spans="2:16" x14ac:dyDescent="0.25">
      <c r="B1168" t="s">
        <v>1339</v>
      </c>
      <c r="D1168">
        <v>0.1</v>
      </c>
    </row>
    <row r="1169" spans="2:17" ht="15.75" thickBot="1" x14ac:dyDescent="0.3">
      <c r="B1169" t="s">
        <v>1338</v>
      </c>
      <c r="C1169" s="14">
        <f>SUM(C1164:C1168)</f>
        <v>0.1</v>
      </c>
      <c r="D1169" s="14">
        <f>SUM(D1164:D1168)</f>
        <v>0.1</v>
      </c>
      <c r="E1169" s="14"/>
      <c r="F1169" s="14"/>
      <c r="G1169" s="14"/>
      <c r="H1169" s="14"/>
      <c r="I1169" s="14"/>
      <c r="L1169" s="14">
        <f>SUM(L1164:L1168)</f>
        <v>1.4000000000000001</v>
      </c>
      <c r="M1169" s="14">
        <f>SUM(M1164:M1168)</f>
        <v>0.1</v>
      </c>
      <c r="N1169" s="14"/>
      <c r="O1169" s="14"/>
    </row>
    <row r="1170" spans="2:17" s="15" customFormat="1" x14ac:dyDescent="0.25">
      <c r="B1170" s="15" t="s">
        <v>650</v>
      </c>
      <c r="C1170" s="15">
        <f>C1163-C1169</f>
        <v>958.39999999999986</v>
      </c>
      <c r="D1170" s="15">
        <f>D1163-D1169</f>
        <v>981.19999999999993</v>
      </c>
      <c r="E1170" s="15">
        <f>E1163-E1169</f>
        <v>981.3</v>
      </c>
      <c r="F1170" s="15">
        <f t="shared" ref="F1170:H1170" si="173">F1163-F1169</f>
        <v>979.84500000000003</v>
      </c>
      <c r="G1170" s="15">
        <f t="shared" si="173"/>
        <v>979.84499999999991</v>
      </c>
      <c r="H1170" s="15">
        <f t="shared" si="173"/>
        <v>965.92500000000007</v>
      </c>
      <c r="L1170" s="15">
        <f>L1163-L1169</f>
        <v>958.69999999999993</v>
      </c>
      <c r="M1170" s="15">
        <f>M1163-M1169</f>
        <v>981.59999999999991</v>
      </c>
      <c r="N1170" s="15">
        <f>N1163-N1169</f>
        <v>981.3</v>
      </c>
      <c r="O1170" s="15">
        <f t="shared" ref="O1170" si="174">O1163-O1169</f>
        <v>979.84500000000003</v>
      </c>
    </row>
    <row r="1172" spans="2:17" x14ac:dyDescent="0.25">
      <c r="B1172" s="15" t="s">
        <v>651</v>
      </c>
    </row>
    <row r="1173" spans="2:17" x14ac:dyDescent="0.25">
      <c r="B1173" t="s">
        <v>516</v>
      </c>
      <c r="C1173">
        <v>1.9</v>
      </c>
      <c r="D1173">
        <v>1.7</v>
      </c>
      <c r="E1173">
        <v>0.8</v>
      </c>
      <c r="F1173">
        <v>0.77100000000000002</v>
      </c>
      <c r="L1173">
        <f>C1177</f>
        <v>6.2</v>
      </c>
      <c r="M1173">
        <f>D1177</f>
        <v>1.9</v>
      </c>
    </row>
    <row r="1174" spans="2:17" x14ac:dyDescent="0.25">
      <c r="B1174" t="s">
        <v>362</v>
      </c>
      <c r="D1174">
        <v>0.2</v>
      </c>
      <c r="E1174">
        <v>0.9</v>
      </c>
    </row>
    <row r="1175" spans="2:17" x14ac:dyDescent="0.25">
      <c r="B1175" t="s">
        <v>649</v>
      </c>
      <c r="C1175">
        <v>5.0999999999999996</v>
      </c>
      <c r="G1175">
        <v>0.77100000000000002</v>
      </c>
      <c r="L1175">
        <v>0.5</v>
      </c>
      <c r="M1175">
        <v>0.5</v>
      </c>
    </row>
    <row r="1176" spans="2:17" x14ac:dyDescent="0.25">
      <c r="B1176" t="s">
        <v>543</v>
      </c>
      <c r="C1176">
        <v>-0.8</v>
      </c>
    </row>
    <row r="1177" spans="2:17" x14ac:dyDescent="0.25">
      <c r="B1177" t="s">
        <v>1337</v>
      </c>
      <c r="C1177">
        <f>SUM(C1173:C1176)</f>
        <v>6.2</v>
      </c>
      <c r="D1177">
        <f>SUM(D1173:D1176)</f>
        <v>1.9</v>
      </c>
      <c r="E1177">
        <f>SUM(E1173:E1176)</f>
        <v>1.7000000000000002</v>
      </c>
      <c r="F1177">
        <f>SUM(F1173:F1176)</f>
        <v>0.77100000000000002</v>
      </c>
      <c r="G1177">
        <f t="shared" ref="G1177:H1177" si="175">SUM(G1173:G1176)</f>
        <v>0.77100000000000002</v>
      </c>
      <c r="H1177">
        <f t="shared" si="175"/>
        <v>0</v>
      </c>
      <c r="L1177">
        <f>SUM(L1173:L1176)</f>
        <v>6.7</v>
      </c>
      <c r="M1177">
        <f>SUM(M1173:M1176)</f>
        <v>2.4</v>
      </c>
      <c r="N1177">
        <f>SUM(N1173:N1176)</f>
        <v>0</v>
      </c>
      <c r="O1177">
        <f>SUM(O1173:O1176)</f>
        <v>0</v>
      </c>
    </row>
    <row r="1178" spans="2:17" x14ac:dyDescent="0.25">
      <c r="B1178" t="s">
        <v>1340</v>
      </c>
      <c r="C1178">
        <f>D1183</f>
        <v>0.5</v>
      </c>
      <c r="D1178">
        <v>0.3</v>
      </c>
      <c r="E1178">
        <v>0.2</v>
      </c>
      <c r="F1178">
        <v>7.0999999999999994E-2</v>
      </c>
      <c r="L1178">
        <f>C1183</f>
        <v>0.60000000000000009</v>
      </c>
      <c r="M1178">
        <f>D1183</f>
        <v>0.5</v>
      </c>
      <c r="N1178">
        <f t="shared" ref="N1178:O1178" si="176">E1178</f>
        <v>0.2</v>
      </c>
      <c r="O1178">
        <f t="shared" si="176"/>
        <v>7.0999999999999994E-2</v>
      </c>
    </row>
    <row r="1179" spans="2:17" x14ac:dyDescent="0.25">
      <c r="B1179" t="s">
        <v>1341</v>
      </c>
      <c r="C1179">
        <v>0.4</v>
      </c>
      <c r="D1179">
        <v>0.1</v>
      </c>
      <c r="E1179">
        <v>0.1</v>
      </c>
      <c r="F1179">
        <v>7.6999999999999999E-2</v>
      </c>
      <c r="G1179">
        <v>7.0999999999999994E-2</v>
      </c>
      <c r="J1179" s="54"/>
      <c r="L1179">
        <v>0.4</v>
      </c>
      <c r="M1179">
        <v>0.1</v>
      </c>
    </row>
    <row r="1180" spans="2:17" x14ac:dyDescent="0.25">
      <c r="B1180" t="s">
        <v>543</v>
      </c>
      <c r="C1180">
        <v>-0.3</v>
      </c>
      <c r="J1180" s="54"/>
    </row>
    <row r="1181" spans="2:17" x14ac:dyDescent="0.25">
      <c r="B1181" t="s">
        <v>364</v>
      </c>
      <c r="D1181">
        <v>0.1</v>
      </c>
      <c r="J1181" s="54"/>
    </row>
    <row r="1182" spans="2:17" x14ac:dyDescent="0.25">
      <c r="B1182" t="s">
        <v>1339</v>
      </c>
      <c r="J1182" s="54"/>
    </row>
    <row r="1183" spans="2:17" ht="15.75" thickBot="1" x14ac:dyDescent="0.3">
      <c r="B1183" t="s">
        <v>1338</v>
      </c>
      <c r="C1183" s="14">
        <f>SUM(C1178:C1182)</f>
        <v>0.60000000000000009</v>
      </c>
      <c r="D1183" s="14">
        <f>SUM(D1178:D1182)</f>
        <v>0.5</v>
      </c>
      <c r="E1183" s="14">
        <f>SUM(E1178:E1182)</f>
        <v>0.30000000000000004</v>
      </c>
      <c r="F1183" s="14">
        <f t="shared" ref="F1183:H1183" si="177">SUM(F1178:F1182)</f>
        <v>0.14799999999999999</v>
      </c>
      <c r="G1183" s="14">
        <f>SUM(G1179:G1182)</f>
        <v>7.0999999999999994E-2</v>
      </c>
      <c r="H1183" s="14">
        <f t="shared" si="177"/>
        <v>0</v>
      </c>
      <c r="J1183" s="54"/>
      <c r="L1183" s="14">
        <f>SUM(L1178:L1182)</f>
        <v>1</v>
      </c>
      <c r="M1183" s="14">
        <f>SUM(M1178:M1182)</f>
        <v>0.6</v>
      </c>
      <c r="N1183" s="14">
        <f>SUM(N1178:N1182)</f>
        <v>0.2</v>
      </c>
      <c r="O1183" s="14">
        <f t="shared" ref="O1183" si="178">SUM(O1178:O1182)</f>
        <v>7.0999999999999994E-2</v>
      </c>
    </row>
    <row r="1184" spans="2:17" x14ac:dyDescent="0.25">
      <c r="B1184" t="s">
        <v>650</v>
      </c>
      <c r="C1184" s="15">
        <f>SUM(C1177-C1183)</f>
        <v>5.6</v>
      </c>
      <c r="D1184" s="15">
        <f>SUM(D1177-D1183)</f>
        <v>1.4</v>
      </c>
      <c r="E1184" s="15">
        <f t="shared" ref="E1184:H1184" si="179">SUM(E1177-E1183)</f>
        <v>1.4000000000000001</v>
      </c>
      <c r="F1184" s="15">
        <f t="shared" si="179"/>
        <v>0.623</v>
      </c>
      <c r="G1184" s="15">
        <f t="shared" si="179"/>
        <v>0.70000000000000007</v>
      </c>
      <c r="H1184" s="15">
        <f t="shared" si="179"/>
        <v>0</v>
      </c>
      <c r="L1184" s="15">
        <f>SUM(L1177-L1183)</f>
        <v>5.7</v>
      </c>
      <c r="M1184" s="15">
        <f>SUM(M1177-M1183)</f>
        <v>1.7999999999999998</v>
      </c>
      <c r="N1184" s="15">
        <f t="shared" ref="N1184" si="180">SUM(N1177-N1183)</f>
        <v>-0.2</v>
      </c>
      <c r="O1184" s="15">
        <f t="shared" ref="O1184" si="181">SUM(O1177-O1183)</f>
        <v>-7.0999999999999994E-2</v>
      </c>
      <c r="P1184" s="15"/>
      <c r="Q1184" s="15"/>
    </row>
    <row r="1186" spans="2:17" x14ac:dyDescent="0.25">
      <c r="B1186" s="15" t="s">
        <v>652</v>
      </c>
    </row>
    <row r="1187" spans="2:17" x14ac:dyDescent="0.25">
      <c r="B1187" t="s">
        <v>516</v>
      </c>
      <c r="C1187">
        <f>D1191</f>
        <v>63.1</v>
      </c>
      <c r="D1187">
        <v>47.5</v>
      </c>
      <c r="E1187">
        <v>33.799999999999997</v>
      </c>
      <c r="F1187">
        <v>24.916</v>
      </c>
      <c r="G1187">
        <v>19.132999999999999</v>
      </c>
      <c r="H1187">
        <v>11.798</v>
      </c>
      <c r="L1187">
        <f>C1191</f>
        <v>88.7</v>
      </c>
      <c r="M1187">
        <f>D1191</f>
        <v>63.1</v>
      </c>
    </row>
    <row r="1188" spans="2:17" x14ac:dyDescent="0.25">
      <c r="B1188" t="s">
        <v>362</v>
      </c>
      <c r="C1188">
        <v>25.5</v>
      </c>
      <c r="D1188">
        <v>15.6</v>
      </c>
      <c r="E1188">
        <v>13.7</v>
      </c>
      <c r="F1188">
        <v>8.8719999999999999</v>
      </c>
      <c r="G1188">
        <v>5.9569999999999999</v>
      </c>
      <c r="H1188">
        <v>7.335</v>
      </c>
      <c r="L1188">
        <v>16.3</v>
      </c>
    </row>
    <row r="1189" spans="2:17" x14ac:dyDescent="0.25">
      <c r="B1189" t="s">
        <v>649</v>
      </c>
      <c r="C1189">
        <v>0.2</v>
      </c>
    </row>
    <row r="1190" spans="2:17" x14ac:dyDescent="0.25">
      <c r="B1190" t="s">
        <v>543</v>
      </c>
      <c r="C1190">
        <v>-0.1</v>
      </c>
      <c r="F1190">
        <v>-0.22</v>
      </c>
      <c r="G1190">
        <v>-0.17399999999999999</v>
      </c>
    </row>
    <row r="1191" spans="2:17" x14ac:dyDescent="0.25">
      <c r="B1191" t="s">
        <v>1337</v>
      </c>
      <c r="C1191">
        <f>SUM(C1187:C1190)</f>
        <v>88.7</v>
      </c>
      <c r="D1191">
        <f>SUM(D1187:D1190)</f>
        <v>63.1</v>
      </c>
      <c r="E1191">
        <f t="shared" ref="E1191:H1191" si="182">SUM(E1187:E1190)</f>
        <v>47.5</v>
      </c>
      <c r="F1191">
        <f t="shared" si="182"/>
        <v>33.567999999999998</v>
      </c>
      <c r="G1191">
        <f t="shared" si="182"/>
        <v>24.916</v>
      </c>
      <c r="H1191">
        <f t="shared" si="182"/>
        <v>19.132999999999999</v>
      </c>
      <c r="L1191">
        <f>SUM(L1187:L1190)</f>
        <v>105</v>
      </c>
      <c r="M1191">
        <f>SUM(M1187:M1190)</f>
        <v>63.1</v>
      </c>
    </row>
    <row r="1192" spans="2:17" x14ac:dyDescent="0.25">
      <c r="B1192" t="s">
        <v>1340</v>
      </c>
      <c r="C1192">
        <f>D1197</f>
        <v>39.299999999999997</v>
      </c>
      <c r="D1192">
        <v>29.5</v>
      </c>
      <c r="E1192">
        <v>21.3</v>
      </c>
      <c r="F1192">
        <v>15.195</v>
      </c>
      <c r="G1192">
        <v>11.509</v>
      </c>
      <c r="H1192">
        <v>8.3179999999999996</v>
      </c>
      <c r="L1192">
        <f>C1197</f>
        <v>52.699999999999996</v>
      </c>
      <c r="M1192">
        <f t="shared" ref="M1192:O1192" si="183">D1197</f>
        <v>39.299999999999997</v>
      </c>
      <c r="N1192">
        <f t="shared" si="183"/>
        <v>29.5</v>
      </c>
      <c r="O1192">
        <f t="shared" si="183"/>
        <v>21.305000000000003</v>
      </c>
    </row>
    <row r="1193" spans="2:17" x14ac:dyDescent="0.25">
      <c r="B1193" t="s">
        <v>1341</v>
      </c>
      <c r="C1193">
        <v>13.4</v>
      </c>
      <c r="D1193">
        <v>9.8000000000000007</v>
      </c>
      <c r="E1193">
        <v>8.1999999999999993</v>
      </c>
      <c r="F1193">
        <v>6.1260000000000003</v>
      </c>
      <c r="G1193">
        <v>3.86</v>
      </c>
      <c r="H1193">
        <v>3.1909999999999998</v>
      </c>
      <c r="L1193">
        <v>8.6999999999999993</v>
      </c>
      <c r="M1193">
        <v>6.5</v>
      </c>
    </row>
    <row r="1194" spans="2:17" x14ac:dyDescent="0.25">
      <c r="B1194" t="s">
        <v>543</v>
      </c>
      <c r="F1194">
        <v>-1.6E-2</v>
      </c>
      <c r="G1194">
        <v>-0.17399999999999999</v>
      </c>
    </row>
    <row r="1195" spans="2:17" x14ac:dyDescent="0.25">
      <c r="B1195" t="s">
        <v>364</v>
      </c>
    </row>
    <row r="1196" spans="2:17" x14ac:dyDescent="0.25">
      <c r="B1196" t="s">
        <v>1339</v>
      </c>
    </row>
    <row r="1197" spans="2:17" ht="15.75" thickBot="1" x14ac:dyDescent="0.3">
      <c r="B1197" t="s">
        <v>1338</v>
      </c>
      <c r="C1197" s="14">
        <f>SUM(C1192:C1196)</f>
        <v>52.699999999999996</v>
      </c>
      <c r="D1197" s="14">
        <f>SUM(D1192:D1196)</f>
        <v>39.299999999999997</v>
      </c>
      <c r="E1197" s="14">
        <f t="shared" ref="E1197:H1197" si="184">SUM(E1192:E1196)</f>
        <v>29.5</v>
      </c>
      <c r="F1197" s="14">
        <f t="shared" si="184"/>
        <v>21.305000000000003</v>
      </c>
      <c r="G1197" s="14">
        <f t="shared" si="184"/>
        <v>15.195</v>
      </c>
      <c r="H1197" s="14">
        <f t="shared" si="184"/>
        <v>11.509</v>
      </c>
      <c r="L1197" s="14">
        <f>SUM(L1192:L1196)</f>
        <v>61.399999999999991</v>
      </c>
      <c r="M1197" s="14">
        <f>SUM(M1192:M1196)</f>
        <v>45.8</v>
      </c>
      <c r="N1197" s="14">
        <f t="shared" ref="N1197" si="185">SUM(N1192:N1196)</f>
        <v>29.5</v>
      </c>
      <c r="O1197" s="14">
        <f t="shared" ref="O1197" si="186">SUM(O1192:O1196)</f>
        <v>21.305000000000003</v>
      </c>
    </row>
    <row r="1198" spans="2:17" x14ac:dyDescent="0.25">
      <c r="B1198" t="s">
        <v>650</v>
      </c>
      <c r="C1198" s="15">
        <f>C1191-C1197</f>
        <v>36.000000000000007</v>
      </c>
      <c r="D1198" s="15">
        <f>D1191-D1197</f>
        <v>23.800000000000004</v>
      </c>
      <c r="E1198" s="15">
        <f t="shared" ref="E1198:H1198" si="187">E1191-E1197</f>
        <v>18</v>
      </c>
      <c r="F1198" s="15">
        <f t="shared" si="187"/>
        <v>12.262999999999995</v>
      </c>
      <c r="G1198" s="15">
        <f t="shared" si="187"/>
        <v>9.7210000000000001</v>
      </c>
      <c r="H1198" s="15">
        <f t="shared" si="187"/>
        <v>7.6239999999999988</v>
      </c>
      <c r="L1198" s="15">
        <f>L1191-L1197</f>
        <v>43.600000000000009</v>
      </c>
      <c r="M1198" s="15">
        <f>M1191-M1197</f>
        <v>17.300000000000004</v>
      </c>
      <c r="N1198" s="15">
        <f t="shared" ref="N1198" si="188">N1191-N1197</f>
        <v>-29.5</v>
      </c>
      <c r="O1198" s="15">
        <f t="shared" ref="O1198" si="189">O1191-O1197</f>
        <v>-21.305000000000003</v>
      </c>
      <c r="P1198" s="15"/>
      <c r="Q1198" s="15"/>
    </row>
    <row r="1200" spans="2:17" x14ac:dyDescent="0.25">
      <c r="B1200" s="15" t="s">
        <v>115</v>
      </c>
    </row>
    <row r="1201" spans="2:17" x14ac:dyDescent="0.25">
      <c r="B1201" t="s">
        <v>516</v>
      </c>
      <c r="C1201" s="54">
        <f>C1159+C1173+C1187</f>
        <v>1046.3</v>
      </c>
      <c r="D1201" s="54">
        <f>D1159+D1173+D1187</f>
        <v>1030.5</v>
      </c>
      <c r="E1201" s="54">
        <f t="shared" ref="E1201:H1201" si="190">E1159+E1173+E1187</f>
        <v>1014.3999999999999</v>
      </c>
      <c r="F1201" s="54">
        <f t="shared" si="190"/>
        <v>1005.532</v>
      </c>
      <c r="G1201" s="54">
        <f t="shared" si="190"/>
        <v>985.05799999999999</v>
      </c>
      <c r="H1201" s="54">
        <f t="shared" si="190"/>
        <v>963.83</v>
      </c>
      <c r="L1201" s="54">
        <f>L1159+L1173+L1187</f>
        <v>1053.3999999999999</v>
      </c>
      <c r="M1201" s="54">
        <f>M1159+M1173+M1187</f>
        <v>1046.3</v>
      </c>
      <c r="N1201" s="54">
        <f t="shared" ref="N1201:O1201" si="191">N1159+N1173+N1187</f>
        <v>981.3</v>
      </c>
      <c r="O1201" s="54">
        <f t="shared" si="191"/>
        <v>979.84500000000003</v>
      </c>
      <c r="P1201" s="54"/>
      <c r="Q1201" s="54"/>
    </row>
    <row r="1202" spans="2:17" x14ac:dyDescent="0.25">
      <c r="B1202" t="s">
        <v>362</v>
      </c>
      <c r="C1202" s="54">
        <f t="shared" ref="C1202:D1212" si="192">C1160+C1174+C1188</f>
        <v>25.5</v>
      </c>
      <c r="D1202" s="54">
        <f t="shared" si="192"/>
        <v>15.799999999999999</v>
      </c>
      <c r="E1202" s="54">
        <f t="shared" ref="E1202:H1202" si="193">E1160+E1174+E1188</f>
        <v>16.099999999999998</v>
      </c>
      <c r="F1202" s="54">
        <f t="shared" si="193"/>
        <v>8.8719999999999999</v>
      </c>
      <c r="G1202" s="54">
        <f t="shared" si="193"/>
        <v>5.9569999999999999</v>
      </c>
      <c r="H1202" s="54">
        <f t="shared" si="193"/>
        <v>7.335</v>
      </c>
      <c r="L1202" s="54">
        <f t="shared" ref="L1202:O1202" si="194">L1160+L1174+L1188</f>
        <v>16.3</v>
      </c>
      <c r="M1202" s="54">
        <f t="shared" si="194"/>
        <v>0</v>
      </c>
      <c r="N1202" s="54">
        <f t="shared" si="194"/>
        <v>0</v>
      </c>
      <c r="O1202" s="54">
        <f t="shared" si="194"/>
        <v>0</v>
      </c>
      <c r="P1202" s="54"/>
      <c r="Q1202" s="54"/>
    </row>
    <row r="1203" spans="2:17" x14ac:dyDescent="0.25">
      <c r="B1203" t="s">
        <v>649</v>
      </c>
      <c r="C1203" s="54">
        <f t="shared" si="192"/>
        <v>17.099999999999998</v>
      </c>
      <c r="D1203" s="54">
        <f t="shared" si="192"/>
        <v>0</v>
      </c>
      <c r="E1203" s="54">
        <f t="shared" ref="E1203:H1203" si="195">E1161+E1175+E1189</f>
        <v>0</v>
      </c>
      <c r="F1203" s="54">
        <f t="shared" si="195"/>
        <v>0</v>
      </c>
      <c r="G1203" s="54">
        <f t="shared" si="195"/>
        <v>14.691000000000001</v>
      </c>
      <c r="H1203" s="54">
        <f t="shared" si="195"/>
        <v>13.893000000000001</v>
      </c>
      <c r="L1203" s="54">
        <f t="shared" ref="L1203:O1203" si="196">L1161+L1175+L1189</f>
        <v>2.4</v>
      </c>
      <c r="M1203" s="54">
        <f t="shared" si="196"/>
        <v>0.9</v>
      </c>
      <c r="N1203" s="54">
        <f t="shared" si="196"/>
        <v>0</v>
      </c>
      <c r="O1203" s="54">
        <f t="shared" si="196"/>
        <v>0</v>
      </c>
      <c r="P1203" s="54"/>
      <c r="Q1203" s="54"/>
    </row>
    <row r="1204" spans="2:17" x14ac:dyDescent="0.25">
      <c r="B1204" t="s">
        <v>543</v>
      </c>
      <c r="C1204" s="54">
        <f t="shared" si="192"/>
        <v>-35.5</v>
      </c>
      <c r="D1204" s="54">
        <f t="shared" si="192"/>
        <v>0</v>
      </c>
      <c r="E1204" s="54">
        <f t="shared" ref="E1204:H1204" si="197">E1162+E1176+E1190</f>
        <v>0</v>
      </c>
      <c r="F1204" s="54">
        <f t="shared" si="197"/>
        <v>-0.22</v>
      </c>
      <c r="G1204" s="54">
        <f t="shared" si="197"/>
        <v>-0.17399999999999999</v>
      </c>
      <c r="H1204" s="54">
        <f t="shared" si="197"/>
        <v>0</v>
      </c>
      <c r="L1204" s="54">
        <f t="shared" ref="L1204:O1204" si="198">L1162+L1176+L1190</f>
        <v>-0.3</v>
      </c>
      <c r="M1204" s="54">
        <f t="shared" si="198"/>
        <v>0</v>
      </c>
      <c r="N1204" s="54">
        <f t="shared" si="198"/>
        <v>0</v>
      </c>
      <c r="O1204" s="54">
        <f t="shared" si="198"/>
        <v>0</v>
      </c>
      <c r="P1204" s="54"/>
      <c r="Q1204" s="54"/>
    </row>
    <row r="1205" spans="2:17" x14ac:dyDescent="0.25">
      <c r="B1205" t="s">
        <v>1337</v>
      </c>
      <c r="C1205" s="54">
        <f t="shared" si="192"/>
        <v>1053.3999999999999</v>
      </c>
      <c r="D1205" s="54">
        <f t="shared" si="192"/>
        <v>1046.3</v>
      </c>
      <c r="E1205" s="54">
        <f t="shared" ref="E1205:H1205" si="199">E1163+E1177+E1191</f>
        <v>1030.5</v>
      </c>
      <c r="F1205" s="54">
        <f t="shared" si="199"/>
        <v>1014.184</v>
      </c>
      <c r="G1205" s="54">
        <f t="shared" si="199"/>
        <v>1005.5319999999999</v>
      </c>
      <c r="H1205" s="54">
        <f t="shared" si="199"/>
        <v>985.05800000000011</v>
      </c>
      <c r="L1205" s="54">
        <f t="shared" ref="L1205:O1205" si="200">L1163+L1177+L1191</f>
        <v>1071.8</v>
      </c>
      <c r="M1205" s="54">
        <f t="shared" si="200"/>
        <v>1047.1999999999998</v>
      </c>
      <c r="N1205" s="54">
        <f t="shared" si="200"/>
        <v>981.3</v>
      </c>
      <c r="O1205" s="54">
        <f t="shared" si="200"/>
        <v>979.84500000000003</v>
      </c>
      <c r="P1205" s="54"/>
      <c r="Q1205" s="54"/>
    </row>
    <row r="1206" spans="2:17" x14ac:dyDescent="0.25">
      <c r="B1206" t="s">
        <v>1340</v>
      </c>
      <c r="C1206" s="54">
        <f t="shared" si="192"/>
        <v>39.9</v>
      </c>
      <c r="D1206" s="54">
        <f t="shared" si="192"/>
        <v>29.8</v>
      </c>
      <c r="E1206" s="54">
        <f t="shared" ref="E1206:H1206" si="201">E1164+E1178+E1192</f>
        <v>21.5</v>
      </c>
      <c r="F1206" s="54">
        <f t="shared" si="201"/>
        <v>15.266</v>
      </c>
      <c r="G1206" s="54">
        <f>G1164+G1179+G1192</f>
        <v>11.58</v>
      </c>
      <c r="H1206" s="54">
        <f t="shared" si="201"/>
        <v>8.3179999999999996</v>
      </c>
      <c r="L1206" s="54">
        <f t="shared" ref="L1206:O1206" si="202">L1164+L1178+L1192</f>
        <v>53.4</v>
      </c>
      <c r="M1206" s="54">
        <f t="shared" si="202"/>
        <v>39.9</v>
      </c>
      <c r="N1206" s="54">
        <f t="shared" si="202"/>
        <v>29.7</v>
      </c>
      <c r="O1206" s="54">
        <f t="shared" si="202"/>
        <v>21.376000000000005</v>
      </c>
      <c r="P1206" s="54"/>
      <c r="Q1206" s="54"/>
    </row>
    <row r="1207" spans="2:17" x14ac:dyDescent="0.25">
      <c r="B1207" t="s">
        <v>1341</v>
      </c>
      <c r="C1207" s="54">
        <f t="shared" si="192"/>
        <v>13.8</v>
      </c>
      <c r="D1207" s="54">
        <f t="shared" si="192"/>
        <v>9.9</v>
      </c>
      <c r="E1207" s="54">
        <f t="shared" ref="E1207:H1207" si="203">E1165+E1179+E1193</f>
        <v>8.2999999999999989</v>
      </c>
      <c r="F1207" s="54">
        <f t="shared" si="203"/>
        <v>6.2030000000000003</v>
      </c>
      <c r="G1207" s="54">
        <f t="shared" si="203"/>
        <v>3.931</v>
      </c>
      <c r="H1207" s="54">
        <f t="shared" si="203"/>
        <v>3.1909999999999998</v>
      </c>
      <c r="L1207" s="54">
        <f t="shared" ref="L1207:O1207" si="204">L1165+L1179+L1193</f>
        <v>9.1</v>
      </c>
      <c r="M1207" s="54">
        <f t="shared" si="204"/>
        <v>6.6</v>
      </c>
      <c r="N1207" s="54">
        <f t="shared" si="204"/>
        <v>0</v>
      </c>
      <c r="O1207" s="54">
        <f t="shared" si="204"/>
        <v>0</v>
      </c>
      <c r="P1207" s="54"/>
      <c r="Q1207" s="54"/>
    </row>
    <row r="1208" spans="2:17" x14ac:dyDescent="0.25">
      <c r="B1208" t="s">
        <v>543</v>
      </c>
      <c r="C1208" s="54">
        <f t="shared" si="192"/>
        <v>-0.3</v>
      </c>
      <c r="D1208" s="54">
        <f t="shared" si="192"/>
        <v>0</v>
      </c>
      <c r="E1208" s="54">
        <f t="shared" ref="E1208:H1208" si="205">E1166+E1180+E1194</f>
        <v>0</v>
      </c>
      <c r="F1208" s="54">
        <f t="shared" si="205"/>
        <v>-1.6E-2</v>
      </c>
      <c r="G1208" s="54">
        <f t="shared" si="205"/>
        <v>-0.17399999999999999</v>
      </c>
      <c r="H1208" s="54">
        <f t="shared" si="205"/>
        <v>0</v>
      </c>
      <c r="L1208" s="54">
        <f t="shared" ref="L1208:O1208" si="206">L1166+L1180+L1194</f>
        <v>0</v>
      </c>
      <c r="M1208" s="54">
        <f t="shared" si="206"/>
        <v>0</v>
      </c>
      <c r="N1208" s="54">
        <f t="shared" si="206"/>
        <v>0</v>
      </c>
      <c r="O1208" s="54">
        <f t="shared" si="206"/>
        <v>0</v>
      </c>
      <c r="P1208" s="54"/>
      <c r="Q1208" s="54"/>
    </row>
    <row r="1209" spans="2:17" x14ac:dyDescent="0.25">
      <c r="B1209" t="s">
        <v>364</v>
      </c>
      <c r="C1209" s="54">
        <f t="shared" si="192"/>
        <v>0</v>
      </c>
      <c r="D1209" s="54">
        <f t="shared" si="192"/>
        <v>0.1</v>
      </c>
      <c r="E1209" s="54">
        <f t="shared" ref="E1209:H1209" si="207">E1167+E1181+E1195</f>
        <v>0</v>
      </c>
      <c r="F1209" s="54">
        <f t="shared" si="207"/>
        <v>0</v>
      </c>
      <c r="G1209" s="54">
        <f t="shared" si="207"/>
        <v>0</v>
      </c>
      <c r="H1209" s="54">
        <f t="shared" si="207"/>
        <v>0</v>
      </c>
      <c r="L1209" s="54">
        <f t="shared" ref="L1209:O1209" si="208">L1167+L1181+L1195</f>
        <v>1.3</v>
      </c>
      <c r="M1209" s="54">
        <f t="shared" si="208"/>
        <v>0</v>
      </c>
      <c r="N1209" s="54">
        <f t="shared" si="208"/>
        <v>0</v>
      </c>
      <c r="O1209" s="54">
        <f t="shared" si="208"/>
        <v>0</v>
      </c>
      <c r="P1209" s="54"/>
      <c r="Q1209" s="54"/>
    </row>
    <row r="1210" spans="2:17" x14ac:dyDescent="0.25">
      <c r="B1210" t="s">
        <v>1339</v>
      </c>
      <c r="C1210" s="54">
        <f t="shared" si="192"/>
        <v>0</v>
      </c>
      <c r="D1210" s="54">
        <f t="shared" si="192"/>
        <v>0.1</v>
      </c>
      <c r="E1210" s="54">
        <f t="shared" ref="E1210:H1210" si="209">E1168+E1182+E1196</f>
        <v>0</v>
      </c>
      <c r="F1210" s="54">
        <f t="shared" si="209"/>
        <v>0</v>
      </c>
      <c r="G1210" s="54">
        <f t="shared" si="209"/>
        <v>0</v>
      </c>
      <c r="H1210" s="54">
        <f t="shared" si="209"/>
        <v>0</v>
      </c>
      <c r="L1210" s="54">
        <f t="shared" ref="L1210:O1210" si="210">L1168+L1182+L1196</f>
        <v>0</v>
      </c>
      <c r="M1210" s="54">
        <f t="shared" si="210"/>
        <v>0</v>
      </c>
      <c r="N1210" s="54">
        <f t="shared" si="210"/>
        <v>0</v>
      </c>
      <c r="O1210" s="54">
        <f t="shared" si="210"/>
        <v>0</v>
      </c>
      <c r="P1210" s="54"/>
      <c r="Q1210" s="54"/>
    </row>
    <row r="1211" spans="2:17" ht="15.75" thickBot="1" x14ac:dyDescent="0.3">
      <c r="B1211" t="s">
        <v>1338</v>
      </c>
      <c r="C1211" s="14">
        <f t="shared" si="192"/>
        <v>53.4</v>
      </c>
      <c r="D1211" s="14">
        <f t="shared" si="192"/>
        <v>39.9</v>
      </c>
      <c r="E1211" s="14">
        <f t="shared" ref="E1211:H1211" si="211">E1169+E1183+E1197</f>
        <v>29.8</v>
      </c>
      <c r="F1211" s="14">
        <f t="shared" si="211"/>
        <v>21.453000000000003</v>
      </c>
      <c r="G1211" s="14">
        <f t="shared" si="211"/>
        <v>15.266</v>
      </c>
      <c r="H1211" s="14">
        <f t="shared" si="211"/>
        <v>11.509</v>
      </c>
      <c r="L1211" s="14">
        <f t="shared" ref="L1211:O1211" si="212">L1169+L1183+L1197</f>
        <v>63.79999999999999</v>
      </c>
      <c r="M1211" s="14">
        <f t="shared" si="212"/>
        <v>46.5</v>
      </c>
      <c r="N1211" s="14">
        <f t="shared" si="212"/>
        <v>29.7</v>
      </c>
      <c r="O1211" s="14">
        <f t="shared" si="212"/>
        <v>21.376000000000005</v>
      </c>
      <c r="P1211" s="54"/>
      <c r="Q1211" s="54"/>
    </row>
    <row r="1212" spans="2:17" x14ac:dyDescent="0.25">
      <c r="B1212" t="s">
        <v>650</v>
      </c>
      <c r="C1212" s="54">
        <f t="shared" si="192"/>
        <v>999.99999999999989</v>
      </c>
      <c r="D1212" s="54">
        <f t="shared" si="192"/>
        <v>1006.3999999999999</v>
      </c>
      <c r="E1212" s="54">
        <f t="shared" ref="E1212:H1212" si="213">E1170+E1184+E1198</f>
        <v>1000.6999999999999</v>
      </c>
      <c r="F1212" s="54">
        <f t="shared" si="213"/>
        <v>992.73100000000011</v>
      </c>
      <c r="G1212" s="54">
        <f t="shared" si="213"/>
        <v>990.26599999999996</v>
      </c>
      <c r="H1212" s="54">
        <f t="shared" si="213"/>
        <v>973.54900000000009</v>
      </c>
      <c r="L1212" s="54">
        <f t="shared" ref="L1212:O1212" si="214">L1170+L1184+L1198</f>
        <v>1008</v>
      </c>
      <c r="M1212" s="54">
        <f t="shared" si="214"/>
        <v>1000.6999999999998</v>
      </c>
      <c r="N1212" s="54">
        <f t="shared" si="214"/>
        <v>951.59999999999991</v>
      </c>
      <c r="O1212" s="54">
        <f t="shared" si="214"/>
        <v>958.46900000000005</v>
      </c>
      <c r="P1212" s="54"/>
      <c r="Q1212" s="54"/>
    </row>
    <row r="1215" spans="2:17" x14ac:dyDescent="0.25">
      <c r="B1215" s="15" t="s">
        <v>1354</v>
      </c>
    </row>
    <row r="1216" spans="2:17" x14ac:dyDescent="0.25">
      <c r="B1216" t="s">
        <v>299</v>
      </c>
      <c r="C1216">
        <v>586.1</v>
      </c>
      <c r="D1216">
        <v>586.1</v>
      </c>
      <c r="E1216">
        <v>586.08799999999997</v>
      </c>
      <c r="L1216">
        <v>586.1</v>
      </c>
      <c r="M1216">
        <v>586.1</v>
      </c>
    </row>
    <row r="1217" spans="2:20" x14ac:dyDescent="0.25">
      <c r="B1217" t="s">
        <v>306</v>
      </c>
      <c r="C1217">
        <v>360.9</v>
      </c>
      <c r="E1217">
        <v>395.23399999999998</v>
      </c>
      <c r="L1217">
        <v>361.5</v>
      </c>
      <c r="M1217">
        <v>395.5</v>
      </c>
    </row>
    <row r="1218" spans="2:20" ht="15.75" thickBot="1" x14ac:dyDescent="0.3">
      <c r="B1218" t="s">
        <v>300</v>
      </c>
      <c r="C1218" s="14">
        <v>11.4</v>
      </c>
      <c r="D1218" s="14">
        <v>395.1</v>
      </c>
      <c r="E1218" s="14"/>
      <c r="F1218" s="14"/>
      <c r="G1218" s="14"/>
      <c r="H1218" s="14"/>
      <c r="L1218" s="14">
        <v>11.1</v>
      </c>
      <c r="M1218" s="14"/>
      <c r="N1218" s="14"/>
      <c r="O1218" s="14"/>
    </row>
    <row r="1219" spans="2:20" s="15" customFormat="1" x14ac:dyDescent="0.25">
      <c r="B1219" s="15" t="s">
        <v>115</v>
      </c>
      <c r="C1219" s="15">
        <f>SUM(C1216:C1218)</f>
        <v>958.4</v>
      </c>
      <c r="D1219" s="15">
        <f>SUM(D1216:D1218)</f>
        <v>981.2</v>
      </c>
      <c r="E1219" s="15">
        <f>SUM(E1216:E1218)</f>
        <v>981.32199999999989</v>
      </c>
      <c r="F1219" s="37">
        <v>979.84500000000003</v>
      </c>
      <c r="G1219" s="37">
        <v>979.84500000000003</v>
      </c>
      <c r="H1219" s="37">
        <v>965.92499999999995</v>
      </c>
      <c r="L1219" s="15">
        <f t="shared" ref="L1219:O1219" si="215">SUM(L1216:L1218)</f>
        <v>958.7</v>
      </c>
      <c r="M1219" s="15">
        <f t="shared" si="215"/>
        <v>981.6</v>
      </c>
      <c r="N1219" s="15">
        <f t="shared" si="215"/>
        <v>0</v>
      </c>
      <c r="O1219" s="15">
        <f t="shared" si="215"/>
        <v>0</v>
      </c>
    </row>
    <row r="1222" spans="2:20" x14ac:dyDescent="0.25">
      <c r="B1222" s="106" t="s">
        <v>365</v>
      </c>
      <c r="C1222" s="106"/>
      <c r="D1222" s="106"/>
      <c r="E1222" s="106"/>
      <c r="F1222" s="106"/>
      <c r="G1222" s="106"/>
      <c r="H1222" s="106"/>
      <c r="I1222" s="106"/>
      <c r="J1222" s="106"/>
      <c r="K1222" s="106"/>
      <c r="L1222" s="106"/>
      <c r="M1222" s="106"/>
      <c r="N1222" s="106"/>
      <c r="O1222" s="106"/>
      <c r="P1222" s="106"/>
    </row>
    <row r="1224" spans="2:20" ht="15.75" thickBot="1" x14ac:dyDescent="0.3">
      <c r="C1224" s="13">
        <v>44280</v>
      </c>
      <c r="D1224" s="13">
        <v>43919</v>
      </c>
      <c r="E1224" s="13">
        <v>43552</v>
      </c>
      <c r="F1224" s="13">
        <v>43188</v>
      </c>
      <c r="G1224" s="13">
        <v>42824</v>
      </c>
      <c r="H1224" s="13">
        <v>42460</v>
      </c>
      <c r="I1224" s="13">
        <v>42089</v>
      </c>
      <c r="L1224" s="13">
        <v>44476</v>
      </c>
      <c r="M1224" s="13">
        <v>44112</v>
      </c>
      <c r="N1224" s="13">
        <v>43748</v>
      </c>
      <c r="O1224" s="13">
        <v>43384</v>
      </c>
    </row>
    <row r="1225" spans="2:20" x14ac:dyDescent="0.25">
      <c r="D1225" s="70"/>
      <c r="E1225" s="70"/>
      <c r="F1225" s="70"/>
      <c r="H1225" s="52"/>
      <c r="I1225" s="52"/>
      <c r="J1225" s="52"/>
      <c r="K1225" s="52"/>
      <c r="L1225" s="52"/>
      <c r="M1225" s="52"/>
      <c r="N1225" s="52"/>
      <c r="Q1225" s="52"/>
      <c r="R1225" s="52"/>
      <c r="S1225" s="52"/>
      <c r="T1225" s="52"/>
    </row>
    <row r="1226" spans="2:20" s="15" customFormat="1" x14ac:dyDescent="0.25">
      <c r="B1226" s="15" t="s">
        <v>330</v>
      </c>
    </row>
    <row r="1227" spans="2:20" x14ac:dyDescent="0.25">
      <c r="B1227" t="s">
        <v>516</v>
      </c>
      <c r="C1227">
        <f>D1231</f>
        <v>486.3</v>
      </c>
      <c r="D1227">
        <v>463</v>
      </c>
      <c r="L1227">
        <f>C1231</f>
        <v>493.5</v>
      </c>
      <c r="M1227">
        <f>D1231</f>
        <v>486.3</v>
      </c>
    </row>
    <row r="1228" spans="2:20" x14ac:dyDescent="0.25">
      <c r="B1228" t="s">
        <v>362</v>
      </c>
      <c r="C1228">
        <v>34.799999999999997</v>
      </c>
      <c r="D1228">
        <v>20.6</v>
      </c>
      <c r="L1228">
        <v>24.6</v>
      </c>
      <c r="M1228">
        <v>25</v>
      </c>
    </row>
    <row r="1229" spans="2:20" x14ac:dyDescent="0.25">
      <c r="B1229" t="s">
        <v>708</v>
      </c>
      <c r="C1229">
        <v>0.4</v>
      </c>
      <c r="D1229">
        <v>2.7</v>
      </c>
      <c r="M1229">
        <v>0.2</v>
      </c>
    </row>
    <row r="1230" spans="2:20" x14ac:dyDescent="0.25">
      <c r="B1230" t="s">
        <v>543</v>
      </c>
      <c r="C1230">
        <v>-28</v>
      </c>
    </row>
    <row r="1231" spans="2:20" s="17" customFormat="1" x14ac:dyDescent="0.25">
      <c r="B1231" s="17" t="s">
        <v>115</v>
      </c>
      <c r="C1231" s="17">
        <f>SUM(C1227:C1230)</f>
        <v>493.5</v>
      </c>
      <c r="D1231" s="17">
        <v>486.3</v>
      </c>
      <c r="L1231" s="17">
        <f>SUM(L1227:L1230)</f>
        <v>518.1</v>
      </c>
      <c r="M1231" s="17">
        <f>SUM(M1227:M1230)</f>
        <v>511.5</v>
      </c>
    </row>
    <row r="1232" spans="2:20" s="17" customFormat="1" x14ac:dyDescent="0.25">
      <c r="B1232" s="17" t="s">
        <v>1328</v>
      </c>
      <c r="C1232" s="17">
        <f>D1236</f>
        <v>69.099999999999994</v>
      </c>
      <c r="L1232" s="17">
        <f>C1236</f>
        <v>132.79999999999998</v>
      </c>
      <c r="M1232" s="17">
        <f>D1236</f>
        <v>69.099999999999994</v>
      </c>
    </row>
    <row r="1233" spans="2:15" x14ac:dyDescent="0.25">
      <c r="B1233" t="s">
        <v>363</v>
      </c>
      <c r="C1233">
        <v>67</v>
      </c>
      <c r="D1233">
        <v>67.5</v>
      </c>
      <c r="L1233">
        <v>35.299999999999997</v>
      </c>
      <c r="M1233" s="17">
        <v>36.4</v>
      </c>
    </row>
    <row r="1234" spans="2:15" x14ac:dyDescent="0.25">
      <c r="B1234" t="s">
        <v>543</v>
      </c>
      <c r="C1234">
        <v>-3.3</v>
      </c>
    </row>
    <row r="1235" spans="2:15" ht="15.75" thickBot="1" x14ac:dyDescent="0.3">
      <c r="B1235" t="s">
        <v>364</v>
      </c>
      <c r="C1235" s="14"/>
      <c r="D1235" s="14">
        <v>1.6</v>
      </c>
      <c r="E1235" s="14"/>
      <c r="F1235" s="14"/>
      <c r="G1235" s="14"/>
      <c r="H1235" s="14"/>
      <c r="I1235" s="14"/>
      <c r="L1235" s="14"/>
      <c r="M1235" s="14"/>
      <c r="N1235" s="14"/>
      <c r="O1235" s="14"/>
    </row>
    <row r="1236" spans="2:15" s="15" customFormat="1" x14ac:dyDescent="0.25">
      <c r="B1236" s="15" t="s">
        <v>650</v>
      </c>
      <c r="C1236" s="15">
        <f>SUM(C1232:C1235)</f>
        <v>132.79999999999998</v>
      </c>
      <c r="D1236" s="15">
        <v>69.099999999999994</v>
      </c>
      <c r="L1236" s="15">
        <f>SUM(L1232:L1235)</f>
        <v>168.09999999999997</v>
      </c>
      <c r="M1236" s="15">
        <f>SUM(M1232:M1235)</f>
        <v>105.5</v>
      </c>
    </row>
    <row r="1237" spans="2:15" s="15" customFormat="1" x14ac:dyDescent="0.25"/>
    <row r="1238" spans="2:15" s="15" customFormat="1" x14ac:dyDescent="0.25">
      <c r="B1238" s="15" t="s">
        <v>739</v>
      </c>
      <c r="C1238" s="15">
        <f>C1231-C1236</f>
        <v>360.70000000000005</v>
      </c>
      <c r="D1238" s="15">
        <f>D1231-D1236</f>
        <v>417.20000000000005</v>
      </c>
      <c r="L1238" s="15">
        <f>L1231-L1236</f>
        <v>350.00000000000006</v>
      </c>
      <c r="M1238" s="15">
        <f>M1231-M1236</f>
        <v>406</v>
      </c>
    </row>
    <row r="1240" spans="2:15" x14ac:dyDescent="0.25">
      <c r="B1240" t="s">
        <v>361</v>
      </c>
    </row>
    <row r="1241" spans="2:15" x14ac:dyDescent="0.25">
      <c r="B1241" t="s">
        <v>516</v>
      </c>
      <c r="C1241">
        <f>D1245</f>
        <v>11.6</v>
      </c>
      <c r="D1241">
        <v>10.1</v>
      </c>
      <c r="L1241">
        <f>C1245</f>
        <v>14.7</v>
      </c>
      <c r="M1241">
        <f>D1245</f>
        <v>11.6</v>
      </c>
    </row>
    <row r="1242" spans="2:15" x14ac:dyDescent="0.25">
      <c r="B1242" t="s">
        <v>362</v>
      </c>
      <c r="C1242">
        <v>3.3</v>
      </c>
      <c r="D1242">
        <v>1.5</v>
      </c>
      <c r="L1242">
        <v>0.7</v>
      </c>
      <c r="M1242">
        <v>2.8</v>
      </c>
    </row>
    <row r="1243" spans="2:15" x14ac:dyDescent="0.25">
      <c r="B1243" t="s">
        <v>708</v>
      </c>
      <c r="L1243" s="17"/>
      <c r="M1243" s="17"/>
    </row>
    <row r="1244" spans="2:15" x14ac:dyDescent="0.25">
      <c r="B1244" t="s">
        <v>543</v>
      </c>
      <c r="C1244">
        <v>-0.2</v>
      </c>
    </row>
    <row r="1245" spans="2:15" x14ac:dyDescent="0.25">
      <c r="B1245" t="s">
        <v>520</v>
      </c>
      <c r="C1245" s="17">
        <f>SUM(C1240:C1244)</f>
        <v>14.7</v>
      </c>
      <c r="D1245" s="17">
        <f>SUM(D1240:D1244)</f>
        <v>11.6</v>
      </c>
      <c r="L1245" s="17">
        <f>SUM(L1240:L1244)</f>
        <v>15.399999999999999</v>
      </c>
      <c r="M1245" s="17">
        <f>SUM(M1240:M1244)</f>
        <v>14.399999999999999</v>
      </c>
    </row>
    <row r="1246" spans="2:15" x14ac:dyDescent="0.25">
      <c r="B1246" s="17" t="s">
        <v>1328</v>
      </c>
      <c r="C1246" s="17">
        <f>D1250</f>
        <v>3.6</v>
      </c>
      <c r="D1246" s="17"/>
      <c r="L1246" s="17">
        <f>C1250</f>
        <v>6.7</v>
      </c>
      <c r="M1246" s="17">
        <f>D1250</f>
        <v>3.6</v>
      </c>
    </row>
    <row r="1247" spans="2:15" x14ac:dyDescent="0.25">
      <c r="B1247" t="s">
        <v>363</v>
      </c>
      <c r="C1247">
        <v>3.3</v>
      </c>
      <c r="D1247">
        <v>3.6</v>
      </c>
      <c r="L1247">
        <v>1.8</v>
      </c>
      <c r="M1247">
        <v>1.5</v>
      </c>
    </row>
    <row r="1248" spans="2:15" x14ac:dyDescent="0.25">
      <c r="B1248" t="s">
        <v>543</v>
      </c>
      <c r="C1248">
        <v>-0.2</v>
      </c>
    </row>
    <row r="1249" spans="2:15" ht="15.75" thickBot="1" x14ac:dyDescent="0.3">
      <c r="B1249" t="s">
        <v>364</v>
      </c>
      <c r="C1249" s="14"/>
      <c r="D1249" s="14">
        <v>0</v>
      </c>
      <c r="E1249" s="14"/>
      <c r="F1249" s="14"/>
      <c r="G1249" s="14"/>
      <c r="H1249" s="14"/>
      <c r="I1249" s="14"/>
      <c r="L1249" s="14"/>
      <c r="M1249" s="14"/>
      <c r="N1249" s="14"/>
      <c r="O1249" s="14"/>
    </row>
    <row r="1250" spans="2:15" s="15" customFormat="1" x14ac:dyDescent="0.25">
      <c r="B1250" s="15" t="s">
        <v>650</v>
      </c>
      <c r="C1250" s="15">
        <f>SUM(C1246:C1249)</f>
        <v>6.7</v>
      </c>
      <c r="D1250" s="15">
        <f>SUM(D1246:D1249)</f>
        <v>3.6</v>
      </c>
      <c r="L1250" s="15">
        <f>SUM(L1246:L1249)</f>
        <v>8.5</v>
      </c>
      <c r="M1250" s="15">
        <f>SUM(M1246:M1249)</f>
        <v>5.0999999999999996</v>
      </c>
    </row>
    <row r="1251" spans="2:15" s="15" customFormat="1" x14ac:dyDescent="0.25"/>
    <row r="1252" spans="2:15" s="15" customFormat="1" x14ac:dyDescent="0.25">
      <c r="B1252" s="15" t="s">
        <v>739</v>
      </c>
      <c r="C1252" s="15">
        <f>C1245-C1250</f>
        <v>7.9999999999999991</v>
      </c>
      <c r="D1252" s="15">
        <f>D1245-D1250</f>
        <v>8</v>
      </c>
    </row>
    <row r="1254" spans="2:15" x14ac:dyDescent="0.25">
      <c r="B1254" t="s">
        <v>115</v>
      </c>
    </row>
    <row r="1255" spans="2:15" x14ac:dyDescent="0.25">
      <c r="B1255" t="s">
        <v>516</v>
      </c>
      <c r="C1255">
        <f t="shared" ref="C1255:D1257" si="216">C1227+C1241</f>
        <v>497.90000000000003</v>
      </c>
      <c r="D1255">
        <f t="shared" si="216"/>
        <v>473.1</v>
      </c>
      <c r="L1255">
        <f t="shared" ref="L1255:M1255" si="217">L1227+L1241</f>
        <v>508.2</v>
      </c>
      <c r="M1255">
        <f t="shared" si="217"/>
        <v>497.90000000000003</v>
      </c>
    </row>
    <row r="1256" spans="2:15" x14ac:dyDescent="0.25">
      <c r="B1256" t="s">
        <v>362</v>
      </c>
      <c r="C1256">
        <f t="shared" si="216"/>
        <v>38.099999999999994</v>
      </c>
      <c r="D1256">
        <f t="shared" si="216"/>
        <v>22.1</v>
      </c>
      <c r="L1256">
        <f t="shared" ref="L1256:M1256" si="218">L1228+L1242</f>
        <v>25.3</v>
      </c>
      <c r="M1256">
        <f t="shared" si="218"/>
        <v>27.8</v>
      </c>
    </row>
    <row r="1257" spans="2:15" x14ac:dyDescent="0.25">
      <c r="B1257" t="s">
        <v>708</v>
      </c>
      <c r="C1257">
        <f t="shared" si="216"/>
        <v>0.4</v>
      </c>
      <c r="D1257">
        <f t="shared" si="216"/>
        <v>2.7</v>
      </c>
      <c r="L1257">
        <f t="shared" ref="L1257:M1257" si="219">L1229+L1243</f>
        <v>0</v>
      </c>
      <c r="M1257">
        <f t="shared" si="219"/>
        <v>0.2</v>
      </c>
    </row>
    <row r="1258" spans="2:15" x14ac:dyDescent="0.25">
      <c r="B1258" t="s">
        <v>543</v>
      </c>
      <c r="C1258">
        <f>C1230+C1244</f>
        <v>-28.2</v>
      </c>
      <c r="D1258">
        <f>D1230</f>
        <v>0</v>
      </c>
      <c r="L1258">
        <f>L1230+L1244</f>
        <v>0</v>
      </c>
      <c r="M1258">
        <f>M1230</f>
        <v>0</v>
      </c>
    </row>
    <row r="1259" spans="2:15" x14ac:dyDescent="0.25">
      <c r="B1259" t="s">
        <v>520</v>
      </c>
      <c r="C1259">
        <f>C1231+C1245</f>
        <v>508.2</v>
      </c>
      <c r="D1259">
        <f>D1231+D1245</f>
        <v>497.90000000000003</v>
      </c>
      <c r="L1259">
        <f>L1231+L1245</f>
        <v>533.5</v>
      </c>
      <c r="M1259">
        <f>M1231+M1245</f>
        <v>525.9</v>
      </c>
    </row>
    <row r="1260" spans="2:15" x14ac:dyDescent="0.25">
      <c r="B1260" t="s">
        <v>363</v>
      </c>
      <c r="C1260">
        <f>C1233+C1247</f>
        <v>70.3</v>
      </c>
      <c r="D1260">
        <f>D1233+D1247</f>
        <v>71.099999999999994</v>
      </c>
      <c r="L1260">
        <f>L1233+L1247</f>
        <v>37.099999999999994</v>
      </c>
      <c r="M1260">
        <f>M1233+M1247</f>
        <v>37.9</v>
      </c>
    </row>
    <row r="1261" spans="2:15" x14ac:dyDescent="0.25">
      <c r="B1261" t="s">
        <v>543</v>
      </c>
      <c r="C1261">
        <f>C1234+C1248</f>
        <v>-3.5</v>
      </c>
      <c r="D1261">
        <f>D1234</f>
        <v>0</v>
      </c>
      <c r="L1261">
        <f>L1234+L1248</f>
        <v>0</v>
      </c>
      <c r="M1261">
        <f>M1234</f>
        <v>0</v>
      </c>
    </row>
    <row r="1262" spans="2:15" ht="15.75" thickBot="1" x14ac:dyDescent="0.3">
      <c r="B1262" t="s">
        <v>364</v>
      </c>
      <c r="C1262" s="14"/>
      <c r="D1262" s="14">
        <f>D1235+D1249</f>
        <v>1.6</v>
      </c>
      <c r="E1262" s="14"/>
      <c r="F1262" s="14"/>
      <c r="G1262" s="14"/>
      <c r="H1262" s="14"/>
      <c r="I1262" s="14"/>
      <c r="L1262" s="14"/>
      <c r="M1262" s="14">
        <f>M1235+M1249</f>
        <v>0</v>
      </c>
      <c r="N1262" s="14"/>
      <c r="O1262" s="14"/>
    </row>
    <row r="1263" spans="2:15" s="15" customFormat="1" x14ac:dyDescent="0.25">
      <c r="B1263" s="15" t="s">
        <v>650</v>
      </c>
      <c r="C1263" s="15">
        <f>C1259-C1260-C1262-C1261</f>
        <v>441.4</v>
      </c>
      <c r="D1263" s="15">
        <f>D1259-D1260-D1262</f>
        <v>425.20000000000005</v>
      </c>
      <c r="L1263" s="15">
        <f>L1259-L1260-L1262-L1261</f>
        <v>496.4</v>
      </c>
      <c r="M1263" s="15">
        <f>M1259-M1260-M1262</f>
        <v>488</v>
      </c>
    </row>
    <row r="1268" spans="2:16" ht="15.75" thickBot="1" x14ac:dyDescent="0.3">
      <c r="B1268" s="15" t="s">
        <v>373</v>
      </c>
      <c r="C1268" s="13">
        <v>44280</v>
      </c>
      <c r="D1268" s="13">
        <v>43919</v>
      </c>
      <c r="E1268" s="13">
        <v>43552</v>
      </c>
      <c r="L1268" s="13">
        <v>44476</v>
      </c>
      <c r="M1268" s="13">
        <v>44112</v>
      </c>
      <c r="N1268" s="13">
        <v>43748</v>
      </c>
      <c r="O1268" s="13">
        <v>43384</v>
      </c>
    </row>
    <row r="1269" spans="2:16" x14ac:dyDescent="0.25">
      <c r="B1269" t="s">
        <v>366</v>
      </c>
      <c r="C1269">
        <v>78.400000000000006</v>
      </c>
      <c r="D1269">
        <v>82.2</v>
      </c>
      <c r="E1269">
        <v>82.6</v>
      </c>
      <c r="L1269">
        <v>79.5</v>
      </c>
      <c r="M1269">
        <v>81.099999999999994</v>
      </c>
    </row>
    <row r="1270" spans="2:16" x14ac:dyDescent="0.25">
      <c r="B1270" t="s">
        <v>367</v>
      </c>
      <c r="C1270">
        <v>241.9</v>
      </c>
      <c r="D1270">
        <v>258</v>
      </c>
      <c r="E1270">
        <v>282.60000000000002</v>
      </c>
      <c r="L1270">
        <v>242.4</v>
      </c>
      <c r="M1270">
        <v>255.7</v>
      </c>
    </row>
    <row r="1271" spans="2:16" x14ac:dyDescent="0.25">
      <c r="B1271" t="s">
        <v>368</v>
      </c>
      <c r="C1271">
        <v>131.9</v>
      </c>
      <c r="D1271">
        <v>182.6</v>
      </c>
      <c r="E1271">
        <v>208.3</v>
      </c>
      <c r="L1271">
        <v>120.8</v>
      </c>
      <c r="M1271">
        <v>177.7</v>
      </c>
    </row>
    <row r="1272" spans="2:16" x14ac:dyDescent="0.25">
      <c r="B1272" t="s">
        <v>369</v>
      </c>
      <c r="C1272">
        <f>SUM(C1269:C1271)</f>
        <v>452.20000000000005</v>
      </c>
      <c r="D1272">
        <f t="shared" ref="D1272:E1272" si="220">SUM(D1269:D1271)</f>
        <v>522.79999999999995</v>
      </c>
      <c r="E1272">
        <f t="shared" si="220"/>
        <v>573.5</v>
      </c>
      <c r="L1272">
        <f t="shared" ref="L1272" si="221">SUM(L1269:L1271)</f>
        <v>442.7</v>
      </c>
      <c r="M1272">
        <f t="shared" ref="M1272" si="222">SUM(M1269:M1271)</f>
        <v>514.5</v>
      </c>
      <c r="N1272">
        <f t="shared" ref="N1272" si="223">SUM(N1269:N1271)</f>
        <v>0</v>
      </c>
      <c r="O1272">
        <f t="shared" ref="O1272" si="224">SUM(O1269:O1271)</f>
        <v>0</v>
      </c>
    </row>
    <row r="1273" spans="2:16" x14ac:dyDescent="0.25">
      <c r="B1273" t="s">
        <v>370</v>
      </c>
      <c r="C1273">
        <v>409.7</v>
      </c>
      <c r="D1273">
        <v>463.9</v>
      </c>
      <c r="E1273">
        <v>506.2</v>
      </c>
      <c r="L1273">
        <v>397.9</v>
      </c>
      <c r="M1273">
        <v>456.3</v>
      </c>
    </row>
    <row r="1274" spans="2:16" x14ac:dyDescent="0.25">
      <c r="B1274" t="s">
        <v>371</v>
      </c>
      <c r="C1274">
        <v>78.400000000000006</v>
      </c>
      <c r="D1274">
        <v>83.7</v>
      </c>
      <c r="E1274">
        <v>82.7</v>
      </c>
      <c r="L1274">
        <v>79.5</v>
      </c>
      <c r="M1274">
        <v>80.8</v>
      </c>
    </row>
    <row r="1275" spans="2:16" x14ac:dyDescent="0.25">
      <c r="B1275" t="s">
        <v>372</v>
      </c>
      <c r="C1275">
        <v>331.3</v>
      </c>
      <c r="D1275">
        <v>380.2</v>
      </c>
      <c r="E1275">
        <v>423.5</v>
      </c>
      <c r="L1275">
        <v>318.39999999999998</v>
      </c>
      <c r="M1275">
        <v>375.5</v>
      </c>
    </row>
    <row r="1280" spans="2:16" x14ac:dyDescent="0.25">
      <c r="B1280" s="106" t="s">
        <v>378</v>
      </c>
      <c r="C1280" s="106"/>
      <c r="D1280" s="106"/>
      <c r="E1280" s="106"/>
      <c r="F1280" s="106"/>
      <c r="G1280" s="106"/>
      <c r="H1280" s="106"/>
      <c r="I1280" s="106"/>
      <c r="J1280" s="106"/>
      <c r="K1280" s="106"/>
      <c r="L1280" s="106"/>
      <c r="M1280" s="106"/>
      <c r="N1280" s="106"/>
      <c r="O1280" s="106"/>
      <c r="P1280" s="106"/>
    </row>
    <row r="1283" spans="2:15" ht="15.75" thickBot="1" x14ac:dyDescent="0.3">
      <c r="B1283" t="s">
        <v>1307</v>
      </c>
      <c r="C1283" s="13">
        <v>44280</v>
      </c>
      <c r="D1283" s="13">
        <v>43919</v>
      </c>
      <c r="E1283" s="13">
        <v>43552</v>
      </c>
      <c r="F1283" s="13">
        <v>43188</v>
      </c>
      <c r="G1283" s="13">
        <v>42824</v>
      </c>
      <c r="H1283" s="13">
        <v>42460</v>
      </c>
      <c r="I1283" s="13">
        <v>42089</v>
      </c>
      <c r="L1283" s="13">
        <v>44476</v>
      </c>
      <c r="M1283" s="13">
        <v>44112</v>
      </c>
      <c r="N1283" s="13">
        <v>43748</v>
      </c>
      <c r="O1283" s="13">
        <v>43384</v>
      </c>
    </row>
    <row r="1284" spans="2:15" x14ac:dyDescent="0.25">
      <c r="B1284" t="s">
        <v>400</v>
      </c>
      <c r="C1284" s="24">
        <v>514703</v>
      </c>
      <c r="D1284" s="24">
        <v>504084</v>
      </c>
      <c r="E1284" s="24">
        <v>465308</v>
      </c>
      <c r="F1284" s="24">
        <v>484500</v>
      </c>
    </row>
    <row r="1285" spans="2:15" x14ac:dyDescent="0.25">
      <c r="B1285" t="s">
        <v>401</v>
      </c>
      <c r="C1285" s="24">
        <v>11921</v>
      </c>
      <c r="D1285" s="24">
        <v>11846</v>
      </c>
      <c r="E1285" s="24">
        <v>10615</v>
      </c>
      <c r="F1285" s="24">
        <v>11500</v>
      </c>
    </row>
    <row r="1286" spans="2:15" x14ac:dyDescent="0.25">
      <c r="B1286" t="s">
        <v>402</v>
      </c>
      <c r="C1286" s="24">
        <v>46197</v>
      </c>
      <c r="D1286" s="24">
        <v>45368</v>
      </c>
      <c r="E1286" s="24">
        <v>41878</v>
      </c>
      <c r="F1286" s="24">
        <v>43605</v>
      </c>
    </row>
    <row r="1287" spans="2:15" x14ac:dyDescent="0.25">
      <c r="B1287" t="s">
        <v>403</v>
      </c>
      <c r="C1287" s="24">
        <f>SUM(C1284:C1286)</f>
        <v>572821</v>
      </c>
      <c r="D1287" s="39">
        <f>SUM(D1284:D1286)</f>
        <v>561298</v>
      </c>
      <c r="E1287" s="39">
        <f>SUM(E1284:E1286)</f>
        <v>517801</v>
      </c>
      <c r="F1287" s="39">
        <f t="shared" ref="F1287:I1287" si="225">SUM(F1284:F1286)</f>
        <v>539605</v>
      </c>
      <c r="G1287" s="39">
        <f t="shared" si="225"/>
        <v>0</v>
      </c>
      <c r="H1287" s="39">
        <f t="shared" si="225"/>
        <v>0</v>
      </c>
      <c r="I1287" s="39">
        <f t="shared" si="225"/>
        <v>0</v>
      </c>
    </row>
    <row r="1288" spans="2:15" x14ac:dyDescent="0.25">
      <c r="B1288" t="s">
        <v>404</v>
      </c>
      <c r="C1288" s="24">
        <v>526285</v>
      </c>
      <c r="D1288" s="39">
        <v>504084</v>
      </c>
      <c r="E1288" s="24">
        <v>374604</v>
      </c>
      <c r="F1288" s="24">
        <v>36348</v>
      </c>
    </row>
    <row r="1289" spans="2:15" x14ac:dyDescent="0.25">
      <c r="B1289" t="s">
        <v>523</v>
      </c>
      <c r="C1289" s="24">
        <v>1041809</v>
      </c>
      <c r="D1289" s="24">
        <v>534328</v>
      </c>
      <c r="E1289" s="24">
        <v>37893</v>
      </c>
    </row>
    <row r="1290" spans="2:15" ht="15.75" thickBot="1" x14ac:dyDescent="0.3">
      <c r="B1290" t="s">
        <v>405</v>
      </c>
      <c r="C1290" s="61">
        <f>SUM(C1288:C1289)</f>
        <v>1568094</v>
      </c>
      <c r="D1290" s="61">
        <f>SUM(D1288:D1289)</f>
        <v>1038412</v>
      </c>
      <c r="E1290" s="61">
        <f t="shared" ref="E1290:I1290" si="226">SUM(E1288:E1289)</f>
        <v>412497</v>
      </c>
      <c r="F1290" s="61">
        <f t="shared" si="226"/>
        <v>36348</v>
      </c>
      <c r="G1290" s="61">
        <f t="shared" si="226"/>
        <v>0</v>
      </c>
      <c r="H1290" s="61">
        <f t="shared" si="226"/>
        <v>0</v>
      </c>
      <c r="I1290" s="61">
        <f t="shared" si="226"/>
        <v>0</v>
      </c>
    </row>
    <row r="1291" spans="2:15" x14ac:dyDescent="0.25">
      <c r="B1291" s="15" t="s">
        <v>406</v>
      </c>
      <c r="C1291" s="37">
        <f>SUM(C1290+C1287)</f>
        <v>2140915</v>
      </c>
      <c r="D1291" s="37">
        <f>SUM(D1290+D1287)</f>
        <v>1599710</v>
      </c>
      <c r="E1291" s="37">
        <f t="shared" ref="E1291:I1291" si="227">SUM(E1290+E1287)</f>
        <v>930298</v>
      </c>
      <c r="F1291" s="37">
        <f t="shared" si="227"/>
        <v>575953</v>
      </c>
      <c r="G1291" s="37">
        <f t="shared" si="227"/>
        <v>0</v>
      </c>
      <c r="H1291" s="37">
        <f t="shared" si="227"/>
        <v>0</v>
      </c>
      <c r="I1291" s="37">
        <f t="shared" si="227"/>
        <v>0</v>
      </c>
    </row>
    <row r="1293" spans="2:15" x14ac:dyDescent="0.25">
      <c r="B1293" t="s">
        <v>1306</v>
      </c>
    </row>
    <row r="1294" spans="2:15" x14ac:dyDescent="0.25">
      <c r="B1294" t="s">
        <v>400</v>
      </c>
      <c r="C1294" s="39">
        <v>356920</v>
      </c>
      <c r="D1294" s="39">
        <v>360744</v>
      </c>
      <c r="E1294" s="24">
        <v>353700</v>
      </c>
      <c r="F1294" s="24">
        <v>346800</v>
      </c>
    </row>
    <row r="1295" spans="2:15" x14ac:dyDescent="0.25">
      <c r="B1295" t="s">
        <v>401</v>
      </c>
      <c r="C1295" s="39">
        <v>11921</v>
      </c>
      <c r="D1295" s="24">
        <v>11846</v>
      </c>
      <c r="E1295" s="24">
        <v>11500</v>
      </c>
      <c r="F1295" s="24">
        <v>11500</v>
      </c>
    </row>
    <row r="1296" spans="2:15" x14ac:dyDescent="0.25">
      <c r="B1296" t="s">
        <v>402</v>
      </c>
      <c r="C1296" s="39">
        <v>31918</v>
      </c>
      <c r="D1296" s="24">
        <v>32470</v>
      </c>
      <c r="E1296" s="24">
        <v>31833</v>
      </c>
      <c r="F1296" s="24">
        <v>31212</v>
      </c>
    </row>
    <row r="1297" spans="2:9" x14ac:dyDescent="0.25">
      <c r="B1297" t="s">
        <v>403</v>
      </c>
      <c r="C1297" s="39">
        <f>SUM(C1294:C1296)</f>
        <v>400759</v>
      </c>
      <c r="D1297" s="39">
        <f>SUM(D1294:D1296)</f>
        <v>405060</v>
      </c>
      <c r="E1297" s="39">
        <f t="shared" ref="E1297:I1297" si="228">SUM(E1294:E1296)</f>
        <v>397033</v>
      </c>
      <c r="F1297" s="39">
        <f t="shared" si="228"/>
        <v>389512</v>
      </c>
      <c r="G1297" s="39">
        <f t="shared" si="228"/>
        <v>0</v>
      </c>
      <c r="H1297" s="39">
        <f t="shared" si="228"/>
        <v>0</v>
      </c>
      <c r="I1297" s="39">
        <f t="shared" si="228"/>
        <v>0</v>
      </c>
    </row>
    <row r="1298" spans="2:9" x14ac:dyDescent="0.25">
      <c r="B1298" t="s">
        <v>404</v>
      </c>
      <c r="C1298" s="39">
        <v>365235</v>
      </c>
      <c r="D1298" s="39">
        <v>360744</v>
      </c>
      <c r="E1298" s="24">
        <v>300645</v>
      </c>
      <c r="F1298" s="24">
        <v>259330</v>
      </c>
    </row>
    <row r="1299" spans="2:9" x14ac:dyDescent="0.25">
      <c r="B1299" t="s">
        <v>523</v>
      </c>
      <c r="C1299" s="39">
        <v>745625</v>
      </c>
      <c r="D1299" s="24">
        <v>445275</v>
      </c>
    </row>
    <row r="1300" spans="2:9" ht="15.75" thickBot="1" x14ac:dyDescent="0.3">
      <c r="B1300" t="s">
        <v>405</v>
      </c>
      <c r="C1300" s="61">
        <f>SUM(C1298:C1299)</f>
        <v>1110860</v>
      </c>
      <c r="D1300" s="61">
        <f>SUM(D1298:D1299)</f>
        <v>806019</v>
      </c>
      <c r="E1300" s="61">
        <f t="shared" ref="E1300:I1300" si="229">SUM(E1298:E1299)</f>
        <v>300645</v>
      </c>
      <c r="F1300" s="61">
        <f t="shared" si="229"/>
        <v>259330</v>
      </c>
      <c r="G1300" s="61">
        <f t="shared" si="229"/>
        <v>0</v>
      </c>
      <c r="H1300" s="61">
        <f t="shared" si="229"/>
        <v>0</v>
      </c>
      <c r="I1300" s="61">
        <f t="shared" si="229"/>
        <v>0</v>
      </c>
    </row>
    <row r="1301" spans="2:9" x14ac:dyDescent="0.25">
      <c r="B1301" s="15" t="s">
        <v>406</v>
      </c>
      <c r="C1301" s="37">
        <f>SUM(C1300+C1297)</f>
        <v>1511619</v>
      </c>
      <c r="D1301" s="37">
        <f>SUM(D1300+D1297)</f>
        <v>1211079</v>
      </c>
      <c r="E1301" s="37">
        <f t="shared" ref="E1301:I1301" si="230">SUM(E1300+E1297)</f>
        <v>697678</v>
      </c>
      <c r="F1301" s="37">
        <f t="shared" si="230"/>
        <v>648842</v>
      </c>
      <c r="G1301" s="37">
        <f t="shared" si="230"/>
        <v>0</v>
      </c>
      <c r="H1301" s="37">
        <f t="shared" si="230"/>
        <v>0</v>
      </c>
      <c r="I1301" s="37">
        <f t="shared" si="230"/>
        <v>0</v>
      </c>
    </row>
    <row r="1303" spans="2:9" x14ac:dyDescent="0.25">
      <c r="B1303" t="s">
        <v>569</v>
      </c>
      <c r="D1303" s="24">
        <v>200000</v>
      </c>
      <c r="E1303" s="24">
        <v>200000</v>
      </c>
      <c r="F1303" s="24">
        <v>200000</v>
      </c>
    </row>
    <row r="1304" spans="2:9" x14ac:dyDescent="0.25">
      <c r="B1304" t="s">
        <v>564</v>
      </c>
      <c r="C1304" s="24">
        <v>200000</v>
      </c>
      <c r="D1304" s="24">
        <v>70000</v>
      </c>
      <c r="E1304" s="24">
        <v>70000</v>
      </c>
      <c r="F1304" s="24">
        <v>70000</v>
      </c>
    </row>
    <row r="1305" spans="2:9" x14ac:dyDescent="0.25">
      <c r="B1305" t="s">
        <v>409</v>
      </c>
      <c r="C1305" s="24">
        <v>70000</v>
      </c>
      <c r="D1305" s="24">
        <v>60000</v>
      </c>
      <c r="E1305" s="24">
        <v>60000</v>
      </c>
      <c r="F1305" s="24">
        <v>60000</v>
      </c>
    </row>
    <row r="1306" spans="2:9" x14ac:dyDescent="0.25">
      <c r="B1306" t="s">
        <v>565</v>
      </c>
      <c r="C1306" s="24">
        <v>60000</v>
      </c>
      <c r="D1306" s="24">
        <v>50000</v>
      </c>
      <c r="E1306" s="24">
        <v>50000</v>
      </c>
      <c r="F1306" s="24">
        <v>41651</v>
      </c>
    </row>
    <row r="1307" spans="2:9" x14ac:dyDescent="0.25">
      <c r="B1307" t="s">
        <v>566</v>
      </c>
      <c r="C1307" s="24">
        <v>50000</v>
      </c>
      <c r="D1307" s="24">
        <v>60000</v>
      </c>
      <c r="E1307" s="24">
        <v>60000</v>
      </c>
      <c r="F1307" s="24">
        <v>47924</v>
      </c>
    </row>
    <row r="1308" spans="2:9" x14ac:dyDescent="0.25">
      <c r="B1308" t="s">
        <v>412</v>
      </c>
      <c r="C1308" s="24">
        <v>60000</v>
      </c>
      <c r="D1308" s="24">
        <v>60000</v>
      </c>
      <c r="E1308" s="24">
        <v>46154</v>
      </c>
    </row>
    <row r="1309" spans="2:9" x14ac:dyDescent="0.25">
      <c r="B1309" t="s">
        <v>568</v>
      </c>
      <c r="C1309" s="24"/>
    </row>
    <row r="1310" spans="2:9" x14ac:dyDescent="0.25">
      <c r="B1310" t="s">
        <v>1308</v>
      </c>
      <c r="C1310" s="24"/>
      <c r="E1310" s="24">
        <v>18462</v>
      </c>
      <c r="F1310">
        <v>60000</v>
      </c>
    </row>
    <row r="1311" spans="2:9" ht="15.75" thickBot="1" x14ac:dyDescent="0.3">
      <c r="B1311" t="s">
        <v>567</v>
      </c>
      <c r="C1311" s="31"/>
      <c r="D1311" s="14"/>
      <c r="E1311" s="14"/>
      <c r="F1311" s="14"/>
      <c r="G1311" s="14"/>
      <c r="H1311" s="14"/>
      <c r="I1311" s="14"/>
    </row>
    <row r="1312" spans="2:9" x14ac:dyDescent="0.25">
      <c r="B1312" t="s">
        <v>115</v>
      </c>
      <c r="C1312" s="37">
        <f>SUM(C1304:C1311)</f>
        <v>440000</v>
      </c>
      <c r="D1312" s="37">
        <f>SUM(D1303:D1311)</f>
        <v>500000</v>
      </c>
      <c r="E1312" s="37">
        <f t="shared" ref="E1312:F1312" si="231">SUM(E1304:E1311)</f>
        <v>304616</v>
      </c>
      <c r="F1312" s="37">
        <f t="shared" si="231"/>
        <v>279575</v>
      </c>
    </row>
    <row r="1313" spans="2:16" ht="15.75" thickBot="1" x14ac:dyDescent="0.3">
      <c r="C1313" s="14"/>
      <c r="D1313" s="14"/>
      <c r="E1313" s="14"/>
      <c r="F1313" s="14"/>
      <c r="G1313" s="14"/>
      <c r="H1313" s="14"/>
      <c r="I1313" s="14"/>
    </row>
    <row r="1314" spans="2:16" x14ac:dyDescent="0.25">
      <c r="B1314" t="s">
        <v>115</v>
      </c>
      <c r="C1314" s="46">
        <f>C1312+C1301+C1291</f>
        <v>4092534</v>
      </c>
      <c r="D1314" s="46">
        <f>D1312+D1301+D1291</f>
        <v>3310789</v>
      </c>
      <c r="E1314" s="46">
        <f>E1312+E1301+E1291</f>
        <v>1932592</v>
      </c>
      <c r="F1314" s="46">
        <f>F1312+F1301+F1291</f>
        <v>1504370</v>
      </c>
    </row>
    <row r="1316" spans="2:16" x14ac:dyDescent="0.25">
      <c r="E1316" s="24"/>
    </row>
    <row r="1318" spans="2:16" x14ac:dyDescent="0.25">
      <c r="B1318" s="106" t="s">
        <v>561</v>
      </c>
      <c r="C1318" s="106"/>
      <c r="D1318" s="106"/>
      <c r="E1318" s="106"/>
      <c r="F1318" s="106"/>
      <c r="G1318" s="106"/>
      <c r="H1318" s="106"/>
      <c r="I1318" s="106"/>
      <c r="J1318" s="106"/>
      <c r="K1318" s="106"/>
      <c r="L1318" s="106"/>
      <c r="M1318" s="106"/>
      <c r="N1318" s="106"/>
      <c r="O1318" s="106"/>
      <c r="P1318" s="106"/>
    </row>
    <row r="1320" spans="2:16" ht="15.75" thickBot="1" x14ac:dyDescent="0.3">
      <c r="C1320" s="13">
        <v>44280</v>
      </c>
      <c r="D1320" s="13">
        <v>43919</v>
      </c>
      <c r="E1320" s="13">
        <v>43552</v>
      </c>
      <c r="F1320" s="13">
        <v>43188</v>
      </c>
      <c r="G1320" s="13">
        <v>42824</v>
      </c>
      <c r="H1320" s="13">
        <v>42460</v>
      </c>
      <c r="I1320" s="13">
        <v>42089</v>
      </c>
      <c r="L1320" s="13">
        <v>44476</v>
      </c>
      <c r="M1320" s="13">
        <v>44112</v>
      </c>
      <c r="N1320" s="13">
        <v>43748</v>
      </c>
      <c r="O1320" s="13">
        <v>43384</v>
      </c>
    </row>
    <row r="1321" spans="2:16" x14ac:dyDescent="0.25">
      <c r="B1321" t="s">
        <v>392</v>
      </c>
      <c r="C1321" s="24">
        <v>53090352</v>
      </c>
      <c r="D1321" s="24">
        <v>68041706</v>
      </c>
      <c r="L1321" s="24">
        <v>49931817</v>
      </c>
    </row>
    <row r="1322" spans="2:16" x14ac:dyDescent="0.25">
      <c r="B1322" t="s">
        <v>562</v>
      </c>
      <c r="C1322" s="24">
        <v>49270707</v>
      </c>
      <c r="D1322" s="24"/>
      <c r="L1322" s="24">
        <v>23698827</v>
      </c>
    </row>
    <row r="1323" spans="2:16" x14ac:dyDescent="0.25">
      <c r="B1323" t="s">
        <v>393</v>
      </c>
      <c r="D1323" s="24">
        <v>55374121</v>
      </c>
      <c r="L1323" s="24"/>
    </row>
    <row r="1324" spans="2:16" x14ac:dyDescent="0.25">
      <c r="B1324" t="s">
        <v>394</v>
      </c>
      <c r="C1324" s="24">
        <v>25473509</v>
      </c>
      <c r="D1324" s="24">
        <v>26901837</v>
      </c>
      <c r="L1324" s="24">
        <v>22647090</v>
      </c>
    </row>
    <row r="1325" spans="2:16" x14ac:dyDescent="0.25">
      <c r="B1325" t="s">
        <v>563</v>
      </c>
      <c r="C1325" s="24">
        <v>24964429</v>
      </c>
      <c r="D1325" s="24"/>
      <c r="L1325" s="24">
        <v>25378629</v>
      </c>
    </row>
    <row r="1326" spans="2:16" x14ac:dyDescent="0.25">
      <c r="B1326" t="s">
        <v>395</v>
      </c>
      <c r="D1326" s="24">
        <v>24816413</v>
      </c>
      <c r="L1326" s="24">
        <v>24380413</v>
      </c>
    </row>
    <row r="1327" spans="2:16" x14ac:dyDescent="0.25">
      <c r="B1327" t="s">
        <v>396</v>
      </c>
      <c r="D1327" s="24">
        <v>22565545</v>
      </c>
      <c r="L1327" s="24">
        <v>14950000</v>
      </c>
    </row>
    <row r="1328" spans="2:16" x14ac:dyDescent="0.25">
      <c r="B1328" t="s">
        <v>397</v>
      </c>
      <c r="D1328" s="12" t="s">
        <v>399</v>
      </c>
      <c r="L1328" s="12" t="s">
        <v>399</v>
      </c>
    </row>
    <row r="1329" spans="2:16" x14ac:dyDescent="0.25">
      <c r="B1329" t="s">
        <v>398</v>
      </c>
      <c r="D1329" s="12" t="s">
        <v>399</v>
      </c>
      <c r="L1329" s="12"/>
    </row>
    <row r="1333" spans="2:16" x14ac:dyDescent="0.25">
      <c r="B1333" s="106" t="s">
        <v>413</v>
      </c>
      <c r="C1333" s="106"/>
      <c r="D1333" s="106"/>
      <c r="E1333" s="106"/>
      <c r="F1333" s="106"/>
      <c r="G1333" s="106"/>
      <c r="H1333" s="106"/>
      <c r="I1333" s="106"/>
      <c r="J1333" s="106"/>
      <c r="K1333" s="106"/>
      <c r="L1333" s="106"/>
      <c r="M1333" s="106"/>
      <c r="N1333" s="106"/>
      <c r="O1333" s="106"/>
      <c r="P1333" s="106"/>
    </row>
    <row r="1335" spans="2:16" ht="15.75" thickBot="1" x14ac:dyDescent="0.3">
      <c r="C1335" s="13">
        <v>44280</v>
      </c>
      <c r="D1335" s="13">
        <v>43919</v>
      </c>
      <c r="E1335" s="13">
        <v>43552</v>
      </c>
      <c r="F1335" s="13">
        <v>43188</v>
      </c>
      <c r="G1335" s="13">
        <v>42824</v>
      </c>
      <c r="H1335" s="13">
        <v>42460</v>
      </c>
      <c r="I1335" s="13">
        <v>42089</v>
      </c>
      <c r="L1335" s="13">
        <v>44476</v>
      </c>
      <c r="M1335" s="13">
        <v>44112</v>
      </c>
      <c r="N1335" s="13">
        <v>43748</v>
      </c>
      <c r="O1335" s="13">
        <v>43384</v>
      </c>
    </row>
    <row r="1336" spans="2:16" x14ac:dyDescent="0.25">
      <c r="B1336" t="s">
        <v>1503</v>
      </c>
      <c r="C1336" s="24">
        <v>1467917</v>
      </c>
      <c r="D1336" s="24">
        <v>2664214</v>
      </c>
      <c r="E1336" s="24">
        <v>3024214</v>
      </c>
      <c r="F1336" s="24">
        <v>2599268</v>
      </c>
    </row>
    <row r="1337" spans="2:16" x14ac:dyDescent="0.25">
      <c r="B1337" t="s">
        <v>407</v>
      </c>
      <c r="C1337" s="24">
        <v>172485</v>
      </c>
      <c r="D1337" s="24">
        <v>129855</v>
      </c>
      <c r="E1337" s="24">
        <v>129855</v>
      </c>
      <c r="F1337" s="24">
        <v>76329</v>
      </c>
      <c r="G1337" s="24">
        <v>45996</v>
      </c>
      <c r="H1337" s="24">
        <v>0</v>
      </c>
    </row>
    <row r="1338" spans="2:16" x14ac:dyDescent="0.25">
      <c r="B1338" t="s">
        <v>1504</v>
      </c>
      <c r="C1338" s="24">
        <v>3713026</v>
      </c>
      <c r="D1338" s="24">
        <v>3713026</v>
      </c>
      <c r="E1338" s="24">
        <v>3713026</v>
      </c>
      <c r="F1338" s="24">
        <v>3313026</v>
      </c>
      <c r="G1338" s="24">
        <v>3158026</v>
      </c>
      <c r="H1338" s="24">
        <v>3158026</v>
      </c>
    </row>
    <row r="1339" spans="2:16" x14ac:dyDescent="0.25">
      <c r="B1339" t="s">
        <v>408</v>
      </c>
      <c r="C1339" s="24">
        <v>30000</v>
      </c>
      <c r="D1339" s="24">
        <v>30000</v>
      </c>
      <c r="E1339" s="24">
        <v>30000</v>
      </c>
      <c r="F1339" s="24">
        <v>30000</v>
      </c>
      <c r="G1339" s="24">
        <v>30000</v>
      </c>
      <c r="H1339" s="24">
        <v>16327</v>
      </c>
    </row>
    <row r="1340" spans="2:16" x14ac:dyDescent="0.25">
      <c r="B1340" t="s">
        <v>409</v>
      </c>
      <c r="C1340" s="24">
        <v>27470</v>
      </c>
      <c r="D1340" s="24">
        <v>27470</v>
      </c>
      <c r="E1340" s="24">
        <v>27470</v>
      </c>
      <c r="F1340" s="24">
        <v>27470</v>
      </c>
      <c r="G1340" s="24">
        <v>4082</v>
      </c>
      <c r="H1340" s="24">
        <v>4082</v>
      </c>
    </row>
    <row r="1341" spans="2:16" x14ac:dyDescent="0.25">
      <c r="B1341" t="s">
        <v>410</v>
      </c>
      <c r="C1341" s="24">
        <v>30000</v>
      </c>
      <c r="D1341" s="24">
        <v>30000</v>
      </c>
      <c r="E1341" s="24">
        <v>30000</v>
      </c>
      <c r="F1341" s="24">
        <v>30000</v>
      </c>
    </row>
    <row r="1342" spans="2:16" x14ac:dyDescent="0.25">
      <c r="B1342" t="s">
        <v>411</v>
      </c>
      <c r="C1342" s="24">
        <v>60088</v>
      </c>
      <c r="D1342" s="24">
        <v>60088</v>
      </c>
      <c r="E1342" s="24">
        <v>60088</v>
      </c>
      <c r="F1342" s="24">
        <v>30000</v>
      </c>
    </row>
    <row r="1343" spans="2:16" x14ac:dyDescent="0.25">
      <c r="B1343" t="s">
        <v>412</v>
      </c>
      <c r="C1343" s="24">
        <v>4195</v>
      </c>
      <c r="D1343" s="24"/>
    </row>
    <row r="1344" spans="2:16" x14ac:dyDescent="0.25">
      <c r="B1344" t="s">
        <v>1502</v>
      </c>
      <c r="C1344" s="24">
        <v>47900</v>
      </c>
    </row>
    <row r="1345" spans="2:16" x14ac:dyDescent="0.25">
      <c r="B1345" t="s">
        <v>567</v>
      </c>
      <c r="G1345" s="24">
        <v>4047056</v>
      </c>
      <c r="H1345" s="24">
        <v>4047056</v>
      </c>
    </row>
    <row r="1346" spans="2:16" x14ac:dyDescent="0.25">
      <c r="B1346" t="s">
        <v>1505</v>
      </c>
    </row>
    <row r="1351" spans="2:16" x14ac:dyDescent="0.25">
      <c r="B1351" s="106" t="s">
        <v>1558</v>
      </c>
      <c r="C1351" s="106"/>
      <c r="D1351" s="106"/>
      <c r="E1351" s="106"/>
      <c r="F1351" s="106"/>
      <c r="G1351" s="106"/>
      <c r="H1351" s="106"/>
      <c r="I1351" s="106"/>
      <c r="J1351" s="106"/>
      <c r="K1351" s="106"/>
      <c r="L1351" s="106"/>
      <c r="M1351" s="106"/>
      <c r="N1351" s="106"/>
      <c r="O1351" s="106"/>
      <c r="P1351" s="106"/>
    </row>
    <row r="1354" spans="2:16" ht="15.75" thickBot="1" x14ac:dyDescent="0.3"/>
    <row r="1355" spans="2:16" ht="15.75" thickBot="1" x14ac:dyDescent="0.3">
      <c r="B1355" s="110" t="s">
        <v>1455</v>
      </c>
      <c r="C1355" s="111"/>
      <c r="D1355" s="112"/>
    </row>
    <row r="1356" spans="2:16" x14ac:dyDescent="0.25">
      <c r="B1356" s="113" t="s">
        <v>1456</v>
      </c>
      <c r="C1356" s="113" t="s">
        <v>1457</v>
      </c>
      <c r="D1356" s="113" t="s">
        <v>1458</v>
      </c>
    </row>
    <row r="1357" spans="2:16" ht="15.75" thickBot="1" x14ac:dyDescent="0.3">
      <c r="B1357" s="114"/>
      <c r="C1357" s="114"/>
      <c r="D1357" s="114"/>
    </row>
    <row r="1381" spans="2:4" ht="15.75" thickBot="1" x14ac:dyDescent="0.3"/>
    <row r="1382" spans="2:4" x14ac:dyDescent="0.25">
      <c r="B1382" s="115" t="s">
        <v>1459</v>
      </c>
      <c r="C1382" s="116"/>
      <c r="D1382" s="117"/>
    </row>
    <row r="1383" spans="2:4" ht="15.75" thickBot="1" x14ac:dyDescent="0.3">
      <c r="B1383" s="118"/>
      <c r="C1383" s="119"/>
      <c r="D1383" s="120"/>
    </row>
    <row r="1384" spans="2:4" x14ac:dyDescent="0.25">
      <c r="B1384" s="113" t="s">
        <v>1460</v>
      </c>
      <c r="C1384" s="113" t="s">
        <v>1461</v>
      </c>
      <c r="D1384" s="113" t="s">
        <v>1462</v>
      </c>
    </row>
    <row r="1385" spans="2:4" ht="15.75" thickBot="1" x14ac:dyDescent="0.3">
      <c r="B1385" s="114"/>
      <c r="C1385" s="114"/>
      <c r="D1385" s="114"/>
    </row>
    <row r="1405" spans="2:4" ht="15.75" thickBot="1" x14ac:dyDescent="0.3"/>
    <row r="1406" spans="2:4" x14ac:dyDescent="0.25">
      <c r="B1406" s="115" t="s">
        <v>1463</v>
      </c>
      <c r="C1406" s="116"/>
      <c r="D1406" s="117"/>
    </row>
    <row r="1407" spans="2:4" ht="15.75" thickBot="1" x14ac:dyDescent="0.3">
      <c r="B1407" s="118"/>
      <c r="C1407" s="119"/>
      <c r="D1407" s="120"/>
    </row>
    <row r="1408" spans="2:4" x14ac:dyDescent="0.25">
      <c r="B1408" s="113" t="s">
        <v>1464</v>
      </c>
      <c r="C1408" s="113" t="s">
        <v>1465</v>
      </c>
      <c r="D1408" s="113" t="s">
        <v>1466</v>
      </c>
    </row>
    <row r="1409" spans="2:4" ht="15.75" thickBot="1" x14ac:dyDescent="0.3">
      <c r="B1409" s="114"/>
      <c r="C1409" s="114"/>
      <c r="D1409" s="114"/>
    </row>
    <row r="1426" spans="1:16" x14ac:dyDescent="0.25">
      <c r="B1426" s="106" t="s">
        <v>1281</v>
      </c>
      <c r="C1426" s="106"/>
      <c r="D1426" s="106"/>
      <c r="E1426" s="106"/>
      <c r="F1426" s="106"/>
      <c r="G1426" s="106"/>
      <c r="H1426" s="106"/>
      <c r="I1426" s="106"/>
      <c r="J1426" s="106"/>
      <c r="K1426" s="106"/>
      <c r="L1426" s="106"/>
      <c r="M1426" s="106"/>
      <c r="N1426" s="106"/>
      <c r="O1426" s="106"/>
      <c r="P1426" s="106"/>
    </row>
    <row r="1429" spans="1:16" x14ac:dyDescent="0.25">
      <c r="A1429">
        <v>1</v>
      </c>
      <c r="B1429" s="9" t="s">
        <v>1280</v>
      </c>
    </row>
    <row r="1430" spans="1:16" x14ac:dyDescent="0.25">
      <c r="A1430">
        <v>2</v>
      </c>
      <c r="B1430" s="9" t="s">
        <v>1279</v>
      </c>
    </row>
    <row r="1431" spans="1:16" x14ac:dyDescent="0.25">
      <c r="A1431">
        <v>3</v>
      </c>
      <c r="B1431" s="9" t="s">
        <v>1278</v>
      </c>
    </row>
    <row r="1432" spans="1:16" x14ac:dyDescent="0.25">
      <c r="A1432">
        <v>4</v>
      </c>
      <c r="B1432" s="9" t="s">
        <v>1277</v>
      </c>
    </row>
    <row r="1433" spans="1:16" x14ac:dyDescent="0.25">
      <c r="A1433">
        <v>5</v>
      </c>
      <c r="B1433" s="9" t="s">
        <v>1276</v>
      </c>
    </row>
    <row r="1434" spans="1:16" x14ac:dyDescent="0.25">
      <c r="A1434">
        <v>6</v>
      </c>
      <c r="B1434" s="9" t="s">
        <v>1275</v>
      </c>
    </row>
    <row r="1435" spans="1:16" x14ac:dyDescent="0.25">
      <c r="A1435">
        <v>7</v>
      </c>
      <c r="B1435" s="9" t="s">
        <v>1274</v>
      </c>
    </row>
    <row r="1436" spans="1:16" x14ac:dyDescent="0.25">
      <c r="A1436">
        <v>8</v>
      </c>
      <c r="B1436" s="9" t="s">
        <v>1273</v>
      </c>
    </row>
    <row r="1437" spans="1:16" x14ac:dyDescent="0.25">
      <c r="A1437">
        <v>9</v>
      </c>
      <c r="B1437" s="9" t="s">
        <v>1272</v>
      </c>
    </row>
    <row r="1438" spans="1:16" x14ac:dyDescent="0.25">
      <c r="A1438">
        <v>10</v>
      </c>
      <c r="B1438" s="9" t="s">
        <v>1271</v>
      </c>
    </row>
    <row r="1439" spans="1:16" x14ac:dyDescent="0.25">
      <c r="A1439">
        <v>11</v>
      </c>
      <c r="B1439" s="9" t="s">
        <v>1270</v>
      </c>
    </row>
    <row r="1440" spans="1:16" x14ac:dyDescent="0.25">
      <c r="A1440">
        <v>12</v>
      </c>
      <c r="B1440" s="9" t="s">
        <v>1269</v>
      </c>
    </row>
    <row r="1441" spans="1:2" x14ac:dyDescent="0.25">
      <c r="A1441">
        <v>13</v>
      </c>
      <c r="B1441" s="9" t="s">
        <v>1268</v>
      </c>
    </row>
    <row r="1442" spans="1:2" x14ac:dyDescent="0.25">
      <c r="A1442">
        <v>14</v>
      </c>
      <c r="B1442" s="9" t="s">
        <v>1267</v>
      </c>
    </row>
    <row r="1443" spans="1:2" x14ac:dyDescent="0.25">
      <c r="A1443">
        <v>15</v>
      </c>
      <c r="B1443" s="9" t="s">
        <v>1266</v>
      </c>
    </row>
    <row r="1444" spans="1:2" x14ac:dyDescent="0.25">
      <c r="A1444">
        <v>16</v>
      </c>
      <c r="B1444" s="9" t="s">
        <v>1265</v>
      </c>
    </row>
    <row r="1445" spans="1:2" x14ac:dyDescent="0.25">
      <c r="A1445">
        <v>17</v>
      </c>
      <c r="B1445" s="9" t="s">
        <v>1264</v>
      </c>
    </row>
    <row r="1446" spans="1:2" x14ac:dyDescent="0.25">
      <c r="A1446">
        <v>18</v>
      </c>
      <c r="B1446" s="9" t="s">
        <v>1263</v>
      </c>
    </row>
    <row r="1447" spans="1:2" x14ac:dyDescent="0.25">
      <c r="A1447">
        <v>19</v>
      </c>
      <c r="B1447" s="9" t="s">
        <v>1262</v>
      </c>
    </row>
    <row r="1448" spans="1:2" x14ac:dyDescent="0.25">
      <c r="A1448">
        <v>20</v>
      </c>
      <c r="B1448" s="9" t="s">
        <v>1261</v>
      </c>
    </row>
    <row r="1449" spans="1:2" x14ac:dyDescent="0.25">
      <c r="A1449">
        <v>21</v>
      </c>
      <c r="B1449" s="9" t="s">
        <v>1260</v>
      </c>
    </row>
    <row r="1450" spans="1:2" x14ac:dyDescent="0.25">
      <c r="A1450">
        <v>22</v>
      </c>
      <c r="B1450" s="9" t="s">
        <v>1259</v>
      </c>
    </row>
    <row r="1451" spans="1:2" x14ac:dyDescent="0.25">
      <c r="A1451">
        <v>23</v>
      </c>
      <c r="B1451" s="9" t="s">
        <v>1258</v>
      </c>
    </row>
    <row r="1452" spans="1:2" x14ac:dyDescent="0.25">
      <c r="A1452">
        <v>24</v>
      </c>
      <c r="B1452" s="9" t="s">
        <v>1257</v>
      </c>
    </row>
    <row r="1453" spans="1:2" x14ac:dyDescent="0.25">
      <c r="A1453">
        <v>25</v>
      </c>
      <c r="B1453" s="9" t="s">
        <v>1256</v>
      </c>
    </row>
    <row r="1454" spans="1:2" x14ac:dyDescent="0.25">
      <c r="A1454">
        <v>26</v>
      </c>
      <c r="B1454" s="9" t="s">
        <v>1255</v>
      </c>
    </row>
    <row r="1455" spans="1:2" x14ac:dyDescent="0.25">
      <c r="A1455">
        <v>27</v>
      </c>
      <c r="B1455" s="9" t="s">
        <v>1254</v>
      </c>
    </row>
    <row r="1456" spans="1:2" x14ac:dyDescent="0.25">
      <c r="A1456">
        <v>28</v>
      </c>
      <c r="B1456" s="9" t="s">
        <v>1253</v>
      </c>
    </row>
    <row r="1457" spans="1:2" x14ac:dyDescent="0.25">
      <c r="A1457">
        <v>29</v>
      </c>
      <c r="B1457" s="9" t="s">
        <v>1252</v>
      </c>
    </row>
    <row r="1458" spans="1:2" x14ac:dyDescent="0.25">
      <c r="A1458">
        <v>30</v>
      </c>
      <c r="B1458" s="9" t="s">
        <v>1251</v>
      </c>
    </row>
    <row r="1459" spans="1:2" x14ac:dyDescent="0.25">
      <c r="A1459">
        <v>31</v>
      </c>
      <c r="B1459" s="9" t="s">
        <v>1250</v>
      </c>
    </row>
    <row r="1460" spans="1:2" x14ac:dyDescent="0.25">
      <c r="A1460">
        <v>32</v>
      </c>
      <c r="B1460" s="9" t="s">
        <v>1249</v>
      </c>
    </row>
    <row r="1461" spans="1:2" x14ac:dyDescent="0.25">
      <c r="A1461">
        <v>33</v>
      </c>
      <c r="B1461" s="9" t="s">
        <v>1248</v>
      </c>
    </row>
    <row r="1462" spans="1:2" x14ac:dyDescent="0.25">
      <c r="A1462">
        <v>34</v>
      </c>
      <c r="B1462" s="9" t="s">
        <v>1247</v>
      </c>
    </row>
    <row r="1463" spans="1:2" x14ac:dyDescent="0.25">
      <c r="A1463">
        <v>35</v>
      </c>
      <c r="B1463" s="9" t="s">
        <v>1246</v>
      </c>
    </row>
    <row r="1464" spans="1:2" x14ac:dyDescent="0.25">
      <c r="A1464">
        <v>36</v>
      </c>
      <c r="B1464" s="9" t="s">
        <v>1245</v>
      </c>
    </row>
    <row r="1465" spans="1:2" x14ac:dyDescent="0.25">
      <c r="A1465">
        <v>37</v>
      </c>
      <c r="B1465" s="9" t="s">
        <v>1244</v>
      </c>
    </row>
    <row r="1466" spans="1:2" x14ac:dyDescent="0.25">
      <c r="A1466">
        <v>38</v>
      </c>
      <c r="B1466" s="9" t="s">
        <v>1243</v>
      </c>
    </row>
    <row r="1467" spans="1:2" x14ac:dyDescent="0.25">
      <c r="A1467">
        <v>39</v>
      </c>
      <c r="B1467" s="9" t="s">
        <v>1242</v>
      </c>
    </row>
    <row r="1468" spans="1:2" x14ac:dyDescent="0.25">
      <c r="A1468">
        <v>40</v>
      </c>
      <c r="B1468" s="9" t="s">
        <v>1241</v>
      </c>
    </row>
    <row r="1469" spans="1:2" x14ac:dyDescent="0.25">
      <c r="A1469">
        <v>41</v>
      </c>
      <c r="B1469" s="9" t="s">
        <v>1240</v>
      </c>
    </row>
    <row r="1470" spans="1:2" x14ac:dyDescent="0.25">
      <c r="A1470">
        <v>42</v>
      </c>
      <c r="B1470" s="9" t="s">
        <v>1239</v>
      </c>
    </row>
    <row r="1471" spans="1:2" x14ac:dyDescent="0.25">
      <c r="A1471">
        <v>43</v>
      </c>
      <c r="B1471" s="9" t="s">
        <v>1238</v>
      </c>
    </row>
    <row r="1472" spans="1:2" x14ac:dyDescent="0.25">
      <c r="A1472">
        <v>44</v>
      </c>
      <c r="B1472" s="9" t="s">
        <v>1237</v>
      </c>
    </row>
    <row r="1473" spans="1:2" x14ac:dyDescent="0.25">
      <c r="A1473">
        <v>45</v>
      </c>
      <c r="B1473" s="9" t="s">
        <v>1236</v>
      </c>
    </row>
    <row r="1474" spans="1:2" x14ac:dyDescent="0.25">
      <c r="A1474">
        <v>46</v>
      </c>
      <c r="B1474" s="9" t="s">
        <v>1235</v>
      </c>
    </row>
    <row r="1475" spans="1:2" x14ac:dyDescent="0.25">
      <c r="A1475">
        <v>47</v>
      </c>
      <c r="B1475" s="9" t="s">
        <v>1234</v>
      </c>
    </row>
    <row r="1476" spans="1:2" x14ac:dyDescent="0.25">
      <c r="A1476">
        <v>48</v>
      </c>
      <c r="B1476" s="9" t="s">
        <v>1233</v>
      </c>
    </row>
    <row r="1477" spans="1:2" x14ac:dyDescent="0.25">
      <c r="A1477">
        <v>49</v>
      </c>
      <c r="B1477" s="9" t="s">
        <v>1232</v>
      </c>
    </row>
    <row r="1478" spans="1:2" x14ac:dyDescent="0.25">
      <c r="A1478">
        <v>50</v>
      </c>
      <c r="B1478" s="9" t="s">
        <v>1231</v>
      </c>
    </row>
    <row r="1479" spans="1:2" x14ac:dyDescent="0.25">
      <c r="A1479">
        <v>51</v>
      </c>
      <c r="B1479" s="9" t="s">
        <v>1230</v>
      </c>
    </row>
    <row r="1480" spans="1:2" x14ac:dyDescent="0.25">
      <c r="A1480">
        <v>52</v>
      </c>
      <c r="B1480" s="9" t="s">
        <v>1229</v>
      </c>
    </row>
    <row r="1481" spans="1:2" x14ac:dyDescent="0.25">
      <c r="A1481">
        <v>53</v>
      </c>
      <c r="B1481" s="9" t="s">
        <v>1228</v>
      </c>
    </row>
    <row r="1482" spans="1:2" x14ac:dyDescent="0.25">
      <c r="A1482">
        <v>54</v>
      </c>
      <c r="B1482" s="9" t="s">
        <v>1227</v>
      </c>
    </row>
    <row r="1483" spans="1:2" x14ac:dyDescent="0.25">
      <c r="A1483">
        <v>55</v>
      </c>
      <c r="B1483" s="9" t="s">
        <v>1226</v>
      </c>
    </row>
    <row r="1484" spans="1:2" x14ac:dyDescent="0.25">
      <c r="A1484">
        <v>56</v>
      </c>
      <c r="B1484" s="9" t="s">
        <v>1225</v>
      </c>
    </row>
    <row r="1485" spans="1:2" x14ac:dyDescent="0.25">
      <c r="A1485">
        <v>57</v>
      </c>
      <c r="B1485" s="9" t="s">
        <v>1224</v>
      </c>
    </row>
    <row r="1486" spans="1:2" x14ac:dyDescent="0.25">
      <c r="A1486">
        <v>58</v>
      </c>
      <c r="B1486" s="9" t="s">
        <v>1223</v>
      </c>
    </row>
    <row r="1487" spans="1:2" x14ac:dyDescent="0.25">
      <c r="A1487">
        <v>59</v>
      </c>
      <c r="B1487" s="9" t="s">
        <v>1222</v>
      </c>
    </row>
    <row r="1488" spans="1:2" x14ac:dyDescent="0.25">
      <c r="A1488">
        <v>60</v>
      </c>
      <c r="B1488" s="9" t="s">
        <v>1221</v>
      </c>
    </row>
    <row r="1489" spans="1:2" x14ac:dyDescent="0.25">
      <c r="A1489">
        <v>61</v>
      </c>
      <c r="B1489" s="9" t="s">
        <v>1220</v>
      </c>
    </row>
    <row r="1490" spans="1:2" x14ac:dyDescent="0.25">
      <c r="A1490">
        <v>62</v>
      </c>
      <c r="B1490" s="9" t="s">
        <v>1220</v>
      </c>
    </row>
    <row r="1491" spans="1:2" x14ac:dyDescent="0.25">
      <c r="A1491">
        <v>63</v>
      </c>
      <c r="B1491" s="9" t="s">
        <v>1219</v>
      </c>
    </row>
    <row r="1492" spans="1:2" x14ac:dyDescent="0.25">
      <c r="A1492">
        <v>64</v>
      </c>
      <c r="B1492" s="9" t="s">
        <v>1218</v>
      </c>
    </row>
    <row r="1493" spans="1:2" x14ac:dyDescent="0.25">
      <c r="A1493">
        <v>65</v>
      </c>
      <c r="B1493" s="9" t="s">
        <v>1217</v>
      </c>
    </row>
    <row r="1494" spans="1:2" x14ac:dyDescent="0.25">
      <c r="A1494">
        <v>66</v>
      </c>
      <c r="B1494" s="9" t="s">
        <v>1216</v>
      </c>
    </row>
    <row r="1495" spans="1:2" x14ac:dyDescent="0.25">
      <c r="A1495">
        <v>67</v>
      </c>
      <c r="B1495" s="9" t="s">
        <v>1215</v>
      </c>
    </row>
    <row r="1496" spans="1:2" x14ac:dyDescent="0.25">
      <c r="A1496">
        <v>68</v>
      </c>
      <c r="B1496" s="9" t="s">
        <v>1214</v>
      </c>
    </row>
    <row r="1497" spans="1:2" x14ac:dyDescent="0.25">
      <c r="A1497">
        <v>69</v>
      </c>
      <c r="B1497" s="9" t="s">
        <v>1213</v>
      </c>
    </row>
    <row r="1498" spans="1:2" x14ac:dyDescent="0.25">
      <c r="A1498">
        <v>70</v>
      </c>
      <c r="B1498" s="9" t="s">
        <v>1212</v>
      </c>
    </row>
    <row r="1499" spans="1:2" x14ac:dyDescent="0.25">
      <c r="A1499">
        <v>71</v>
      </c>
      <c r="B1499" s="9" t="s">
        <v>1211</v>
      </c>
    </row>
    <row r="1500" spans="1:2" x14ac:dyDescent="0.25">
      <c r="A1500">
        <v>72</v>
      </c>
      <c r="B1500" s="9" t="s">
        <v>1210</v>
      </c>
    </row>
    <row r="1501" spans="1:2" x14ac:dyDescent="0.25">
      <c r="A1501">
        <v>73</v>
      </c>
      <c r="B1501" s="9" t="s">
        <v>1209</v>
      </c>
    </row>
    <row r="1502" spans="1:2" x14ac:dyDescent="0.25">
      <c r="A1502">
        <v>74</v>
      </c>
      <c r="B1502" s="9" t="s">
        <v>1208</v>
      </c>
    </row>
    <row r="1503" spans="1:2" x14ac:dyDescent="0.25">
      <c r="A1503">
        <v>75</v>
      </c>
      <c r="B1503" s="9" t="s">
        <v>1207</v>
      </c>
    </row>
    <row r="1504" spans="1:2" x14ac:dyDescent="0.25">
      <c r="A1504">
        <v>76</v>
      </c>
      <c r="B1504" s="9" t="s">
        <v>1206</v>
      </c>
    </row>
    <row r="1505" spans="1:2" x14ac:dyDescent="0.25">
      <c r="A1505">
        <v>77</v>
      </c>
      <c r="B1505" s="9" t="s">
        <v>1205</v>
      </c>
    </row>
    <row r="1506" spans="1:2" x14ac:dyDescent="0.25">
      <c r="A1506">
        <v>78</v>
      </c>
      <c r="B1506" s="9" t="s">
        <v>1204</v>
      </c>
    </row>
    <row r="1507" spans="1:2" x14ac:dyDescent="0.25">
      <c r="A1507">
        <v>79</v>
      </c>
      <c r="B1507" s="9" t="s">
        <v>1203</v>
      </c>
    </row>
    <row r="1508" spans="1:2" x14ac:dyDescent="0.25">
      <c r="A1508">
        <v>80</v>
      </c>
      <c r="B1508" s="9" t="s">
        <v>1202</v>
      </c>
    </row>
    <row r="1509" spans="1:2" x14ac:dyDescent="0.25">
      <c r="A1509">
        <v>81</v>
      </c>
      <c r="B1509" s="9" t="s">
        <v>1201</v>
      </c>
    </row>
    <row r="1510" spans="1:2" x14ac:dyDescent="0.25">
      <c r="A1510">
        <v>82</v>
      </c>
      <c r="B1510" s="9" t="s">
        <v>1200</v>
      </c>
    </row>
    <row r="1511" spans="1:2" x14ac:dyDescent="0.25">
      <c r="A1511">
        <v>83</v>
      </c>
      <c r="B1511" s="9" t="s">
        <v>1199</v>
      </c>
    </row>
    <row r="1512" spans="1:2" x14ac:dyDescent="0.25">
      <c r="A1512">
        <v>84</v>
      </c>
      <c r="B1512" s="9" t="s">
        <v>1198</v>
      </c>
    </row>
    <row r="1513" spans="1:2" x14ac:dyDescent="0.25">
      <c r="A1513">
        <v>85</v>
      </c>
      <c r="B1513" s="9" t="s">
        <v>1197</v>
      </c>
    </row>
    <row r="1514" spans="1:2" x14ac:dyDescent="0.25">
      <c r="A1514">
        <v>86</v>
      </c>
      <c r="B1514" s="9" t="s">
        <v>1196</v>
      </c>
    </row>
    <row r="1515" spans="1:2" x14ac:dyDescent="0.25">
      <c r="A1515">
        <v>87</v>
      </c>
      <c r="B1515" s="9" t="s">
        <v>1195</v>
      </c>
    </row>
    <row r="1516" spans="1:2" x14ac:dyDescent="0.25">
      <c r="A1516">
        <v>88</v>
      </c>
      <c r="B1516" s="9" t="s">
        <v>1194</v>
      </c>
    </row>
    <row r="1517" spans="1:2" x14ac:dyDescent="0.25">
      <c r="A1517">
        <v>89</v>
      </c>
      <c r="B1517" s="9" t="s">
        <v>1193</v>
      </c>
    </row>
    <row r="1518" spans="1:2" x14ac:dyDescent="0.25">
      <c r="A1518">
        <v>90</v>
      </c>
      <c r="B1518" s="9" t="s">
        <v>1192</v>
      </c>
    </row>
    <row r="1519" spans="1:2" x14ac:dyDescent="0.25">
      <c r="A1519">
        <v>91</v>
      </c>
      <c r="B1519" s="9" t="s">
        <v>1191</v>
      </c>
    </row>
    <row r="1520" spans="1:2" x14ac:dyDescent="0.25">
      <c r="A1520">
        <v>92</v>
      </c>
      <c r="B1520" s="9" t="s">
        <v>1190</v>
      </c>
    </row>
    <row r="1521" spans="1:2" x14ac:dyDescent="0.25">
      <c r="A1521">
        <v>93</v>
      </c>
      <c r="B1521" s="9" t="s">
        <v>1189</v>
      </c>
    </row>
    <row r="1522" spans="1:2" x14ac:dyDescent="0.25">
      <c r="A1522">
        <v>94</v>
      </c>
      <c r="B1522" s="9" t="s">
        <v>1188</v>
      </c>
    </row>
    <row r="1523" spans="1:2" x14ac:dyDescent="0.25">
      <c r="A1523">
        <v>95</v>
      </c>
      <c r="B1523" s="9" t="s">
        <v>1187</v>
      </c>
    </row>
    <row r="1524" spans="1:2" x14ac:dyDescent="0.25">
      <c r="A1524">
        <v>96</v>
      </c>
      <c r="B1524" s="9" t="s">
        <v>1186</v>
      </c>
    </row>
    <row r="1525" spans="1:2" x14ac:dyDescent="0.25">
      <c r="A1525">
        <v>97</v>
      </c>
      <c r="B1525" s="9" t="s">
        <v>1185</v>
      </c>
    </row>
    <row r="1526" spans="1:2" x14ac:dyDescent="0.25">
      <c r="A1526">
        <v>98</v>
      </c>
      <c r="B1526" s="9" t="s">
        <v>1184</v>
      </c>
    </row>
    <row r="1527" spans="1:2" x14ac:dyDescent="0.25">
      <c r="A1527">
        <v>99</v>
      </c>
      <c r="B1527" s="9" t="s">
        <v>1183</v>
      </c>
    </row>
    <row r="1528" spans="1:2" x14ac:dyDescent="0.25">
      <c r="A1528">
        <v>100</v>
      </c>
      <c r="B1528" s="9" t="s">
        <v>1182</v>
      </c>
    </row>
    <row r="1529" spans="1:2" x14ac:dyDescent="0.25">
      <c r="A1529">
        <v>101</v>
      </c>
      <c r="B1529" s="9" t="s">
        <v>1181</v>
      </c>
    </row>
    <row r="1530" spans="1:2" x14ac:dyDescent="0.25">
      <c r="A1530">
        <v>102</v>
      </c>
      <c r="B1530" s="9" t="s">
        <v>1180</v>
      </c>
    </row>
    <row r="1531" spans="1:2" x14ac:dyDescent="0.25">
      <c r="A1531">
        <v>103</v>
      </c>
      <c r="B1531" s="9" t="s">
        <v>1179</v>
      </c>
    </row>
    <row r="1532" spans="1:2" x14ac:dyDescent="0.25">
      <c r="A1532">
        <v>104</v>
      </c>
      <c r="B1532" s="9" t="s">
        <v>1178</v>
      </c>
    </row>
    <row r="1533" spans="1:2" x14ac:dyDescent="0.25">
      <c r="A1533">
        <v>105</v>
      </c>
      <c r="B1533" s="9" t="s">
        <v>1177</v>
      </c>
    </row>
    <row r="1534" spans="1:2" x14ac:dyDescent="0.25">
      <c r="A1534">
        <v>106</v>
      </c>
      <c r="B1534" s="9" t="s">
        <v>1176</v>
      </c>
    </row>
    <row r="1535" spans="1:2" x14ac:dyDescent="0.25">
      <c r="A1535">
        <v>107</v>
      </c>
      <c r="B1535" s="9" t="s">
        <v>1175</v>
      </c>
    </row>
    <row r="1536" spans="1:2" x14ac:dyDescent="0.25">
      <c r="A1536">
        <v>108</v>
      </c>
      <c r="B1536" s="9" t="s">
        <v>1174</v>
      </c>
    </row>
    <row r="1537" spans="1:2" x14ac:dyDescent="0.25">
      <c r="A1537">
        <v>109</v>
      </c>
      <c r="B1537" s="9" t="s">
        <v>1173</v>
      </c>
    </row>
    <row r="1538" spans="1:2" x14ac:dyDescent="0.25">
      <c r="A1538">
        <v>110</v>
      </c>
      <c r="B1538" s="9" t="s">
        <v>1172</v>
      </c>
    </row>
    <row r="1539" spans="1:2" x14ac:dyDescent="0.25">
      <c r="A1539">
        <v>111</v>
      </c>
      <c r="B1539" s="9" t="s">
        <v>1171</v>
      </c>
    </row>
    <row r="1540" spans="1:2" x14ac:dyDescent="0.25">
      <c r="A1540">
        <v>112</v>
      </c>
      <c r="B1540" s="9" t="s">
        <v>1170</v>
      </c>
    </row>
    <row r="1541" spans="1:2" x14ac:dyDescent="0.25">
      <c r="A1541">
        <v>113</v>
      </c>
      <c r="B1541" s="9" t="s">
        <v>1169</v>
      </c>
    </row>
    <row r="1542" spans="1:2" x14ac:dyDescent="0.25">
      <c r="A1542">
        <v>114</v>
      </c>
      <c r="B1542" s="9" t="s">
        <v>1168</v>
      </c>
    </row>
    <row r="1543" spans="1:2" x14ac:dyDescent="0.25">
      <c r="A1543">
        <v>115</v>
      </c>
      <c r="B1543" s="9" t="s">
        <v>1167</v>
      </c>
    </row>
    <row r="1544" spans="1:2" x14ac:dyDescent="0.25">
      <c r="A1544">
        <v>116</v>
      </c>
      <c r="B1544" s="9" t="s">
        <v>1166</v>
      </c>
    </row>
    <row r="1545" spans="1:2" x14ac:dyDescent="0.25">
      <c r="A1545">
        <v>117</v>
      </c>
      <c r="B1545" s="9" t="s">
        <v>1165</v>
      </c>
    </row>
    <row r="1546" spans="1:2" x14ac:dyDescent="0.25">
      <c r="A1546">
        <v>118</v>
      </c>
      <c r="B1546" s="9" t="s">
        <v>1164</v>
      </c>
    </row>
    <row r="1547" spans="1:2" x14ac:dyDescent="0.25">
      <c r="A1547">
        <v>119</v>
      </c>
      <c r="B1547" s="9" t="s">
        <v>1163</v>
      </c>
    </row>
    <row r="1548" spans="1:2" x14ac:dyDescent="0.25">
      <c r="A1548">
        <v>120</v>
      </c>
      <c r="B1548" s="9" t="s">
        <v>1162</v>
      </c>
    </row>
    <row r="1549" spans="1:2" x14ac:dyDescent="0.25">
      <c r="A1549">
        <v>121</v>
      </c>
      <c r="B1549" s="9" t="s">
        <v>1161</v>
      </c>
    </row>
    <row r="1550" spans="1:2" x14ac:dyDescent="0.25">
      <c r="A1550">
        <v>122</v>
      </c>
      <c r="B1550" s="9" t="s">
        <v>1160</v>
      </c>
    </row>
    <row r="1551" spans="1:2" x14ac:dyDescent="0.25">
      <c r="A1551">
        <v>123</v>
      </c>
      <c r="B1551" s="9" t="s">
        <v>1159</v>
      </c>
    </row>
    <row r="1552" spans="1:2" x14ac:dyDescent="0.25">
      <c r="A1552">
        <v>124</v>
      </c>
      <c r="B1552" s="9" t="s">
        <v>1158</v>
      </c>
    </row>
    <row r="1553" spans="1:2" x14ac:dyDescent="0.25">
      <c r="A1553">
        <v>125</v>
      </c>
      <c r="B1553" s="9" t="s">
        <v>1157</v>
      </c>
    </row>
    <row r="1554" spans="1:2" x14ac:dyDescent="0.25">
      <c r="A1554">
        <v>126</v>
      </c>
      <c r="B1554" s="9" t="s">
        <v>1156</v>
      </c>
    </row>
    <row r="1555" spans="1:2" x14ac:dyDescent="0.25">
      <c r="A1555">
        <v>127</v>
      </c>
      <c r="B1555" s="9" t="s">
        <v>1155</v>
      </c>
    </row>
    <row r="1556" spans="1:2" x14ac:dyDescent="0.25">
      <c r="A1556">
        <v>128</v>
      </c>
      <c r="B1556" s="9" t="s">
        <v>1154</v>
      </c>
    </row>
    <row r="1557" spans="1:2" x14ac:dyDescent="0.25">
      <c r="A1557">
        <v>129</v>
      </c>
      <c r="B1557" s="9" t="s">
        <v>1153</v>
      </c>
    </row>
    <row r="1558" spans="1:2" x14ac:dyDescent="0.25">
      <c r="A1558">
        <v>130</v>
      </c>
      <c r="B1558" s="9" t="s">
        <v>1152</v>
      </c>
    </row>
    <row r="1559" spans="1:2" x14ac:dyDescent="0.25">
      <c r="A1559">
        <v>131</v>
      </c>
      <c r="B1559" s="9" t="s">
        <v>1151</v>
      </c>
    </row>
    <row r="1560" spans="1:2" x14ac:dyDescent="0.25">
      <c r="A1560">
        <v>132</v>
      </c>
      <c r="B1560" s="9" t="s">
        <v>1150</v>
      </c>
    </row>
    <row r="1561" spans="1:2" x14ac:dyDescent="0.25">
      <c r="A1561">
        <v>133</v>
      </c>
      <c r="B1561" s="9" t="s">
        <v>1149</v>
      </c>
    </row>
    <row r="1562" spans="1:2" x14ac:dyDescent="0.25">
      <c r="A1562">
        <v>134</v>
      </c>
      <c r="B1562" s="9" t="s">
        <v>1148</v>
      </c>
    </row>
    <row r="1563" spans="1:2" x14ac:dyDescent="0.25">
      <c r="A1563">
        <v>135</v>
      </c>
      <c r="B1563" s="9" t="s">
        <v>1147</v>
      </c>
    </row>
    <row r="1564" spans="1:2" x14ac:dyDescent="0.25">
      <c r="A1564">
        <v>136</v>
      </c>
      <c r="B1564" s="9" t="s">
        <v>1146</v>
      </c>
    </row>
    <row r="1565" spans="1:2" x14ac:dyDescent="0.25">
      <c r="A1565">
        <v>137</v>
      </c>
      <c r="B1565" s="9" t="s">
        <v>1145</v>
      </c>
    </row>
    <row r="1566" spans="1:2" x14ac:dyDescent="0.25">
      <c r="A1566">
        <v>138</v>
      </c>
      <c r="B1566" s="9" t="s">
        <v>1144</v>
      </c>
    </row>
    <row r="1567" spans="1:2" x14ac:dyDescent="0.25">
      <c r="A1567">
        <v>139</v>
      </c>
      <c r="B1567" s="9" t="s">
        <v>1143</v>
      </c>
    </row>
    <row r="1568" spans="1:2" x14ac:dyDescent="0.25">
      <c r="A1568">
        <v>140</v>
      </c>
      <c r="B1568" s="9" t="s">
        <v>1142</v>
      </c>
    </row>
    <row r="1569" spans="1:2" x14ac:dyDescent="0.25">
      <c r="A1569">
        <v>141</v>
      </c>
      <c r="B1569" s="9" t="s">
        <v>1141</v>
      </c>
    </row>
    <row r="1570" spans="1:2" x14ac:dyDescent="0.25">
      <c r="A1570">
        <v>142</v>
      </c>
      <c r="B1570" s="9" t="s">
        <v>1140</v>
      </c>
    </row>
    <row r="1571" spans="1:2" x14ac:dyDescent="0.25">
      <c r="A1571">
        <v>143</v>
      </c>
      <c r="B1571" s="9" t="s">
        <v>1139</v>
      </c>
    </row>
    <row r="1572" spans="1:2" x14ac:dyDescent="0.25">
      <c r="A1572">
        <v>144</v>
      </c>
      <c r="B1572" s="9" t="s">
        <v>1138</v>
      </c>
    </row>
    <row r="1573" spans="1:2" x14ac:dyDescent="0.25">
      <c r="A1573">
        <v>145</v>
      </c>
      <c r="B1573" s="9" t="s">
        <v>1137</v>
      </c>
    </row>
    <row r="1574" spans="1:2" x14ac:dyDescent="0.25">
      <c r="A1574">
        <v>146</v>
      </c>
      <c r="B1574" s="9" t="s">
        <v>1136</v>
      </c>
    </row>
    <row r="1575" spans="1:2" x14ac:dyDescent="0.25">
      <c r="A1575">
        <v>147</v>
      </c>
      <c r="B1575" s="9" t="s">
        <v>1135</v>
      </c>
    </row>
    <row r="1576" spans="1:2" x14ac:dyDescent="0.25">
      <c r="A1576">
        <v>148</v>
      </c>
      <c r="B1576" s="9" t="s">
        <v>1134</v>
      </c>
    </row>
    <row r="1577" spans="1:2" x14ac:dyDescent="0.25">
      <c r="A1577">
        <v>149</v>
      </c>
      <c r="B1577" s="9" t="s">
        <v>1133</v>
      </c>
    </row>
    <row r="1578" spans="1:2" x14ac:dyDescent="0.25">
      <c r="A1578">
        <v>150</v>
      </c>
      <c r="B1578" s="9" t="s">
        <v>1132</v>
      </c>
    </row>
    <row r="1579" spans="1:2" x14ac:dyDescent="0.25">
      <c r="A1579">
        <v>151</v>
      </c>
      <c r="B1579" s="9" t="s">
        <v>1131</v>
      </c>
    </row>
    <row r="1580" spans="1:2" x14ac:dyDescent="0.25">
      <c r="A1580">
        <v>152</v>
      </c>
      <c r="B1580" s="9" t="s">
        <v>1130</v>
      </c>
    </row>
    <row r="1581" spans="1:2" x14ac:dyDescent="0.25">
      <c r="A1581">
        <v>153</v>
      </c>
      <c r="B1581" s="9" t="s">
        <v>1129</v>
      </c>
    </row>
    <row r="1582" spans="1:2" x14ac:dyDescent="0.25">
      <c r="A1582">
        <v>154</v>
      </c>
      <c r="B1582" s="9" t="s">
        <v>1128</v>
      </c>
    </row>
    <row r="1583" spans="1:2" x14ac:dyDescent="0.25">
      <c r="A1583">
        <v>155</v>
      </c>
      <c r="B1583" s="9" t="s">
        <v>1127</v>
      </c>
    </row>
    <row r="1584" spans="1:2" x14ac:dyDescent="0.25">
      <c r="A1584">
        <v>156</v>
      </c>
      <c r="B1584" s="9" t="s">
        <v>1126</v>
      </c>
    </row>
    <row r="1585" spans="1:2" x14ac:dyDescent="0.25">
      <c r="A1585">
        <v>157</v>
      </c>
      <c r="B1585" s="9" t="s">
        <v>1125</v>
      </c>
    </row>
    <row r="1586" spans="1:2" x14ac:dyDescent="0.25">
      <c r="A1586">
        <v>158</v>
      </c>
      <c r="B1586" s="9" t="s">
        <v>1124</v>
      </c>
    </row>
    <row r="1587" spans="1:2" x14ac:dyDescent="0.25">
      <c r="A1587">
        <v>159</v>
      </c>
      <c r="B1587" s="9" t="s">
        <v>1123</v>
      </c>
    </row>
    <row r="1588" spans="1:2" x14ac:dyDescent="0.25">
      <c r="A1588">
        <v>160</v>
      </c>
      <c r="B1588" s="9" t="s">
        <v>1122</v>
      </c>
    </row>
    <row r="1589" spans="1:2" x14ac:dyDescent="0.25">
      <c r="A1589">
        <v>161</v>
      </c>
      <c r="B1589" s="9" t="s">
        <v>1121</v>
      </c>
    </row>
    <row r="1590" spans="1:2" x14ac:dyDescent="0.25">
      <c r="A1590">
        <v>162</v>
      </c>
      <c r="B1590" s="9" t="s">
        <v>1120</v>
      </c>
    </row>
    <row r="1591" spans="1:2" x14ac:dyDescent="0.25">
      <c r="A1591">
        <v>163</v>
      </c>
      <c r="B1591" s="9" t="s">
        <v>1119</v>
      </c>
    </row>
    <row r="1592" spans="1:2" x14ac:dyDescent="0.25">
      <c r="A1592">
        <v>164</v>
      </c>
      <c r="B1592" s="9" t="s">
        <v>1118</v>
      </c>
    </row>
    <row r="1593" spans="1:2" x14ac:dyDescent="0.25">
      <c r="A1593">
        <v>165</v>
      </c>
      <c r="B1593" s="9" t="s">
        <v>1117</v>
      </c>
    </row>
    <row r="1594" spans="1:2" x14ac:dyDescent="0.25">
      <c r="A1594">
        <v>166</v>
      </c>
      <c r="B1594" s="9" t="s">
        <v>1116</v>
      </c>
    </row>
    <row r="1595" spans="1:2" x14ac:dyDescent="0.25">
      <c r="A1595">
        <v>167</v>
      </c>
      <c r="B1595" s="9" t="s">
        <v>1115</v>
      </c>
    </row>
    <row r="1596" spans="1:2" x14ac:dyDescent="0.25">
      <c r="A1596">
        <v>168</v>
      </c>
      <c r="B1596" s="9" t="s">
        <v>1114</v>
      </c>
    </row>
    <row r="1597" spans="1:2" x14ac:dyDescent="0.25">
      <c r="A1597">
        <v>169</v>
      </c>
      <c r="B1597" s="9" t="s">
        <v>1113</v>
      </c>
    </row>
    <row r="1598" spans="1:2" x14ac:dyDescent="0.25">
      <c r="A1598">
        <v>170</v>
      </c>
      <c r="B1598" s="9" t="s">
        <v>1112</v>
      </c>
    </row>
    <row r="1599" spans="1:2" x14ac:dyDescent="0.25">
      <c r="A1599">
        <v>171</v>
      </c>
      <c r="B1599" s="9" t="s">
        <v>1111</v>
      </c>
    </row>
    <row r="1600" spans="1:2" x14ac:dyDescent="0.25">
      <c r="A1600">
        <v>172</v>
      </c>
      <c r="B1600" s="9" t="s">
        <v>1110</v>
      </c>
    </row>
    <row r="1601" spans="1:2" x14ac:dyDescent="0.25">
      <c r="A1601">
        <v>173</v>
      </c>
      <c r="B1601" s="9" t="s">
        <v>1109</v>
      </c>
    </row>
    <row r="1602" spans="1:2" x14ac:dyDescent="0.25">
      <c r="A1602">
        <v>174</v>
      </c>
      <c r="B1602" s="9" t="s">
        <v>1108</v>
      </c>
    </row>
    <row r="1603" spans="1:2" x14ac:dyDescent="0.25">
      <c r="A1603">
        <v>175</v>
      </c>
      <c r="B1603" s="9" t="s">
        <v>1107</v>
      </c>
    </row>
    <row r="1604" spans="1:2" x14ac:dyDescent="0.25">
      <c r="A1604">
        <v>176</v>
      </c>
      <c r="B1604" s="9" t="s">
        <v>1106</v>
      </c>
    </row>
    <row r="1605" spans="1:2" x14ac:dyDescent="0.25">
      <c r="A1605">
        <v>177</v>
      </c>
      <c r="B1605" s="9" t="s">
        <v>1105</v>
      </c>
    </row>
    <row r="1606" spans="1:2" x14ac:dyDescent="0.25">
      <c r="A1606">
        <v>178</v>
      </c>
      <c r="B1606" s="9" t="s">
        <v>1104</v>
      </c>
    </row>
    <row r="1607" spans="1:2" x14ac:dyDescent="0.25">
      <c r="A1607">
        <v>179</v>
      </c>
      <c r="B1607" s="9" t="s">
        <v>1103</v>
      </c>
    </row>
    <row r="1608" spans="1:2" x14ac:dyDescent="0.25">
      <c r="A1608">
        <v>180</v>
      </c>
      <c r="B1608" s="9" t="s">
        <v>1102</v>
      </c>
    </row>
    <row r="1609" spans="1:2" x14ac:dyDescent="0.25">
      <c r="A1609">
        <v>181</v>
      </c>
      <c r="B1609" s="9" t="s">
        <v>1101</v>
      </c>
    </row>
    <row r="1610" spans="1:2" x14ac:dyDescent="0.25">
      <c r="A1610">
        <v>182</v>
      </c>
      <c r="B1610" s="9" t="s">
        <v>1100</v>
      </c>
    </row>
    <row r="1611" spans="1:2" x14ac:dyDescent="0.25">
      <c r="A1611">
        <v>183</v>
      </c>
      <c r="B1611" s="9" t="s">
        <v>1099</v>
      </c>
    </row>
    <row r="1612" spans="1:2" x14ac:dyDescent="0.25">
      <c r="A1612">
        <v>184</v>
      </c>
      <c r="B1612" s="9" t="s">
        <v>1098</v>
      </c>
    </row>
    <row r="1613" spans="1:2" x14ac:dyDescent="0.25">
      <c r="A1613">
        <v>185</v>
      </c>
      <c r="B1613" s="9" t="s">
        <v>1097</v>
      </c>
    </row>
    <row r="1614" spans="1:2" x14ac:dyDescent="0.25">
      <c r="A1614">
        <v>186</v>
      </c>
      <c r="B1614" s="9" t="s">
        <v>1096</v>
      </c>
    </row>
    <row r="1615" spans="1:2" x14ac:dyDescent="0.25">
      <c r="A1615">
        <v>187</v>
      </c>
      <c r="B1615" s="9" t="s">
        <v>1095</v>
      </c>
    </row>
    <row r="1616" spans="1:2" x14ac:dyDescent="0.25">
      <c r="A1616">
        <v>188</v>
      </c>
      <c r="B1616" s="9" t="s">
        <v>1094</v>
      </c>
    </row>
    <row r="1617" spans="1:2" x14ac:dyDescent="0.25">
      <c r="A1617">
        <v>189</v>
      </c>
      <c r="B1617" s="9" t="s">
        <v>1093</v>
      </c>
    </row>
    <row r="1618" spans="1:2" x14ac:dyDescent="0.25">
      <c r="A1618">
        <v>190</v>
      </c>
      <c r="B1618" s="9" t="s">
        <v>1092</v>
      </c>
    </row>
    <row r="1619" spans="1:2" x14ac:dyDescent="0.25">
      <c r="A1619">
        <v>191</v>
      </c>
      <c r="B1619" s="9" t="s">
        <v>1091</v>
      </c>
    </row>
    <row r="1620" spans="1:2" x14ac:dyDescent="0.25">
      <c r="A1620">
        <v>192</v>
      </c>
      <c r="B1620" s="9" t="s">
        <v>1090</v>
      </c>
    </row>
    <row r="1621" spans="1:2" x14ac:dyDescent="0.25">
      <c r="A1621">
        <v>193</v>
      </c>
      <c r="B1621" s="9" t="s">
        <v>1089</v>
      </c>
    </row>
    <row r="1622" spans="1:2" x14ac:dyDescent="0.25">
      <c r="A1622">
        <v>194</v>
      </c>
      <c r="B1622" s="9" t="s">
        <v>1088</v>
      </c>
    </row>
    <row r="1623" spans="1:2" x14ac:dyDescent="0.25">
      <c r="A1623">
        <v>195</v>
      </c>
      <c r="B1623" s="9" t="s">
        <v>1087</v>
      </c>
    </row>
    <row r="1624" spans="1:2" x14ac:dyDescent="0.25">
      <c r="A1624">
        <v>196</v>
      </c>
      <c r="B1624" s="9" t="s">
        <v>1086</v>
      </c>
    </row>
    <row r="1625" spans="1:2" x14ac:dyDescent="0.25">
      <c r="A1625">
        <v>197</v>
      </c>
      <c r="B1625" s="9" t="s">
        <v>1085</v>
      </c>
    </row>
    <row r="1626" spans="1:2" x14ac:dyDescent="0.25">
      <c r="A1626">
        <v>198</v>
      </c>
      <c r="B1626" s="9" t="s">
        <v>1084</v>
      </c>
    </row>
    <row r="1627" spans="1:2" x14ac:dyDescent="0.25">
      <c r="A1627">
        <v>199</v>
      </c>
      <c r="B1627" s="9" t="s">
        <v>1083</v>
      </c>
    </row>
    <row r="1628" spans="1:2" x14ac:dyDescent="0.25">
      <c r="A1628">
        <v>200</v>
      </c>
      <c r="B1628" s="9" t="s">
        <v>1082</v>
      </c>
    </row>
    <row r="1629" spans="1:2" x14ac:dyDescent="0.25">
      <c r="A1629">
        <v>201</v>
      </c>
      <c r="B1629" s="9" t="s">
        <v>1081</v>
      </c>
    </row>
    <row r="1630" spans="1:2" x14ac:dyDescent="0.25">
      <c r="A1630">
        <v>202</v>
      </c>
      <c r="B1630" s="9" t="s">
        <v>1080</v>
      </c>
    </row>
    <row r="1631" spans="1:2" x14ac:dyDescent="0.25">
      <c r="A1631">
        <v>203</v>
      </c>
      <c r="B1631" s="9" t="s">
        <v>1079</v>
      </c>
    </row>
    <row r="1632" spans="1:2" x14ac:dyDescent="0.25">
      <c r="A1632">
        <v>204</v>
      </c>
      <c r="B1632" s="9" t="s">
        <v>1078</v>
      </c>
    </row>
    <row r="1633" spans="1:2" x14ac:dyDescent="0.25">
      <c r="A1633">
        <v>205</v>
      </c>
      <c r="B1633" s="9" t="s">
        <v>1077</v>
      </c>
    </row>
    <row r="1634" spans="1:2" x14ac:dyDescent="0.25">
      <c r="A1634">
        <v>206</v>
      </c>
      <c r="B1634" s="9" t="s">
        <v>1076</v>
      </c>
    </row>
    <row r="1635" spans="1:2" x14ac:dyDescent="0.25">
      <c r="A1635">
        <v>207</v>
      </c>
      <c r="B1635" s="9" t="s">
        <v>1075</v>
      </c>
    </row>
    <row r="1636" spans="1:2" x14ac:dyDescent="0.25">
      <c r="A1636">
        <v>208</v>
      </c>
      <c r="B1636" s="9" t="s">
        <v>1074</v>
      </c>
    </row>
    <row r="1637" spans="1:2" x14ac:dyDescent="0.25">
      <c r="A1637">
        <v>209</v>
      </c>
      <c r="B1637" s="9" t="s">
        <v>1073</v>
      </c>
    </row>
    <row r="1638" spans="1:2" x14ac:dyDescent="0.25">
      <c r="A1638">
        <v>210</v>
      </c>
      <c r="B1638" s="9" t="s">
        <v>1072</v>
      </c>
    </row>
    <row r="1639" spans="1:2" x14ac:dyDescent="0.25">
      <c r="A1639">
        <v>211</v>
      </c>
      <c r="B1639" s="9" t="s">
        <v>1071</v>
      </c>
    </row>
    <row r="1640" spans="1:2" x14ac:dyDescent="0.25">
      <c r="A1640">
        <v>212</v>
      </c>
      <c r="B1640" s="9" t="s">
        <v>1070</v>
      </c>
    </row>
    <row r="1641" spans="1:2" x14ac:dyDescent="0.25">
      <c r="A1641">
        <v>213</v>
      </c>
      <c r="B1641" s="9" t="s">
        <v>1069</v>
      </c>
    </row>
    <row r="1642" spans="1:2" x14ac:dyDescent="0.25">
      <c r="A1642">
        <v>214</v>
      </c>
      <c r="B1642" s="9" t="s">
        <v>1068</v>
      </c>
    </row>
    <row r="1643" spans="1:2" x14ac:dyDescent="0.25">
      <c r="A1643">
        <v>215</v>
      </c>
      <c r="B1643" s="9" t="s">
        <v>1067</v>
      </c>
    </row>
    <row r="1644" spans="1:2" x14ac:dyDescent="0.25">
      <c r="A1644">
        <v>216</v>
      </c>
      <c r="B1644" s="9" t="s">
        <v>1066</v>
      </c>
    </row>
    <row r="1645" spans="1:2" x14ac:dyDescent="0.25">
      <c r="A1645">
        <v>217</v>
      </c>
      <c r="B1645" s="9" t="s">
        <v>1065</v>
      </c>
    </row>
    <row r="1646" spans="1:2" x14ac:dyDescent="0.25">
      <c r="A1646">
        <v>218</v>
      </c>
      <c r="B1646" s="9" t="s">
        <v>1064</v>
      </c>
    </row>
    <row r="1647" spans="1:2" x14ac:dyDescent="0.25">
      <c r="A1647">
        <v>219</v>
      </c>
      <c r="B1647" s="9" t="s">
        <v>1063</v>
      </c>
    </row>
    <row r="1648" spans="1:2" x14ac:dyDescent="0.25">
      <c r="A1648">
        <v>220</v>
      </c>
      <c r="B1648" s="9" t="s">
        <v>1062</v>
      </c>
    </row>
    <row r="1649" spans="1:2" x14ac:dyDescent="0.25">
      <c r="A1649">
        <v>221</v>
      </c>
      <c r="B1649" s="9" t="s">
        <v>1061</v>
      </c>
    </row>
    <row r="1650" spans="1:2" x14ac:dyDescent="0.25">
      <c r="A1650">
        <v>222</v>
      </c>
      <c r="B1650" s="9" t="s">
        <v>1060</v>
      </c>
    </row>
    <row r="1651" spans="1:2" x14ac:dyDescent="0.25">
      <c r="A1651">
        <v>223</v>
      </c>
      <c r="B1651" s="9" t="s">
        <v>1059</v>
      </c>
    </row>
    <row r="1652" spans="1:2" x14ac:dyDescent="0.25">
      <c r="A1652">
        <v>224</v>
      </c>
      <c r="B1652" s="9" t="s">
        <v>1058</v>
      </c>
    </row>
    <row r="1653" spans="1:2" x14ac:dyDescent="0.25">
      <c r="A1653">
        <v>225</v>
      </c>
      <c r="B1653" s="9" t="s">
        <v>1057</v>
      </c>
    </row>
    <row r="1654" spans="1:2" x14ac:dyDescent="0.25">
      <c r="A1654">
        <v>226</v>
      </c>
      <c r="B1654" s="9" t="s">
        <v>1056</v>
      </c>
    </row>
    <row r="1655" spans="1:2" x14ac:dyDescent="0.25">
      <c r="A1655">
        <v>227</v>
      </c>
      <c r="B1655" s="9" t="s">
        <v>1055</v>
      </c>
    </row>
    <row r="1656" spans="1:2" x14ac:dyDescent="0.25">
      <c r="A1656">
        <v>228</v>
      </c>
      <c r="B1656" s="9" t="s">
        <v>1054</v>
      </c>
    </row>
    <row r="1657" spans="1:2" x14ac:dyDescent="0.25">
      <c r="A1657">
        <v>229</v>
      </c>
      <c r="B1657" s="9" t="s">
        <v>1053</v>
      </c>
    </row>
    <row r="1658" spans="1:2" x14ac:dyDescent="0.25">
      <c r="A1658">
        <v>230</v>
      </c>
      <c r="B1658" s="9" t="s">
        <v>1052</v>
      </c>
    </row>
    <row r="1659" spans="1:2" x14ac:dyDescent="0.25">
      <c r="A1659">
        <v>231</v>
      </c>
      <c r="B1659" s="9" t="s">
        <v>1051</v>
      </c>
    </row>
    <row r="1660" spans="1:2" x14ac:dyDescent="0.25">
      <c r="A1660">
        <v>232</v>
      </c>
      <c r="B1660" s="9" t="s">
        <v>1050</v>
      </c>
    </row>
    <row r="1661" spans="1:2" x14ac:dyDescent="0.25">
      <c r="A1661">
        <v>233</v>
      </c>
      <c r="B1661" s="9" t="s">
        <v>1049</v>
      </c>
    </row>
    <row r="1662" spans="1:2" x14ac:dyDescent="0.25">
      <c r="A1662">
        <v>234</v>
      </c>
      <c r="B1662" s="9" t="s">
        <v>1048</v>
      </c>
    </row>
    <row r="1663" spans="1:2" x14ac:dyDescent="0.25">
      <c r="A1663">
        <v>235</v>
      </c>
      <c r="B1663" s="9" t="s">
        <v>1047</v>
      </c>
    </row>
    <row r="1664" spans="1:2" x14ac:dyDescent="0.25">
      <c r="A1664">
        <v>236</v>
      </c>
      <c r="B1664" s="9" t="s">
        <v>1046</v>
      </c>
    </row>
    <row r="1665" spans="1:2" x14ac:dyDescent="0.25">
      <c r="A1665">
        <v>237</v>
      </c>
      <c r="B1665" s="9" t="s">
        <v>1045</v>
      </c>
    </row>
    <row r="1666" spans="1:2" x14ac:dyDescent="0.25">
      <c r="A1666">
        <v>238</v>
      </c>
      <c r="B1666" s="9" t="s">
        <v>1044</v>
      </c>
    </row>
    <row r="1667" spans="1:2" x14ac:dyDescent="0.25">
      <c r="A1667">
        <v>239</v>
      </c>
      <c r="B1667" s="9" t="s">
        <v>1043</v>
      </c>
    </row>
    <row r="1668" spans="1:2" x14ac:dyDescent="0.25">
      <c r="A1668">
        <v>240</v>
      </c>
      <c r="B1668" s="9" t="s">
        <v>1042</v>
      </c>
    </row>
    <row r="1669" spans="1:2" x14ac:dyDescent="0.25">
      <c r="A1669">
        <v>241</v>
      </c>
      <c r="B1669" s="9" t="s">
        <v>1041</v>
      </c>
    </row>
    <row r="1670" spans="1:2" x14ac:dyDescent="0.25">
      <c r="A1670">
        <v>242</v>
      </c>
      <c r="B1670" s="9" t="s">
        <v>1040</v>
      </c>
    </row>
    <row r="1671" spans="1:2" x14ac:dyDescent="0.25">
      <c r="A1671">
        <v>243</v>
      </c>
      <c r="B1671" s="9" t="s">
        <v>1039</v>
      </c>
    </row>
    <row r="1672" spans="1:2" x14ac:dyDescent="0.25">
      <c r="A1672">
        <v>244</v>
      </c>
      <c r="B1672" s="9" t="s">
        <v>1038</v>
      </c>
    </row>
    <row r="1673" spans="1:2" x14ac:dyDescent="0.25">
      <c r="A1673">
        <v>245</v>
      </c>
      <c r="B1673" s="9" t="s">
        <v>1037</v>
      </c>
    </row>
    <row r="1674" spans="1:2" x14ac:dyDescent="0.25">
      <c r="A1674">
        <v>246</v>
      </c>
      <c r="B1674" s="9" t="s">
        <v>1036</v>
      </c>
    </row>
    <row r="1675" spans="1:2" x14ac:dyDescent="0.25">
      <c r="A1675">
        <v>247</v>
      </c>
      <c r="B1675" s="9" t="s">
        <v>1035</v>
      </c>
    </row>
    <row r="1676" spans="1:2" x14ac:dyDescent="0.25">
      <c r="A1676">
        <v>248</v>
      </c>
      <c r="B1676" s="9" t="s">
        <v>1034</v>
      </c>
    </row>
    <row r="1677" spans="1:2" x14ac:dyDescent="0.25">
      <c r="A1677">
        <v>249</v>
      </c>
      <c r="B1677" s="9" t="s">
        <v>1033</v>
      </c>
    </row>
    <row r="1678" spans="1:2" x14ac:dyDescent="0.25">
      <c r="A1678">
        <v>250</v>
      </c>
      <c r="B1678" s="9" t="s">
        <v>1032</v>
      </c>
    </row>
    <row r="1679" spans="1:2" x14ac:dyDescent="0.25">
      <c r="A1679">
        <v>251</v>
      </c>
      <c r="B1679" s="9" t="s">
        <v>1031</v>
      </c>
    </row>
    <row r="1680" spans="1:2" x14ac:dyDescent="0.25">
      <c r="A1680">
        <v>252</v>
      </c>
      <c r="B1680" s="9" t="s">
        <v>1029</v>
      </c>
    </row>
    <row r="1681" spans="1:2" x14ac:dyDescent="0.25">
      <c r="A1681">
        <v>253</v>
      </c>
      <c r="B1681" s="9" t="s">
        <v>1030</v>
      </c>
    </row>
    <row r="1682" spans="1:2" x14ac:dyDescent="0.25">
      <c r="A1682">
        <v>254</v>
      </c>
      <c r="B1682" s="9" t="s">
        <v>1029</v>
      </c>
    </row>
    <row r="1683" spans="1:2" x14ac:dyDescent="0.25">
      <c r="A1683">
        <v>255</v>
      </c>
      <c r="B1683" s="9" t="s">
        <v>1028</v>
      </c>
    </row>
    <row r="1684" spans="1:2" x14ac:dyDescent="0.25">
      <c r="A1684">
        <v>256</v>
      </c>
      <c r="B1684" s="9" t="s">
        <v>1027</v>
      </c>
    </row>
    <row r="1685" spans="1:2" x14ac:dyDescent="0.25">
      <c r="A1685">
        <v>257</v>
      </c>
      <c r="B1685" s="9" t="s">
        <v>1026</v>
      </c>
    </row>
    <row r="1686" spans="1:2" x14ac:dyDescent="0.25">
      <c r="A1686">
        <v>258</v>
      </c>
      <c r="B1686" s="9" t="s">
        <v>1025</v>
      </c>
    </row>
    <row r="1687" spans="1:2" x14ac:dyDescent="0.25">
      <c r="A1687">
        <v>259</v>
      </c>
      <c r="B1687" s="9" t="s">
        <v>1024</v>
      </c>
    </row>
    <row r="1688" spans="1:2" x14ac:dyDescent="0.25">
      <c r="A1688">
        <v>260</v>
      </c>
      <c r="B1688" s="9" t="s">
        <v>1023</v>
      </c>
    </row>
    <row r="1689" spans="1:2" x14ac:dyDescent="0.25">
      <c r="A1689">
        <v>261</v>
      </c>
      <c r="B1689" s="9" t="s">
        <v>1022</v>
      </c>
    </row>
    <row r="1690" spans="1:2" x14ac:dyDescent="0.25">
      <c r="A1690">
        <v>262</v>
      </c>
      <c r="B1690" s="9" t="s">
        <v>1021</v>
      </c>
    </row>
    <row r="1691" spans="1:2" x14ac:dyDescent="0.25">
      <c r="A1691">
        <v>263</v>
      </c>
      <c r="B1691" s="9" t="s">
        <v>1020</v>
      </c>
    </row>
    <row r="1692" spans="1:2" x14ac:dyDescent="0.25">
      <c r="A1692">
        <v>264</v>
      </c>
      <c r="B1692" s="9" t="s">
        <v>1019</v>
      </c>
    </row>
    <row r="1693" spans="1:2" x14ac:dyDescent="0.25">
      <c r="A1693">
        <v>265</v>
      </c>
      <c r="B1693" s="9" t="s">
        <v>1018</v>
      </c>
    </row>
    <row r="1694" spans="1:2" x14ac:dyDescent="0.25">
      <c r="A1694">
        <v>266</v>
      </c>
      <c r="B1694" s="9" t="s">
        <v>1017</v>
      </c>
    </row>
    <row r="1695" spans="1:2" x14ac:dyDescent="0.25">
      <c r="A1695">
        <v>267</v>
      </c>
      <c r="B1695" s="9" t="s">
        <v>1016</v>
      </c>
    </row>
    <row r="1696" spans="1:2" x14ac:dyDescent="0.25">
      <c r="A1696">
        <v>268</v>
      </c>
      <c r="B1696" s="9" t="s">
        <v>1015</v>
      </c>
    </row>
    <row r="1697" spans="1:2" x14ac:dyDescent="0.25">
      <c r="A1697">
        <v>269</v>
      </c>
      <c r="B1697" s="9" t="s">
        <v>1014</v>
      </c>
    </row>
    <row r="1698" spans="1:2" x14ac:dyDescent="0.25">
      <c r="A1698">
        <v>270</v>
      </c>
      <c r="B1698" s="9" t="s">
        <v>1013</v>
      </c>
    </row>
    <row r="1699" spans="1:2" x14ac:dyDescent="0.25">
      <c r="A1699">
        <v>271</v>
      </c>
      <c r="B1699" s="9" t="s">
        <v>1012</v>
      </c>
    </row>
    <row r="1700" spans="1:2" x14ac:dyDescent="0.25">
      <c r="A1700">
        <v>272</v>
      </c>
      <c r="B1700" s="9" t="s">
        <v>1011</v>
      </c>
    </row>
    <row r="1701" spans="1:2" x14ac:dyDescent="0.25">
      <c r="A1701">
        <v>273</v>
      </c>
      <c r="B1701" s="9" t="s">
        <v>1010</v>
      </c>
    </row>
    <row r="1702" spans="1:2" x14ac:dyDescent="0.25">
      <c r="A1702">
        <v>274</v>
      </c>
      <c r="B1702" s="9" t="s">
        <v>1009</v>
      </c>
    </row>
    <row r="1703" spans="1:2" x14ac:dyDescent="0.25">
      <c r="A1703">
        <v>275</v>
      </c>
      <c r="B1703" s="9" t="s">
        <v>1008</v>
      </c>
    </row>
    <row r="1704" spans="1:2" x14ac:dyDescent="0.25">
      <c r="A1704">
        <v>276</v>
      </c>
      <c r="B1704" s="9" t="s">
        <v>1007</v>
      </c>
    </row>
    <row r="1705" spans="1:2" x14ac:dyDescent="0.25">
      <c r="A1705">
        <v>277</v>
      </c>
      <c r="B1705" s="9" t="s">
        <v>1006</v>
      </c>
    </row>
    <row r="1706" spans="1:2" x14ac:dyDescent="0.25">
      <c r="A1706">
        <v>278</v>
      </c>
      <c r="B1706" s="9" t="s">
        <v>1005</v>
      </c>
    </row>
    <row r="1707" spans="1:2" x14ac:dyDescent="0.25">
      <c r="A1707">
        <v>279</v>
      </c>
      <c r="B1707" s="9" t="s">
        <v>1004</v>
      </c>
    </row>
    <row r="1708" spans="1:2" x14ac:dyDescent="0.25">
      <c r="A1708">
        <v>280</v>
      </c>
      <c r="B1708" s="9" t="s">
        <v>1003</v>
      </c>
    </row>
    <row r="1709" spans="1:2" x14ac:dyDescent="0.25">
      <c r="A1709">
        <v>281</v>
      </c>
      <c r="B1709" s="9" t="s">
        <v>1002</v>
      </c>
    </row>
    <row r="1710" spans="1:2" x14ac:dyDescent="0.25">
      <c r="A1710">
        <v>282</v>
      </c>
      <c r="B1710" s="9" t="s">
        <v>1001</v>
      </c>
    </row>
    <row r="1711" spans="1:2" x14ac:dyDescent="0.25">
      <c r="A1711">
        <v>283</v>
      </c>
      <c r="B1711" s="9" t="s">
        <v>1000</v>
      </c>
    </row>
    <row r="1712" spans="1:2" x14ac:dyDescent="0.25">
      <c r="A1712">
        <v>284</v>
      </c>
      <c r="B1712" s="9" t="s">
        <v>999</v>
      </c>
    </row>
    <row r="1713" spans="1:2" x14ac:dyDescent="0.25">
      <c r="A1713">
        <v>285</v>
      </c>
      <c r="B1713" s="9" t="s">
        <v>998</v>
      </c>
    </row>
    <row r="1714" spans="1:2" x14ac:dyDescent="0.25">
      <c r="A1714">
        <v>286</v>
      </c>
      <c r="B1714" s="9" t="s">
        <v>997</v>
      </c>
    </row>
    <row r="1715" spans="1:2" x14ac:dyDescent="0.25">
      <c r="A1715">
        <v>287</v>
      </c>
      <c r="B1715" s="9" t="s">
        <v>996</v>
      </c>
    </row>
    <row r="1716" spans="1:2" x14ac:dyDescent="0.25">
      <c r="A1716">
        <v>288</v>
      </c>
      <c r="B1716" s="9" t="s">
        <v>995</v>
      </c>
    </row>
    <row r="1717" spans="1:2" x14ac:dyDescent="0.25">
      <c r="A1717">
        <v>289</v>
      </c>
      <c r="B1717" s="9" t="s">
        <v>994</v>
      </c>
    </row>
    <row r="1718" spans="1:2" x14ac:dyDescent="0.25">
      <c r="A1718">
        <v>290</v>
      </c>
      <c r="B1718" s="9" t="s">
        <v>993</v>
      </c>
    </row>
    <row r="1719" spans="1:2" x14ac:dyDescent="0.25">
      <c r="A1719">
        <v>291</v>
      </c>
      <c r="B1719" s="9" t="s">
        <v>992</v>
      </c>
    </row>
    <row r="1720" spans="1:2" x14ac:dyDescent="0.25">
      <c r="A1720">
        <v>292</v>
      </c>
      <c r="B1720" s="9" t="s">
        <v>991</v>
      </c>
    </row>
    <row r="1721" spans="1:2" x14ac:dyDescent="0.25">
      <c r="A1721">
        <v>293</v>
      </c>
      <c r="B1721" s="9" t="s">
        <v>990</v>
      </c>
    </row>
    <row r="1722" spans="1:2" x14ac:dyDescent="0.25">
      <c r="A1722">
        <v>294</v>
      </c>
      <c r="B1722" s="9" t="s">
        <v>989</v>
      </c>
    </row>
    <row r="1723" spans="1:2" x14ac:dyDescent="0.25">
      <c r="A1723">
        <v>295</v>
      </c>
      <c r="B1723" s="9" t="s">
        <v>988</v>
      </c>
    </row>
    <row r="1724" spans="1:2" x14ac:dyDescent="0.25">
      <c r="A1724">
        <v>296</v>
      </c>
      <c r="B1724" s="9" t="s">
        <v>987</v>
      </c>
    </row>
    <row r="1725" spans="1:2" x14ac:dyDescent="0.25">
      <c r="A1725">
        <v>297</v>
      </c>
      <c r="B1725" s="9" t="s">
        <v>986</v>
      </c>
    </row>
    <row r="1726" spans="1:2" x14ac:dyDescent="0.25">
      <c r="A1726">
        <v>298</v>
      </c>
      <c r="B1726" s="9" t="s">
        <v>985</v>
      </c>
    </row>
    <row r="1727" spans="1:2" x14ac:dyDescent="0.25">
      <c r="A1727">
        <v>299</v>
      </c>
      <c r="B1727" s="9" t="s">
        <v>984</v>
      </c>
    </row>
    <row r="1728" spans="1:2" x14ac:dyDescent="0.25">
      <c r="A1728">
        <v>300</v>
      </c>
      <c r="B1728" s="9" t="s">
        <v>983</v>
      </c>
    </row>
    <row r="1729" spans="1:2" x14ac:dyDescent="0.25">
      <c r="A1729">
        <v>301</v>
      </c>
      <c r="B1729" s="9" t="s">
        <v>982</v>
      </c>
    </row>
    <row r="1730" spans="1:2" x14ac:dyDescent="0.25">
      <c r="A1730">
        <v>302</v>
      </c>
      <c r="B1730" s="9" t="s">
        <v>981</v>
      </c>
    </row>
    <row r="1731" spans="1:2" x14ac:dyDescent="0.25">
      <c r="A1731">
        <v>303</v>
      </c>
      <c r="B1731" s="9" t="s">
        <v>980</v>
      </c>
    </row>
    <row r="1732" spans="1:2" x14ac:dyDescent="0.25">
      <c r="A1732">
        <v>304</v>
      </c>
      <c r="B1732" s="9" t="s">
        <v>979</v>
      </c>
    </row>
    <row r="1733" spans="1:2" x14ac:dyDescent="0.25">
      <c r="A1733">
        <v>305</v>
      </c>
      <c r="B1733" s="9" t="s">
        <v>978</v>
      </c>
    </row>
    <row r="1734" spans="1:2" x14ac:dyDescent="0.25">
      <c r="A1734">
        <v>306</v>
      </c>
      <c r="B1734" s="9" t="s">
        <v>977</v>
      </c>
    </row>
    <row r="1735" spans="1:2" x14ac:dyDescent="0.25">
      <c r="A1735">
        <v>307</v>
      </c>
      <c r="B1735" s="9" t="s">
        <v>976</v>
      </c>
    </row>
    <row r="1736" spans="1:2" x14ac:dyDescent="0.25">
      <c r="A1736">
        <v>308</v>
      </c>
      <c r="B1736" s="9" t="s">
        <v>975</v>
      </c>
    </row>
    <row r="1737" spans="1:2" x14ac:dyDescent="0.25">
      <c r="A1737">
        <v>309</v>
      </c>
      <c r="B1737" s="9" t="s">
        <v>974</v>
      </c>
    </row>
    <row r="1738" spans="1:2" x14ac:dyDescent="0.25">
      <c r="A1738">
        <v>310</v>
      </c>
      <c r="B1738" s="9" t="s">
        <v>973</v>
      </c>
    </row>
    <row r="1739" spans="1:2" x14ac:dyDescent="0.25">
      <c r="A1739">
        <v>311</v>
      </c>
      <c r="B1739" s="9" t="s">
        <v>972</v>
      </c>
    </row>
    <row r="1740" spans="1:2" x14ac:dyDescent="0.25">
      <c r="A1740">
        <v>312</v>
      </c>
      <c r="B1740" s="9" t="s">
        <v>971</v>
      </c>
    </row>
    <row r="1741" spans="1:2" x14ac:dyDescent="0.25">
      <c r="A1741">
        <v>313</v>
      </c>
      <c r="B1741" s="9" t="s">
        <v>970</v>
      </c>
    </row>
    <row r="1742" spans="1:2" x14ac:dyDescent="0.25">
      <c r="A1742">
        <v>314</v>
      </c>
      <c r="B1742" s="9" t="s">
        <v>969</v>
      </c>
    </row>
    <row r="1743" spans="1:2" x14ac:dyDescent="0.25">
      <c r="A1743">
        <v>315</v>
      </c>
      <c r="B1743" s="9" t="s">
        <v>968</v>
      </c>
    </row>
    <row r="1744" spans="1:2" x14ac:dyDescent="0.25">
      <c r="A1744">
        <v>316</v>
      </c>
      <c r="B1744" s="9" t="s">
        <v>967</v>
      </c>
    </row>
    <row r="1745" spans="1:2" x14ac:dyDescent="0.25">
      <c r="A1745">
        <v>317</v>
      </c>
      <c r="B1745" s="9" t="s">
        <v>966</v>
      </c>
    </row>
    <row r="1746" spans="1:2" x14ac:dyDescent="0.25">
      <c r="A1746">
        <v>318</v>
      </c>
      <c r="B1746" s="9" t="s">
        <v>965</v>
      </c>
    </row>
    <row r="1747" spans="1:2" x14ac:dyDescent="0.25">
      <c r="A1747">
        <v>319</v>
      </c>
      <c r="B1747" s="9" t="s">
        <v>964</v>
      </c>
    </row>
    <row r="1748" spans="1:2" x14ac:dyDescent="0.25">
      <c r="A1748">
        <v>320</v>
      </c>
      <c r="B1748" s="9" t="s">
        <v>963</v>
      </c>
    </row>
    <row r="1749" spans="1:2" x14ac:dyDescent="0.25">
      <c r="A1749">
        <v>321</v>
      </c>
      <c r="B1749" s="9" t="s">
        <v>962</v>
      </c>
    </row>
    <row r="1750" spans="1:2" x14ac:dyDescent="0.25">
      <c r="A1750">
        <v>322</v>
      </c>
      <c r="B1750" s="9" t="s">
        <v>961</v>
      </c>
    </row>
    <row r="1751" spans="1:2" x14ac:dyDescent="0.25">
      <c r="A1751">
        <v>323</v>
      </c>
      <c r="B1751" s="9" t="s">
        <v>960</v>
      </c>
    </row>
    <row r="1752" spans="1:2" x14ac:dyDescent="0.25">
      <c r="A1752">
        <v>324</v>
      </c>
      <c r="B1752" s="9" t="s">
        <v>959</v>
      </c>
    </row>
    <row r="1753" spans="1:2" x14ac:dyDescent="0.25">
      <c r="A1753">
        <v>325</v>
      </c>
      <c r="B1753" s="9" t="s">
        <v>958</v>
      </c>
    </row>
    <row r="1754" spans="1:2" x14ac:dyDescent="0.25">
      <c r="A1754">
        <v>326</v>
      </c>
      <c r="B1754" s="9" t="s">
        <v>957</v>
      </c>
    </row>
    <row r="1755" spans="1:2" x14ac:dyDescent="0.25">
      <c r="A1755">
        <v>327</v>
      </c>
      <c r="B1755" s="9" t="s">
        <v>956</v>
      </c>
    </row>
    <row r="1756" spans="1:2" x14ac:dyDescent="0.25">
      <c r="A1756">
        <v>328</v>
      </c>
      <c r="B1756" s="9" t="s">
        <v>955</v>
      </c>
    </row>
    <row r="1757" spans="1:2" x14ac:dyDescent="0.25">
      <c r="A1757">
        <v>329</v>
      </c>
      <c r="B1757" s="9" t="s">
        <v>954</v>
      </c>
    </row>
    <row r="1758" spans="1:2" x14ac:dyDescent="0.25">
      <c r="A1758">
        <v>330</v>
      </c>
      <c r="B1758" s="9" t="s">
        <v>953</v>
      </c>
    </row>
    <row r="1759" spans="1:2" x14ac:dyDescent="0.25">
      <c r="A1759">
        <v>331</v>
      </c>
      <c r="B1759" s="9" t="s">
        <v>952</v>
      </c>
    </row>
    <row r="1760" spans="1:2" x14ac:dyDescent="0.25">
      <c r="A1760">
        <v>332</v>
      </c>
      <c r="B1760" s="9" t="s">
        <v>951</v>
      </c>
    </row>
    <row r="1761" spans="1:2" x14ac:dyDescent="0.25">
      <c r="A1761">
        <v>333</v>
      </c>
      <c r="B1761" s="9" t="s">
        <v>950</v>
      </c>
    </row>
    <row r="1762" spans="1:2" x14ac:dyDescent="0.25">
      <c r="A1762">
        <v>334</v>
      </c>
      <c r="B1762" s="9" t="s">
        <v>949</v>
      </c>
    </row>
    <row r="1763" spans="1:2" x14ac:dyDescent="0.25">
      <c r="A1763">
        <v>335</v>
      </c>
      <c r="B1763" s="9" t="s">
        <v>948</v>
      </c>
    </row>
    <row r="1764" spans="1:2" x14ac:dyDescent="0.25">
      <c r="A1764">
        <v>336</v>
      </c>
      <c r="B1764" s="9" t="s">
        <v>947</v>
      </c>
    </row>
    <row r="1765" spans="1:2" x14ac:dyDescent="0.25">
      <c r="A1765">
        <v>337</v>
      </c>
      <c r="B1765" s="9" t="s">
        <v>946</v>
      </c>
    </row>
    <row r="1766" spans="1:2" x14ac:dyDescent="0.25">
      <c r="A1766">
        <v>338</v>
      </c>
      <c r="B1766" s="9" t="s">
        <v>945</v>
      </c>
    </row>
    <row r="1767" spans="1:2" x14ac:dyDescent="0.25">
      <c r="A1767">
        <v>339</v>
      </c>
      <c r="B1767" s="9" t="s">
        <v>944</v>
      </c>
    </row>
    <row r="1768" spans="1:2" x14ac:dyDescent="0.25">
      <c r="A1768">
        <v>340</v>
      </c>
      <c r="B1768" s="9" t="s">
        <v>943</v>
      </c>
    </row>
    <row r="1769" spans="1:2" x14ac:dyDescent="0.25">
      <c r="A1769">
        <v>341</v>
      </c>
      <c r="B1769" s="9" t="s">
        <v>942</v>
      </c>
    </row>
    <row r="1770" spans="1:2" x14ac:dyDescent="0.25">
      <c r="A1770">
        <v>342</v>
      </c>
      <c r="B1770" s="9" t="s">
        <v>941</v>
      </c>
    </row>
    <row r="1771" spans="1:2" x14ac:dyDescent="0.25">
      <c r="A1771">
        <v>343</v>
      </c>
      <c r="B1771" s="9" t="s">
        <v>940</v>
      </c>
    </row>
    <row r="1772" spans="1:2" x14ac:dyDescent="0.25">
      <c r="A1772">
        <v>344</v>
      </c>
      <c r="B1772" s="9" t="s">
        <v>939</v>
      </c>
    </row>
    <row r="1773" spans="1:2" x14ac:dyDescent="0.25">
      <c r="A1773">
        <v>345</v>
      </c>
      <c r="B1773" s="9" t="s">
        <v>938</v>
      </c>
    </row>
    <row r="1774" spans="1:2" x14ac:dyDescent="0.25">
      <c r="A1774">
        <v>346</v>
      </c>
      <c r="B1774" s="9" t="s">
        <v>937</v>
      </c>
    </row>
    <row r="1775" spans="1:2" x14ac:dyDescent="0.25">
      <c r="A1775">
        <v>347</v>
      </c>
      <c r="B1775" s="9" t="s">
        <v>936</v>
      </c>
    </row>
    <row r="1776" spans="1:2" x14ac:dyDescent="0.25">
      <c r="A1776">
        <v>348</v>
      </c>
      <c r="B1776" s="9" t="s">
        <v>935</v>
      </c>
    </row>
    <row r="1777" spans="1:2" x14ac:dyDescent="0.25">
      <c r="A1777">
        <v>349</v>
      </c>
      <c r="B1777" s="9" t="s">
        <v>934</v>
      </c>
    </row>
    <row r="1778" spans="1:2" x14ac:dyDescent="0.25">
      <c r="A1778">
        <v>350</v>
      </c>
      <c r="B1778" s="9" t="s">
        <v>933</v>
      </c>
    </row>
    <row r="1779" spans="1:2" x14ac:dyDescent="0.25">
      <c r="A1779">
        <v>351</v>
      </c>
      <c r="B1779" s="9" t="s">
        <v>932</v>
      </c>
    </row>
    <row r="1780" spans="1:2" x14ac:dyDescent="0.25">
      <c r="A1780">
        <v>352</v>
      </c>
      <c r="B1780" s="9" t="s">
        <v>931</v>
      </c>
    </row>
    <row r="1781" spans="1:2" x14ac:dyDescent="0.25">
      <c r="A1781">
        <v>353</v>
      </c>
      <c r="B1781" s="9" t="s">
        <v>930</v>
      </c>
    </row>
    <row r="1782" spans="1:2" x14ac:dyDescent="0.25">
      <c r="A1782">
        <v>354</v>
      </c>
      <c r="B1782" s="9" t="s">
        <v>929</v>
      </c>
    </row>
    <row r="1783" spans="1:2" x14ac:dyDescent="0.25">
      <c r="A1783">
        <v>355</v>
      </c>
      <c r="B1783" s="9" t="s">
        <v>928</v>
      </c>
    </row>
    <row r="1784" spans="1:2" x14ac:dyDescent="0.25">
      <c r="A1784">
        <v>356</v>
      </c>
      <c r="B1784" s="9" t="s">
        <v>927</v>
      </c>
    </row>
    <row r="1785" spans="1:2" x14ac:dyDescent="0.25">
      <c r="A1785">
        <v>357</v>
      </c>
      <c r="B1785" s="9" t="s">
        <v>926</v>
      </c>
    </row>
    <row r="1786" spans="1:2" x14ac:dyDescent="0.25">
      <c r="A1786">
        <v>358</v>
      </c>
      <c r="B1786" s="9" t="s">
        <v>925</v>
      </c>
    </row>
    <row r="1787" spans="1:2" x14ac:dyDescent="0.25">
      <c r="A1787">
        <v>359</v>
      </c>
      <c r="B1787" s="9" t="s">
        <v>924</v>
      </c>
    </row>
    <row r="1788" spans="1:2" x14ac:dyDescent="0.25">
      <c r="A1788">
        <v>360</v>
      </c>
      <c r="B1788" s="9" t="s">
        <v>923</v>
      </c>
    </row>
    <row r="1789" spans="1:2" x14ac:dyDescent="0.25">
      <c r="A1789">
        <v>361</v>
      </c>
      <c r="B1789" s="9" t="s">
        <v>922</v>
      </c>
    </row>
    <row r="1790" spans="1:2" x14ac:dyDescent="0.25">
      <c r="A1790">
        <v>362</v>
      </c>
      <c r="B1790" s="9" t="s">
        <v>921</v>
      </c>
    </row>
    <row r="1791" spans="1:2" x14ac:dyDescent="0.25">
      <c r="A1791">
        <v>363</v>
      </c>
      <c r="B1791" s="9" t="s">
        <v>920</v>
      </c>
    </row>
    <row r="1792" spans="1:2" x14ac:dyDescent="0.25">
      <c r="A1792">
        <v>364</v>
      </c>
      <c r="B1792" s="9" t="s">
        <v>919</v>
      </c>
    </row>
    <row r="1793" spans="1:2" x14ac:dyDescent="0.25">
      <c r="A1793">
        <v>365</v>
      </c>
      <c r="B1793" s="9" t="s">
        <v>918</v>
      </c>
    </row>
    <row r="1794" spans="1:2" x14ac:dyDescent="0.25">
      <c r="A1794">
        <v>366</v>
      </c>
      <c r="B1794" s="9" t="s">
        <v>917</v>
      </c>
    </row>
    <row r="1795" spans="1:2" x14ac:dyDescent="0.25">
      <c r="A1795">
        <v>367</v>
      </c>
      <c r="B1795" s="9" t="s">
        <v>916</v>
      </c>
    </row>
    <row r="1796" spans="1:2" x14ac:dyDescent="0.25">
      <c r="A1796">
        <v>368</v>
      </c>
      <c r="B1796" s="9" t="s">
        <v>915</v>
      </c>
    </row>
    <row r="1797" spans="1:2" x14ac:dyDescent="0.25">
      <c r="A1797">
        <v>369</v>
      </c>
      <c r="B1797" s="9" t="s">
        <v>914</v>
      </c>
    </row>
    <row r="1798" spans="1:2" x14ac:dyDescent="0.25">
      <c r="A1798">
        <v>370</v>
      </c>
      <c r="B1798" s="9" t="s">
        <v>913</v>
      </c>
    </row>
    <row r="1799" spans="1:2" x14ac:dyDescent="0.25">
      <c r="A1799">
        <v>371</v>
      </c>
      <c r="B1799" s="9" t="s">
        <v>912</v>
      </c>
    </row>
    <row r="1800" spans="1:2" x14ac:dyDescent="0.25">
      <c r="A1800">
        <v>372</v>
      </c>
      <c r="B1800" s="9" t="s">
        <v>911</v>
      </c>
    </row>
    <row r="1801" spans="1:2" x14ac:dyDescent="0.25">
      <c r="A1801">
        <v>373</v>
      </c>
      <c r="B1801" s="9" t="s">
        <v>910</v>
      </c>
    </row>
    <row r="1802" spans="1:2" x14ac:dyDescent="0.25">
      <c r="A1802">
        <v>374</v>
      </c>
      <c r="B1802" s="9" t="s">
        <v>909</v>
      </c>
    </row>
    <row r="1803" spans="1:2" x14ac:dyDescent="0.25">
      <c r="A1803">
        <v>375</v>
      </c>
      <c r="B1803" s="9" t="s">
        <v>908</v>
      </c>
    </row>
    <row r="1804" spans="1:2" x14ac:dyDescent="0.25">
      <c r="A1804">
        <v>376</v>
      </c>
      <c r="B1804" s="9" t="s">
        <v>907</v>
      </c>
    </row>
    <row r="1805" spans="1:2" x14ac:dyDescent="0.25">
      <c r="A1805">
        <v>377</v>
      </c>
      <c r="B1805" s="9" t="s">
        <v>906</v>
      </c>
    </row>
    <row r="1806" spans="1:2" x14ac:dyDescent="0.25">
      <c r="A1806">
        <v>378</v>
      </c>
      <c r="B1806" s="9" t="s">
        <v>905</v>
      </c>
    </row>
    <row r="1807" spans="1:2" x14ac:dyDescent="0.25">
      <c r="A1807">
        <v>379</v>
      </c>
      <c r="B1807" s="9" t="s">
        <v>904</v>
      </c>
    </row>
    <row r="1808" spans="1:2" x14ac:dyDescent="0.25">
      <c r="A1808">
        <v>380</v>
      </c>
      <c r="B1808" s="9" t="s">
        <v>903</v>
      </c>
    </row>
    <row r="1809" spans="1:2" x14ac:dyDescent="0.25">
      <c r="A1809">
        <v>381</v>
      </c>
      <c r="B1809" s="9" t="s">
        <v>902</v>
      </c>
    </row>
    <row r="1810" spans="1:2" x14ac:dyDescent="0.25">
      <c r="A1810">
        <v>382</v>
      </c>
      <c r="B1810" s="9" t="s">
        <v>901</v>
      </c>
    </row>
    <row r="1811" spans="1:2" x14ac:dyDescent="0.25">
      <c r="A1811">
        <v>383</v>
      </c>
      <c r="B1811" s="9" t="s">
        <v>900</v>
      </c>
    </row>
    <row r="1812" spans="1:2" x14ac:dyDescent="0.25">
      <c r="A1812">
        <v>384</v>
      </c>
      <c r="B1812" s="9" t="s">
        <v>899</v>
      </c>
    </row>
    <row r="1813" spans="1:2" x14ac:dyDescent="0.25">
      <c r="A1813">
        <v>385</v>
      </c>
      <c r="B1813" s="9" t="s">
        <v>898</v>
      </c>
    </row>
    <row r="1814" spans="1:2" x14ac:dyDescent="0.25">
      <c r="A1814">
        <v>386</v>
      </c>
      <c r="B1814" s="9" t="s">
        <v>897</v>
      </c>
    </row>
    <row r="1815" spans="1:2" x14ac:dyDescent="0.25">
      <c r="A1815">
        <v>387</v>
      </c>
      <c r="B1815" s="9" t="s">
        <v>896</v>
      </c>
    </row>
    <row r="1816" spans="1:2" x14ac:dyDescent="0.25">
      <c r="A1816">
        <v>388</v>
      </c>
      <c r="B1816" s="9" t="s">
        <v>895</v>
      </c>
    </row>
    <row r="1817" spans="1:2" x14ac:dyDescent="0.25">
      <c r="A1817">
        <v>389</v>
      </c>
      <c r="B1817" s="9" t="s">
        <v>894</v>
      </c>
    </row>
    <row r="1818" spans="1:2" x14ac:dyDescent="0.25">
      <c r="A1818">
        <v>390</v>
      </c>
      <c r="B1818" s="9" t="s">
        <v>893</v>
      </c>
    </row>
    <row r="1819" spans="1:2" x14ac:dyDescent="0.25">
      <c r="A1819">
        <v>391</v>
      </c>
      <c r="B1819" s="9" t="s">
        <v>892</v>
      </c>
    </row>
    <row r="1820" spans="1:2" x14ac:dyDescent="0.25">
      <c r="A1820">
        <v>392</v>
      </c>
      <c r="B1820" s="9" t="s">
        <v>891</v>
      </c>
    </row>
    <row r="1821" spans="1:2" x14ac:dyDescent="0.25">
      <c r="A1821">
        <v>393</v>
      </c>
      <c r="B1821" s="9" t="s">
        <v>890</v>
      </c>
    </row>
    <row r="1822" spans="1:2" x14ac:dyDescent="0.25">
      <c r="A1822">
        <v>394</v>
      </c>
      <c r="B1822" s="9" t="s">
        <v>889</v>
      </c>
    </row>
    <row r="1823" spans="1:2" x14ac:dyDescent="0.25">
      <c r="A1823">
        <v>395</v>
      </c>
      <c r="B1823" s="9" t="s">
        <v>888</v>
      </c>
    </row>
    <row r="1824" spans="1:2" x14ac:dyDescent="0.25">
      <c r="A1824">
        <v>396</v>
      </c>
      <c r="B1824" s="9" t="s">
        <v>887</v>
      </c>
    </row>
    <row r="1825" spans="1:2" x14ac:dyDescent="0.25">
      <c r="A1825">
        <v>397</v>
      </c>
      <c r="B1825" s="9" t="s">
        <v>886</v>
      </c>
    </row>
    <row r="1826" spans="1:2" x14ac:dyDescent="0.25">
      <c r="A1826">
        <v>398</v>
      </c>
      <c r="B1826" s="9" t="s">
        <v>885</v>
      </c>
    </row>
    <row r="1827" spans="1:2" x14ac:dyDescent="0.25">
      <c r="A1827">
        <v>399</v>
      </c>
      <c r="B1827" s="9" t="s">
        <v>884</v>
      </c>
    </row>
    <row r="1828" spans="1:2" x14ac:dyDescent="0.25">
      <c r="A1828">
        <v>400</v>
      </c>
      <c r="B1828" s="9" t="s">
        <v>883</v>
      </c>
    </row>
    <row r="1829" spans="1:2" x14ac:dyDescent="0.25">
      <c r="A1829">
        <v>401</v>
      </c>
      <c r="B1829" s="9" t="s">
        <v>882</v>
      </c>
    </row>
    <row r="1830" spans="1:2" x14ac:dyDescent="0.25">
      <c r="A1830">
        <v>402</v>
      </c>
      <c r="B1830" s="9" t="s">
        <v>881</v>
      </c>
    </row>
    <row r="1831" spans="1:2" x14ac:dyDescent="0.25">
      <c r="A1831">
        <v>403</v>
      </c>
      <c r="B1831" s="9" t="s">
        <v>880</v>
      </c>
    </row>
    <row r="1832" spans="1:2" x14ac:dyDescent="0.25">
      <c r="A1832">
        <v>404</v>
      </c>
      <c r="B1832" s="9" t="s">
        <v>879</v>
      </c>
    </row>
    <row r="1833" spans="1:2" x14ac:dyDescent="0.25">
      <c r="A1833">
        <v>405</v>
      </c>
      <c r="B1833" s="9" t="s">
        <v>878</v>
      </c>
    </row>
    <row r="1834" spans="1:2" x14ac:dyDescent="0.25">
      <c r="A1834">
        <v>406</v>
      </c>
      <c r="B1834" s="9" t="s">
        <v>877</v>
      </c>
    </row>
    <row r="1835" spans="1:2" x14ac:dyDescent="0.25">
      <c r="A1835">
        <v>407</v>
      </c>
      <c r="B1835" s="9" t="s">
        <v>876</v>
      </c>
    </row>
    <row r="1836" spans="1:2" x14ac:dyDescent="0.25">
      <c r="A1836">
        <v>408</v>
      </c>
      <c r="B1836" s="9" t="s">
        <v>875</v>
      </c>
    </row>
    <row r="1837" spans="1:2" x14ac:dyDescent="0.25">
      <c r="A1837">
        <v>409</v>
      </c>
      <c r="B1837" s="9" t="s">
        <v>874</v>
      </c>
    </row>
    <row r="1838" spans="1:2" x14ac:dyDescent="0.25">
      <c r="A1838">
        <v>410</v>
      </c>
      <c r="B1838" s="9" t="s">
        <v>873</v>
      </c>
    </row>
    <row r="1839" spans="1:2" x14ac:dyDescent="0.25">
      <c r="A1839">
        <v>411</v>
      </c>
      <c r="B1839" s="9" t="s">
        <v>872</v>
      </c>
    </row>
    <row r="1840" spans="1:2" x14ac:dyDescent="0.25">
      <c r="A1840">
        <v>412</v>
      </c>
      <c r="B1840" s="9" t="s">
        <v>871</v>
      </c>
    </row>
    <row r="1841" spans="1:2" x14ac:dyDescent="0.25">
      <c r="A1841">
        <v>413</v>
      </c>
      <c r="B1841" s="9" t="s">
        <v>870</v>
      </c>
    </row>
    <row r="1842" spans="1:2" x14ac:dyDescent="0.25">
      <c r="A1842">
        <v>414</v>
      </c>
      <c r="B1842" s="9" t="s">
        <v>869</v>
      </c>
    </row>
    <row r="1843" spans="1:2" x14ac:dyDescent="0.25">
      <c r="A1843">
        <v>415</v>
      </c>
      <c r="B1843" s="9" t="s">
        <v>868</v>
      </c>
    </row>
    <row r="1844" spans="1:2" x14ac:dyDescent="0.25">
      <c r="A1844">
        <v>416</v>
      </c>
      <c r="B1844" s="9" t="s">
        <v>867</v>
      </c>
    </row>
    <row r="1845" spans="1:2" x14ac:dyDescent="0.25">
      <c r="A1845">
        <v>417</v>
      </c>
      <c r="B1845" s="9" t="s">
        <v>866</v>
      </c>
    </row>
    <row r="1846" spans="1:2" x14ac:dyDescent="0.25">
      <c r="A1846">
        <v>418</v>
      </c>
      <c r="B1846" s="9" t="s">
        <v>865</v>
      </c>
    </row>
    <row r="1847" spans="1:2" x14ac:dyDescent="0.25">
      <c r="A1847">
        <v>419</v>
      </c>
      <c r="B1847" s="9" t="s">
        <v>864</v>
      </c>
    </row>
    <row r="1848" spans="1:2" x14ac:dyDescent="0.25">
      <c r="A1848">
        <v>420</v>
      </c>
      <c r="B1848" s="9" t="s">
        <v>863</v>
      </c>
    </row>
    <row r="1849" spans="1:2" x14ac:dyDescent="0.25">
      <c r="A1849">
        <v>421</v>
      </c>
      <c r="B1849" s="9" t="s">
        <v>862</v>
      </c>
    </row>
    <row r="1850" spans="1:2" x14ac:dyDescent="0.25">
      <c r="A1850">
        <v>422</v>
      </c>
      <c r="B1850" s="9" t="s">
        <v>861</v>
      </c>
    </row>
    <row r="1851" spans="1:2" x14ac:dyDescent="0.25">
      <c r="A1851">
        <v>423</v>
      </c>
      <c r="B1851" s="9" t="s">
        <v>860</v>
      </c>
    </row>
    <row r="1852" spans="1:2" x14ac:dyDescent="0.25">
      <c r="A1852">
        <v>424</v>
      </c>
      <c r="B1852" s="9" t="s">
        <v>859</v>
      </c>
    </row>
    <row r="1853" spans="1:2" x14ac:dyDescent="0.25">
      <c r="A1853">
        <v>425</v>
      </c>
      <c r="B1853" s="9" t="s">
        <v>858</v>
      </c>
    </row>
    <row r="1854" spans="1:2" x14ac:dyDescent="0.25">
      <c r="A1854">
        <v>426</v>
      </c>
      <c r="B1854" s="9" t="s">
        <v>857</v>
      </c>
    </row>
    <row r="1855" spans="1:2" x14ac:dyDescent="0.25">
      <c r="A1855">
        <v>427</v>
      </c>
      <c r="B1855" s="9" t="s">
        <v>856</v>
      </c>
    </row>
    <row r="1856" spans="1:2" x14ac:dyDescent="0.25">
      <c r="A1856">
        <v>428</v>
      </c>
      <c r="B1856" s="9" t="s">
        <v>855</v>
      </c>
    </row>
    <row r="1857" spans="1:2" x14ac:dyDescent="0.25">
      <c r="A1857">
        <v>429</v>
      </c>
      <c r="B1857" s="9" t="s">
        <v>854</v>
      </c>
    </row>
    <row r="1858" spans="1:2" x14ac:dyDescent="0.25">
      <c r="A1858">
        <v>430</v>
      </c>
      <c r="B1858" s="9" t="s">
        <v>853</v>
      </c>
    </row>
    <row r="1859" spans="1:2" x14ac:dyDescent="0.25">
      <c r="A1859">
        <v>431</v>
      </c>
      <c r="B1859" s="9" t="s">
        <v>852</v>
      </c>
    </row>
    <row r="1860" spans="1:2" x14ac:dyDescent="0.25">
      <c r="A1860">
        <v>432</v>
      </c>
      <c r="B1860" s="9" t="s">
        <v>851</v>
      </c>
    </row>
    <row r="1861" spans="1:2" x14ac:dyDescent="0.25">
      <c r="A1861">
        <v>433</v>
      </c>
      <c r="B1861" s="9" t="s">
        <v>850</v>
      </c>
    </row>
    <row r="1862" spans="1:2" x14ac:dyDescent="0.25">
      <c r="A1862">
        <v>434</v>
      </c>
      <c r="B1862" s="9" t="s">
        <v>849</v>
      </c>
    </row>
    <row r="1863" spans="1:2" x14ac:dyDescent="0.25">
      <c r="A1863">
        <v>435</v>
      </c>
      <c r="B1863" s="9" t="s">
        <v>848</v>
      </c>
    </row>
    <row r="1864" spans="1:2" x14ac:dyDescent="0.25">
      <c r="A1864">
        <v>436</v>
      </c>
      <c r="B1864" s="9" t="s">
        <v>847</v>
      </c>
    </row>
    <row r="1865" spans="1:2" x14ac:dyDescent="0.25">
      <c r="A1865">
        <v>437</v>
      </c>
      <c r="B1865" s="9" t="s">
        <v>846</v>
      </c>
    </row>
    <row r="1866" spans="1:2" x14ac:dyDescent="0.25">
      <c r="A1866">
        <v>438</v>
      </c>
      <c r="B1866" s="9" t="s">
        <v>845</v>
      </c>
    </row>
    <row r="1867" spans="1:2" x14ac:dyDescent="0.25">
      <c r="A1867">
        <v>439</v>
      </c>
      <c r="B1867" s="9" t="s">
        <v>844</v>
      </c>
    </row>
    <row r="1868" spans="1:2" x14ac:dyDescent="0.25">
      <c r="A1868">
        <v>440</v>
      </c>
      <c r="B1868" s="9" t="s">
        <v>843</v>
      </c>
    </row>
    <row r="1869" spans="1:2" x14ac:dyDescent="0.25">
      <c r="A1869">
        <v>441</v>
      </c>
      <c r="B1869" s="9" t="s">
        <v>842</v>
      </c>
    </row>
    <row r="1870" spans="1:2" x14ac:dyDescent="0.25">
      <c r="A1870">
        <v>442</v>
      </c>
      <c r="B1870" s="9" t="s">
        <v>841</v>
      </c>
    </row>
    <row r="1871" spans="1:2" x14ac:dyDescent="0.25">
      <c r="A1871">
        <v>443</v>
      </c>
      <c r="B1871" s="9" t="s">
        <v>840</v>
      </c>
    </row>
    <row r="1872" spans="1:2" x14ac:dyDescent="0.25">
      <c r="A1872">
        <v>444</v>
      </c>
      <c r="B1872" s="9" t="s">
        <v>839</v>
      </c>
    </row>
    <row r="1873" spans="1:2" x14ac:dyDescent="0.25">
      <c r="A1873">
        <v>445</v>
      </c>
      <c r="B1873" s="9" t="s">
        <v>838</v>
      </c>
    </row>
    <row r="1874" spans="1:2" x14ac:dyDescent="0.25">
      <c r="A1874">
        <v>446</v>
      </c>
      <c r="B1874" s="9" t="s">
        <v>837</v>
      </c>
    </row>
    <row r="1875" spans="1:2" x14ac:dyDescent="0.25">
      <c r="A1875">
        <v>447</v>
      </c>
      <c r="B1875" s="9" t="s">
        <v>836</v>
      </c>
    </row>
    <row r="1876" spans="1:2" x14ac:dyDescent="0.25">
      <c r="A1876">
        <v>448</v>
      </c>
      <c r="B1876" s="9" t="s">
        <v>835</v>
      </c>
    </row>
    <row r="1877" spans="1:2" x14ac:dyDescent="0.25">
      <c r="A1877">
        <v>449</v>
      </c>
      <c r="B1877" s="9" t="s">
        <v>834</v>
      </c>
    </row>
    <row r="1878" spans="1:2" x14ac:dyDescent="0.25">
      <c r="A1878">
        <v>450</v>
      </c>
      <c r="B1878" s="9" t="s">
        <v>833</v>
      </c>
    </row>
    <row r="1879" spans="1:2" x14ac:dyDescent="0.25">
      <c r="A1879">
        <v>451</v>
      </c>
      <c r="B1879" s="9" t="s">
        <v>832</v>
      </c>
    </row>
    <row r="1880" spans="1:2" x14ac:dyDescent="0.25">
      <c r="A1880">
        <v>452</v>
      </c>
      <c r="B1880" s="9" t="s">
        <v>831</v>
      </c>
    </row>
    <row r="1881" spans="1:2" x14ac:dyDescent="0.25">
      <c r="A1881">
        <v>453</v>
      </c>
      <c r="B1881" s="9" t="s">
        <v>830</v>
      </c>
    </row>
    <row r="1882" spans="1:2" x14ac:dyDescent="0.25">
      <c r="A1882">
        <v>454</v>
      </c>
      <c r="B1882" s="9" t="s">
        <v>829</v>
      </c>
    </row>
    <row r="1883" spans="1:2" x14ac:dyDescent="0.25">
      <c r="A1883">
        <v>455</v>
      </c>
      <c r="B1883" s="9" t="s">
        <v>828</v>
      </c>
    </row>
    <row r="1884" spans="1:2" x14ac:dyDescent="0.25">
      <c r="A1884">
        <v>456</v>
      </c>
      <c r="B1884" s="9" t="s">
        <v>827</v>
      </c>
    </row>
    <row r="1885" spans="1:2" x14ac:dyDescent="0.25">
      <c r="A1885">
        <v>457</v>
      </c>
      <c r="B1885" s="9" t="s">
        <v>826</v>
      </c>
    </row>
    <row r="1886" spans="1:2" x14ac:dyDescent="0.25">
      <c r="A1886">
        <v>458</v>
      </c>
      <c r="B1886" s="9" t="s">
        <v>825</v>
      </c>
    </row>
    <row r="1887" spans="1:2" x14ac:dyDescent="0.25">
      <c r="A1887">
        <v>459</v>
      </c>
      <c r="B1887" s="9" t="s">
        <v>824</v>
      </c>
    </row>
    <row r="1888" spans="1:2" x14ac:dyDescent="0.25">
      <c r="A1888">
        <v>460</v>
      </c>
      <c r="B1888" s="9" t="s">
        <v>823</v>
      </c>
    </row>
    <row r="1889" spans="1:2" x14ac:dyDescent="0.25">
      <c r="A1889">
        <v>461</v>
      </c>
      <c r="B1889" s="9" t="s">
        <v>822</v>
      </c>
    </row>
    <row r="1890" spans="1:2" x14ac:dyDescent="0.25">
      <c r="A1890">
        <v>462</v>
      </c>
      <c r="B1890" s="9" t="s">
        <v>821</v>
      </c>
    </row>
    <row r="1891" spans="1:2" x14ac:dyDescent="0.25">
      <c r="A1891">
        <v>463</v>
      </c>
      <c r="B1891" s="9" t="s">
        <v>820</v>
      </c>
    </row>
    <row r="1892" spans="1:2" x14ac:dyDescent="0.25">
      <c r="A1892">
        <v>464</v>
      </c>
      <c r="B1892" s="9" t="s">
        <v>819</v>
      </c>
    </row>
    <row r="1893" spans="1:2" x14ac:dyDescent="0.25">
      <c r="A1893">
        <v>465</v>
      </c>
      <c r="B1893" s="9" t="s">
        <v>818</v>
      </c>
    </row>
    <row r="1894" spans="1:2" x14ac:dyDescent="0.25">
      <c r="A1894">
        <v>466</v>
      </c>
      <c r="B1894" s="9" t="s">
        <v>817</v>
      </c>
    </row>
    <row r="1895" spans="1:2" x14ac:dyDescent="0.25">
      <c r="A1895">
        <v>467</v>
      </c>
      <c r="B1895" s="9" t="s">
        <v>816</v>
      </c>
    </row>
    <row r="1896" spans="1:2" x14ac:dyDescent="0.25">
      <c r="A1896">
        <v>468</v>
      </c>
      <c r="B1896" s="9" t="s">
        <v>815</v>
      </c>
    </row>
    <row r="1897" spans="1:2" x14ac:dyDescent="0.25">
      <c r="A1897">
        <v>469</v>
      </c>
      <c r="B1897" s="9" t="s">
        <v>814</v>
      </c>
    </row>
    <row r="1898" spans="1:2" x14ac:dyDescent="0.25">
      <c r="A1898">
        <v>470</v>
      </c>
      <c r="B1898" s="9" t="s">
        <v>813</v>
      </c>
    </row>
    <row r="1899" spans="1:2" x14ac:dyDescent="0.25">
      <c r="A1899">
        <v>471</v>
      </c>
      <c r="B1899" s="9" t="s">
        <v>812</v>
      </c>
    </row>
    <row r="1900" spans="1:2" x14ac:dyDescent="0.25">
      <c r="A1900">
        <v>472</v>
      </c>
      <c r="B1900" s="9" t="s">
        <v>811</v>
      </c>
    </row>
    <row r="1901" spans="1:2" x14ac:dyDescent="0.25">
      <c r="A1901">
        <v>473</v>
      </c>
      <c r="B1901" s="9" t="s">
        <v>810</v>
      </c>
    </row>
    <row r="1902" spans="1:2" x14ac:dyDescent="0.25">
      <c r="A1902">
        <v>474</v>
      </c>
      <c r="B1902" s="9" t="s">
        <v>809</v>
      </c>
    </row>
    <row r="1903" spans="1:2" x14ac:dyDescent="0.25">
      <c r="A1903">
        <v>475</v>
      </c>
      <c r="B1903" s="9" t="s">
        <v>808</v>
      </c>
    </row>
    <row r="1904" spans="1:2" x14ac:dyDescent="0.25">
      <c r="A1904">
        <v>476</v>
      </c>
      <c r="B1904" s="9" t="s">
        <v>807</v>
      </c>
    </row>
    <row r="1905" spans="1:2" x14ac:dyDescent="0.25">
      <c r="A1905">
        <v>477</v>
      </c>
      <c r="B1905" s="9" t="s">
        <v>806</v>
      </c>
    </row>
    <row r="1906" spans="1:2" x14ac:dyDescent="0.25">
      <c r="A1906">
        <v>478</v>
      </c>
      <c r="B1906" s="9" t="s">
        <v>805</v>
      </c>
    </row>
    <row r="1907" spans="1:2" x14ac:dyDescent="0.25">
      <c r="A1907">
        <v>479</v>
      </c>
      <c r="B1907" s="9" t="s">
        <v>804</v>
      </c>
    </row>
    <row r="1908" spans="1:2" x14ac:dyDescent="0.25">
      <c r="A1908">
        <v>480</v>
      </c>
      <c r="B1908" s="9" t="s">
        <v>803</v>
      </c>
    </row>
    <row r="1909" spans="1:2" x14ac:dyDescent="0.25">
      <c r="A1909">
        <v>481</v>
      </c>
      <c r="B1909" s="9" t="s">
        <v>802</v>
      </c>
    </row>
    <row r="1910" spans="1:2" x14ac:dyDescent="0.25">
      <c r="A1910">
        <v>482</v>
      </c>
      <c r="B1910" s="9" t="s">
        <v>801</v>
      </c>
    </row>
    <row r="1911" spans="1:2" x14ac:dyDescent="0.25">
      <c r="A1911">
        <v>483</v>
      </c>
      <c r="B1911" s="9" t="s">
        <v>800</v>
      </c>
    </row>
    <row r="1912" spans="1:2" x14ac:dyDescent="0.25">
      <c r="A1912">
        <v>484</v>
      </c>
      <c r="B1912" s="9" t="s">
        <v>799</v>
      </c>
    </row>
    <row r="1913" spans="1:2" x14ac:dyDescent="0.25">
      <c r="A1913">
        <v>485</v>
      </c>
      <c r="B1913" s="9" t="s">
        <v>798</v>
      </c>
    </row>
    <row r="1914" spans="1:2" x14ac:dyDescent="0.25">
      <c r="A1914">
        <v>486</v>
      </c>
      <c r="B1914" s="9" t="s">
        <v>797</v>
      </c>
    </row>
    <row r="1915" spans="1:2" x14ac:dyDescent="0.25">
      <c r="A1915">
        <v>487</v>
      </c>
      <c r="B1915" s="9" t="s">
        <v>796</v>
      </c>
    </row>
    <row r="1916" spans="1:2" x14ac:dyDescent="0.25">
      <c r="A1916">
        <v>488</v>
      </c>
      <c r="B1916" s="9" t="s">
        <v>795</v>
      </c>
    </row>
    <row r="1917" spans="1:2" x14ac:dyDescent="0.25">
      <c r="A1917">
        <v>489</v>
      </c>
      <c r="B1917" s="9" t="s">
        <v>794</v>
      </c>
    </row>
    <row r="1918" spans="1:2" x14ac:dyDescent="0.25">
      <c r="A1918">
        <v>490</v>
      </c>
      <c r="B1918" s="9" t="s">
        <v>793</v>
      </c>
    </row>
    <row r="1919" spans="1:2" x14ac:dyDescent="0.25">
      <c r="A1919">
        <v>491</v>
      </c>
      <c r="B1919" s="9" t="s">
        <v>792</v>
      </c>
    </row>
    <row r="1920" spans="1:2" x14ac:dyDescent="0.25">
      <c r="A1920">
        <v>492</v>
      </c>
      <c r="B1920" s="9" t="s">
        <v>791</v>
      </c>
    </row>
    <row r="1921" spans="1:2" x14ac:dyDescent="0.25">
      <c r="A1921">
        <v>493</v>
      </c>
      <c r="B1921" s="9" t="s">
        <v>790</v>
      </c>
    </row>
    <row r="1922" spans="1:2" x14ac:dyDescent="0.25">
      <c r="A1922">
        <v>494</v>
      </c>
      <c r="B1922" s="9" t="s">
        <v>789</v>
      </c>
    </row>
    <row r="1923" spans="1:2" x14ac:dyDescent="0.25">
      <c r="A1923">
        <v>495</v>
      </c>
      <c r="B1923" s="9" t="s">
        <v>788</v>
      </c>
    </row>
    <row r="1924" spans="1:2" x14ac:dyDescent="0.25">
      <c r="A1924">
        <v>496</v>
      </c>
      <c r="B1924" s="9" t="s">
        <v>787</v>
      </c>
    </row>
    <row r="1925" spans="1:2" x14ac:dyDescent="0.25">
      <c r="A1925">
        <v>497</v>
      </c>
      <c r="B1925" s="9" t="s">
        <v>786</v>
      </c>
    </row>
    <row r="1926" spans="1:2" x14ac:dyDescent="0.25">
      <c r="A1926">
        <v>498</v>
      </c>
      <c r="B1926" s="9" t="s">
        <v>785</v>
      </c>
    </row>
    <row r="1927" spans="1:2" x14ac:dyDescent="0.25">
      <c r="A1927">
        <v>499</v>
      </c>
      <c r="B1927" s="9" t="s">
        <v>784</v>
      </c>
    </row>
    <row r="1928" spans="1:2" x14ac:dyDescent="0.25">
      <c r="A1928">
        <v>500</v>
      </c>
      <c r="B1928" s="9" t="s">
        <v>783</v>
      </c>
    </row>
    <row r="1929" spans="1:2" x14ac:dyDescent="0.25">
      <c r="A1929">
        <v>501</v>
      </c>
      <c r="B1929" s="9" t="s">
        <v>782</v>
      </c>
    </row>
    <row r="1930" spans="1:2" x14ac:dyDescent="0.25">
      <c r="A1930">
        <v>502</v>
      </c>
      <c r="B1930" s="9" t="s">
        <v>781</v>
      </c>
    </row>
    <row r="1931" spans="1:2" x14ac:dyDescent="0.25">
      <c r="A1931">
        <v>503</v>
      </c>
      <c r="B1931" s="9" t="s">
        <v>780</v>
      </c>
    </row>
    <row r="1932" spans="1:2" x14ac:dyDescent="0.25">
      <c r="A1932">
        <v>504</v>
      </c>
      <c r="B1932" s="9" t="s">
        <v>779</v>
      </c>
    </row>
    <row r="1933" spans="1:2" x14ac:dyDescent="0.25">
      <c r="A1933">
        <v>505</v>
      </c>
      <c r="B1933" s="9" t="s">
        <v>778</v>
      </c>
    </row>
    <row r="1934" spans="1:2" x14ac:dyDescent="0.25">
      <c r="A1934">
        <v>506</v>
      </c>
      <c r="B1934" s="9" t="s">
        <v>777</v>
      </c>
    </row>
    <row r="1935" spans="1:2" x14ac:dyDescent="0.25">
      <c r="A1935">
        <v>507</v>
      </c>
      <c r="B1935" s="9" t="s">
        <v>776</v>
      </c>
    </row>
    <row r="1936" spans="1:2" x14ac:dyDescent="0.25">
      <c r="A1936">
        <v>508</v>
      </c>
      <c r="B1936" s="9" t="s">
        <v>775</v>
      </c>
    </row>
    <row r="1937" spans="1:2" x14ac:dyDescent="0.25">
      <c r="A1937">
        <v>509</v>
      </c>
      <c r="B1937" s="9" t="s">
        <v>774</v>
      </c>
    </row>
    <row r="1938" spans="1:2" x14ac:dyDescent="0.25">
      <c r="A1938">
        <v>510</v>
      </c>
      <c r="B1938" s="9" t="s">
        <v>773</v>
      </c>
    </row>
    <row r="1939" spans="1:2" x14ac:dyDescent="0.25">
      <c r="A1939">
        <v>511</v>
      </c>
      <c r="B1939" s="9" t="s">
        <v>772</v>
      </c>
    </row>
    <row r="1940" spans="1:2" x14ac:dyDescent="0.25">
      <c r="A1940">
        <v>512</v>
      </c>
      <c r="B1940" s="9" t="s">
        <v>771</v>
      </c>
    </row>
    <row r="1941" spans="1:2" x14ac:dyDescent="0.25">
      <c r="A1941">
        <v>513</v>
      </c>
      <c r="B1941" s="9" t="s">
        <v>770</v>
      </c>
    </row>
    <row r="1942" spans="1:2" x14ac:dyDescent="0.25">
      <c r="A1942">
        <v>514</v>
      </c>
      <c r="B1942" s="9" t="s">
        <v>769</v>
      </c>
    </row>
    <row r="1943" spans="1:2" x14ac:dyDescent="0.25">
      <c r="A1943">
        <v>515</v>
      </c>
      <c r="B1943" s="9" t="s">
        <v>768</v>
      </c>
    </row>
    <row r="1944" spans="1:2" x14ac:dyDescent="0.25">
      <c r="A1944">
        <v>516</v>
      </c>
      <c r="B1944" s="9" t="s">
        <v>767</v>
      </c>
    </row>
    <row r="1945" spans="1:2" x14ac:dyDescent="0.25">
      <c r="A1945">
        <v>517</v>
      </c>
      <c r="B1945" s="9" t="s">
        <v>766</v>
      </c>
    </row>
    <row r="1946" spans="1:2" x14ac:dyDescent="0.25">
      <c r="A1946">
        <v>518</v>
      </c>
      <c r="B1946" s="9" t="s">
        <v>765</v>
      </c>
    </row>
    <row r="1947" spans="1:2" x14ac:dyDescent="0.25">
      <c r="A1947">
        <v>519</v>
      </c>
      <c r="B1947" s="9" t="s">
        <v>764</v>
      </c>
    </row>
    <row r="1948" spans="1:2" x14ac:dyDescent="0.25">
      <c r="A1948">
        <v>520</v>
      </c>
      <c r="B1948" s="9" t="s">
        <v>763</v>
      </c>
    </row>
    <row r="1949" spans="1:2" x14ac:dyDescent="0.25">
      <c r="A1949">
        <v>521</v>
      </c>
      <c r="B1949" s="9" t="s">
        <v>762</v>
      </c>
    </row>
    <row r="1950" spans="1:2" x14ac:dyDescent="0.25">
      <c r="A1950">
        <v>522</v>
      </c>
      <c r="B1950" s="9" t="s">
        <v>761</v>
      </c>
    </row>
    <row r="1951" spans="1:2" x14ac:dyDescent="0.25">
      <c r="A1951">
        <v>523</v>
      </c>
      <c r="B1951" s="9" t="s">
        <v>760</v>
      </c>
    </row>
    <row r="1952" spans="1:2" x14ac:dyDescent="0.25">
      <c r="A1952">
        <v>524</v>
      </c>
      <c r="B1952" s="9" t="s">
        <v>759</v>
      </c>
    </row>
    <row r="1953" spans="1:2" x14ac:dyDescent="0.25">
      <c r="A1953">
        <v>525</v>
      </c>
      <c r="B1953" s="9" t="s">
        <v>758</v>
      </c>
    </row>
    <row r="1954" spans="1:2" x14ac:dyDescent="0.25">
      <c r="A1954">
        <v>526</v>
      </c>
      <c r="B1954" s="9" t="s">
        <v>757</v>
      </c>
    </row>
    <row r="1955" spans="1:2" x14ac:dyDescent="0.25">
      <c r="A1955">
        <v>527</v>
      </c>
      <c r="B1955" s="9" t="s">
        <v>756</v>
      </c>
    </row>
    <row r="1956" spans="1:2" x14ac:dyDescent="0.25">
      <c r="A1956">
        <v>528</v>
      </c>
      <c r="B1956" s="9" t="s">
        <v>755</v>
      </c>
    </row>
    <row r="1957" spans="1:2" x14ac:dyDescent="0.25">
      <c r="A1957">
        <v>529</v>
      </c>
      <c r="B1957" s="9" t="s">
        <v>754</v>
      </c>
    </row>
    <row r="1958" spans="1:2" x14ac:dyDescent="0.25">
      <c r="A1958">
        <v>530</v>
      </c>
      <c r="B1958" s="9" t="s">
        <v>753</v>
      </c>
    </row>
    <row r="1959" spans="1:2" x14ac:dyDescent="0.25">
      <c r="A1959">
        <v>531</v>
      </c>
      <c r="B1959" s="9" t="s">
        <v>752</v>
      </c>
    </row>
    <row r="1960" spans="1:2" x14ac:dyDescent="0.25">
      <c r="A1960">
        <v>532</v>
      </c>
      <c r="B1960" s="9" t="s">
        <v>751</v>
      </c>
    </row>
    <row r="1961" spans="1:2" x14ac:dyDescent="0.25">
      <c r="A1961">
        <v>533</v>
      </c>
      <c r="B1961" s="9" t="s">
        <v>750</v>
      </c>
    </row>
    <row r="1962" spans="1:2" x14ac:dyDescent="0.25">
      <c r="A1962">
        <v>534</v>
      </c>
      <c r="B1962" s="9" t="s">
        <v>749</v>
      </c>
    </row>
    <row r="1963" spans="1:2" x14ac:dyDescent="0.25">
      <c r="A1963">
        <v>535</v>
      </c>
      <c r="B1963" s="9" t="s">
        <v>748</v>
      </c>
    </row>
    <row r="1964" spans="1:2" x14ac:dyDescent="0.25">
      <c r="A1964">
        <v>536</v>
      </c>
      <c r="B1964" s="9" t="s">
        <v>747</v>
      </c>
    </row>
    <row r="1965" spans="1:2" x14ac:dyDescent="0.25">
      <c r="A1965">
        <v>537</v>
      </c>
      <c r="B1965" s="9" t="s">
        <v>746</v>
      </c>
    </row>
    <row r="1966" spans="1:2" x14ac:dyDescent="0.25">
      <c r="A1966">
        <v>538</v>
      </c>
      <c r="B1966" s="9" t="s">
        <v>745</v>
      </c>
    </row>
    <row r="1967" spans="1:2" x14ac:dyDescent="0.25">
      <c r="A1967">
        <v>539</v>
      </c>
      <c r="B1967" s="9" t="s">
        <v>744</v>
      </c>
    </row>
    <row r="1968" spans="1:2" x14ac:dyDescent="0.25">
      <c r="A1968">
        <v>540</v>
      </c>
      <c r="B1968" s="9" t="s">
        <v>743</v>
      </c>
    </row>
    <row r="1969" spans="1:2" x14ac:dyDescent="0.25">
      <c r="A1969">
        <v>541</v>
      </c>
      <c r="B1969" s="9" t="s">
        <v>742</v>
      </c>
    </row>
    <row r="1970" spans="1:2" x14ac:dyDescent="0.25">
      <c r="A1970">
        <v>542</v>
      </c>
      <c r="B1970" s="9" t="s">
        <v>741</v>
      </c>
    </row>
    <row r="1971" spans="1:2" x14ac:dyDescent="0.25">
      <c r="A1971">
        <v>543</v>
      </c>
      <c r="B1971" s="9" t="s">
        <v>740</v>
      </c>
    </row>
    <row r="1973" spans="1:2" x14ac:dyDescent="0.25">
      <c r="A1973">
        <v>-27</v>
      </c>
    </row>
    <row r="1974" spans="1:2" x14ac:dyDescent="0.25">
      <c r="A1974">
        <f>543-27</f>
        <v>516</v>
      </c>
    </row>
  </sheetData>
  <mergeCells count="48">
    <mergeCell ref="D1408:D1409"/>
    <mergeCell ref="B845:P845"/>
    <mergeCell ref="B913:P913"/>
    <mergeCell ref="B551:P551"/>
    <mergeCell ref="B770:P770"/>
    <mergeCell ref="B801:P801"/>
    <mergeCell ref="B646:P646"/>
    <mergeCell ref="B858:P858"/>
    <mergeCell ref="B876:P876"/>
    <mergeCell ref="B866:P866"/>
    <mergeCell ref="B1351:P1351"/>
    <mergeCell ref="B980:P980"/>
    <mergeCell ref="B1156:P1156"/>
    <mergeCell ref="B991:P991"/>
    <mergeCell ref="B1067:P1067"/>
    <mergeCell ref="B1025:P1025"/>
    <mergeCell ref="B3:O3"/>
    <mergeCell ref="B45:P45"/>
    <mergeCell ref="B98:P98"/>
    <mergeCell ref="B373:P373"/>
    <mergeCell ref="B200:P200"/>
    <mergeCell ref="B160:P160"/>
    <mergeCell ref="B1426:P1426"/>
    <mergeCell ref="B1318:P1318"/>
    <mergeCell ref="B1280:P1280"/>
    <mergeCell ref="B1333:P1333"/>
    <mergeCell ref="B1222:P1222"/>
    <mergeCell ref="B1355:D1355"/>
    <mergeCell ref="B1356:B1357"/>
    <mergeCell ref="C1356:C1357"/>
    <mergeCell ref="D1356:D1357"/>
    <mergeCell ref="B1382:D1383"/>
    <mergeCell ref="B1384:B1385"/>
    <mergeCell ref="C1384:C1385"/>
    <mergeCell ref="D1384:D1385"/>
    <mergeCell ref="B1406:D1407"/>
    <mergeCell ref="B1408:B1409"/>
    <mergeCell ref="C1408:C1409"/>
    <mergeCell ref="C447:C449"/>
    <mergeCell ref="B959:P959"/>
    <mergeCell ref="B884:P884"/>
    <mergeCell ref="B928:P928"/>
    <mergeCell ref="B944:P944"/>
    <mergeCell ref="B1059:P1059"/>
    <mergeCell ref="B1100:P1100"/>
    <mergeCell ref="B813:P813"/>
    <mergeCell ref="B836:P836"/>
    <mergeCell ref="C450:C451"/>
  </mergeCells>
  <hyperlinks>
    <hyperlink ref="B304" r:id="rId1" display="Pets@Home FCF Calc" xr:uid="{2E13797B-581B-4A46-ABA2-3B52FDA0224C}"/>
    <hyperlink ref="B335" r:id="rId2" display="Pets@Home FCF Calc" xr:uid="{31D21D54-60BA-4CE1-A2E5-A2DE00DCC349}"/>
  </hyperlinks>
  <pageMargins left="0.7" right="0.7" top="0.75" bottom="0.75" header="0.3" footer="0.3"/>
  <pageSetup paperSize="9"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C37" sqref="C3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CVSG</vt:lpstr>
      <vt:lpstr>PETS</vt:lpstr>
      <vt:lpstr>PVG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Fation Burrniku</dc:creator>
  <cp:lastModifiedBy>F B</cp:lastModifiedBy>
  <dcterms:created xsi:type="dcterms:W3CDTF">2020-05-12T11:27:33Z</dcterms:created>
  <dcterms:modified xsi:type="dcterms:W3CDTF">2022-07-31T20:31:49Z</dcterms:modified>
</cp:coreProperties>
</file>