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.sharepoint.com/sites/DocumentacinSRM/Shared Documents/General/Repo Propuestas/2024/Mexico/SAP/1604179 (SRMMX24-130) Consolidación e implementación de Dashboards con Dynatrace/V0/"/>
    </mc:Choice>
  </mc:AlternateContent>
  <xr:revisionPtr revIDLastSave="110" documentId="8_{5328F343-727E-48A0-8C28-1A5E9AFE552E}" xr6:coauthVersionLast="47" xr6:coauthVersionMax="47" xr10:uidLastSave="{4EF15D7E-7ACD-47CE-AFD1-82F494FDDDF7}"/>
  <bookViews>
    <workbookView xWindow="-108" yWindow="-108" windowWidth="23256" windowHeight="12576" activeTab="1" xr2:uid="{719C54C9-DFE0-4FB6-B422-ED8B9026EEB3}"/>
  </bookViews>
  <sheets>
    <sheet name="All" sheetId="1" r:id="rId1"/>
    <sheet name="Dashboards Dynatra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1" i="3" l="1"/>
  <c r="F5" i="3"/>
  <c r="G5" i="3" s="1"/>
  <c r="F6" i="3"/>
  <c r="G6" i="3" s="1"/>
  <c r="F7" i="3"/>
  <c r="G7" i="3" s="1"/>
  <c r="F8" i="3"/>
  <c r="G8" i="3" s="1"/>
  <c r="F12" i="3"/>
  <c r="G12" i="3" s="1"/>
  <c r="F13" i="3"/>
  <c r="G13" i="3" s="1"/>
  <c r="F14" i="3"/>
  <c r="G14" i="3" s="1"/>
  <c r="F15" i="3"/>
  <c r="G15" i="3" s="1"/>
  <c r="C16" i="3"/>
  <c r="C17" i="3" s="1"/>
  <c r="H12" i="3" l="1"/>
  <c r="I12" i="3" s="1"/>
  <c r="K12" i="3" s="1"/>
  <c r="L12" i="3" s="1"/>
  <c r="G16" i="3"/>
  <c r="H13" i="3"/>
  <c r="I13" i="3" s="1"/>
  <c r="K13" i="3" s="1"/>
  <c r="L13" i="3" s="1"/>
  <c r="N13" i="3" s="1"/>
  <c r="H8" i="3"/>
  <c r="I8" i="3" s="1"/>
  <c r="K8" i="3" s="1"/>
  <c r="L8" i="3" s="1"/>
  <c r="N8" i="3" s="1"/>
  <c r="H14" i="3"/>
  <c r="I14" i="3" s="1"/>
  <c r="K14" i="3" s="1"/>
  <c r="L14" i="3" s="1"/>
  <c r="H7" i="3"/>
  <c r="I7" i="3" s="1"/>
  <c r="K7" i="3" s="1"/>
  <c r="L7" i="3" s="1"/>
  <c r="H15" i="3"/>
  <c r="I15" i="3" s="1"/>
  <c r="K15" i="3" s="1"/>
  <c r="L15" i="3" s="1"/>
  <c r="N15" i="3" s="1"/>
  <c r="H6" i="3"/>
  <c r="I6" i="3" s="1"/>
  <c r="K6" i="3" s="1"/>
  <c r="L6" i="3" s="1"/>
  <c r="N6" i="3" s="1"/>
  <c r="H5" i="3"/>
  <c r="I5" i="3" s="1"/>
  <c r="K5" i="3" s="1"/>
  <c r="L5" i="3" s="1"/>
  <c r="G9" i="3"/>
  <c r="G3" i="1"/>
  <c r="G4" i="1"/>
  <c r="G5" i="1"/>
  <c r="G6" i="1"/>
  <c r="G2" i="1"/>
  <c r="G7" i="1" s="1"/>
  <c r="G11" i="1"/>
  <c r="F7" i="1"/>
  <c r="E7" i="1"/>
  <c r="L16" i="3" l="1"/>
  <c r="L17" i="3" s="1"/>
  <c r="N12" i="3"/>
  <c r="N5" i="3"/>
  <c r="L9" i="3"/>
  <c r="K9" i="3"/>
  <c r="K16" i="3"/>
  <c r="H9" i="3"/>
  <c r="I9" i="3"/>
  <c r="H16" i="3"/>
  <c r="I16" i="3"/>
  <c r="K17" i="3" l="1"/>
</calcChain>
</file>

<file path=xl/sharedStrings.xml><?xml version="1.0" encoding="utf-8"?>
<sst xmlns="http://schemas.openxmlformats.org/spreadsheetml/2006/main" count="83" uniqueCount="57">
  <si>
    <t>Consolidación e implementación de Dashboards con Dynatrace</t>
  </si>
  <si>
    <t>Implementacion y puesta a Punto de Tanium</t>
  </si>
  <si>
    <t>Integrar IDM con KIT para generación automática solicitudes de asignación de equipos en el módulo de control de activos y migración de funcionalidad KAP a KIT</t>
  </si>
  <si>
    <t>Harness Optimización de Nube - SaaS</t>
  </si>
  <si>
    <t>Harness Optimización de Nube - Implementación y Adimistración 12 meses</t>
  </si>
  <si>
    <t>SRM fuera de Fondo de Innovacion</t>
  </si>
  <si>
    <t>SRMMX24-128</t>
  </si>
  <si>
    <t>SRMMX24-129</t>
  </si>
  <si>
    <t>SRMMX24-130</t>
  </si>
  <si>
    <t>SRMMX24-131</t>
  </si>
  <si>
    <t>SRMMX24-132</t>
  </si>
  <si>
    <t>SRMMX24-133</t>
  </si>
  <si>
    <t>SRM</t>
  </si>
  <si>
    <t>Descripción</t>
  </si>
  <si>
    <t>Entregado. Esperando firma de Jorge Luis García. Cambio de nombre</t>
  </si>
  <si>
    <t>Cliente</t>
  </si>
  <si>
    <t>Corporativo</t>
  </si>
  <si>
    <t>SAP</t>
  </si>
  <si>
    <t>Estatus</t>
  </si>
  <si>
    <t>Cancelar y retomar cuando haya información, referenciando a este número de SRM</t>
  </si>
  <si>
    <t xml:space="preserve">Implementación del modulo de admistración de documentos de Arquitectura (incuyendo Inteligencia Artificial) </t>
  </si>
  <si>
    <t>Esta en fase de diseño. En la semana del 29/07 se concluirá el diseño para generar SRM. Se va a dividir alcance y se deberá generar un SRM adicional.</t>
  </si>
  <si>
    <t>Hoy se entrega ppt. Se debe generar un SRM adicional para la parte de IA.</t>
  </si>
  <si>
    <t>Presupuestado USD</t>
  </si>
  <si>
    <t>Real USD</t>
  </si>
  <si>
    <t>Diferencia USD</t>
  </si>
  <si>
    <t>Entregado en ppt</t>
  </si>
  <si>
    <t>Reunión con Rudy C. y Arturo de la Rosa para definir alcance. Cancelar mientras se define el alcance. Posible alcance: 1. Consolidación Dashboards en Dynatrace DXC. 2. Assessment DCC. 3. Tableros Sistemas Legados. 4. Capas adicionales de monitoreo en Dynatrace. Hacer presentación con este alcance para validar con cliente</t>
  </si>
  <si>
    <t>Presupuesto Original</t>
  </si>
  <si>
    <t>TOTAL</t>
  </si>
  <si>
    <t>Mexico</t>
  </si>
  <si>
    <t>Apps Leader</t>
  </si>
  <si>
    <t>Account</t>
  </si>
  <si>
    <t>India</t>
  </si>
  <si>
    <t>Automation SME</t>
  </si>
  <si>
    <t>DCC Consultant</t>
  </si>
  <si>
    <t>Price</t>
  </si>
  <si>
    <t>Margin</t>
  </si>
  <si>
    <t>Total Cost</t>
  </si>
  <si>
    <t>Risk</t>
  </si>
  <si>
    <t>Cost</t>
  </si>
  <si>
    <t>Hours</t>
  </si>
  <si>
    <t>Rate</t>
  </si>
  <si>
    <t>Country</t>
  </si>
  <si>
    <t>FTE</t>
  </si>
  <si>
    <t>Job Level</t>
  </si>
  <si>
    <t>Role</t>
  </si>
  <si>
    <t>6 weeks</t>
  </si>
  <si>
    <t>DCC Assessment</t>
  </si>
  <si>
    <t>Dynatrace Architect</t>
  </si>
  <si>
    <t>Sr. Dynatrace Analyst</t>
  </si>
  <si>
    <t xml:space="preserve"> 4weeks</t>
  </si>
  <si>
    <t>DYNATRACE</t>
  </si>
  <si>
    <t>USDMXN</t>
  </si>
  <si>
    <t>Tarifa KOF</t>
  </si>
  <si>
    <t>Precio MXN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</si>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</sst>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44" fontId="1" fillId="0" borderId="1" xfId="1" applyFont="1" applyFill="1" applyBorder="1" applyAlignment="1">
      <alignment vertical="center"/>
    </xf>
    <xf numFmtId="44" fontId="1" fillId="0" borderId="0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0" xfId="2" applyFont="1"/>
    <xf numFmtId="9" fontId="0" fillId="0" borderId="1" xfId="2" applyNumberFormat="1" applyFont="1" applyBorder="1"/>
    <xf numFmtId="164" fontId="0" fillId="0" borderId="1" xfId="2" applyFont="1" applyBorder="1"/>
    <xf numFmtId="0" fontId="0" fillId="0" borderId="1" xfId="0" applyBorder="1"/>
    <xf numFmtId="9" fontId="0" fillId="0" borderId="0" xfId="0" applyNumberFormat="1"/>
    <xf numFmtId="0" fontId="4" fillId="0" borderId="0" xfId="0" applyFont="1"/>
    <xf numFmtId="0" fontId="3" fillId="2" borderId="0" xfId="0" applyFont="1" applyFill="1"/>
    <xf numFmtId="0" fontId="5" fillId="2" borderId="0" xfId="0" applyFont="1" applyFill="1"/>
    <xf numFmtId="17" fontId="0" fillId="0" borderId="0" xfId="0" applyNumberFormat="1"/>
    <xf numFmtId="0" fontId="3" fillId="2" borderId="0" xfId="0" applyFont="1" applyFill="1" applyBorder="1"/>
    <xf numFmtId="0" fontId="3" fillId="2" borderId="1" xfId="0" applyFont="1" applyFill="1" applyBorder="1"/>
    <xf numFmtId="164" fontId="0" fillId="0" borderId="1" xfId="0" applyNumberFormat="1" applyBorder="1"/>
    <xf numFmtId="164" fontId="2" fillId="0" borderId="0" xfId="0" applyNumberFormat="1" applyFont="1" applyBorder="1"/>
    <xf numFmtId="164" fontId="2" fillId="0" borderId="0" xfId="2" applyFont="1" applyFill="1" applyBorder="1"/>
    <xf numFmtId="0" fontId="2" fillId="0" borderId="0" xfId="0" applyFont="1" applyBorder="1"/>
    <xf numFmtId="164" fontId="3" fillId="2" borderId="0" xfId="0" applyNumberFormat="1" applyFont="1" applyFill="1" applyBorder="1"/>
    <xf numFmtId="44" fontId="1" fillId="3" borderId="1" xfId="1" applyFont="1" applyFill="1" applyBorder="1" applyAlignment="1">
      <alignment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40E6-6819-49EF-85E2-9CACF580B3AA}">
  <dimension ref="B1:H11"/>
  <sheetViews>
    <sheetView zoomScaleNormal="100" workbookViewId="0">
      <selection activeCell="E3" sqref="E3"/>
    </sheetView>
  </sheetViews>
  <sheetFormatPr baseColWidth="10" defaultColWidth="8.88671875" defaultRowHeight="14.4" x14ac:dyDescent="0.3"/>
  <cols>
    <col min="2" max="2" width="14.88671875" customWidth="1"/>
    <col min="3" max="3" width="55.109375" customWidth="1"/>
    <col min="4" max="4" width="11.44140625" bestFit="1" customWidth="1"/>
    <col min="5" max="5" width="14.88671875" style="1" customWidth="1"/>
    <col min="6" max="7" width="14" customWidth="1"/>
    <col min="8" max="8" width="58.109375" customWidth="1"/>
  </cols>
  <sheetData>
    <row r="1" spans="2:8" ht="28.8" x14ac:dyDescent="0.3">
      <c r="B1" s="10" t="s">
        <v>12</v>
      </c>
      <c r="C1" s="10" t="s">
        <v>13</v>
      </c>
      <c r="D1" s="10" t="s">
        <v>15</v>
      </c>
      <c r="E1" s="10" t="s">
        <v>23</v>
      </c>
      <c r="F1" s="10" t="s">
        <v>24</v>
      </c>
      <c r="G1" s="10" t="s">
        <v>25</v>
      </c>
      <c r="H1" s="10" t="s">
        <v>18</v>
      </c>
    </row>
    <row r="2" spans="2:8" x14ac:dyDescent="0.3">
      <c r="B2" s="11" t="s">
        <v>6</v>
      </c>
      <c r="C2" s="2" t="s">
        <v>3</v>
      </c>
      <c r="D2" s="2" t="s">
        <v>16</v>
      </c>
      <c r="E2" s="8">
        <v>400000</v>
      </c>
      <c r="F2" s="8">
        <v>400000</v>
      </c>
      <c r="G2" s="8">
        <f>E2-F2</f>
        <v>0</v>
      </c>
      <c r="H2" s="2" t="s">
        <v>14</v>
      </c>
    </row>
    <row r="3" spans="2:8" ht="86.4" x14ac:dyDescent="0.3">
      <c r="B3" s="11" t="s">
        <v>8</v>
      </c>
      <c r="C3" s="2" t="s">
        <v>0</v>
      </c>
      <c r="D3" s="2" t="s">
        <v>16</v>
      </c>
      <c r="E3" s="28">
        <v>150000</v>
      </c>
      <c r="F3" s="8"/>
      <c r="G3" s="8">
        <f t="shared" ref="G3:G6" si="0">E3-F3</f>
        <v>150000</v>
      </c>
      <c r="H3" s="2" t="s">
        <v>27</v>
      </c>
    </row>
    <row r="4" spans="2:8" ht="28.8" x14ac:dyDescent="0.3">
      <c r="B4" s="11" t="s">
        <v>9</v>
      </c>
      <c r="C4" s="2" t="s">
        <v>20</v>
      </c>
      <c r="D4" s="2" t="s">
        <v>16</v>
      </c>
      <c r="E4" s="8">
        <v>250000</v>
      </c>
      <c r="F4" s="8">
        <v>166726.03281270081</v>
      </c>
      <c r="G4" s="8">
        <f t="shared" si="0"/>
        <v>83273.967187299189</v>
      </c>
      <c r="H4" s="2" t="s">
        <v>22</v>
      </c>
    </row>
    <row r="5" spans="2:8" ht="43.2" x14ac:dyDescent="0.3">
      <c r="B5" s="11" t="s">
        <v>10</v>
      </c>
      <c r="C5" s="2" t="s">
        <v>2</v>
      </c>
      <c r="D5" s="2" t="s">
        <v>16</v>
      </c>
      <c r="E5" s="8">
        <v>90000</v>
      </c>
      <c r="F5" s="8"/>
      <c r="G5" s="8">
        <f t="shared" si="0"/>
        <v>90000</v>
      </c>
      <c r="H5" s="2" t="s">
        <v>21</v>
      </c>
    </row>
    <row r="6" spans="2:8" ht="28.8" x14ac:dyDescent="0.3">
      <c r="B6" s="11" t="s">
        <v>11</v>
      </c>
      <c r="C6" s="3" t="s">
        <v>1</v>
      </c>
      <c r="D6" s="3" t="s">
        <v>16</v>
      </c>
      <c r="E6" s="8">
        <v>110000</v>
      </c>
      <c r="F6" s="8"/>
      <c r="G6" s="8">
        <f t="shared" si="0"/>
        <v>110000</v>
      </c>
      <c r="H6" s="2" t="s">
        <v>19</v>
      </c>
    </row>
    <row r="7" spans="2:8" x14ac:dyDescent="0.3">
      <c r="B7" s="4"/>
      <c r="C7" s="5"/>
      <c r="D7" s="5"/>
      <c r="E7" s="6">
        <f>SUM(E2:E6)</f>
        <v>1000000</v>
      </c>
      <c r="F7" s="6">
        <f>SUM(F2:F6)</f>
        <v>566726.03281270084</v>
      </c>
      <c r="G7" s="6">
        <f>SUM(G2:G6)</f>
        <v>433273.96718729916</v>
      </c>
      <c r="H7" s="7"/>
    </row>
    <row r="8" spans="2:8" x14ac:dyDescent="0.3">
      <c r="B8" s="4"/>
      <c r="C8" s="5"/>
      <c r="D8" s="5"/>
      <c r="E8" s="9"/>
      <c r="F8" s="4"/>
      <c r="G8" s="4"/>
      <c r="H8" s="7"/>
    </row>
    <row r="9" spans="2:8" x14ac:dyDescent="0.3">
      <c r="B9" s="4"/>
      <c r="C9" s="5"/>
      <c r="D9" s="5"/>
      <c r="E9" s="9"/>
      <c r="F9" s="4"/>
      <c r="G9" s="4"/>
      <c r="H9" s="7"/>
    </row>
    <row r="10" spans="2:8" x14ac:dyDescent="0.3">
      <c r="B10" s="5" t="s">
        <v>5</v>
      </c>
      <c r="C10" s="4"/>
      <c r="D10" s="4"/>
      <c r="E10" s="4"/>
      <c r="F10" s="4"/>
      <c r="G10" s="4"/>
      <c r="H10" s="7"/>
    </row>
    <row r="11" spans="2:8" ht="28.8" x14ac:dyDescent="0.3">
      <c r="B11" s="3" t="s">
        <v>7</v>
      </c>
      <c r="C11" s="2" t="s">
        <v>4</v>
      </c>
      <c r="D11" s="2" t="s">
        <v>17</v>
      </c>
      <c r="E11" s="8">
        <v>250000</v>
      </c>
      <c r="F11" s="8">
        <v>196843.6</v>
      </c>
      <c r="G11" s="8">
        <f>E11-F11</f>
        <v>53156.399999999994</v>
      </c>
      <c r="H11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EEDD-CD1D-4CD6-94A5-4779630B4DA6}">
  <dimension ref="A1:N17"/>
  <sheetViews>
    <sheetView tabSelected="1" topLeftCell="A3" workbookViewId="0">
      <selection activeCell="C22" sqref="C22"/>
    </sheetView>
  </sheetViews>
  <sheetFormatPr baseColWidth="10" defaultColWidth="8.88671875" defaultRowHeight="14.4" x14ac:dyDescent="0.3"/>
  <cols>
    <col min="1" max="1" width="25.6640625" bestFit="1" customWidth="1"/>
    <col min="2" max="2" width="11.5546875" bestFit="1" customWidth="1"/>
    <col min="5" max="5" width="9.109375" bestFit="1" customWidth="1"/>
    <col min="6" max="6" width="8.88671875" bestFit="1" customWidth="1"/>
    <col min="7" max="7" width="11.109375" bestFit="1" customWidth="1"/>
    <col min="8" max="8" width="9.5546875" bestFit="1" customWidth="1"/>
    <col min="9" max="9" width="11.109375" bestFit="1" customWidth="1"/>
    <col min="11" max="11" width="11.109375" bestFit="1" customWidth="1"/>
    <col min="12" max="12" width="11.44140625" bestFit="1" customWidth="1"/>
    <col min="13" max="13" width="10" bestFit="1" customWidth="1"/>
  </cols>
  <sheetData>
    <row r="1" spans="1:14" x14ac:dyDescent="0.3">
      <c r="A1" s="18" t="s">
        <v>28</v>
      </c>
      <c r="B1" s="12">
        <f>All!E3</f>
        <v>150000</v>
      </c>
      <c r="D1" s="18" t="s">
        <v>53</v>
      </c>
      <c r="E1">
        <v>18.625050000000002</v>
      </c>
      <c r="F1" s="20">
        <v>45505</v>
      </c>
    </row>
    <row r="2" spans="1:14" x14ac:dyDescent="0.3">
      <c r="B2" s="12"/>
    </row>
    <row r="3" spans="1:14" ht="21" x14ac:dyDescent="0.4">
      <c r="A3" s="19" t="s">
        <v>52</v>
      </c>
      <c r="B3" s="18" t="s">
        <v>51</v>
      </c>
      <c r="F3" s="17">
        <v>169</v>
      </c>
      <c r="H3" s="16">
        <v>0.08</v>
      </c>
    </row>
    <row r="4" spans="1:14" x14ac:dyDescent="0.3">
      <c r="A4" s="22" t="s">
        <v>46</v>
      </c>
      <c r="B4" s="22" t="s">
        <v>45</v>
      </c>
      <c r="C4" s="22" t="s">
        <v>44</v>
      </c>
      <c r="D4" s="22" t="s">
        <v>43</v>
      </c>
      <c r="E4" s="22" t="s">
        <v>42</v>
      </c>
      <c r="F4" s="22" t="s">
        <v>41</v>
      </c>
      <c r="G4" s="22" t="s">
        <v>40</v>
      </c>
      <c r="H4" s="22" t="s">
        <v>39</v>
      </c>
      <c r="I4" s="22" t="s">
        <v>38</v>
      </c>
      <c r="J4" s="22" t="s">
        <v>37</v>
      </c>
      <c r="K4" s="22" t="s">
        <v>36</v>
      </c>
      <c r="L4" s="22" t="s">
        <v>55</v>
      </c>
      <c r="M4" s="22" t="s">
        <v>54</v>
      </c>
      <c r="N4" s="22" t="s">
        <v>56</v>
      </c>
    </row>
    <row r="5" spans="1:14" x14ac:dyDescent="0.3">
      <c r="A5" s="15" t="s">
        <v>50</v>
      </c>
      <c r="B5" s="15">
        <v>10</v>
      </c>
      <c r="C5" s="15">
        <v>0.75</v>
      </c>
      <c r="D5" s="15" t="s">
        <v>33</v>
      </c>
      <c r="E5" s="14">
        <v>13.66</v>
      </c>
      <c r="F5" s="14">
        <f>C5*$F$3</f>
        <v>126.75</v>
      </c>
      <c r="G5" s="14">
        <f>E5*F5</f>
        <v>1731.405</v>
      </c>
      <c r="H5" s="14">
        <f>G5*$H$3</f>
        <v>138.51240000000001</v>
      </c>
      <c r="I5" s="14">
        <f>G5+H5</f>
        <v>1869.9174</v>
      </c>
      <c r="J5" s="13">
        <v>0.45</v>
      </c>
      <c r="K5" s="14">
        <f>I5/(1-J5)</f>
        <v>3399.8498181818181</v>
      </c>
      <c r="L5" s="23">
        <f>K5*$E$1</f>
        <v>63322.37285612728</v>
      </c>
      <c r="M5" s="14">
        <v>2133.2046615591398</v>
      </c>
      <c r="N5" s="15">
        <f>ROUNDUP(L5/M5,0)</f>
        <v>30</v>
      </c>
    </row>
    <row r="6" spans="1:14" x14ac:dyDescent="0.3">
      <c r="A6" s="15" t="s">
        <v>49</v>
      </c>
      <c r="B6" s="15">
        <v>9</v>
      </c>
      <c r="C6" s="15">
        <v>0.25</v>
      </c>
      <c r="D6" s="15" t="s">
        <v>33</v>
      </c>
      <c r="E6" s="14">
        <v>17.64</v>
      </c>
      <c r="F6" s="14">
        <f>C6*$F$3</f>
        <v>42.25</v>
      </c>
      <c r="G6" s="14">
        <f>E6*F6</f>
        <v>745.29000000000008</v>
      </c>
      <c r="H6" s="14">
        <f>G6*$H$3</f>
        <v>59.623200000000004</v>
      </c>
      <c r="I6" s="14">
        <f>G6+H6</f>
        <v>804.91320000000007</v>
      </c>
      <c r="J6" s="13">
        <v>0.45</v>
      </c>
      <c r="K6" s="14">
        <f>I6/(1-J6)</f>
        <v>1463.4785454545454</v>
      </c>
      <c r="L6" s="23">
        <f t="shared" ref="L6:L8" si="0">K6*$E$1</f>
        <v>27257.361083018182</v>
      </c>
      <c r="M6" s="14">
        <v>2133.2046615591398</v>
      </c>
      <c r="N6" s="15">
        <f t="shared" ref="N6:N8" si="1">ROUNDUP(L6/M6,0)</f>
        <v>13</v>
      </c>
    </row>
    <row r="7" spans="1:14" x14ac:dyDescent="0.3">
      <c r="A7" s="15" t="s">
        <v>32</v>
      </c>
      <c r="B7" s="15">
        <v>8</v>
      </c>
      <c r="C7" s="15">
        <v>0</v>
      </c>
      <c r="D7" s="15" t="s">
        <v>30</v>
      </c>
      <c r="E7" s="15">
        <v>43.3</v>
      </c>
      <c r="F7" s="14">
        <f>C7*$F$3</f>
        <v>0</v>
      </c>
      <c r="G7" s="14">
        <f>E7*F7</f>
        <v>0</v>
      </c>
      <c r="H7" s="14">
        <f>G7*$H$3</f>
        <v>0</v>
      </c>
      <c r="I7" s="14">
        <f>G7+H7</f>
        <v>0</v>
      </c>
      <c r="J7" s="13">
        <v>0.45</v>
      </c>
      <c r="K7" s="14">
        <f>I7/(1-J7)</f>
        <v>0</v>
      </c>
      <c r="L7" s="23">
        <f t="shared" si="0"/>
        <v>0</v>
      </c>
      <c r="M7" s="14"/>
      <c r="N7" s="15"/>
    </row>
    <row r="8" spans="1:14" x14ac:dyDescent="0.3">
      <c r="A8" s="15" t="s">
        <v>31</v>
      </c>
      <c r="B8" s="15">
        <v>8</v>
      </c>
      <c r="C8" s="15">
        <v>0.5</v>
      </c>
      <c r="D8" s="15" t="s">
        <v>30</v>
      </c>
      <c r="E8" s="15">
        <v>43.3</v>
      </c>
      <c r="F8" s="14">
        <f>C8*$F$3</f>
        <v>84.5</v>
      </c>
      <c r="G8" s="14">
        <f>E8*F8</f>
        <v>3658.85</v>
      </c>
      <c r="H8" s="14">
        <f>G8*$H$3</f>
        <v>292.70800000000003</v>
      </c>
      <c r="I8" s="14">
        <f>G8+H8</f>
        <v>3951.558</v>
      </c>
      <c r="J8" s="13">
        <v>0.45</v>
      </c>
      <c r="K8" s="14">
        <f>I8/(1-J8)</f>
        <v>7184.6509090909085</v>
      </c>
      <c r="L8" s="23">
        <f t="shared" si="0"/>
        <v>133814.48241436365</v>
      </c>
      <c r="M8" s="14">
        <v>1247.7234812893084</v>
      </c>
      <c r="N8" s="15">
        <f t="shared" si="1"/>
        <v>108</v>
      </c>
    </row>
    <row r="9" spans="1:14" x14ac:dyDescent="0.3">
      <c r="C9">
        <f>SUM(C5:C8)</f>
        <v>1.5</v>
      </c>
      <c r="G9" s="24">
        <f>SUM(G5:G8)</f>
        <v>6135.5450000000001</v>
      </c>
      <c r="H9" s="25">
        <f>G9*$H$3</f>
        <v>490.84360000000004</v>
      </c>
      <c r="I9" s="25">
        <f>G9+H9</f>
        <v>6626.3886000000002</v>
      </c>
      <c r="J9" s="26"/>
      <c r="K9" s="24">
        <f>SUM(K5:K8)</f>
        <v>12047.979272727272</v>
      </c>
      <c r="L9" s="24">
        <f>SUM(L5:L8)</f>
        <v>224394.21635350911</v>
      </c>
      <c r="M9" s="12"/>
    </row>
    <row r="10" spans="1:14" ht="21" x14ac:dyDescent="0.4">
      <c r="A10" s="19" t="s">
        <v>48</v>
      </c>
      <c r="B10" s="18" t="s">
        <v>47</v>
      </c>
      <c r="F10" s="17">
        <v>169</v>
      </c>
      <c r="H10" s="16">
        <v>0.08</v>
      </c>
    </row>
    <row r="11" spans="1:14" x14ac:dyDescent="0.3">
      <c r="A11" s="22" t="s">
        <v>46</v>
      </c>
      <c r="B11" s="22" t="s">
        <v>45</v>
      </c>
      <c r="C11" s="22" t="s">
        <v>44</v>
      </c>
      <c r="D11" s="22" t="s">
        <v>43</v>
      </c>
      <c r="E11" s="22" t="s">
        <v>42</v>
      </c>
      <c r="F11" s="22" t="s">
        <v>41</v>
      </c>
      <c r="G11" s="22" t="s">
        <v>40</v>
      </c>
      <c r="H11" s="22" t="s">
        <v>39</v>
      </c>
      <c r="I11" s="22" t="s">
        <v>38</v>
      </c>
      <c r="J11" s="22" t="s">
        <v>37</v>
      </c>
      <c r="K11" s="22" t="s">
        <v>36</v>
      </c>
      <c r="L11" s="22" t="s">
        <v>55</v>
      </c>
      <c r="M11" s="22" t="s">
        <v>54</v>
      </c>
      <c r="N11" s="22" t="s">
        <v>56</v>
      </c>
    </row>
    <row r="12" spans="1:14" x14ac:dyDescent="0.3">
      <c r="A12" s="15" t="s">
        <v>35</v>
      </c>
      <c r="B12" s="15">
        <v>8</v>
      </c>
      <c r="C12" s="15">
        <v>1</v>
      </c>
      <c r="D12" s="15" t="s">
        <v>33</v>
      </c>
      <c r="E12" s="14">
        <v>24.91</v>
      </c>
      <c r="F12" s="15">
        <f>(C12*$F$10)*1.5</f>
        <v>253.5</v>
      </c>
      <c r="G12" s="14">
        <f>E12*F12</f>
        <v>6314.6850000000004</v>
      </c>
      <c r="H12" s="14">
        <f>G12*$H$10</f>
        <v>505.17480000000006</v>
      </c>
      <c r="I12" s="14">
        <f>G12+H12</f>
        <v>6819.8598000000002</v>
      </c>
      <c r="J12" s="13">
        <v>0.45</v>
      </c>
      <c r="K12" s="14">
        <f>I12/(1-J12)</f>
        <v>12399.745090909089</v>
      </c>
      <c r="L12" s="23">
        <f>K12*$E$1</f>
        <v>230945.87230543635</v>
      </c>
      <c r="M12" s="14">
        <v>2133.2046615591398</v>
      </c>
      <c r="N12" s="15">
        <f>ROUNDUP(L12/M12,0)</f>
        <v>109</v>
      </c>
    </row>
    <row r="13" spans="1:14" x14ac:dyDescent="0.3">
      <c r="A13" s="15" t="s">
        <v>34</v>
      </c>
      <c r="B13" s="15">
        <v>9</v>
      </c>
      <c r="C13" s="15">
        <v>1</v>
      </c>
      <c r="D13" s="15" t="s">
        <v>33</v>
      </c>
      <c r="E13" s="14">
        <v>17.64</v>
      </c>
      <c r="F13" s="15">
        <f>(C13*$F$10)*1.5</f>
        <v>253.5</v>
      </c>
      <c r="G13" s="14">
        <f>E13*F13</f>
        <v>4471.74</v>
      </c>
      <c r="H13" s="14">
        <f>G13*$H$10</f>
        <v>357.73919999999998</v>
      </c>
      <c r="I13" s="14">
        <f>G13+H13</f>
        <v>4829.4791999999998</v>
      </c>
      <c r="J13" s="13">
        <v>0.45</v>
      </c>
      <c r="K13" s="14">
        <f>I13/(1-J13)</f>
        <v>8780.8712727272723</v>
      </c>
      <c r="L13" s="23">
        <f t="shared" ref="L13:L15" si="2">K13*$E$1</f>
        <v>163544.16649810909</v>
      </c>
      <c r="M13" s="14">
        <v>2133.2046615591398</v>
      </c>
      <c r="N13" s="15">
        <f t="shared" ref="N13" si="3">ROUNDUP(L13/M13,0)</f>
        <v>77</v>
      </c>
    </row>
    <row r="14" spans="1:14" x14ac:dyDescent="0.3">
      <c r="A14" s="15" t="s">
        <v>32</v>
      </c>
      <c r="B14" s="15">
        <v>8</v>
      </c>
      <c r="C14" s="15">
        <v>0</v>
      </c>
      <c r="D14" s="15" t="s">
        <v>30</v>
      </c>
      <c r="E14" s="15">
        <v>43.3</v>
      </c>
      <c r="F14" s="15">
        <f>(C14*$F$10)*1.5</f>
        <v>0</v>
      </c>
      <c r="G14" s="14">
        <f>E14*F14</f>
        <v>0</v>
      </c>
      <c r="H14" s="14">
        <f>G14*$H$10</f>
        <v>0</v>
      </c>
      <c r="I14" s="14">
        <f>G14+H14</f>
        <v>0</v>
      </c>
      <c r="J14" s="13">
        <v>0.45</v>
      </c>
      <c r="K14" s="14">
        <f>I14/(1-J14)</f>
        <v>0</v>
      </c>
      <c r="L14" s="23">
        <f t="shared" si="2"/>
        <v>0</v>
      </c>
      <c r="M14" s="14"/>
      <c r="N14" s="15"/>
    </row>
    <row r="15" spans="1:14" x14ac:dyDescent="0.3">
      <c r="A15" s="15" t="s">
        <v>31</v>
      </c>
      <c r="B15" s="15">
        <v>8</v>
      </c>
      <c r="C15" s="15">
        <v>0.5</v>
      </c>
      <c r="D15" s="15" t="s">
        <v>30</v>
      </c>
      <c r="E15" s="15">
        <v>43.3</v>
      </c>
      <c r="F15" s="15">
        <f>(C15*$F$10)*1.5</f>
        <v>126.75</v>
      </c>
      <c r="G15" s="14">
        <f>E15*F15</f>
        <v>5488.2749999999996</v>
      </c>
      <c r="H15" s="14">
        <f>G15*$H$10</f>
        <v>439.06199999999995</v>
      </c>
      <c r="I15" s="14">
        <f>G15+H15</f>
        <v>5927.3369999999995</v>
      </c>
      <c r="J15" s="13">
        <v>0.45</v>
      </c>
      <c r="K15" s="14">
        <f>I15/(1-J15)</f>
        <v>10776.976363636362</v>
      </c>
      <c r="L15" s="23">
        <f t="shared" si="2"/>
        <v>200721.72362154545</v>
      </c>
      <c r="M15" s="14">
        <v>1247.7234812893084</v>
      </c>
      <c r="N15" s="15">
        <f t="shared" ref="N15" si="4">ROUNDUP(L15/M15,0)</f>
        <v>161</v>
      </c>
    </row>
    <row r="16" spans="1:14" x14ac:dyDescent="0.3">
      <c r="C16">
        <f>SUM(C12:C15)</f>
        <v>2.5</v>
      </c>
      <c r="G16" s="24">
        <f>SUM(G12:G15)</f>
        <v>16274.699999999999</v>
      </c>
      <c r="H16" s="25">
        <f>G16*$H$10</f>
        <v>1301.9759999999999</v>
      </c>
      <c r="I16" s="25">
        <f>G16+H16</f>
        <v>17576.675999999999</v>
      </c>
      <c r="J16" s="26"/>
      <c r="K16" s="24">
        <f>SUM(K12:K15)</f>
        <v>31957.592727272728</v>
      </c>
      <c r="L16" s="24">
        <f>SUM(L12:L15)</f>
        <v>595211.76242509088</v>
      </c>
      <c r="M16" s="12"/>
    </row>
    <row r="17" spans="3:12" x14ac:dyDescent="0.3">
      <c r="C17">
        <f>C16*1.5</f>
        <v>3.75</v>
      </c>
      <c r="J17" s="21" t="s">
        <v>29</v>
      </c>
      <c r="K17" s="27">
        <f>K9+K16</f>
        <v>44005.572</v>
      </c>
      <c r="L17" s="27">
        <f>L9+L16</f>
        <v>819605.97877859999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0C6CE0333A0B42B39FF7DA2EA8EFBF" ma:contentTypeVersion="4" ma:contentTypeDescription="Create a new document." ma:contentTypeScope="" ma:versionID="74e5f905beba5c5c5f9dc1e2aa050331">
  <xsd:schema xmlns:xsd="http://www.w3.org/2001/XMLSchema" xmlns:xs="http://www.w3.org/2001/XMLSchema" xmlns:p="http://schemas.microsoft.com/office/2006/metadata/properties" xmlns:ns2="dc159e42-9322-4367-963a-b3c43a82f6d7" targetNamespace="http://schemas.microsoft.com/office/2006/metadata/properties" ma:root="true" ma:fieldsID="58cfdbb200acbbc58e16856e4f28816b" ns2:_="">
    <xsd:import namespace="dc159e42-9322-4367-963a-b3c43a82f6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9e42-9322-4367-963a-b3c43a82f6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10E25-C724-4153-A892-823D6DD29A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450B94-F421-448F-B0E5-9EBB82540FBC}"/>
</file>

<file path=customXml/itemProps3.xml><?xml version="1.0" encoding="utf-8"?>
<ds:datastoreItem xmlns:ds="http://schemas.openxmlformats.org/officeDocument/2006/customXml" ds:itemID="{429BC940-8B57-495B-9040-234D25A5A2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Dashboards Dynatrace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Elizondo_Proveedor, Olga Adriana</dc:creator>
  <cp:lastModifiedBy>Mora, Ricardo</cp:lastModifiedBy>
  <dcterms:created xsi:type="dcterms:W3CDTF">2024-06-21T15:28:37Z</dcterms:created>
  <dcterms:modified xsi:type="dcterms:W3CDTF">2024-09-05T21:58:43Z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0x010100980C6CE0333A0B42B39FF7DA2EA8EFBF</vt:lpwstr>
  </property>
</Properties>
</file>