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drawings/vmlDrawing13.vml" ContentType="application/vnd.openxmlformats-officedocument.vmlDrawing"/>
  <Override PartName="/xl/drawings/vmlDrawing12.vml" ContentType="application/vnd.openxmlformats-officedocument.vmlDrawing"/>
  <Override PartName="/xl/drawings/vmlDrawing11.vml" ContentType="application/vnd.openxmlformats-officedocument.vmlDrawing"/>
  <Override PartName="/xl/drawings/vmlDrawing10.vml" ContentType="application/vnd.openxmlformats-officedocument.vmlDrawing"/>
  <Override PartName="/xl/drawings/drawing13.xml" ContentType="application/vnd.openxmlformats-officedocument.drawing+xml"/>
  <Override PartName="/xl/drawings/drawing12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vmlDrawing9.vml" ContentType="application/vnd.openxmlformats-officedocument.vmlDrawing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8.vml" ContentType="application/vnd.openxmlformats-officedocument.vmlDrawing"/>
  <Override PartName="/xl/drawings/vmlDrawing1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drawing9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worksheets/_rels/sheet13.xml.rels" ContentType="application/vnd.openxmlformats-package.relationships+xml"/>
  <Override PartName="/xl/worksheets/_rels/sheet12.xml.rels" ContentType="application/vnd.openxmlformats-package.relationships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comments1.xml" ContentType="application/vnd.openxmlformats-officedocument.spreadsheetml.comments+xml"/>
  <Override PartName="/xl/comments8.xml" ContentType="application/vnd.openxmlformats-officedocument.spreadsheetml.comments+xml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9.xml" ContentType="application/vnd.openxmlformats-officedocument.spreadsheetml.comments+xml"/>
  <Override PartName="/xl/comments13.xml" ContentType="application/vnd.openxmlformats-officedocument.spreadsheetml.comments+xml"/>
  <Override PartName="/xl/comments12.xml" ContentType="application/vnd.openxmlformats-officedocument.spreadsheetml.comments+xml"/>
  <Override PartName="/xl/comments11.xml" ContentType="application/vnd.openxmlformats-officedocument.spreadsheetml.comments+xml"/>
  <Override PartName="/xl/comments10.xml" ContentType="application/vnd.openxmlformats-officedocument.spreadsheetml.comment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Eingabeblatt" sheetId="1" state="visible" r:id="rId2"/>
    <sheet name="January" sheetId="2" state="visible" r:id="rId3"/>
    <sheet name="February" sheetId="3" state="visible" r:id="rId4"/>
    <sheet name="March" sheetId="4" state="visible" r:id="rId5"/>
    <sheet name="April" sheetId="5" state="visible" r:id="rId6"/>
    <sheet name="May" sheetId="6" state="visible" r:id="rId7"/>
    <sheet name="June" sheetId="7" state="visible" r:id="rId8"/>
    <sheet name="July" sheetId="8" state="visible" r:id="rId9"/>
    <sheet name="August" sheetId="9" state="visible" r:id="rId10"/>
    <sheet name="September" sheetId="10" state="visible" r:id="rId11"/>
    <sheet name="October" sheetId="11" state="visible" r:id="rId12"/>
    <sheet name="November" sheetId="12" state="visible" r:id="rId13"/>
    <sheet name="December" sheetId="13" state="visible" r:id="rId14"/>
    <sheet name="Jahresabrechnung" sheetId="14" state="visible" r:id="rId15"/>
    <sheet name="Projektübersicht" sheetId="15" state="visible" r:id="rId16"/>
    <sheet name="Projektübersicht-E+Q" sheetId="16" state="visible" r:id="rId17"/>
    <sheet name="Tabellen" sheetId="17" state="visible" r:id="rId18"/>
  </sheets>
  <definedNames>
    <definedName function="false" hidden="false" localSheetId="4" name="_xlnm.Print_Area" vbProcedure="false">April!$A$1:$AP$124</definedName>
    <definedName function="false" hidden="false" localSheetId="8" name="_xlnm.Print_Area" vbProcedure="false">August!$A$1:$AQ$124</definedName>
    <definedName function="false" hidden="false" localSheetId="12" name="_xlnm.Print_Area" vbProcedure="false">December!$A$1:$AQ$124</definedName>
    <definedName function="false" hidden="false" localSheetId="0" name="_xlnm.Print_Area" vbProcedure="false">Eingabeblatt!$A$1:$N$47</definedName>
    <definedName function="false" hidden="false" localSheetId="2" name="_xlnm.Print_Area" vbProcedure="false">February!$A$1:$AN$124</definedName>
    <definedName function="false" hidden="false" localSheetId="13" name="_xlnm.Print_Area" vbProcedure="false">Jahresabrechnung!$A$1:$AO$36</definedName>
    <definedName function="false" hidden="false" localSheetId="1" name="_xlnm.Print_Area" vbProcedure="false">January!$A$1:$AQ$124</definedName>
    <definedName function="false" hidden="false" localSheetId="7" name="_xlnm.Print_Area" vbProcedure="false">July!$A$1:$AQ$124</definedName>
    <definedName function="false" hidden="false" localSheetId="6" name="_xlnm.Print_Area" vbProcedure="false">June!$A$1:$AP$124</definedName>
    <definedName function="false" hidden="false" localSheetId="3" name="_xlnm.Print_Area" vbProcedure="false">March!$A$1:$AQ$124</definedName>
    <definedName function="false" hidden="false" localSheetId="5" name="_xlnm.Print_Area" vbProcedure="false">May!$A$1:$AQ$124</definedName>
    <definedName function="false" hidden="false" localSheetId="11" name="_xlnm.Print_Area" vbProcedure="false">November!$A$1:$AP$124</definedName>
    <definedName function="false" hidden="false" localSheetId="10" name="_xlnm.Print_Area" vbProcedure="false">October!$A$1:$AQ$124</definedName>
    <definedName function="false" hidden="false" localSheetId="14" name="_xlnm.Print_Area" vbProcedure="false">Projektübersicht!$A$1:$U$39</definedName>
    <definedName function="false" hidden="false" localSheetId="15" name="_xlnm.Print_Area" vbProcedure="false">'Projektübersicht-E+Q'!$A$1:$AH$38</definedName>
    <definedName function="false" hidden="false" localSheetId="9" name="_xlnm.Print_Area" vbProcedure="false">September!$A$1:$AP$124</definedName>
    <definedName function="false" hidden="false" name="EB.Anpassungszeitpunkt" vbProcedure="false">Eingabeblatt!$B$53</definedName>
    <definedName function="false" hidden="false" name="EB.Anwendung" vbProcedure="false">Eingabeblatt!$A$7</definedName>
    <definedName function="false" hidden="false" name="EB.AnzMonate" vbProcedure="false">Eingabeblatt!$R$25</definedName>
    <definedName function="false" hidden="false" name="EB.AnzProjekte" vbProcedure="false">Eingabeblatt!$H$29</definedName>
    <definedName function="false" hidden="false" name="EB.AZS" vbProcedure="false">Eingabeblatt!$E$36</definedName>
    <definedName function="false" hidden="false" name="EB.AZSOLLMonat100.Bereich" vbProcedure="false">Eingabeblatt!$B$13:$B$24</definedName>
    <definedName function="false" hidden="false" name="EB.AZSOLLTag100.Bereich" vbProcedure="false">Eingabeblatt!$D$13:$D$24</definedName>
    <definedName function="false" hidden="false" name="EB.BG" vbProcedure="false">Eingabeblatt!$L$7</definedName>
    <definedName function="false" hidden="false" name="EB.BG_Total" vbProcedure="false">Eingabeblatt!$H$25</definedName>
    <definedName function="false" hidden="false" name="EB.DAG" vbProcedure="false">Eingabeblatt!$E$32</definedName>
    <definedName function="false" hidden="false" name="EB.DAGber" vbProcedure="false">Eingabeblatt!$O$32</definedName>
    <definedName function="false" hidden="false" name="EB.DurchSollTAZStd.Bereich" vbProcedure="false">Eingabeblatt!$J$13:$J$24</definedName>
    <definedName function="false" hidden="false" name="EB.EffBG.Bereich" vbProcedure="false">Eingabeblatt!$H$13:$H$24</definedName>
    <definedName function="false" hidden="false" name="EB.EffBG.Knoten" vbProcedure="false">Eingabeblatt!$H$12</definedName>
    <definedName function="false" hidden="false" name="EB.Fakultaet" vbProcedure="false">Eingabeblatt!$I$4</definedName>
    <definedName function="false" hidden="false" name="EB.Ferien" vbProcedure="false">Eingabeblatt!$E$33</definedName>
    <definedName function="false" hidden="false" name="EB.FerienBer" vbProcedure="false">Eingabeblatt!$O$33</definedName>
    <definedName function="false" hidden="false" name="EB.FerienSollJahr100" vbProcedure="false">Eingabeblatt!$E$25</definedName>
    <definedName function="false" hidden="false" name="EB.Frei_Tage" vbProcedure="false">Eingabeblatt!$E$34</definedName>
    <definedName function="false" hidden="false" name="EB.Funktion" vbProcedure="false">Eingabeblatt!$I$2</definedName>
    <definedName function="false" hidden="false" name="EB.Geburtsdatum" vbProcedure="false">Eingabeblatt!$B$4</definedName>
    <definedName function="false" hidden="false" name="EB.Geburtsjahr" vbProcedure="false">Eingabeblatt!$F$4</definedName>
    <definedName function="false" hidden="false" name="EB.Institut" vbProcedure="false">Eingabeblatt!$I$3</definedName>
    <definedName function="false" hidden="false" name="EB.Jahr" vbProcedure="false">Eingabeblatt!$F$1</definedName>
    <definedName function="false" hidden="false" name="EB.Kom" vbProcedure="false">Eingabeblatt!$E$35</definedName>
    <definedName function="false" hidden="false" name="EB.Lernender" vbProcedure="false">Eingabeblatt!$I$6</definedName>
    <definedName function="false" hidden="false" name="EB.LKgr16" vbProcedure="false">Eingabeblatt!$E$5</definedName>
    <definedName function="false" hidden="false" name="EB.LKgr16ab" vbProcedure="false">Eingabeblatt!$F$5</definedName>
    <definedName function="false" hidden="false" name="EB.MFAStd.Knoten" vbProcedure="false">Eingabeblatt!$K$12</definedName>
    <definedName function="false" hidden="false" name="EB.MKAStd.Knoten" vbProcedure="false">Eingabeblatt!$L$12</definedName>
    <definedName function="false" hidden="false" name="EB.MMS" vbProcedure="false">Eingabeblatt!$E$29</definedName>
    <definedName function="false" hidden="false" name="EB.Monate.Bereich" vbProcedure="false">Eingabeblatt!$A$13:$A$24</definedName>
    <definedName function="false" hidden="false" name="EB.Name" vbProcedure="false">Eingabeblatt!$B$3</definedName>
    <definedName function="false" hidden="false" name="EB.Personalkategorie" vbProcedure="false">Eingabeblatt!$I$5</definedName>
    <definedName function="false" hidden="false" name="EB.Personalnummer" vbProcedure="false">Eingabeblatt!$B$5</definedName>
    <definedName function="false" hidden="false" name="EB.Projektart.Bereich" vbProcedure="false">Eingabeblatt!$I$31:$I$45</definedName>
    <definedName function="false" hidden="false" name="EB.Projektart.Knoten" vbProcedure="false">Eingabeblatt!$I$30</definedName>
    <definedName function="false" hidden="false" name="EB.Projekte.Bereich" vbProcedure="false">OFFSET(EB.Projekte.Knoten,1,0,EB.AnzProjekte,1)</definedName>
    <definedName function="false" hidden="false" name="EB.Projekte.Knoten" vbProcedure="false">Eingabeblatt!$H$30</definedName>
    <definedName function="false" hidden="false" name="EB.Projekte.ganzerBereich" vbProcedure="false">OFFSET(EB.Projekte.Knoten,1,0,EB.AnzProjekte,6)</definedName>
    <definedName function="false" hidden="false" name="EB.Projekte.RahmenBereich" vbProcedure="false">Eingabeblatt!$H$31:$H$45</definedName>
    <definedName function="false" hidden="false" name="EB.RAZ1_7.Bereich" vbProcedure="false">Eingabeblatt!$B$39:$B$45</definedName>
    <definedName function="false" hidden="false" name="EB.RAZ_Wochentage.Bereich" vbProcedure="false">Eingabeblatt!$A$39:$A$45</definedName>
    <definedName function="false" hidden="false" name="EB.SollAZJahr100" vbProcedure="false">Eingabeblatt!$B$25</definedName>
    <definedName function="false" hidden="false" name="EB.Sprache" vbProcedure="false">Eingabeblatt!$N$1</definedName>
    <definedName function="false" hidden="false" name="EB.Tag1" vbProcedure="false">Eingabeblatt!$B$2</definedName>
    <definedName function="false" hidden="false" name="EB.UeZ" vbProcedure="false">Eingabeblatt!$E$30</definedName>
    <definedName function="false" hidden="false" name="EB.UJAustritt" vbProcedure="false">Eingabeblatt!$F$6</definedName>
    <definedName function="false" hidden="false" name="EB.UJEintritt" vbProcedure="false">Eingabeblatt!$B$6</definedName>
    <definedName function="false" hidden="false" name="EB.Version" vbProcedure="false">Eingabeblatt!$M$1</definedName>
    <definedName function="false" hidden="false" name="EB.WeitereAngaben" vbProcedure="false">Eingabeblatt!$E$7</definedName>
    <definedName function="false" hidden="false" name="EB.Wochenarbeitszeit" vbProcedure="false">Eingabeblatt!$I$7</definedName>
    <definedName function="false" hidden="false" name="EB.ZZNd" vbProcedure="false">Eingabeblatt!$O$31</definedName>
    <definedName function="false" hidden="false" name="EB.ÜVMMS" vbProcedure="false">Eingabeblatt!$O$29</definedName>
    <definedName function="false" hidden="false" name="EB.ÜZZSBerechtigt" vbProcedure="false">Eingabeblatt!$L$6</definedName>
    <definedName function="false" hidden="false" name="J.AZSaldo.Total" vbProcedure="false">Jahresabrechnung!$F$27</definedName>
    <definedName function="false" hidden="false" name="J.Ferien.Total" vbProcedure="false">Jahresabrechnung!$AC$27</definedName>
    <definedName function="false" hidden="false" name="J.FerienUE.Total" vbProcedure="false">Jahresabrechnung!$AC$29</definedName>
    <definedName function="false" hidden="false" name="J.KomAZ.Total" vbProcedure="false">Jahresabrechnung!$P$27</definedName>
    <definedName function="false" hidden="false" name="J.MMSUE.Total" vbProcedure="false">Jahresabrechnung!$O$29</definedName>
    <definedName function="false" hidden="false" name="J.UeZ.Total" vbProcedure="false">Jahresabrechnung!$M$27</definedName>
    <definedName function="false" hidden="false" name="Jahr.Abendarbeit.Total" vbProcedure="false">Jahresabrechnung!$Y$27</definedName>
    <definedName function="false" hidden="false" name="Jahr.AngÜZ" vbProcedure="false">Jahresabrechnung!$I$27</definedName>
    <definedName function="false" hidden="false" name="Jahr.AnzahlPiketttage.Total" vbProcedure="false">Jahresabrechnung!$R$27</definedName>
    <definedName function="false" hidden="false" name="Jahr.Arzt.Total" vbProcedure="false">Jahresabrechnung!$AD$27</definedName>
    <definedName function="false" hidden="false" name="Jahr.AZ.Total" vbProcedure="false">Jahresabrechnung!$C$27</definedName>
    <definedName function="false" hidden="false" name="Jahr.BD.Total" vbProcedure="false">Jahresabrechnung!$Z$27</definedName>
    <definedName function="false" hidden="false" name="Jahr.BesUrlaub.Total" vbProcedure="false">Jahresabrechnung!$AJ$27</definedName>
    <definedName function="false" hidden="false" name="Jahr.BG.Total" vbProcedure="false">Jahresabrechnung!$D$27</definedName>
    <definedName function="false" hidden="false" name="Jahr.BU.Total" vbProcedure="false">Jahresabrechnung!$AF$27</definedName>
    <definedName function="false" hidden="false" name="Jahr.DAG.Total" vbProcedure="false">Jahresabrechnung!$AM$27</definedName>
    <definedName function="false" hidden="false" name="Jahr.DAGUE.Total" vbProcedure="false">Jahresabrechnung!$AM$29</definedName>
    <definedName function="false" hidden="false" name="Jahr.ein_aus.Total" vbProcedure="false">Jahresabrechnung!$AO$27</definedName>
    <definedName function="false" hidden="false" name="Jahr.ein_aus_Pikett.Total" vbProcedure="false">Jahresabrechnung!$S$27</definedName>
    <definedName function="false" hidden="false" name="Jahr.KompZZSND" vbProcedure="false">Jahresabrechnung!$W$27</definedName>
    <definedName function="false" hidden="false" name="Jahr.KomUeZ.Total" vbProcedure="false">Jahresabrechnung!$J$27</definedName>
    <definedName function="false" hidden="false" name="Jahr.Krank.Total" vbProcedure="false">Jahresabrechnung!$AE$27</definedName>
    <definedName function="false" hidden="false" name="Jahr.MZS.Total" vbProcedure="false">Jahresabrechnung!$AH$27</definedName>
    <definedName function="false" hidden="false" name="Jahr.NB.Total" vbProcedure="false">Jahresabrechnung!$AL$27</definedName>
    <definedName function="false" hidden="false" name="Jahr.NBU.Total" vbProcedure="false">Jahresabrechnung!$AG$27</definedName>
    <definedName function="false" hidden="false" name="Jahr.ND.Total" vbProcedure="false">Jahresabrechnung!$T$27</definedName>
    <definedName function="false" hidden="false" name="Jahr.SD.Total" vbProcedure="false">Jahresabrechnung!$AA$27</definedName>
    <definedName function="false" hidden="false" name="Jahr.SollAZNetto.Total" vbProcedure="false">Jahresabrechnung!$E$27</definedName>
    <definedName function="false" hidden="false" name="Jahr.UeziZSUE.Total" vbProcedure="false">Jahresabrechnung!$M$29</definedName>
    <definedName function="false" hidden="false" name="Jahr.UeZSaldo.Total" vbProcedure="false">Jahresabrechnung!$K$27</definedName>
    <definedName function="false" hidden="false" name="Jahr.UnbesUrlaub.Total" vbProcedure="false">Jahresabrechnung!$AK$27</definedName>
    <definedName function="false" hidden="false" name="Jahr.WB.Total" vbProcedure="false">Jahresabrechnung!$AI$27</definedName>
    <definedName function="false" hidden="false" name="Jahr.ZZSND.Total" vbProcedure="false">Jahresabrechnung!$V$27</definedName>
    <definedName function="false" hidden="false" name="Jahr.ZZSNDSaldo" vbProcedure="false">Jahresabrechnung!$X$27</definedName>
    <definedName function="false" hidden="false" name="Jahr.ZZSNDSaldoUE.Total" vbProcedure="false">Jahresabrechnung!$X$29</definedName>
    <definedName function="false" hidden="false" name="Jahr.ZählerND.Total" vbProcedure="false">Jahresabrechnung!$U$27</definedName>
    <definedName function="false" hidden="false" name="Jahr.ÜZZSBerechtigt.Total" vbProcedure="false">Jahresabrechnung!$L$27</definedName>
    <definedName function="false" hidden="false" name="PUE.Knoten" vbProcedure="false">Projektübersicht!$A$9</definedName>
    <definedName function="false" hidden="false" name="PUE.Monate.Bereich" vbProcedure="false">Projektübersicht!$A$11:$A$22</definedName>
    <definedName function="false" hidden="false" name="PUE.ProjektartName.Bereich" vbProcedure="false">Projektübersicht!$A$24:$A$32</definedName>
    <definedName function="false" hidden="false" name="PUE.Projektauslastung.Knoten" vbProcedure="false">Projektübersicht!$R$9</definedName>
    <definedName function="false" hidden="false" name="PUE.Summe.Knoten" vbProcedure="false">Projektübersicht!$A$34</definedName>
    <definedName function="false" hidden="false" name="PUEELZ.Knoten" vbProcedure="false">#REF!</definedName>
    <definedName function="false" hidden="false" name="PUEELZ.Monate.Bereich" vbProcedure="false">#REF!</definedName>
    <definedName function="false" hidden="false" name="PUEELZ.Projektauslastung.Knoten" vbProcedure="false">#REF!</definedName>
    <definedName function="false" hidden="false" name="PUEELZ.Summe.Knoten" vbProcedure="false">#REF!</definedName>
    <definedName function="false" hidden="false" name="PUEEQ.DiffProdStd.Knoten" vbProcedure="false">'Projektübersicht-E+Q'!$A$32</definedName>
    <definedName function="false" hidden="false" name="PUEEQ.Knoten" vbProcedure="false">'Projektübersicht-E+Q'!$A$9</definedName>
    <definedName function="false" hidden="false" name="PUEEQ.Monate.Bereich" vbProcedure="false">'Projektübersicht-E+Q'!$A$17:$A$28</definedName>
    <definedName function="false" hidden="false" name="PUEEQ.Projektauslastung.Knoten" vbProcedure="false">'Projektübersicht-E+Q'!$AG$9</definedName>
    <definedName function="false" hidden="false" name="PUEEQ.SollProdStd.Knoten" vbProcedure="false">'Projektübersicht-E+Q'!$A$31</definedName>
    <definedName function="false" hidden="false" name="PUEEQ.SumTot.Knoten" vbProcedure="false">'Projektübersicht-E+Q'!$A$34</definedName>
    <definedName function="false" hidden="false" name="PUEEQ.TotProdStd.Knoten" vbProcedure="false">'Projektübersicht-E+Q'!$A$30</definedName>
    <definedName function="false" hidden="false" name="T.50_NoVetsuisse" vbProcedure="false">Tabellen!$AB$4</definedName>
    <definedName function="false" hidden="false" name="T.50_Vetsuisse" vbProcedure="false">Tabellen!$AB$3</definedName>
    <definedName function="false" hidden="false" name="T.50_VetsuisseZZSND" vbProcedure="false">Tabellen!$AC$3</definedName>
    <definedName function="false" hidden="false" name="T.Abendab" vbProcedure="false">Tabellen!$O$4</definedName>
    <definedName function="false" hidden="false" name="T.Abendbis" vbProcedure="false">Tabellen!$P$4</definedName>
    <definedName function="false" hidden="false" name="T.Abfragewerte.Knoten" vbProcedure="false">Tabellen!$X$2</definedName>
    <definedName function="false" hidden="false" name="T.AngÜZ50_Vetsuisse_orange" vbProcedure="false">Tabellen!$Y$4</definedName>
    <definedName function="false" hidden="false" name="T.AnzAbfragewerte" vbProcedure="false">Tabellen!$Z$2</definedName>
    <definedName function="false" hidden="false" name="T.AnzDefinierteAbfragen" vbProcedure="false">Tabellen!$AD$2</definedName>
    <definedName function="false" hidden="false" name="T.AnzDefinierteZeiten" vbProcedure="false">Tabellen!$Q$2</definedName>
    <definedName function="false" hidden="false" name="T.AnzFakultaet" vbProcedure="false">Tabellen!$B$2</definedName>
    <definedName function="false" hidden="false" name="T.AnzFeiertage" vbProcedure="false">Tabellen!$K$2</definedName>
    <definedName function="false" hidden="false" name="T.AnzFrei_Tage" vbProcedure="false">Tabellen!$M$2</definedName>
    <definedName function="false" hidden="false" name="T.AnzJaNein" vbProcedure="false">Tabellen!$AF$2</definedName>
    <definedName function="false" hidden="false" name="T.AnzPersonalkategorie" vbProcedure="false">Tabellen!$D$2</definedName>
    <definedName function="false" hidden="false" name="T.AnzPikett" vbProcedure="false">Tabellen!$AH$2</definedName>
    <definedName function="false" hidden="false" name="T.AnzProdStunden" vbProcedure="false">Tabellen!$W$2</definedName>
    <definedName function="false" hidden="false" name="T.AnzProjektart" vbProcedure="false">Tabellen!$F$2</definedName>
    <definedName function="false" hidden="false" name="T.AnzProjektartName" vbProcedure="false">Tabellen!$H$2</definedName>
    <definedName function="false" hidden="false" name="T.AnzWeitereAngaben" vbProcedure="false">Tabellen!$S$2</definedName>
    <definedName function="false" hidden="false" name="T.AnzWochenarbeitszeit" vbProcedure="false">Tabellen!$U$2</definedName>
    <definedName function="false" hidden="false" name="T.DefinierteAbfragen" vbProcedure="false">Tabellen!$AB$2</definedName>
    <definedName function="false" hidden="false" name="T.DefinierteAbfragen.Knoten" vbProcedure="false">Tabellen!$AA$2</definedName>
    <definedName function="false" hidden="false" name="T.DefinierteAbfragenZZSND.Knoten" vbProcedure="false">Tabellen!$AC$2</definedName>
    <definedName function="false" hidden="false" name="T.DefinierteZeilen.Knoten" vbProcedure="false">Tabellen!$N$2</definedName>
    <definedName function="false" hidden="false" name="T.DefinierteZeitab.Knoten" vbProcedure="false">Tabellen!$O$2</definedName>
    <definedName function="false" hidden="false" name="T.DefinierteZeitbis.Knoten" vbProcedure="false">Tabellen!$P$2</definedName>
    <definedName function="false" hidden="false" name="T.Fakultaet.Bereich" vbProcedure="false">OFFSET(T.Fakultaet.Knoten,1,0,T.AnzFakultaet,1)</definedName>
    <definedName function="false" hidden="false" name="T.Fakultaet.Knoten" vbProcedure="false">Tabellen!$A$2</definedName>
    <definedName function="false" hidden="false" name="T.Feiertage.Bereich" vbProcedure="false">OFFSET(T.Feiertage.Knoten,1,0,T.AnzFeiertage,1)</definedName>
    <definedName function="false" hidden="false" name="T.Feiertage.Knoten" vbProcedure="false">Tabellen!$I$2</definedName>
    <definedName function="false" hidden="false" name="T.Feiertage.ganzerBereich" vbProcedure="false">OFFSET(T.Feiertage.Knoten,1,0,T.AnzFeiertage,2)</definedName>
    <definedName function="false" hidden="false" name="T.Frei_Tage.Bereich" vbProcedure="false">OFFSET(T.Frei_Tage.Knoten,1,0,T.AnzFrei_Tage,1)</definedName>
    <definedName function="false" hidden="false" name="T.Frei_Tage.Knoten" vbProcedure="false">Tabellen!$L$2</definedName>
    <definedName function="false" hidden="false" name="T.GrenzeAngÜZ50_Vetsuisse" vbProcedure="false">Tabellen!$Y$3</definedName>
    <definedName function="false" hidden="false" name="T.JaNein.Bereich" vbProcedure="false">OFFSET(T.JaNein.Knoten,1,0,T.AnzJaNein,1)</definedName>
    <definedName function="false" hidden="false" name="T.JaNein.Knoten" vbProcedure="false">Tabellen!$AE$2</definedName>
    <definedName function="false" hidden="false" name="T.Nachtab" vbProcedure="false">Tabellen!$O$3</definedName>
    <definedName function="false" hidden="false" name="T.Nachtbis" vbProcedure="false">Tabellen!$P$3</definedName>
    <definedName function="false" hidden="false" name="T.Personalkategorie.Bereich" vbProcedure="false">OFFSET(T.Personalkategorie.Knoten,1,0,T.AnzPersonalkategorie,1)</definedName>
    <definedName function="false" hidden="false" name="T.Personalkategorie.Knoten" vbProcedure="false">Tabellen!$C$2</definedName>
    <definedName function="false" hidden="false" name="T.Pikett.Bereich" vbProcedure="false">OFFSET(T.Pikett.Knoten,1,0,T.AnzPikett,1)</definedName>
    <definedName function="false" hidden="false" name="T.Pikett.Knoten" vbProcedure="false">Tabellen!$AG$2</definedName>
    <definedName function="false" hidden="false" name="T.PikettVetsuissebis" vbProcedure="false">Tabellen!$P$5</definedName>
    <definedName function="false" hidden="false" name="T.ProdStunden.Bereich" vbProcedure="false">OFFSET(T.ProdStunden.Knoten,1,0,T.AnzProdStunden,1)</definedName>
    <definedName function="false" hidden="false" name="T.ProdStunden.Knoten" vbProcedure="false">Tabellen!$V$2</definedName>
    <definedName function="false" hidden="false" name="T.Projektart.Bereich" vbProcedure="false">OFFSET(T.Projektart.Knoten,1,0,T.AnzProjektart,1)</definedName>
    <definedName function="false" hidden="false" name="T.Projektart.Knoten" vbProcedure="false">Tabellen!$E$2</definedName>
    <definedName function="false" hidden="false" name="T.ProjektartName.Bereich" vbProcedure="false">OFFSET(T.ProjektartName.Knoten,1,0,T.AnzProjektartName,1)</definedName>
    <definedName function="false" hidden="false" name="T.ProjektartName.Knoten" vbProcedure="false">Tabellen!$G$2</definedName>
    <definedName function="false" hidden="false" name="T.ServiceCenterIrchel" vbProcedure="false">Tabellen!$AB$5</definedName>
    <definedName function="false" hidden="false" name="T.ServiceCenterIrchelZZSND" vbProcedure="false">Tabellen!$AC$5</definedName>
    <definedName function="false" hidden="false" name="T.WeitereAngaben.Bereich" vbProcedure="false">OFFSET(T.WeitereAngaben.Knoten,1,0,T.AnzWeitereAngaben,1)</definedName>
    <definedName function="false" hidden="false" name="T.WeitereAngaben.Knoten" vbProcedure="false">Tabellen!$R$2</definedName>
    <definedName function="false" hidden="false" name="T.Wochenarbeitszeit.Bereich" vbProcedure="false">OFFSET(T.Wochenarbeitszeit.Knoten,1,0,T.AnzWochenarbeitszeit,1)</definedName>
    <definedName function="false" hidden="false" name="T.Wochenarbeitszeit.Knoten" vbProcedure="false">Tabellen!$T$2</definedName>
    <definedName function="false" hidden="false" localSheetId="0" name="FieldtoSelect" vbProcedure="false">Eingabeblatt!$B$3</definedName>
    <definedName function="false" hidden="false" localSheetId="1" name="FieldtoSelect" vbProcedure="false">January!$B$13</definedName>
    <definedName function="false" hidden="false" localSheetId="1" name="Monat.AAUeVM" vbProcedure="false">January!$AN$80</definedName>
    <definedName function="false" hidden="false" localSheetId="1" name="Monat.AB.Total" vbProcedure="false">January!$AI$86</definedName>
    <definedName function="false" hidden="false" localSheetId="1" name="Monat.Abendarbeit.Total" vbProcedure="false">January!$AI$80</definedName>
    <definedName function="false" hidden="false" localSheetId="1" name="Monat.AbendarbeitText" vbProcedure="false">January!$A$80</definedName>
    <definedName function="false" hidden="false" localSheetId="1" name="Monat.AnUeZ.Total" vbProcedure="false">January!$AI$60</definedName>
    <definedName function="false" hidden="false" localSheetId="1" name="Monat.AnUeZ.Zähler" vbProcedure="false">January!$AJ$60</definedName>
    <definedName function="false" hidden="false" localSheetId="1" name="Monat.AnUeZText" vbProcedure="false">January!$A$60</definedName>
    <definedName function="false" hidden="false" localSheetId="1" name="Monat.AnUeZUeVM" vbProcedure="false">January!$AN$60</definedName>
    <definedName function="false" hidden="false" localSheetId="1" name="Monat.ArztText" vbProcedure="false">January!$A$86</definedName>
    <definedName function="false" hidden="false" localSheetId="1" name="Monat.ArztUeVM" vbProcedure="false">January!$AN$86</definedName>
    <definedName function="false" hidden="false" localSheetId="1" name="Monat.AZIstWRestUeVM" vbProcedure="false">January!$AN$51</definedName>
    <definedName function="false" hidden="false" localSheetId="1" name="Monat.AZSaldoUeVM" vbProcedure="false">January!$AN$56</definedName>
    <definedName function="false" hidden="false" localSheetId="1" name="Monat.AZSoll.Total" vbProcedure="false">January!$AI$53</definedName>
    <definedName function="false" hidden="false" localSheetId="1" name="Monat.AZSoll100.Total" vbProcedure="false">January!$AI$54</definedName>
    <definedName function="false" hidden="false" localSheetId="1" name="Monat.BD.Total" vbProcedure="false">January!$AI$81</definedName>
    <definedName function="false" hidden="false" localSheetId="1" name="Monat.BDText" vbProcedure="false">January!$A$81</definedName>
    <definedName function="false" hidden="false" localSheetId="1" name="Monat.BDUeVM" vbProcedure="false">January!$AN$81</definedName>
    <definedName function="false" hidden="false" localSheetId="1" name="Monat.BesU.Total" vbProcedure="false">January!$AI$92</definedName>
    <definedName function="false" hidden="false" localSheetId="1" name="Monat.BesUrlaubText" vbProcedure="false">January!$A$92</definedName>
    <definedName function="false" hidden="false" localSheetId="1" name="Monat.BesUrlaubUeVM" vbProcedure="false">January!$AN$92</definedName>
    <definedName function="false" hidden="false" localSheetId="1" name="Monat.BU.Total" vbProcedure="false">January!$AI$88</definedName>
    <definedName function="false" hidden="false" localSheetId="1" name="Monat.BUText" vbProcedure="false">January!$A$88</definedName>
    <definedName function="false" hidden="false" localSheetId="1" name="Monat.BUUeVM" vbProcedure="false">January!$AN$88</definedName>
    <definedName function="false" hidden="false" localSheetId="1" name="Monat.DAG.Total" vbProcedure="false">January!$AI$95</definedName>
    <definedName function="false" hidden="false" localSheetId="1" name="Monat.DAGText" vbProcedure="false">January!$A$95</definedName>
    <definedName function="false" hidden="false" localSheetId="1" name="Monat.DAGUeVM" vbProcedure="false">January!$AN$95</definedName>
    <definedName function="false" hidden="false" localSheetId="1" name="Monat.ein_aus.Total" vbProcedure="false">January!$AI$23</definedName>
    <definedName function="false" hidden="false" localSheetId="1" name="Monat.ein_ausText" vbProcedure="false">January!$A$23</definedName>
    <definedName function="false" hidden="false" localSheetId="1" name="Monat.ein_aus_Pikett.Total" vbProcedure="false">January!$AI$45</definedName>
    <definedName function="false" hidden="false" localSheetId="1" name="Monat.ein_aus_PikettText" vbProcedure="false">January!$A$45</definedName>
    <definedName function="false" hidden="false" localSheetId="1" name="Monat.Ferien.JS" vbProcedure="false">January!$AO$84</definedName>
    <definedName function="false" hidden="false" localSheetId="1" name="Monat.Ferien.Total" vbProcedure="false">January!$AI$84</definedName>
    <definedName function="false" hidden="false" localSheetId="1" name="Monat.FerienKor.Total" vbProcedure="false">January!$AI$85</definedName>
    <definedName function="false" hidden="false" localSheetId="1" name="Monat.FerienText" vbProcedure="false">January!$A$84</definedName>
    <definedName function="false" hidden="false" localSheetId="1" name="Monat.FerienUeVM" vbProcedure="false">January!$AN$84</definedName>
    <definedName function="false" hidden="false" localSheetId="1" name="Monat.Kom.JS" vbProcedure="false">January!$AO$67</definedName>
    <definedName function="false" hidden="false" localSheetId="1" name="Monat.KomAZ.Total" vbProcedure="false">January!$AI$67</definedName>
    <definedName function="false" hidden="false" localSheetId="1" name="Monat.KomAZText" vbProcedure="false">January!$A$67</definedName>
    <definedName function="false" hidden="false" localSheetId="1" name="Monat.KompZZSND.Total" vbProcedure="false">January!$AI$71</definedName>
    <definedName function="false" hidden="false" localSheetId="1" name="Monat.KompZZSNDText" vbProcedure="false">January!$A$71</definedName>
    <definedName function="false" hidden="false" localSheetId="1" name="Monat.KompZZSNDUeVM" vbProcedure="false">January!$AN$71</definedName>
    <definedName function="false" hidden="false" localSheetId="1" name="Monat.KomUeVM" vbProcedure="false">January!$AN$67</definedName>
    <definedName function="false" hidden="false" localSheetId="1" name="Monat.KomUeZ.Total" vbProcedure="false">January!$AI$61</definedName>
    <definedName function="false" hidden="false" localSheetId="1" name="Monat.KomUeZText" vbProcedure="false">January!$A$61</definedName>
    <definedName function="false" hidden="false" localSheetId="1" name="Monat.Krank.Total" vbProcedure="false">January!$AI$87</definedName>
    <definedName function="false" hidden="false" localSheetId="1" name="Monat.KrankText" vbProcedure="false">January!$A$87</definedName>
    <definedName function="false" hidden="false" localSheetId="1" name="Monat.KrankUeVM" vbProcedure="false">January!$AN$87</definedName>
    <definedName function="false" hidden="false" localSheetId="1" name="Monat.Militaer.Total" vbProcedure="false">January!$AI$90</definedName>
    <definedName function="false" hidden="false" localSheetId="1" name="Monat.MMS.Total" vbProcedure="false">January!$AI$58</definedName>
    <definedName function="false" hidden="false" localSheetId="1" name="Monat.MMS.UeVM" vbProcedure="false">January!$AN$58</definedName>
    <definedName function="false" hidden="false" localSheetId="1" name="Monat.MZSText" vbProcedure="false">January!$A$90</definedName>
    <definedName function="false" hidden="false" localSheetId="1" name="Monat.MZSUeVM" vbProcedure="false">January!$AN$90</definedName>
    <definedName function="false" hidden="false" localSheetId="1" name="Monat.NB.Total" vbProcedure="false">January!$AI$94</definedName>
    <definedName function="false" hidden="false" localSheetId="1" name="Monat.NBText" vbProcedure="false">January!$A$94</definedName>
    <definedName function="false" hidden="false" localSheetId="1" name="Monat.NBU.Total" vbProcedure="false">January!$AI$89</definedName>
    <definedName function="false" hidden="false" localSheetId="1" name="Monat.NBUeVM" vbProcedure="false">January!$AN$94</definedName>
    <definedName function="false" hidden="false" localSheetId="1" name="Monat.NBUText" vbProcedure="false">January!$A$89</definedName>
    <definedName function="false" hidden="false" localSheetId="1" name="Monat.NBUUeVM" vbProcedure="false">January!$AN$89</definedName>
    <definedName function="false" hidden="false" localSheetId="1" name="Monat.ND.Total" vbProcedure="false">January!$AI$73</definedName>
    <definedName function="false" hidden="false" localSheetId="1" name="Monat.NDgesternTag1" vbProcedure="false">January!$B$76</definedName>
    <definedName function="false" hidden="false" localSheetId="1" name="Monat.NDText" vbProcedure="false">January!$A$73</definedName>
    <definedName function="false" hidden="false" localSheetId="1" name="Monat.NDUeVM" vbProcedure="false">January!$AN$73</definedName>
    <definedName function="false" hidden="false" localSheetId="1" name="Monat.P10UeVM" vbProcedure="false">January!$AN$106</definedName>
    <definedName function="false" hidden="false" localSheetId="1" name="Monat.P11UeVM" vbProcedure="false">January!$AN$107</definedName>
    <definedName function="false" hidden="false" localSheetId="1" name="Monat.P12UeVM" vbProcedure="false">January!$AN$108</definedName>
    <definedName function="false" hidden="false" localSheetId="1" name="Monat.P13UeVM" vbProcedure="false">January!$AN$109</definedName>
    <definedName function="false" hidden="false" localSheetId="1" name="Monat.P14UeVM" vbProcedure="false">January!$AN$110</definedName>
    <definedName function="false" hidden="false" localSheetId="1" name="Monat.P15UeVM" vbProcedure="false">January!$AN$111</definedName>
    <definedName function="false" hidden="false" localSheetId="1" name="Monat.P1UeVM" vbProcedure="false">January!$AN$97</definedName>
    <definedName function="false" hidden="false" localSheetId="1" name="Monat.P2UeVM" vbProcedure="false">January!$AN$98</definedName>
    <definedName function="false" hidden="false" localSheetId="1" name="Monat.P3UeVM" vbProcedure="false">January!$AN$99</definedName>
    <definedName function="false" hidden="false" localSheetId="1" name="Monat.P4UeVM" vbProcedure="false">January!$AN$100</definedName>
    <definedName function="false" hidden="false" localSheetId="1" name="Monat.P5UeVM" vbProcedure="false">January!$AN$101</definedName>
    <definedName function="false" hidden="false" localSheetId="1" name="Monat.P6UeVM" vbProcedure="false">January!$AN$102</definedName>
    <definedName function="false" hidden="false" localSheetId="1" name="Monat.P7UeVM" vbProcedure="false">January!$AN$103</definedName>
    <definedName function="false" hidden="false" localSheetId="1" name="Monat.P8UeVM" vbProcedure="false">January!$AN$104</definedName>
    <definedName function="false" hidden="false" localSheetId="1" name="Monat.P9UeVM" vbProcedure="false">January!$AN$105</definedName>
    <definedName function="false" hidden="false" localSheetId="1" name="Monat.PDiffUeVM" vbProcedure="false">January!$AN$114</definedName>
    <definedName function="false" hidden="false" localSheetId="1" name="Monat.Pikett" vbProcedure="false">January!$AG$34</definedName>
    <definedName function="false" hidden="false" localSheetId="1" name="Monat.Pikett.Zähler" vbProcedure="false">January!$AJ$34</definedName>
    <definedName function="false" hidden="false" localSheetId="1" name="Monat.PikettgesternTag1" vbProcedure="false">January!$B$48</definedName>
    <definedName function="false" hidden="false" localSheetId="1" name="Monat.PikettText" vbProcedure="false">January!$A$34</definedName>
    <definedName function="false" hidden="false" localSheetId="1" name="Monat.Projekte.Zeilen" vbProcedure="false">January!$A$97:$A$111</definedName>
    <definedName function="false" hidden="false" localSheetId="1" name="Monat.ProjekteTotal.Bereich" vbProcedure="false">January!$AI$97:$AI$111</definedName>
    <definedName function="false" hidden="false" localSheetId="1" name="Monat.PTotalUeVM" vbProcedure="false">January!$AN$112</definedName>
    <definedName function="false" hidden="false" localSheetId="1" name="Monat.RAZ1_7.Bereich" vbProcedure="false">January!$P$7:$V$7</definedName>
    <definedName function="false" hidden="false" localSheetId="1" name="Monat.SD.Total" vbProcedure="false">January!$AI$82</definedName>
    <definedName function="false" hidden="false" localSheetId="1" name="Monat.SDText" vbProcedure="false">January!$A$82</definedName>
    <definedName function="false" hidden="false" localSheetId="1" name="Monat.SDUeVM" vbProcedure="false">January!$AN$82</definedName>
    <definedName function="false" hidden="false" localSheetId="1" name="Monat.Soll_Ist_UeVM" vbProcedure="false">January!$AN$55</definedName>
    <definedName function="false" hidden="false" localSheetId="1" name="Monat.Tag1" vbProcedure="false">January!$B$10</definedName>
    <definedName function="false" hidden="false" localSheetId="1" name="Monat.Tage.Knoten" vbProcedure="false">January!$B$9</definedName>
    <definedName function="false" hidden="false" localSheetId="1" name="Monat.UeZ.Saldo" vbProcedure="false">January!$AI$62</definedName>
    <definedName function="false" hidden="false" localSheetId="1" name="Monat.UeZ.Total" vbProcedure="false">January!$AI$65</definedName>
    <definedName function="false" hidden="false" localSheetId="1" name="Monat.UeziZSText" vbProcedure="false">January!$AG$65</definedName>
    <definedName function="false" hidden="false" localSheetId="1" name="Monat.UeZSaldoText" vbProcedure="false">January!$AG$62</definedName>
    <definedName function="false" hidden="false" localSheetId="1" name="Monat.UeZUeVM" vbProcedure="false">January!$AN$65</definedName>
    <definedName function="false" hidden="false" localSheetId="1" name="Monat.UnbesU.Total" vbProcedure="false">January!$AI$93</definedName>
    <definedName function="false" hidden="false" localSheetId="1" name="Monat.UnbesUrlaubText" vbProcedure="false">January!$A$93</definedName>
    <definedName function="false" hidden="false" localSheetId="1" name="Monat.UnbesUrlaubUeVM" vbProcedure="false">January!$AN$93</definedName>
    <definedName function="false" hidden="false" localSheetId="1" name="Monat.WB.Total" vbProcedure="false">January!$AI$91</definedName>
    <definedName function="false" hidden="false" localSheetId="1" name="Monat.WBText" vbProcedure="false">January!$A$91</definedName>
    <definedName function="false" hidden="false" localSheetId="1" name="Monat.WBUeVM" vbProcedure="false">January!$AN$91</definedName>
    <definedName function="false" hidden="false" localSheetId="1" name="Monat.Wochentage.Bereich" vbProcedure="false">January!$P$6:$V$6</definedName>
    <definedName function="false" hidden="false" localSheetId="1" name="Monat.ZS.Total" vbProcedure="false">January!$AI$63</definedName>
    <definedName function="false" hidden="false" localSheetId="1" name="Monat.ZSText" vbProcedure="false">January!$AG$63</definedName>
    <definedName function="false" hidden="false" localSheetId="1" name="Monat.ZUeZ.Total" vbProcedure="false">January!$AI$56</definedName>
    <definedName function="false" hidden="false" localSheetId="1" name="Monat.ZZNdUe" vbProcedure="false">January!$AN$79</definedName>
    <definedName function="false" hidden="false" localSheetId="1" name="Monat.ZZSND.Total" vbProcedure="false">January!$AI$79</definedName>
    <definedName function="false" hidden="false" localSheetId="1" name="Monat.ZZSNDText" vbProcedure="false">January!$A$79</definedName>
    <definedName function="false" hidden="false" localSheetId="1" name="Monat.ZählerND.Total" vbProcedure="false">January!$AI$69</definedName>
    <definedName function="false" hidden="false" localSheetId="1" name="Monat.ZählerNDText" vbProcedure="false">January!$A$69</definedName>
    <definedName function="false" hidden="false" localSheetId="1" name="Monat.ZählerNDUe" vbProcedure="false">January!$AN$69</definedName>
    <definedName function="false" hidden="false" localSheetId="1" name="Monat.ÜZZSBerechtigt" vbProcedure="false">January!$V$4</definedName>
    <definedName function="false" hidden="false" localSheetId="1" name="PUEELZ.Knoten" vbProcedure="false">#REF!</definedName>
    <definedName function="false" hidden="false" localSheetId="1" name="PUEELZ.Monate.Bereich" vbProcedure="false">#REF!</definedName>
    <definedName function="false" hidden="false" localSheetId="1" name="PUEELZ.Projektauslastung.Knoten" vbProcedure="false">#REF!</definedName>
    <definedName function="false" hidden="false" localSheetId="1" name="PUEELZ.Summe.Knoten" vbProcedure="false">#REF!</definedName>
    <definedName function="false" hidden="false" localSheetId="2" name="FieldtoSelect" vbProcedure="false">February!$B$13</definedName>
    <definedName function="false" hidden="false" localSheetId="2" name="Monat.AAUeVM" vbProcedure="false">February!$AK$80</definedName>
    <definedName function="false" hidden="false" localSheetId="2" name="Monat.AB.Total" vbProcedure="false">February!$AF$86</definedName>
    <definedName function="false" hidden="false" localSheetId="2" name="Monat.Abendarbeit.Total" vbProcedure="false">February!$AF$80</definedName>
    <definedName function="false" hidden="false" localSheetId="2" name="Monat.AbendarbeitText" vbProcedure="false">February!$A$80</definedName>
    <definedName function="false" hidden="false" localSheetId="2" name="Monat.AnUeZ.Total" vbProcedure="false">February!$AF$60</definedName>
    <definedName function="false" hidden="false" localSheetId="2" name="Monat.AnUeZ.Zähler" vbProcedure="false">February!$AG$60</definedName>
    <definedName function="false" hidden="false" localSheetId="2" name="Monat.AnUeZText" vbProcedure="false">February!$A$60</definedName>
    <definedName function="false" hidden="false" localSheetId="2" name="Monat.AnUeZUeVM" vbProcedure="false">February!$AK$60</definedName>
    <definedName function="false" hidden="false" localSheetId="2" name="Monat.ArztText" vbProcedure="false">February!$A$86</definedName>
    <definedName function="false" hidden="false" localSheetId="2" name="Monat.ArztUeVM" vbProcedure="false">February!$AK$86</definedName>
    <definedName function="false" hidden="false" localSheetId="2" name="Monat.AZIstWRestUeVM" vbProcedure="false">February!$AK$51</definedName>
    <definedName function="false" hidden="false" localSheetId="2" name="Monat.AZSaldoUeVM" vbProcedure="false">February!$AK$56</definedName>
    <definedName function="false" hidden="false" localSheetId="2" name="Monat.AZSoll.Total" vbProcedure="false">February!$AF$53</definedName>
    <definedName function="false" hidden="false" localSheetId="2" name="Monat.AZSoll100.Total" vbProcedure="false">February!$AF$54</definedName>
    <definedName function="false" hidden="false" localSheetId="2" name="Monat.BD.Total" vbProcedure="false">February!$AF$81</definedName>
    <definedName function="false" hidden="false" localSheetId="2" name="Monat.BDText" vbProcedure="false">February!$A$81</definedName>
    <definedName function="false" hidden="false" localSheetId="2" name="Monat.BDUeVM" vbProcedure="false">February!$AK$81</definedName>
    <definedName function="false" hidden="false" localSheetId="2" name="Monat.BesU.Total" vbProcedure="false">February!$AF$92</definedName>
    <definedName function="false" hidden="false" localSheetId="2" name="Monat.BesUrlaubText" vbProcedure="false">February!$A$92</definedName>
    <definedName function="false" hidden="false" localSheetId="2" name="Monat.BesUrlaubUeVM" vbProcedure="false">February!$AK$92</definedName>
    <definedName function="false" hidden="false" localSheetId="2" name="Monat.BU.Total" vbProcedure="false">February!$AF$88</definedName>
    <definedName function="false" hidden="false" localSheetId="2" name="Monat.BUText" vbProcedure="false">February!$A$88</definedName>
    <definedName function="false" hidden="false" localSheetId="2" name="Monat.BUUeVM" vbProcedure="false">February!$AK$88</definedName>
    <definedName function="false" hidden="false" localSheetId="2" name="Monat.DAG.Total" vbProcedure="false">February!$AF$95</definedName>
    <definedName function="false" hidden="false" localSheetId="2" name="Monat.DAGText" vbProcedure="false">February!$A$95</definedName>
    <definedName function="false" hidden="false" localSheetId="2" name="Monat.DAGUeVM" vbProcedure="false">February!$AK$95</definedName>
    <definedName function="false" hidden="false" localSheetId="2" name="Monat.ein_aus.Total" vbProcedure="false">February!$AF$23</definedName>
    <definedName function="false" hidden="false" localSheetId="2" name="Monat.ein_ausText" vbProcedure="false">February!$A$23</definedName>
    <definedName function="false" hidden="false" localSheetId="2" name="Monat.ein_aus_Pikett.Total" vbProcedure="false">February!$AF$45</definedName>
    <definedName function="false" hidden="false" localSheetId="2" name="Monat.ein_aus_PikettText" vbProcedure="false">February!$A$45</definedName>
    <definedName function="false" hidden="false" localSheetId="2" name="Monat.Ferien.JS" vbProcedure="false">February!$AL$84</definedName>
    <definedName function="false" hidden="false" localSheetId="2" name="Monat.Ferien.Total" vbProcedure="false">February!$AF$84</definedName>
    <definedName function="false" hidden="false" localSheetId="2" name="Monat.FerienKor.Total" vbProcedure="false">February!$AF$85</definedName>
    <definedName function="false" hidden="false" localSheetId="2" name="Monat.FerienText" vbProcedure="false">February!$A$84</definedName>
    <definedName function="false" hidden="false" localSheetId="2" name="Monat.FerienUeVM" vbProcedure="false">February!$AK$84</definedName>
    <definedName function="false" hidden="false" localSheetId="2" name="Monat.Kom.JS" vbProcedure="false">February!$AL$67</definedName>
    <definedName function="false" hidden="false" localSheetId="2" name="Monat.KomAZ.Total" vbProcedure="false">February!$AF$67</definedName>
    <definedName function="false" hidden="false" localSheetId="2" name="Monat.KomAZText" vbProcedure="false">February!$A$67</definedName>
    <definedName function="false" hidden="false" localSheetId="2" name="Monat.KompZZSND.Total" vbProcedure="false">February!$AF$71</definedName>
    <definedName function="false" hidden="false" localSheetId="2" name="Monat.KompZZSNDText" vbProcedure="false">February!$A$71</definedName>
    <definedName function="false" hidden="false" localSheetId="2" name="Monat.KompZZSNDUeVM" vbProcedure="false">February!$AK$71</definedName>
    <definedName function="false" hidden="false" localSheetId="2" name="Monat.KomUeVM" vbProcedure="false">February!$AK$67</definedName>
    <definedName function="false" hidden="false" localSheetId="2" name="Monat.KomUeZ.Total" vbProcedure="false">February!$AF$61</definedName>
    <definedName function="false" hidden="false" localSheetId="2" name="Monat.KomUeZText" vbProcedure="false">February!$A$61</definedName>
    <definedName function="false" hidden="false" localSheetId="2" name="Monat.Krank.Total" vbProcedure="false">February!$AF$87</definedName>
    <definedName function="false" hidden="false" localSheetId="2" name="Monat.KrankText" vbProcedure="false">February!$A$87</definedName>
    <definedName function="false" hidden="false" localSheetId="2" name="Monat.KrankUeVM" vbProcedure="false">February!$AK$87</definedName>
    <definedName function="false" hidden="false" localSheetId="2" name="Monat.Militaer.Total" vbProcedure="false">February!$AF$90</definedName>
    <definedName function="false" hidden="false" localSheetId="2" name="Monat.MMS.Total" vbProcedure="false">February!$AF$58</definedName>
    <definedName function="false" hidden="false" localSheetId="2" name="Monat.MMS.UeVM" vbProcedure="false">February!$AK$58</definedName>
    <definedName function="false" hidden="false" localSheetId="2" name="Monat.MZSText" vbProcedure="false">February!$A$90</definedName>
    <definedName function="false" hidden="false" localSheetId="2" name="Monat.MZSUeVM" vbProcedure="false">February!$AK$90</definedName>
    <definedName function="false" hidden="false" localSheetId="2" name="Monat.NB.Total" vbProcedure="false">February!$AF$94</definedName>
    <definedName function="false" hidden="false" localSheetId="2" name="Monat.NBText" vbProcedure="false">February!$A$94</definedName>
    <definedName function="false" hidden="false" localSheetId="2" name="Monat.NBU.Total" vbProcedure="false">February!$AF$89</definedName>
    <definedName function="false" hidden="false" localSheetId="2" name="Monat.NBUeVM" vbProcedure="false">February!$AK$94</definedName>
    <definedName function="false" hidden="false" localSheetId="2" name="Monat.NBUText" vbProcedure="false">February!$A$89</definedName>
    <definedName function="false" hidden="false" localSheetId="2" name="Monat.NBUUeVM" vbProcedure="false">February!$AK$89</definedName>
    <definedName function="false" hidden="false" localSheetId="2" name="Monat.ND.Total" vbProcedure="false">February!$AF$73</definedName>
    <definedName function="false" hidden="false" localSheetId="2" name="Monat.NDgesternTag1" vbProcedure="false">February!$B$76</definedName>
    <definedName function="false" hidden="false" localSheetId="2" name="Monat.NDText" vbProcedure="false">February!$A$73</definedName>
    <definedName function="false" hidden="false" localSheetId="2" name="Monat.NDUeVM" vbProcedure="false">February!$AK$73</definedName>
    <definedName function="false" hidden="false" localSheetId="2" name="Monat.P10UeVM" vbProcedure="false">February!$AK$106</definedName>
    <definedName function="false" hidden="false" localSheetId="2" name="Monat.P11UeVM" vbProcedure="false">February!$AK$107</definedName>
    <definedName function="false" hidden="false" localSheetId="2" name="Monat.P12UeVM" vbProcedure="false">February!$AK$108</definedName>
    <definedName function="false" hidden="false" localSheetId="2" name="Monat.P13UeVM" vbProcedure="false">February!$AK$109</definedName>
    <definedName function="false" hidden="false" localSheetId="2" name="Monat.P14UeVM" vbProcedure="false">February!$AK$110</definedName>
    <definedName function="false" hidden="false" localSheetId="2" name="Monat.P15UeVM" vbProcedure="false">February!$AK$111</definedName>
    <definedName function="false" hidden="false" localSheetId="2" name="Monat.P1UeVM" vbProcedure="false">February!$AK$97</definedName>
    <definedName function="false" hidden="false" localSheetId="2" name="Monat.P2UeVM" vbProcedure="false">February!$AK$98</definedName>
    <definedName function="false" hidden="false" localSheetId="2" name="Monat.P3UeVM" vbProcedure="false">February!$AK$99</definedName>
    <definedName function="false" hidden="false" localSheetId="2" name="Monat.P4UeVM" vbProcedure="false">February!$AK$100</definedName>
    <definedName function="false" hidden="false" localSheetId="2" name="Monat.P5UeVM" vbProcedure="false">February!$AK$101</definedName>
    <definedName function="false" hidden="false" localSheetId="2" name="Monat.P6UeVM" vbProcedure="false">February!$AK$102</definedName>
    <definedName function="false" hidden="false" localSheetId="2" name="Monat.P7UeVM" vbProcedure="false">February!$AK$103</definedName>
    <definedName function="false" hidden="false" localSheetId="2" name="Monat.P8UeVM" vbProcedure="false">February!$AK$104</definedName>
    <definedName function="false" hidden="false" localSheetId="2" name="Monat.P9UeVM" vbProcedure="false">February!$AK$105</definedName>
    <definedName function="false" hidden="false" localSheetId="2" name="Monat.PDiffUeVM" vbProcedure="false">February!$AK$114</definedName>
    <definedName function="false" hidden="false" localSheetId="2" name="Monat.Pikett" vbProcedure="false">February!$AD$34</definedName>
    <definedName function="false" hidden="false" localSheetId="2" name="Monat.Pikett.Zähler" vbProcedure="false">February!$AG$34</definedName>
    <definedName function="false" hidden="false" localSheetId="2" name="Monat.PikettgesternTag1" vbProcedure="false">February!$B$48</definedName>
    <definedName function="false" hidden="false" localSheetId="2" name="Monat.PikettText" vbProcedure="false">February!$A$34</definedName>
    <definedName function="false" hidden="false" localSheetId="2" name="Monat.Projekte.Zeilen" vbProcedure="false">February!$A$97:$A$111</definedName>
    <definedName function="false" hidden="false" localSheetId="2" name="Monat.ProjekteTotal.Bereich" vbProcedure="false">February!$AF$97:$AF$111</definedName>
    <definedName function="false" hidden="false" localSheetId="2" name="Monat.PTotalUeVM" vbProcedure="false">February!$AK$112</definedName>
    <definedName function="false" hidden="false" localSheetId="2" name="Monat.RAZ1_7.Bereich" vbProcedure="false">February!$P$7:$V$7</definedName>
    <definedName function="false" hidden="false" localSheetId="2" name="Monat.SD.Total" vbProcedure="false">February!$AF$82</definedName>
    <definedName function="false" hidden="false" localSheetId="2" name="Monat.SDText" vbProcedure="false">February!$A$82</definedName>
    <definedName function="false" hidden="false" localSheetId="2" name="Monat.SDUeVM" vbProcedure="false">February!$AK$82</definedName>
    <definedName function="false" hidden="false" localSheetId="2" name="Monat.Soll_Ist_UeVM" vbProcedure="false">February!$AK$55</definedName>
    <definedName function="false" hidden="false" localSheetId="2" name="Monat.Tag1" vbProcedure="false">February!$B$10</definedName>
    <definedName function="false" hidden="false" localSheetId="2" name="Monat.Tage.Knoten" vbProcedure="false">February!$B$9</definedName>
    <definedName function="false" hidden="false" localSheetId="2" name="Monat.UeZ.Saldo" vbProcedure="false">February!$AF$62</definedName>
    <definedName function="false" hidden="false" localSheetId="2" name="Monat.UeZ.Total" vbProcedure="false">February!$AF$65</definedName>
    <definedName function="false" hidden="false" localSheetId="2" name="Monat.UeziZSText" vbProcedure="false">February!$AD$65</definedName>
    <definedName function="false" hidden="false" localSheetId="2" name="Monat.UeZSaldoText" vbProcedure="false">February!$AD$62</definedName>
    <definedName function="false" hidden="false" localSheetId="2" name="Monat.UeZUeVM" vbProcedure="false">February!$AK$65</definedName>
    <definedName function="false" hidden="false" localSheetId="2" name="Monat.UnbesU.Total" vbProcedure="false">February!$AF$93</definedName>
    <definedName function="false" hidden="false" localSheetId="2" name="Monat.UnbesUrlaubText" vbProcedure="false">February!$A$93</definedName>
    <definedName function="false" hidden="false" localSheetId="2" name="Monat.UnbesUrlaubUeVM" vbProcedure="false">February!$AK$93</definedName>
    <definedName function="false" hidden="false" localSheetId="2" name="Monat.WB.Total" vbProcedure="false">February!$AF$91</definedName>
    <definedName function="false" hidden="false" localSheetId="2" name="Monat.WBText" vbProcedure="false">February!$A$91</definedName>
    <definedName function="false" hidden="false" localSheetId="2" name="Monat.WBUeVM" vbProcedure="false">February!$AK$91</definedName>
    <definedName function="false" hidden="false" localSheetId="2" name="Monat.Wochentage.Bereich" vbProcedure="false">February!$P$6:$V$6</definedName>
    <definedName function="false" hidden="false" localSheetId="2" name="Monat.ZS.Total" vbProcedure="false">February!$AF$63</definedName>
    <definedName function="false" hidden="false" localSheetId="2" name="Monat.ZSText" vbProcedure="false">February!$AD$63</definedName>
    <definedName function="false" hidden="false" localSheetId="2" name="Monat.ZUeZ.Total" vbProcedure="false">February!$AF$56</definedName>
    <definedName function="false" hidden="false" localSheetId="2" name="Monat.ZZNdUe" vbProcedure="false">February!$AK$79</definedName>
    <definedName function="false" hidden="false" localSheetId="2" name="Monat.ZZSND.Total" vbProcedure="false">February!$AF$79</definedName>
    <definedName function="false" hidden="false" localSheetId="2" name="Monat.ZZSNDText" vbProcedure="false">February!$A$79</definedName>
    <definedName function="false" hidden="false" localSheetId="2" name="Monat.ZählerND.Total" vbProcedure="false">February!$AF$69</definedName>
    <definedName function="false" hidden="false" localSheetId="2" name="Monat.ZählerNDText" vbProcedure="false">February!$A$69</definedName>
    <definedName function="false" hidden="false" localSheetId="2" name="Monat.ZählerNDUe" vbProcedure="false">February!$AK$69</definedName>
    <definedName function="false" hidden="false" localSheetId="2" name="Monat.ÜZZSBerechtigt" vbProcedure="false">February!$V$4</definedName>
    <definedName function="false" hidden="false" localSheetId="2" name="PUEELZ.Knoten" vbProcedure="false">#REF!</definedName>
    <definedName function="false" hidden="false" localSheetId="2" name="PUEELZ.Monate.Bereich" vbProcedure="false">#REF!</definedName>
    <definedName function="false" hidden="false" localSheetId="2" name="PUEELZ.Projektauslastung.Knoten" vbProcedure="false">#REF!</definedName>
    <definedName function="false" hidden="false" localSheetId="2" name="PUEELZ.Summe.Knoten" vbProcedure="false">#REF!</definedName>
    <definedName function="false" hidden="false" localSheetId="3" name="FieldtoSelect" vbProcedure="false">March!$B$13</definedName>
    <definedName function="false" hidden="false" localSheetId="3" name="Monat.AAUeVM" vbProcedure="false">March!$AN$80</definedName>
    <definedName function="false" hidden="false" localSheetId="3" name="Monat.AB.Total" vbProcedure="false">March!$AI$86</definedName>
    <definedName function="false" hidden="false" localSheetId="3" name="Monat.Abendarbeit.Total" vbProcedure="false">March!$AI$80</definedName>
    <definedName function="false" hidden="false" localSheetId="3" name="Monat.AbendarbeitText" vbProcedure="false">March!$A$80</definedName>
    <definedName function="false" hidden="false" localSheetId="3" name="Monat.AnUeZ.Total" vbProcedure="false">March!$AI$60</definedName>
    <definedName function="false" hidden="false" localSheetId="3" name="Monat.AnUeZ.Zähler" vbProcedure="false">March!$AJ$60</definedName>
    <definedName function="false" hidden="false" localSheetId="3" name="Monat.AnUeZText" vbProcedure="false">March!$A$60</definedName>
    <definedName function="false" hidden="false" localSheetId="3" name="Monat.AnUeZUeVM" vbProcedure="false">March!$AN$60</definedName>
    <definedName function="false" hidden="false" localSheetId="3" name="Monat.ArztText" vbProcedure="false">March!$A$86</definedName>
    <definedName function="false" hidden="false" localSheetId="3" name="Monat.ArztUeVM" vbProcedure="false">March!$AN$86</definedName>
    <definedName function="false" hidden="false" localSheetId="3" name="Monat.AZIstWRestUeVM" vbProcedure="false">March!$AN$51</definedName>
    <definedName function="false" hidden="false" localSheetId="3" name="Monat.AZSaldoUeVM" vbProcedure="false">March!$AN$56</definedName>
    <definedName function="false" hidden="false" localSheetId="3" name="Monat.AZSoll.Total" vbProcedure="false">March!$AI$53</definedName>
    <definedName function="false" hidden="false" localSheetId="3" name="Monat.AZSoll100.Total" vbProcedure="false">March!$AI$54</definedName>
    <definedName function="false" hidden="false" localSheetId="3" name="Monat.BD.Total" vbProcedure="false">March!$AI$81</definedName>
    <definedName function="false" hidden="false" localSheetId="3" name="Monat.BDText" vbProcedure="false">March!$A$81</definedName>
    <definedName function="false" hidden="false" localSheetId="3" name="Monat.BDUeVM" vbProcedure="false">March!$AN$81</definedName>
    <definedName function="false" hidden="false" localSheetId="3" name="Monat.BesU.Total" vbProcedure="false">March!$AI$92</definedName>
    <definedName function="false" hidden="false" localSheetId="3" name="Monat.BesUrlaubText" vbProcedure="false">March!$A$92</definedName>
    <definedName function="false" hidden="false" localSheetId="3" name="Monat.BesUrlaubUeVM" vbProcedure="false">March!$AN$92</definedName>
    <definedName function="false" hidden="false" localSheetId="3" name="Monat.BU.Total" vbProcedure="false">March!$AI$88</definedName>
    <definedName function="false" hidden="false" localSheetId="3" name="Monat.BUText" vbProcedure="false">March!$A$88</definedName>
    <definedName function="false" hidden="false" localSheetId="3" name="Monat.BUUeVM" vbProcedure="false">March!$AN$88</definedName>
    <definedName function="false" hidden="false" localSheetId="3" name="Monat.DAG.Total" vbProcedure="false">March!$AI$95</definedName>
    <definedName function="false" hidden="false" localSheetId="3" name="Monat.DAGText" vbProcedure="false">March!$A$95</definedName>
    <definedName function="false" hidden="false" localSheetId="3" name="Monat.DAGUeVM" vbProcedure="false">March!$AN$95</definedName>
    <definedName function="false" hidden="false" localSheetId="3" name="Monat.ein_aus.Total" vbProcedure="false">March!$AI$23</definedName>
    <definedName function="false" hidden="false" localSheetId="3" name="Monat.ein_ausText" vbProcedure="false">March!$A$23</definedName>
    <definedName function="false" hidden="false" localSheetId="3" name="Monat.ein_aus_Pikett.Total" vbProcedure="false">March!$AI$45</definedName>
    <definedName function="false" hidden="false" localSheetId="3" name="Monat.ein_aus_PikettText" vbProcedure="false">March!$A$45</definedName>
    <definedName function="false" hidden="false" localSheetId="3" name="Monat.Ferien.JS" vbProcedure="false">March!$AO$84</definedName>
    <definedName function="false" hidden="false" localSheetId="3" name="Monat.Ferien.Total" vbProcedure="false">March!$AI$84</definedName>
    <definedName function="false" hidden="false" localSheetId="3" name="Monat.FerienKor.Total" vbProcedure="false">March!$AI$85</definedName>
    <definedName function="false" hidden="false" localSheetId="3" name="Monat.FerienText" vbProcedure="false">March!$A$84</definedName>
    <definedName function="false" hidden="false" localSheetId="3" name="Monat.FerienUeVM" vbProcedure="false">March!$AN$84</definedName>
    <definedName function="false" hidden="false" localSheetId="3" name="Monat.Kom.JS" vbProcedure="false">March!$AO$67</definedName>
    <definedName function="false" hidden="false" localSheetId="3" name="Monat.KomAZ.Total" vbProcedure="false">March!$AI$67</definedName>
    <definedName function="false" hidden="false" localSheetId="3" name="Monat.KomAZText" vbProcedure="false">March!$A$67</definedName>
    <definedName function="false" hidden="false" localSheetId="3" name="Monat.KompZZSND.Total" vbProcedure="false">March!$AI$71</definedName>
    <definedName function="false" hidden="false" localSheetId="3" name="Monat.KompZZSNDText" vbProcedure="false">March!$A$71</definedName>
    <definedName function="false" hidden="false" localSheetId="3" name="Monat.KompZZSNDUeVM" vbProcedure="false">March!$AN$71</definedName>
    <definedName function="false" hidden="false" localSheetId="3" name="Monat.KomUeVM" vbProcedure="false">March!$AN$67</definedName>
    <definedName function="false" hidden="false" localSheetId="3" name="Monat.KomUeZ.Total" vbProcedure="false">March!$AI$61</definedName>
    <definedName function="false" hidden="false" localSheetId="3" name="Monat.KomUeZText" vbProcedure="false">March!$A$61</definedName>
    <definedName function="false" hidden="false" localSheetId="3" name="Monat.Krank.Total" vbProcedure="false">March!$AI$87</definedName>
    <definedName function="false" hidden="false" localSheetId="3" name="Monat.KrankText" vbProcedure="false">March!$A$87</definedName>
    <definedName function="false" hidden="false" localSheetId="3" name="Monat.KrankUeVM" vbProcedure="false">March!$AN$87</definedName>
    <definedName function="false" hidden="false" localSheetId="3" name="Monat.Militaer.Total" vbProcedure="false">March!$AI$90</definedName>
    <definedName function="false" hidden="false" localSheetId="3" name="Monat.MMS.Total" vbProcedure="false">March!$AI$58</definedName>
    <definedName function="false" hidden="false" localSheetId="3" name="Monat.MMS.UeVM" vbProcedure="false">March!$AN$58</definedName>
    <definedName function="false" hidden="false" localSheetId="3" name="Monat.MZSText" vbProcedure="false">March!$A$90</definedName>
    <definedName function="false" hidden="false" localSheetId="3" name="Monat.MZSUeVM" vbProcedure="false">March!$AN$90</definedName>
    <definedName function="false" hidden="false" localSheetId="3" name="Monat.NB.Total" vbProcedure="false">March!$AI$94</definedName>
    <definedName function="false" hidden="false" localSheetId="3" name="Monat.NBText" vbProcedure="false">March!$A$94</definedName>
    <definedName function="false" hidden="false" localSheetId="3" name="Monat.NBU.Total" vbProcedure="false">March!$AI$89</definedName>
    <definedName function="false" hidden="false" localSheetId="3" name="Monat.NBUeVM" vbProcedure="false">March!$AN$94</definedName>
    <definedName function="false" hidden="false" localSheetId="3" name="Monat.NBUText" vbProcedure="false">March!$A$89</definedName>
    <definedName function="false" hidden="false" localSheetId="3" name="Monat.NBUUeVM" vbProcedure="false">March!$AN$89</definedName>
    <definedName function="false" hidden="false" localSheetId="3" name="Monat.ND.Total" vbProcedure="false">March!$AI$73</definedName>
    <definedName function="false" hidden="false" localSheetId="3" name="Monat.NDgesternTag1" vbProcedure="false">March!$B$76</definedName>
    <definedName function="false" hidden="false" localSheetId="3" name="Monat.NDText" vbProcedure="false">March!$A$73</definedName>
    <definedName function="false" hidden="false" localSheetId="3" name="Monat.NDUeVM" vbProcedure="false">March!$AN$73</definedName>
    <definedName function="false" hidden="false" localSheetId="3" name="Monat.P10UeVM" vbProcedure="false">March!$AN$106</definedName>
    <definedName function="false" hidden="false" localSheetId="3" name="Monat.P11UeVM" vbProcedure="false">March!$AN$107</definedName>
    <definedName function="false" hidden="false" localSheetId="3" name="Monat.P12UeVM" vbProcedure="false">March!$AN$108</definedName>
    <definedName function="false" hidden="false" localSheetId="3" name="Monat.P13UeVM" vbProcedure="false">March!$AN$109</definedName>
    <definedName function="false" hidden="false" localSheetId="3" name="Monat.P14UeVM" vbProcedure="false">March!$AN$110</definedName>
    <definedName function="false" hidden="false" localSheetId="3" name="Monat.P15UeVM" vbProcedure="false">March!$AN$111</definedName>
    <definedName function="false" hidden="false" localSheetId="3" name="Monat.P1UeVM" vbProcedure="false">March!$AN$97</definedName>
    <definedName function="false" hidden="false" localSheetId="3" name="Monat.P2UeVM" vbProcedure="false">March!$AN$98</definedName>
    <definedName function="false" hidden="false" localSheetId="3" name="Monat.P3UeVM" vbProcedure="false">March!$AN$99</definedName>
    <definedName function="false" hidden="false" localSheetId="3" name="Monat.P4UeVM" vbProcedure="false">March!$AN$100</definedName>
    <definedName function="false" hidden="false" localSheetId="3" name="Monat.P5UeVM" vbProcedure="false">March!$AN$101</definedName>
    <definedName function="false" hidden="false" localSheetId="3" name="Monat.P6UeVM" vbProcedure="false">March!$AN$102</definedName>
    <definedName function="false" hidden="false" localSheetId="3" name="Monat.P7UeVM" vbProcedure="false">March!$AN$103</definedName>
    <definedName function="false" hidden="false" localSheetId="3" name="Monat.P8UeVM" vbProcedure="false">March!$AN$104</definedName>
    <definedName function="false" hidden="false" localSheetId="3" name="Monat.P9UeVM" vbProcedure="false">March!$AN$105</definedName>
    <definedName function="false" hidden="false" localSheetId="3" name="Monat.PDiffUeVM" vbProcedure="false">March!$AN$114</definedName>
    <definedName function="false" hidden="false" localSheetId="3" name="Monat.Pikett" vbProcedure="false">March!$AG$34</definedName>
    <definedName function="false" hidden="false" localSheetId="3" name="Monat.Pikett.Zähler" vbProcedure="false">March!$AJ$34</definedName>
    <definedName function="false" hidden="false" localSheetId="3" name="Monat.PikettgesternTag1" vbProcedure="false">March!$B$48</definedName>
    <definedName function="false" hidden="false" localSheetId="3" name="Monat.PikettText" vbProcedure="false">March!$A$34</definedName>
    <definedName function="false" hidden="false" localSheetId="3" name="Monat.Projekte.Zeilen" vbProcedure="false">March!$A$97:$A$111</definedName>
    <definedName function="false" hidden="false" localSheetId="3" name="Monat.ProjekteTotal.Bereich" vbProcedure="false">March!$AI$97:$AI$111</definedName>
    <definedName function="false" hidden="false" localSheetId="3" name="Monat.PTotalUeVM" vbProcedure="false">March!$AN$112</definedName>
    <definedName function="false" hidden="false" localSheetId="3" name="Monat.RAZ1_7.Bereich" vbProcedure="false">March!$P$7:$V$7</definedName>
    <definedName function="false" hidden="false" localSheetId="3" name="Monat.SD.Total" vbProcedure="false">March!$AI$82</definedName>
    <definedName function="false" hidden="false" localSheetId="3" name="Monat.SDText" vbProcedure="false">March!$A$82</definedName>
    <definedName function="false" hidden="false" localSheetId="3" name="Monat.SDUeVM" vbProcedure="false">March!$AN$82</definedName>
    <definedName function="false" hidden="false" localSheetId="3" name="Monat.Soll_Ist_UeVM" vbProcedure="false">March!$AN$55</definedName>
    <definedName function="false" hidden="false" localSheetId="3" name="Monat.Tag1" vbProcedure="false">March!$B$10</definedName>
    <definedName function="false" hidden="false" localSheetId="3" name="Monat.Tage.Knoten" vbProcedure="false">March!$B$9</definedName>
    <definedName function="false" hidden="false" localSheetId="3" name="Monat.UeZ.Saldo" vbProcedure="false">March!$AI$62</definedName>
    <definedName function="false" hidden="false" localSheetId="3" name="Monat.UeZ.Total" vbProcedure="false">March!$AI$65</definedName>
    <definedName function="false" hidden="false" localSheetId="3" name="Monat.UeziZSText" vbProcedure="false">March!$AG$65</definedName>
    <definedName function="false" hidden="false" localSheetId="3" name="Monat.UeZSaldoText" vbProcedure="false">March!$AG$62</definedName>
    <definedName function="false" hidden="false" localSheetId="3" name="Monat.UeZUeVM" vbProcedure="false">March!$AN$65</definedName>
    <definedName function="false" hidden="false" localSheetId="3" name="Monat.UnbesU.Total" vbProcedure="false">March!$AI$93</definedName>
    <definedName function="false" hidden="false" localSheetId="3" name="Monat.UnbesUrlaubText" vbProcedure="false">March!$A$93</definedName>
    <definedName function="false" hidden="false" localSheetId="3" name="Monat.UnbesUrlaubUeVM" vbProcedure="false">March!$AN$93</definedName>
    <definedName function="false" hidden="false" localSheetId="3" name="Monat.WB.Total" vbProcedure="false">March!$AI$91</definedName>
    <definedName function="false" hidden="false" localSheetId="3" name="Monat.WBText" vbProcedure="false">March!$A$91</definedName>
    <definedName function="false" hidden="false" localSheetId="3" name="Monat.WBUeVM" vbProcedure="false">March!$AN$91</definedName>
    <definedName function="false" hidden="false" localSheetId="3" name="Monat.Wochentage.Bereich" vbProcedure="false">March!$P$6:$V$6</definedName>
    <definedName function="false" hidden="false" localSheetId="3" name="Monat.ZS.Total" vbProcedure="false">March!$AI$63</definedName>
    <definedName function="false" hidden="false" localSheetId="3" name="Monat.ZSText" vbProcedure="false">March!$AG$63</definedName>
    <definedName function="false" hidden="false" localSheetId="3" name="Monat.ZUeZ.Total" vbProcedure="false">March!$AI$56</definedName>
    <definedName function="false" hidden="false" localSheetId="3" name="Monat.ZZNdUe" vbProcedure="false">March!$AN$79</definedName>
    <definedName function="false" hidden="false" localSheetId="3" name="Monat.ZZSND.Total" vbProcedure="false">March!$AI$79</definedName>
    <definedName function="false" hidden="false" localSheetId="3" name="Monat.ZZSNDText" vbProcedure="false">March!$A$79</definedName>
    <definedName function="false" hidden="false" localSheetId="3" name="Monat.ZählerND.Total" vbProcedure="false">March!$AI$69</definedName>
    <definedName function="false" hidden="false" localSheetId="3" name="Monat.ZählerNDText" vbProcedure="false">March!$A$69</definedName>
    <definedName function="false" hidden="false" localSheetId="3" name="Monat.ZählerNDUe" vbProcedure="false">March!$AN$69</definedName>
    <definedName function="false" hidden="false" localSheetId="3" name="Monat.ÜZZSBerechtigt" vbProcedure="false">March!$V$4</definedName>
    <definedName function="false" hidden="false" localSheetId="3" name="PUEELZ.Knoten" vbProcedure="false">#REF!</definedName>
    <definedName function="false" hidden="false" localSheetId="3" name="PUEELZ.Monate.Bereich" vbProcedure="false">#REF!</definedName>
    <definedName function="false" hidden="false" localSheetId="3" name="PUEELZ.Projektauslastung.Knoten" vbProcedure="false">#REF!</definedName>
    <definedName function="false" hidden="false" localSheetId="3" name="PUEELZ.Summe.Knoten" vbProcedure="false">#REF!</definedName>
    <definedName function="false" hidden="false" localSheetId="4" name="FieldtoSelect" vbProcedure="false">April!$B$13</definedName>
    <definedName function="false" hidden="false" localSheetId="4" name="Monat.AAUeVM" vbProcedure="false">April!$AM$80</definedName>
    <definedName function="false" hidden="false" localSheetId="4" name="Monat.AB.Total" vbProcedure="false">April!$AH$86</definedName>
    <definedName function="false" hidden="false" localSheetId="4" name="Monat.Abendarbeit.Total" vbProcedure="false">April!$AH$80</definedName>
    <definedName function="false" hidden="false" localSheetId="4" name="Monat.AbendarbeitText" vbProcedure="false">April!$A$80</definedName>
    <definedName function="false" hidden="false" localSheetId="4" name="Monat.AnUeZ.Total" vbProcedure="false">April!$AH$60</definedName>
    <definedName function="false" hidden="false" localSheetId="4" name="Monat.AnUeZ.Zähler" vbProcedure="false">April!$AI$60</definedName>
    <definedName function="false" hidden="false" localSheetId="4" name="Monat.AnUeZText" vbProcedure="false">April!$A$60</definedName>
    <definedName function="false" hidden="false" localSheetId="4" name="Monat.AnUeZUeVM" vbProcedure="false">April!$AM$60</definedName>
    <definedName function="false" hidden="false" localSheetId="4" name="Monat.ArztText" vbProcedure="false">April!$A$86</definedName>
    <definedName function="false" hidden="false" localSheetId="4" name="Monat.ArztUeVM" vbProcedure="false">April!$AM$86</definedName>
    <definedName function="false" hidden="false" localSheetId="4" name="Monat.AZIstWRestUeVM" vbProcedure="false">April!$AM$51</definedName>
    <definedName function="false" hidden="false" localSheetId="4" name="Monat.AZSaldoUeVM" vbProcedure="false">April!$AM$56</definedName>
    <definedName function="false" hidden="false" localSheetId="4" name="Monat.AZSoll.Total" vbProcedure="false">April!$AH$53</definedName>
    <definedName function="false" hidden="false" localSheetId="4" name="Monat.AZSoll100.Total" vbProcedure="false">April!$AH$54</definedName>
    <definedName function="false" hidden="false" localSheetId="4" name="Monat.BD.Total" vbProcedure="false">April!$AH$81</definedName>
    <definedName function="false" hidden="false" localSheetId="4" name="Monat.BDText" vbProcedure="false">April!$A$81</definedName>
    <definedName function="false" hidden="false" localSheetId="4" name="Monat.BDUeVM" vbProcedure="false">April!$AM$81</definedName>
    <definedName function="false" hidden="false" localSheetId="4" name="Monat.BesU.Total" vbProcedure="false">April!$AH$92</definedName>
    <definedName function="false" hidden="false" localSheetId="4" name="Monat.BesUrlaubText" vbProcedure="false">April!$A$92</definedName>
    <definedName function="false" hidden="false" localSheetId="4" name="Monat.BesUrlaubUeVM" vbProcedure="false">April!$AM$92</definedName>
    <definedName function="false" hidden="false" localSheetId="4" name="Monat.BU.Total" vbProcedure="false">April!$AH$88</definedName>
    <definedName function="false" hidden="false" localSheetId="4" name="Monat.BUText" vbProcedure="false">April!$A$88</definedName>
    <definedName function="false" hidden="false" localSheetId="4" name="Monat.BUUeVM" vbProcedure="false">April!$AM$88</definedName>
    <definedName function="false" hidden="false" localSheetId="4" name="Monat.DAG.Total" vbProcedure="false">April!$AH$95</definedName>
    <definedName function="false" hidden="false" localSheetId="4" name="Monat.DAGText" vbProcedure="false">April!$A$95</definedName>
    <definedName function="false" hidden="false" localSheetId="4" name="Monat.DAGUeVM" vbProcedure="false">April!$AM$95</definedName>
    <definedName function="false" hidden="false" localSheetId="4" name="Monat.ein_aus.Total" vbProcedure="false">April!$AH$23</definedName>
    <definedName function="false" hidden="false" localSheetId="4" name="Monat.ein_ausText" vbProcedure="false">April!$A$23</definedName>
    <definedName function="false" hidden="false" localSheetId="4" name="Monat.ein_aus_Pikett.Total" vbProcedure="false">April!$AH$45</definedName>
    <definedName function="false" hidden="false" localSheetId="4" name="Monat.ein_aus_PikettText" vbProcedure="false">April!$A$45</definedName>
    <definedName function="false" hidden="false" localSheetId="4" name="Monat.Ferien.JS" vbProcedure="false">April!$AN$84</definedName>
    <definedName function="false" hidden="false" localSheetId="4" name="Monat.Ferien.Total" vbProcedure="false">April!$AH$84</definedName>
    <definedName function="false" hidden="false" localSheetId="4" name="Monat.FerienKor.Total" vbProcedure="false">April!$AH$85</definedName>
    <definedName function="false" hidden="false" localSheetId="4" name="Monat.FerienText" vbProcedure="false">April!$A$84</definedName>
    <definedName function="false" hidden="false" localSheetId="4" name="Monat.FerienUeVM" vbProcedure="false">April!$AM$84</definedName>
    <definedName function="false" hidden="false" localSheetId="4" name="Monat.Kom.JS" vbProcedure="false">April!$AN$67</definedName>
    <definedName function="false" hidden="false" localSheetId="4" name="Monat.KomAZ.Total" vbProcedure="false">April!$AH$67</definedName>
    <definedName function="false" hidden="false" localSheetId="4" name="Monat.KomAZText" vbProcedure="false">April!$A$67</definedName>
    <definedName function="false" hidden="false" localSheetId="4" name="Monat.KompZZSND.Total" vbProcedure="false">April!$AH$71</definedName>
    <definedName function="false" hidden="false" localSheetId="4" name="Monat.KompZZSNDText" vbProcedure="false">April!$A$71</definedName>
    <definedName function="false" hidden="false" localSheetId="4" name="Monat.KompZZSNDUeVM" vbProcedure="false">April!$AM$71</definedName>
    <definedName function="false" hidden="false" localSheetId="4" name="Monat.KomUeVM" vbProcedure="false">April!$AM$67</definedName>
    <definedName function="false" hidden="false" localSheetId="4" name="Monat.KomUeZ.Total" vbProcedure="false">April!$AH$61</definedName>
    <definedName function="false" hidden="false" localSheetId="4" name="Monat.KomUeZText" vbProcedure="false">April!$A$61</definedName>
    <definedName function="false" hidden="false" localSheetId="4" name="Monat.Krank.Total" vbProcedure="false">April!$AH$87</definedName>
    <definedName function="false" hidden="false" localSheetId="4" name="Monat.KrankText" vbProcedure="false">April!$A$87</definedName>
    <definedName function="false" hidden="false" localSheetId="4" name="Monat.KrankUeVM" vbProcedure="false">April!$AM$87</definedName>
    <definedName function="false" hidden="false" localSheetId="4" name="Monat.Militaer.Total" vbProcedure="false">April!$AH$90</definedName>
    <definedName function="false" hidden="false" localSheetId="4" name="Monat.MMS.Total" vbProcedure="false">April!$AH$58</definedName>
    <definedName function="false" hidden="false" localSheetId="4" name="Monat.MMS.UeVM" vbProcedure="false">April!$AM$58</definedName>
    <definedName function="false" hidden="false" localSheetId="4" name="Monat.MZSText" vbProcedure="false">April!$A$90</definedName>
    <definedName function="false" hidden="false" localSheetId="4" name="Monat.MZSUeVM" vbProcedure="false">April!$AM$90</definedName>
    <definedName function="false" hidden="false" localSheetId="4" name="Monat.NB.Total" vbProcedure="false">April!$AH$94</definedName>
    <definedName function="false" hidden="false" localSheetId="4" name="Monat.NBText" vbProcedure="false">April!$A$94</definedName>
    <definedName function="false" hidden="false" localSheetId="4" name="Monat.NBU.Total" vbProcedure="false">April!$AH$89</definedName>
    <definedName function="false" hidden="false" localSheetId="4" name="Monat.NBUeVM" vbProcedure="false">April!$AM$94</definedName>
    <definedName function="false" hidden="false" localSheetId="4" name="Monat.NBUText" vbProcedure="false">April!$A$89</definedName>
    <definedName function="false" hidden="false" localSheetId="4" name="Monat.NBUUeVM" vbProcedure="false">April!$AM$89</definedName>
    <definedName function="false" hidden="false" localSheetId="4" name="Monat.ND.Total" vbProcedure="false">April!$AH$73</definedName>
    <definedName function="false" hidden="false" localSheetId="4" name="Monat.NDgesternTag1" vbProcedure="false">April!$B$76</definedName>
    <definedName function="false" hidden="false" localSheetId="4" name="Monat.NDText" vbProcedure="false">April!$A$73</definedName>
    <definedName function="false" hidden="false" localSheetId="4" name="Monat.NDUeVM" vbProcedure="false">April!$AM$73</definedName>
    <definedName function="false" hidden="false" localSheetId="4" name="Monat.P10UeVM" vbProcedure="false">April!$AM$106</definedName>
    <definedName function="false" hidden="false" localSheetId="4" name="Monat.P11UeVM" vbProcedure="false">April!$AM$107</definedName>
    <definedName function="false" hidden="false" localSheetId="4" name="Monat.P12UeVM" vbProcedure="false">April!$AM$108</definedName>
    <definedName function="false" hidden="false" localSheetId="4" name="Monat.P13UeVM" vbProcedure="false">April!$AM$109</definedName>
    <definedName function="false" hidden="false" localSheetId="4" name="Monat.P14UeVM" vbProcedure="false">April!$AM$110</definedName>
    <definedName function="false" hidden="false" localSheetId="4" name="Monat.P15UeVM" vbProcedure="false">April!$AM$111</definedName>
    <definedName function="false" hidden="false" localSheetId="4" name="Monat.P1UeVM" vbProcedure="false">April!$AM$97</definedName>
    <definedName function="false" hidden="false" localSheetId="4" name="Monat.P2UeVM" vbProcedure="false">April!$AM$98</definedName>
    <definedName function="false" hidden="false" localSheetId="4" name="Monat.P3UeVM" vbProcedure="false">April!$AM$99</definedName>
    <definedName function="false" hidden="false" localSheetId="4" name="Monat.P4UeVM" vbProcedure="false">April!$AM$100</definedName>
    <definedName function="false" hidden="false" localSheetId="4" name="Monat.P5UeVM" vbProcedure="false">April!$AM$101</definedName>
    <definedName function="false" hidden="false" localSheetId="4" name="Monat.P6UeVM" vbProcedure="false">April!$AM$102</definedName>
    <definedName function="false" hidden="false" localSheetId="4" name="Monat.P7UeVM" vbProcedure="false">April!$AM$103</definedName>
    <definedName function="false" hidden="false" localSheetId="4" name="Monat.P8UeVM" vbProcedure="false">April!$AM$104</definedName>
    <definedName function="false" hidden="false" localSheetId="4" name="Monat.P9UeVM" vbProcedure="false">April!$AM$105</definedName>
    <definedName function="false" hidden="false" localSheetId="4" name="Monat.PDiffUeVM" vbProcedure="false">April!$AM$114</definedName>
    <definedName function="false" hidden="false" localSheetId="4" name="Monat.Pikett" vbProcedure="false">April!$AF$34</definedName>
    <definedName function="false" hidden="false" localSheetId="4" name="Monat.Pikett.Zähler" vbProcedure="false">April!$AI$34</definedName>
    <definedName function="false" hidden="false" localSheetId="4" name="Monat.PikettgesternTag1" vbProcedure="false">April!$B$48</definedName>
    <definedName function="false" hidden="false" localSheetId="4" name="Monat.PikettText" vbProcedure="false">April!$A$34</definedName>
    <definedName function="false" hidden="false" localSheetId="4" name="Monat.Projekte.Zeilen" vbProcedure="false">April!$A$97:$A$111</definedName>
    <definedName function="false" hidden="false" localSheetId="4" name="Monat.ProjekteTotal.Bereich" vbProcedure="false">April!$AH$97:$AH$111</definedName>
    <definedName function="false" hidden="false" localSheetId="4" name="Monat.PTotalUeVM" vbProcedure="false">April!$AM$112</definedName>
    <definedName function="false" hidden="false" localSheetId="4" name="Monat.RAZ1_7.Bereich" vbProcedure="false">April!$P$7:$V$7</definedName>
    <definedName function="false" hidden="false" localSheetId="4" name="Monat.SD.Total" vbProcedure="false">April!$AH$82</definedName>
    <definedName function="false" hidden="false" localSheetId="4" name="Monat.SDText" vbProcedure="false">April!$A$82</definedName>
    <definedName function="false" hidden="false" localSheetId="4" name="Monat.SDUeVM" vbProcedure="false">April!$AM$82</definedName>
    <definedName function="false" hidden="false" localSheetId="4" name="Monat.Soll_Ist_UeVM" vbProcedure="false">April!$AM$55</definedName>
    <definedName function="false" hidden="false" localSheetId="4" name="Monat.Tag1" vbProcedure="false">April!$B$10</definedName>
    <definedName function="false" hidden="false" localSheetId="4" name="Monat.Tage.Knoten" vbProcedure="false">April!$B$9</definedName>
    <definedName function="false" hidden="false" localSheetId="4" name="Monat.UeZ.Saldo" vbProcedure="false">April!$AH$62</definedName>
    <definedName function="false" hidden="false" localSheetId="4" name="Monat.UeZ.Total" vbProcedure="false">April!$AH$65</definedName>
    <definedName function="false" hidden="false" localSheetId="4" name="Monat.UeziZSText" vbProcedure="false">April!$AF$65</definedName>
    <definedName function="false" hidden="false" localSheetId="4" name="Monat.UeZSaldoText" vbProcedure="false">April!$AF$62</definedName>
    <definedName function="false" hidden="false" localSheetId="4" name="Monat.UeZUeVM" vbProcedure="false">April!$AM$65</definedName>
    <definedName function="false" hidden="false" localSheetId="4" name="Monat.UnbesU.Total" vbProcedure="false">April!$AH$93</definedName>
    <definedName function="false" hidden="false" localSheetId="4" name="Monat.UnbesUrlaubText" vbProcedure="false">April!$A$93</definedName>
    <definedName function="false" hidden="false" localSheetId="4" name="Monat.UnbesUrlaubUeVM" vbProcedure="false">April!$AM$93</definedName>
    <definedName function="false" hidden="false" localSheetId="4" name="Monat.WB.Total" vbProcedure="false">April!$AH$91</definedName>
    <definedName function="false" hidden="false" localSheetId="4" name="Monat.WBText" vbProcedure="false">April!$A$91</definedName>
    <definedName function="false" hidden="false" localSheetId="4" name="Monat.WBUeVM" vbProcedure="false">April!$AM$91</definedName>
    <definedName function="false" hidden="false" localSheetId="4" name="Monat.Wochentage.Bereich" vbProcedure="false">April!$P$6:$V$6</definedName>
    <definedName function="false" hidden="false" localSheetId="4" name="Monat.ZS.Total" vbProcedure="false">April!$AH$63</definedName>
    <definedName function="false" hidden="false" localSheetId="4" name="Monat.ZSText" vbProcedure="false">April!$AF$63</definedName>
    <definedName function="false" hidden="false" localSheetId="4" name="Monat.ZUeZ.Total" vbProcedure="false">April!$AH$56</definedName>
    <definedName function="false" hidden="false" localSheetId="4" name="Monat.ZZNdUe" vbProcedure="false">April!$AM$79</definedName>
    <definedName function="false" hidden="false" localSheetId="4" name="Monat.ZZSND.Total" vbProcedure="false">April!$AH$79</definedName>
    <definedName function="false" hidden="false" localSheetId="4" name="Monat.ZZSNDText" vbProcedure="false">April!$A$79</definedName>
    <definedName function="false" hidden="false" localSheetId="4" name="Monat.ZählerND.Total" vbProcedure="false">April!$AH$69</definedName>
    <definedName function="false" hidden="false" localSheetId="4" name="Monat.ZählerNDText" vbProcedure="false">April!$A$69</definedName>
    <definedName function="false" hidden="false" localSheetId="4" name="Monat.ZählerNDUe" vbProcedure="false">April!$AM$69</definedName>
    <definedName function="false" hidden="false" localSheetId="4" name="Monat.ÜZZSBerechtigt" vbProcedure="false">April!$V$4</definedName>
    <definedName function="false" hidden="false" localSheetId="4" name="PUEELZ.Knoten" vbProcedure="false">#REF!</definedName>
    <definedName function="false" hidden="false" localSheetId="4" name="PUEELZ.Monate.Bereich" vbProcedure="false">#REF!</definedName>
    <definedName function="false" hidden="false" localSheetId="4" name="PUEELZ.Projektauslastung.Knoten" vbProcedure="false">#REF!</definedName>
    <definedName function="false" hidden="false" localSheetId="4" name="PUEELZ.Summe.Knoten" vbProcedure="false">#REF!</definedName>
    <definedName function="false" hidden="false" localSheetId="5" name="FieldtoSelect" vbProcedure="false">May!$B$13</definedName>
    <definedName function="false" hidden="false" localSheetId="5" name="Monat.AAUeVM" vbProcedure="false">May!$AN$80</definedName>
    <definedName function="false" hidden="false" localSheetId="5" name="Monat.AB.Total" vbProcedure="false">May!$AI$86</definedName>
    <definedName function="false" hidden="false" localSheetId="5" name="Monat.Abendarbeit.Total" vbProcedure="false">May!$AI$80</definedName>
    <definedName function="false" hidden="false" localSheetId="5" name="Monat.AbendarbeitText" vbProcedure="false">May!$A$80</definedName>
    <definedName function="false" hidden="false" localSheetId="5" name="Monat.AnUeZ.Total" vbProcedure="false">May!$AI$60</definedName>
    <definedName function="false" hidden="false" localSheetId="5" name="Monat.AnUeZ.Zähler" vbProcedure="false">May!$AJ$60</definedName>
    <definedName function="false" hidden="false" localSheetId="5" name="Monat.AnUeZText" vbProcedure="false">May!$A$60</definedName>
    <definedName function="false" hidden="false" localSheetId="5" name="Monat.AnUeZUeVM" vbProcedure="false">May!$AN$60</definedName>
    <definedName function="false" hidden="false" localSheetId="5" name="Monat.ArztText" vbProcedure="false">May!$A$86</definedName>
    <definedName function="false" hidden="false" localSheetId="5" name="Monat.ArztUeVM" vbProcedure="false">May!$AN$86</definedName>
    <definedName function="false" hidden="false" localSheetId="5" name="Monat.AZIstWRestUeVM" vbProcedure="false">May!$AN$51</definedName>
    <definedName function="false" hidden="false" localSheetId="5" name="Monat.AZSaldoUeVM" vbProcedure="false">May!$AN$56</definedName>
    <definedName function="false" hidden="false" localSheetId="5" name="Monat.AZSoll.Total" vbProcedure="false">May!$AI$53</definedName>
    <definedName function="false" hidden="false" localSheetId="5" name="Monat.AZSoll100.Total" vbProcedure="false">May!$AI$54</definedName>
    <definedName function="false" hidden="false" localSheetId="5" name="Monat.BD.Total" vbProcedure="false">May!$AI$81</definedName>
    <definedName function="false" hidden="false" localSheetId="5" name="Monat.BDText" vbProcedure="false">May!$A$81</definedName>
    <definedName function="false" hidden="false" localSheetId="5" name="Monat.BDUeVM" vbProcedure="false">May!$AN$81</definedName>
    <definedName function="false" hidden="false" localSheetId="5" name="Monat.BesU.Total" vbProcedure="false">May!$AI$92</definedName>
    <definedName function="false" hidden="false" localSheetId="5" name="Monat.BesUrlaubText" vbProcedure="false">May!$A$92</definedName>
    <definedName function="false" hidden="false" localSheetId="5" name="Monat.BesUrlaubUeVM" vbProcedure="false">May!$AN$92</definedName>
    <definedName function="false" hidden="false" localSheetId="5" name="Monat.BU.Total" vbProcedure="false">May!$AI$88</definedName>
    <definedName function="false" hidden="false" localSheetId="5" name="Monat.BUText" vbProcedure="false">May!$A$88</definedName>
    <definedName function="false" hidden="false" localSheetId="5" name="Monat.BUUeVM" vbProcedure="false">May!$AN$88</definedName>
    <definedName function="false" hidden="false" localSheetId="5" name="Monat.DAG.Total" vbProcedure="false">May!$AI$95</definedName>
    <definedName function="false" hidden="false" localSheetId="5" name="Monat.DAGText" vbProcedure="false">May!$A$95</definedName>
    <definedName function="false" hidden="false" localSheetId="5" name="Monat.DAGUeVM" vbProcedure="false">May!$AN$95</definedName>
    <definedName function="false" hidden="false" localSheetId="5" name="Monat.ein_aus.Total" vbProcedure="false">May!$AI$23</definedName>
    <definedName function="false" hidden="false" localSheetId="5" name="Monat.ein_ausText" vbProcedure="false">May!$A$23</definedName>
    <definedName function="false" hidden="false" localSheetId="5" name="Monat.ein_aus_Pikett.Total" vbProcedure="false">May!$AI$45</definedName>
    <definedName function="false" hidden="false" localSheetId="5" name="Monat.ein_aus_PikettText" vbProcedure="false">May!$A$45</definedName>
    <definedName function="false" hidden="false" localSheetId="5" name="Monat.Ferien.JS" vbProcedure="false">May!$AO$84</definedName>
    <definedName function="false" hidden="false" localSheetId="5" name="Monat.Ferien.Total" vbProcedure="false">May!$AI$84</definedName>
    <definedName function="false" hidden="false" localSheetId="5" name="Monat.FerienKor.Total" vbProcedure="false">May!$AI$85</definedName>
    <definedName function="false" hidden="false" localSheetId="5" name="Monat.FerienText" vbProcedure="false">May!$A$84</definedName>
    <definedName function="false" hidden="false" localSheetId="5" name="Monat.FerienUeVM" vbProcedure="false">May!$AN$84</definedName>
    <definedName function="false" hidden="false" localSheetId="5" name="Monat.Kom.JS" vbProcedure="false">May!$AO$67</definedName>
    <definedName function="false" hidden="false" localSheetId="5" name="Monat.KomAZ.Total" vbProcedure="false">May!$AI$67</definedName>
    <definedName function="false" hidden="false" localSheetId="5" name="Monat.KomAZText" vbProcedure="false">May!$A$67</definedName>
    <definedName function="false" hidden="false" localSheetId="5" name="Monat.KompZZSND.Total" vbProcedure="false">May!$AI$71</definedName>
    <definedName function="false" hidden="false" localSheetId="5" name="Monat.KompZZSNDText" vbProcedure="false">May!$A$71</definedName>
    <definedName function="false" hidden="false" localSheetId="5" name="Monat.KompZZSNDUeVM" vbProcedure="false">May!$AN$71</definedName>
    <definedName function="false" hidden="false" localSheetId="5" name="Monat.KomUeVM" vbProcedure="false">May!$AN$67</definedName>
    <definedName function="false" hidden="false" localSheetId="5" name="Monat.KomUeZ.Total" vbProcedure="false">May!$AI$61</definedName>
    <definedName function="false" hidden="false" localSheetId="5" name="Monat.KomUeZText" vbProcedure="false">May!$A$61</definedName>
    <definedName function="false" hidden="false" localSheetId="5" name="Monat.Krank.Total" vbProcedure="false">May!$AI$87</definedName>
    <definedName function="false" hidden="false" localSheetId="5" name="Monat.KrankText" vbProcedure="false">May!$A$87</definedName>
    <definedName function="false" hidden="false" localSheetId="5" name="Monat.KrankUeVM" vbProcedure="false">May!$AN$87</definedName>
    <definedName function="false" hidden="false" localSheetId="5" name="Monat.Militaer.Total" vbProcedure="false">May!$AI$90</definedName>
    <definedName function="false" hidden="false" localSheetId="5" name="Monat.MMS.Total" vbProcedure="false">May!$AI$58</definedName>
    <definedName function="false" hidden="false" localSheetId="5" name="Monat.MMS.UeVM" vbProcedure="false">May!$AN$58</definedName>
    <definedName function="false" hidden="false" localSheetId="5" name="Monat.MZSText" vbProcedure="false">May!$A$90</definedName>
    <definedName function="false" hidden="false" localSheetId="5" name="Monat.MZSUeVM" vbProcedure="false">May!$AN$90</definedName>
    <definedName function="false" hidden="false" localSheetId="5" name="Monat.NB.Total" vbProcedure="false">May!$AI$94</definedName>
    <definedName function="false" hidden="false" localSheetId="5" name="Monat.NBText" vbProcedure="false">May!$A$94</definedName>
    <definedName function="false" hidden="false" localSheetId="5" name="Monat.NBU.Total" vbProcedure="false">May!$AI$89</definedName>
    <definedName function="false" hidden="false" localSheetId="5" name="Monat.NBUeVM" vbProcedure="false">May!$AN$94</definedName>
    <definedName function="false" hidden="false" localSheetId="5" name="Monat.NBUText" vbProcedure="false">May!$A$89</definedName>
    <definedName function="false" hidden="false" localSheetId="5" name="Monat.NBUUeVM" vbProcedure="false">May!$AN$89</definedName>
    <definedName function="false" hidden="false" localSheetId="5" name="Monat.ND.Total" vbProcedure="false">May!$AI$73</definedName>
    <definedName function="false" hidden="false" localSheetId="5" name="Monat.NDgesternTag1" vbProcedure="false">May!$B$76</definedName>
    <definedName function="false" hidden="false" localSheetId="5" name="Monat.NDText" vbProcedure="false">May!$A$73</definedName>
    <definedName function="false" hidden="false" localSheetId="5" name="Monat.NDUeVM" vbProcedure="false">May!$AN$73</definedName>
    <definedName function="false" hidden="false" localSheetId="5" name="Monat.P10UeVM" vbProcedure="false">May!$AN$106</definedName>
    <definedName function="false" hidden="false" localSheetId="5" name="Monat.P11UeVM" vbProcedure="false">May!$AN$107</definedName>
    <definedName function="false" hidden="false" localSheetId="5" name="Monat.P12UeVM" vbProcedure="false">May!$AN$108</definedName>
    <definedName function="false" hidden="false" localSheetId="5" name="Monat.P13UeVM" vbProcedure="false">May!$AN$109</definedName>
    <definedName function="false" hidden="false" localSheetId="5" name="Monat.P14UeVM" vbProcedure="false">May!$AN$110</definedName>
    <definedName function="false" hidden="false" localSheetId="5" name="Monat.P15UeVM" vbProcedure="false">May!$AN$111</definedName>
    <definedName function="false" hidden="false" localSheetId="5" name="Monat.P1UeVM" vbProcedure="false">May!$AN$97</definedName>
    <definedName function="false" hidden="false" localSheetId="5" name="Monat.P2UeVM" vbProcedure="false">May!$AN$98</definedName>
    <definedName function="false" hidden="false" localSheetId="5" name="Monat.P3UeVM" vbProcedure="false">May!$AN$99</definedName>
    <definedName function="false" hidden="false" localSheetId="5" name="Monat.P4UeVM" vbProcedure="false">May!$AN$100</definedName>
    <definedName function="false" hidden="false" localSheetId="5" name="Monat.P5UeVM" vbProcedure="false">May!$AN$101</definedName>
    <definedName function="false" hidden="false" localSheetId="5" name="Monat.P6UeVM" vbProcedure="false">May!$AN$102</definedName>
    <definedName function="false" hidden="false" localSheetId="5" name="Monat.P7UeVM" vbProcedure="false">May!$AN$103</definedName>
    <definedName function="false" hidden="false" localSheetId="5" name="Monat.P8UeVM" vbProcedure="false">May!$AN$104</definedName>
    <definedName function="false" hidden="false" localSheetId="5" name="Monat.P9UeVM" vbProcedure="false">May!$AN$105</definedName>
    <definedName function="false" hidden="false" localSheetId="5" name="Monat.PDiffUeVM" vbProcedure="false">May!$AN$114</definedName>
    <definedName function="false" hidden="false" localSheetId="5" name="Monat.Pikett" vbProcedure="false">May!$AG$34</definedName>
    <definedName function="false" hidden="false" localSheetId="5" name="Monat.Pikett.Zähler" vbProcedure="false">May!$AJ$34</definedName>
    <definedName function="false" hidden="false" localSheetId="5" name="Monat.PikettgesternTag1" vbProcedure="false">May!$B$48</definedName>
    <definedName function="false" hidden="false" localSheetId="5" name="Monat.PikettText" vbProcedure="false">May!$A$34</definedName>
    <definedName function="false" hidden="false" localSheetId="5" name="Monat.Projekte.Zeilen" vbProcedure="false">May!$A$97:$A$111</definedName>
    <definedName function="false" hidden="false" localSheetId="5" name="Monat.ProjekteTotal.Bereich" vbProcedure="false">May!$AI$97:$AI$111</definedName>
    <definedName function="false" hidden="false" localSheetId="5" name="Monat.PTotalUeVM" vbProcedure="false">May!$AN$112</definedName>
    <definedName function="false" hidden="false" localSheetId="5" name="Monat.RAZ1_7.Bereich" vbProcedure="false">May!$P$7:$V$7</definedName>
    <definedName function="false" hidden="false" localSheetId="5" name="Monat.SD.Total" vbProcedure="false">May!$AI$82</definedName>
    <definedName function="false" hidden="false" localSheetId="5" name="Monat.SDText" vbProcedure="false">May!$A$82</definedName>
    <definedName function="false" hidden="false" localSheetId="5" name="Monat.SDUeVM" vbProcedure="false">May!$AN$82</definedName>
    <definedName function="false" hidden="false" localSheetId="5" name="Monat.Soll_Ist_UeVM" vbProcedure="false">May!$AN$55</definedName>
    <definedName function="false" hidden="false" localSheetId="5" name="Monat.Tag1" vbProcedure="false">May!$B$10</definedName>
    <definedName function="false" hidden="false" localSheetId="5" name="Monat.Tage.Knoten" vbProcedure="false">May!$B$9</definedName>
    <definedName function="false" hidden="false" localSheetId="5" name="Monat.UeZ.Saldo" vbProcedure="false">May!$AI$62</definedName>
    <definedName function="false" hidden="false" localSheetId="5" name="Monat.UeZ.Total" vbProcedure="false">May!$AI$65</definedName>
    <definedName function="false" hidden="false" localSheetId="5" name="Monat.UeziZSText" vbProcedure="false">May!$AG$65</definedName>
    <definedName function="false" hidden="false" localSheetId="5" name="Monat.UeZSaldoText" vbProcedure="false">May!$AG$62</definedName>
    <definedName function="false" hidden="false" localSheetId="5" name="Monat.UeZUeVM" vbProcedure="false">May!$AN$65</definedName>
    <definedName function="false" hidden="false" localSheetId="5" name="Monat.UnbesU.Total" vbProcedure="false">May!$AI$93</definedName>
    <definedName function="false" hidden="false" localSheetId="5" name="Monat.UnbesUrlaubText" vbProcedure="false">May!$A$93</definedName>
    <definedName function="false" hidden="false" localSheetId="5" name="Monat.UnbesUrlaubUeVM" vbProcedure="false">May!$AN$93</definedName>
    <definedName function="false" hidden="false" localSheetId="5" name="Monat.WB.Total" vbProcedure="false">May!$AI$91</definedName>
    <definedName function="false" hidden="false" localSheetId="5" name="Monat.WBText" vbProcedure="false">May!$A$91</definedName>
    <definedName function="false" hidden="false" localSheetId="5" name="Monat.WBUeVM" vbProcedure="false">May!$AN$91</definedName>
    <definedName function="false" hidden="false" localSheetId="5" name="Monat.Wochentage.Bereich" vbProcedure="false">May!$P$6:$V$6</definedName>
    <definedName function="false" hidden="false" localSheetId="5" name="Monat.ZS.Total" vbProcedure="false">May!$AI$63</definedName>
    <definedName function="false" hidden="false" localSheetId="5" name="Monat.ZSText" vbProcedure="false">May!$AG$63</definedName>
    <definedName function="false" hidden="false" localSheetId="5" name="Monat.ZUeZ.Total" vbProcedure="false">May!$AI$56</definedName>
    <definedName function="false" hidden="false" localSheetId="5" name="Monat.ZZNdUe" vbProcedure="false">May!$AN$79</definedName>
    <definedName function="false" hidden="false" localSheetId="5" name="Monat.ZZSND.Total" vbProcedure="false">May!$AI$79</definedName>
    <definedName function="false" hidden="false" localSheetId="5" name="Monat.ZZSNDText" vbProcedure="false">May!$A$79</definedName>
    <definedName function="false" hidden="false" localSheetId="5" name="Monat.ZählerND.Total" vbProcedure="false">May!$AI$69</definedName>
    <definedName function="false" hidden="false" localSheetId="5" name="Monat.ZählerNDText" vbProcedure="false">May!$A$69</definedName>
    <definedName function="false" hidden="false" localSheetId="5" name="Monat.ZählerNDUe" vbProcedure="false">May!$AN$69</definedName>
    <definedName function="false" hidden="false" localSheetId="5" name="Monat.ÜZZSBerechtigt" vbProcedure="false">May!$V$4</definedName>
    <definedName function="false" hidden="false" localSheetId="5" name="PUEELZ.Knoten" vbProcedure="false">#REF!</definedName>
    <definedName function="false" hidden="false" localSheetId="5" name="PUEELZ.Monate.Bereich" vbProcedure="false">#REF!</definedName>
    <definedName function="false" hidden="false" localSheetId="5" name="PUEELZ.Projektauslastung.Knoten" vbProcedure="false">#REF!</definedName>
    <definedName function="false" hidden="false" localSheetId="5" name="PUEELZ.Summe.Knoten" vbProcedure="false">#REF!</definedName>
    <definedName function="false" hidden="false" localSheetId="6" name="FieldtoSelect" vbProcedure="false">June!$B$13</definedName>
    <definedName function="false" hidden="false" localSheetId="6" name="Monat.AAUeVM" vbProcedure="false">June!$AM$80</definedName>
    <definedName function="false" hidden="false" localSheetId="6" name="Monat.AB.Total" vbProcedure="false">June!$AH$86</definedName>
    <definedName function="false" hidden="false" localSheetId="6" name="Monat.Abendarbeit.Total" vbProcedure="false">June!$AH$80</definedName>
    <definedName function="false" hidden="false" localSheetId="6" name="Monat.AbendarbeitText" vbProcedure="false">June!$A$80</definedName>
    <definedName function="false" hidden="false" localSheetId="6" name="Monat.AnUeZ.Total" vbProcedure="false">June!$AH$60</definedName>
    <definedName function="false" hidden="false" localSheetId="6" name="Monat.AnUeZ.Zähler" vbProcedure="false">June!$AI$60</definedName>
    <definedName function="false" hidden="false" localSheetId="6" name="Monat.AnUeZText" vbProcedure="false">June!$A$60</definedName>
    <definedName function="false" hidden="false" localSheetId="6" name="Monat.AnUeZUeVM" vbProcedure="false">June!$AM$60</definedName>
    <definedName function="false" hidden="false" localSheetId="6" name="Monat.ArztText" vbProcedure="false">June!$A$86</definedName>
    <definedName function="false" hidden="false" localSheetId="6" name="Monat.ArztUeVM" vbProcedure="false">June!$AM$86</definedName>
    <definedName function="false" hidden="false" localSheetId="6" name="Monat.AZIstWRestUeVM" vbProcedure="false">June!$AM$51</definedName>
    <definedName function="false" hidden="false" localSheetId="6" name="Monat.AZSaldoUeVM" vbProcedure="false">June!$AM$56</definedName>
    <definedName function="false" hidden="false" localSheetId="6" name="Monat.AZSoll.Total" vbProcedure="false">June!$AH$53</definedName>
    <definedName function="false" hidden="false" localSheetId="6" name="Monat.AZSoll100.Total" vbProcedure="false">June!$AH$54</definedName>
    <definedName function="false" hidden="false" localSheetId="6" name="Monat.BD.Total" vbProcedure="false">June!$AH$81</definedName>
    <definedName function="false" hidden="false" localSheetId="6" name="Monat.BDText" vbProcedure="false">June!$A$81</definedName>
    <definedName function="false" hidden="false" localSheetId="6" name="Monat.BDUeVM" vbProcedure="false">June!$AM$81</definedName>
    <definedName function="false" hidden="false" localSheetId="6" name="Monat.BesU.Total" vbProcedure="false">June!$AH$92</definedName>
    <definedName function="false" hidden="false" localSheetId="6" name="Monat.BesUrlaubText" vbProcedure="false">June!$A$92</definedName>
    <definedName function="false" hidden="false" localSheetId="6" name="Monat.BesUrlaubUeVM" vbProcedure="false">June!$AM$92</definedName>
    <definedName function="false" hidden="false" localSheetId="6" name="Monat.BU.Total" vbProcedure="false">June!$AH$88</definedName>
    <definedName function="false" hidden="false" localSheetId="6" name="Monat.BUText" vbProcedure="false">June!$A$88</definedName>
    <definedName function="false" hidden="false" localSheetId="6" name="Monat.BUUeVM" vbProcedure="false">June!$AM$88</definedName>
    <definedName function="false" hidden="false" localSheetId="6" name="Monat.DAG.Total" vbProcedure="false">June!$AH$95</definedName>
    <definedName function="false" hidden="false" localSheetId="6" name="Monat.DAGText" vbProcedure="false">June!$A$95</definedName>
    <definedName function="false" hidden="false" localSheetId="6" name="Monat.DAGUeVM" vbProcedure="false">June!$AM$95</definedName>
    <definedName function="false" hidden="false" localSheetId="6" name="Monat.ein_aus.Total" vbProcedure="false">June!$AH$23</definedName>
    <definedName function="false" hidden="false" localSheetId="6" name="Monat.ein_ausText" vbProcedure="false">June!$A$23</definedName>
    <definedName function="false" hidden="false" localSheetId="6" name="Monat.ein_aus_Pikett.Total" vbProcedure="false">June!$AH$45</definedName>
    <definedName function="false" hidden="false" localSheetId="6" name="Monat.ein_aus_PikettText" vbProcedure="false">June!$A$45</definedName>
    <definedName function="false" hidden="false" localSheetId="6" name="Monat.Ferien.JS" vbProcedure="false">June!$AN$84</definedName>
    <definedName function="false" hidden="false" localSheetId="6" name="Monat.Ferien.Total" vbProcedure="false">June!$AH$84</definedName>
    <definedName function="false" hidden="false" localSheetId="6" name="Monat.FerienKor.Total" vbProcedure="false">June!$AH$85</definedName>
    <definedName function="false" hidden="false" localSheetId="6" name="Monat.FerienText" vbProcedure="false">June!$A$84</definedName>
    <definedName function="false" hidden="false" localSheetId="6" name="Monat.FerienUeVM" vbProcedure="false">June!$AM$84</definedName>
    <definedName function="false" hidden="false" localSheetId="6" name="Monat.Kom.JS" vbProcedure="false">June!$AN$67</definedName>
    <definedName function="false" hidden="false" localSheetId="6" name="Monat.KomAZ.Total" vbProcedure="false">June!$AH$67</definedName>
    <definedName function="false" hidden="false" localSheetId="6" name="Monat.KomAZText" vbProcedure="false">June!$A$67</definedName>
    <definedName function="false" hidden="false" localSheetId="6" name="Monat.KompZZSND.Total" vbProcedure="false">June!$AH$71</definedName>
    <definedName function="false" hidden="false" localSheetId="6" name="Monat.KompZZSNDText" vbProcedure="false">June!$A$71</definedName>
    <definedName function="false" hidden="false" localSheetId="6" name="Monat.KompZZSNDUeVM" vbProcedure="false">June!$AM$71</definedName>
    <definedName function="false" hidden="false" localSheetId="6" name="Monat.KomUeVM" vbProcedure="false">June!$AM$67</definedName>
    <definedName function="false" hidden="false" localSheetId="6" name="Monat.KomUeZ.Total" vbProcedure="false">June!$AH$61</definedName>
    <definedName function="false" hidden="false" localSheetId="6" name="Monat.KomUeZText" vbProcedure="false">June!$A$61</definedName>
    <definedName function="false" hidden="false" localSheetId="6" name="Monat.Krank.Total" vbProcedure="false">June!$AH$87</definedName>
    <definedName function="false" hidden="false" localSheetId="6" name="Monat.KrankText" vbProcedure="false">June!$A$87</definedName>
    <definedName function="false" hidden="false" localSheetId="6" name="Monat.KrankUeVM" vbProcedure="false">June!$AM$87</definedName>
    <definedName function="false" hidden="false" localSheetId="6" name="Monat.Militaer.Total" vbProcedure="false">June!$AH$90</definedName>
    <definedName function="false" hidden="false" localSheetId="6" name="Monat.MMS.Total" vbProcedure="false">June!$AH$58</definedName>
    <definedName function="false" hidden="false" localSheetId="6" name="Monat.MMS.UeVM" vbProcedure="false">June!$AM$58</definedName>
    <definedName function="false" hidden="false" localSheetId="6" name="Monat.MZSText" vbProcedure="false">June!$A$90</definedName>
    <definedName function="false" hidden="false" localSheetId="6" name="Monat.MZSUeVM" vbProcedure="false">June!$AM$90</definedName>
    <definedName function="false" hidden="false" localSheetId="6" name="Monat.NB.Total" vbProcedure="false">June!$AH$94</definedName>
    <definedName function="false" hidden="false" localSheetId="6" name="Monat.NBText" vbProcedure="false">June!$A$94</definedName>
    <definedName function="false" hidden="false" localSheetId="6" name="Monat.NBU.Total" vbProcedure="false">June!$AH$89</definedName>
    <definedName function="false" hidden="false" localSheetId="6" name="Monat.NBUeVM" vbProcedure="false">June!$AM$94</definedName>
    <definedName function="false" hidden="false" localSheetId="6" name="Monat.NBUText" vbProcedure="false">June!$A$89</definedName>
    <definedName function="false" hidden="false" localSheetId="6" name="Monat.NBUUeVM" vbProcedure="false">June!$AM$89</definedName>
    <definedName function="false" hidden="false" localSheetId="6" name="Monat.ND.Total" vbProcedure="false">June!$AH$73</definedName>
    <definedName function="false" hidden="false" localSheetId="6" name="Monat.NDgesternTag1" vbProcedure="false">June!$B$76</definedName>
    <definedName function="false" hidden="false" localSheetId="6" name="Monat.NDText" vbProcedure="false">June!$A$73</definedName>
    <definedName function="false" hidden="false" localSheetId="6" name="Monat.NDUeVM" vbProcedure="false">June!$AM$73</definedName>
    <definedName function="false" hidden="false" localSheetId="6" name="Monat.P10UeVM" vbProcedure="false">June!$AM$106</definedName>
    <definedName function="false" hidden="false" localSheetId="6" name="Monat.P11UeVM" vbProcedure="false">June!$AM$107</definedName>
    <definedName function="false" hidden="false" localSheetId="6" name="Monat.P12UeVM" vbProcedure="false">June!$AM$108</definedName>
    <definedName function="false" hidden="false" localSheetId="6" name="Monat.P13UeVM" vbProcedure="false">June!$AM$109</definedName>
    <definedName function="false" hidden="false" localSheetId="6" name="Monat.P14UeVM" vbProcedure="false">June!$AM$110</definedName>
    <definedName function="false" hidden="false" localSheetId="6" name="Monat.P15UeVM" vbProcedure="false">June!$AM$111</definedName>
    <definedName function="false" hidden="false" localSheetId="6" name="Monat.P1UeVM" vbProcedure="false">June!$AM$97</definedName>
    <definedName function="false" hidden="false" localSheetId="6" name="Monat.P2UeVM" vbProcedure="false">June!$AM$98</definedName>
    <definedName function="false" hidden="false" localSheetId="6" name="Monat.P3UeVM" vbProcedure="false">June!$AM$99</definedName>
    <definedName function="false" hidden="false" localSheetId="6" name="Monat.P4UeVM" vbProcedure="false">June!$AM$100</definedName>
    <definedName function="false" hidden="false" localSheetId="6" name="Monat.P5UeVM" vbProcedure="false">June!$AM$101</definedName>
    <definedName function="false" hidden="false" localSheetId="6" name="Monat.P6UeVM" vbProcedure="false">June!$AM$102</definedName>
    <definedName function="false" hidden="false" localSheetId="6" name="Monat.P7UeVM" vbProcedure="false">June!$AM$103</definedName>
    <definedName function="false" hidden="false" localSheetId="6" name="Monat.P8UeVM" vbProcedure="false">June!$AM$104</definedName>
    <definedName function="false" hidden="false" localSheetId="6" name="Monat.P9UeVM" vbProcedure="false">June!$AM$105</definedName>
    <definedName function="false" hidden="false" localSheetId="6" name="Monat.PDiffUeVM" vbProcedure="false">June!$AM$114</definedName>
    <definedName function="false" hidden="false" localSheetId="6" name="Monat.Pikett" vbProcedure="false">June!$AF$34</definedName>
    <definedName function="false" hidden="false" localSheetId="6" name="Monat.Pikett.Zähler" vbProcedure="false">June!$AI$34</definedName>
    <definedName function="false" hidden="false" localSheetId="6" name="Monat.PikettgesternTag1" vbProcedure="false">June!$B$48</definedName>
    <definedName function="false" hidden="false" localSheetId="6" name="Monat.PikettText" vbProcedure="false">June!$A$34</definedName>
    <definedName function="false" hidden="false" localSheetId="6" name="Monat.Projekte.Zeilen" vbProcedure="false">June!$A$97:$A$111</definedName>
    <definedName function="false" hidden="false" localSheetId="6" name="Monat.ProjekteTotal.Bereich" vbProcedure="false">June!$AH$97:$AH$111</definedName>
    <definedName function="false" hidden="false" localSheetId="6" name="Monat.PTotalUeVM" vbProcedure="false">June!$AM$112</definedName>
    <definedName function="false" hidden="false" localSheetId="6" name="Monat.RAZ1_7.Bereich" vbProcedure="false">June!$P$7:$V$7</definedName>
    <definedName function="false" hidden="false" localSheetId="6" name="Monat.SD.Total" vbProcedure="false">June!$AH$82</definedName>
    <definedName function="false" hidden="false" localSheetId="6" name="Monat.SDText" vbProcedure="false">June!$A$82</definedName>
    <definedName function="false" hidden="false" localSheetId="6" name="Monat.SDUeVM" vbProcedure="false">June!$AM$82</definedName>
    <definedName function="false" hidden="false" localSheetId="6" name="Monat.Soll_Ist_UeVM" vbProcedure="false">June!$AM$55</definedName>
    <definedName function="false" hidden="false" localSheetId="6" name="Monat.Tag1" vbProcedure="false">June!$B$10</definedName>
    <definedName function="false" hidden="false" localSheetId="6" name="Monat.Tage.Knoten" vbProcedure="false">June!$B$9</definedName>
    <definedName function="false" hidden="false" localSheetId="6" name="Monat.UeZ.Saldo" vbProcedure="false">June!$AH$62</definedName>
    <definedName function="false" hidden="false" localSheetId="6" name="Monat.UeZ.Total" vbProcedure="false">June!$AH$65</definedName>
    <definedName function="false" hidden="false" localSheetId="6" name="Monat.UeziZSText" vbProcedure="false">June!$AF$65</definedName>
    <definedName function="false" hidden="false" localSheetId="6" name="Monat.UeZSaldoText" vbProcedure="false">June!$AF$62</definedName>
    <definedName function="false" hidden="false" localSheetId="6" name="Monat.UeZUeVM" vbProcedure="false">June!$AM$65</definedName>
    <definedName function="false" hidden="false" localSheetId="6" name="Monat.UnbesU.Total" vbProcedure="false">June!$AH$93</definedName>
    <definedName function="false" hidden="false" localSheetId="6" name="Monat.UnbesUrlaubText" vbProcedure="false">June!$A$93</definedName>
    <definedName function="false" hidden="false" localSheetId="6" name="Monat.UnbesUrlaubUeVM" vbProcedure="false">June!$AM$93</definedName>
    <definedName function="false" hidden="false" localSheetId="6" name="Monat.WB.Total" vbProcedure="false">June!$AH$91</definedName>
    <definedName function="false" hidden="false" localSheetId="6" name="Monat.WBText" vbProcedure="false">June!$A$91</definedName>
    <definedName function="false" hidden="false" localSheetId="6" name="Monat.WBUeVM" vbProcedure="false">June!$AM$91</definedName>
    <definedName function="false" hidden="false" localSheetId="6" name="Monat.Wochentage.Bereich" vbProcedure="false">June!$P$6:$V$6</definedName>
    <definedName function="false" hidden="false" localSheetId="6" name="Monat.ZS.Total" vbProcedure="false">June!$AH$63</definedName>
    <definedName function="false" hidden="false" localSheetId="6" name="Monat.ZSText" vbProcedure="false">June!$AF$63</definedName>
    <definedName function="false" hidden="false" localSheetId="6" name="Monat.ZUeZ.Total" vbProcedure="false">June!$AH$56</definedName>
    <definedName function="false" hidden="false" localSheetId="6" name="Monat.ZZNdUe" vbProcedure="false">June!$AM$79</definedName>
    <definedName function="false" hidden="false" localSheetId="6" name="Monat.ZZSND.Total" vbProcedure="false">June!$AH$79</definedName>
    <definedName function="false" hidden="false" localSheetId="6" name="Monat.ZZSNDText" vbProcedure="false">June!$A$79</definedName>
    <definedName function="false" hidden="false" localSheetId="6" name="Monat.ZählerND.Total" vbProcedure="false">June!$AH$69</definedName>
    <definedName function="false" hidden="false" localSheetId="6" name="Monat.ZählerNDText" vbProcedure="false">June!$A$69</definedName>
    <definedName function="false" hidden="false" localSheetId="6" name="Monat.ZählerNDUe" vbProcedure="false">June!$AM$69</definedName>
    <definedName function="false" hidden="false" localSheetId="6" name="Monat.ÜZZSBerechtigt" vbProcedure="false">June!$V$4</definedName>
    <definedName function="false" hidden="false" localSheetId="6" name="PUEELZ.Knoten" vbProcedure="false">#REF!</definedName>
    <definedName function="false" hidden="false" localSheetId="6" name="PUEELZ.Monate.Bereich" vbProcedure="false">#REF!</definedName>
    <definedName function="false" hidden="false" localSheetId="6" name="PUEELZ.Projektauslastung.Knoten" vbProcedure="false">#REF!</definedName>
    <definedName function="false" hidden="false" localSheetId="6" name="PUEELZ.Summe.Knoten" vbProcedure="false">#REF!</definedName>
    <definedName function="false" hidden="false" localSheetId="7" name="FieldtoSelect" vbProcedure="false">July!$B$13</definedName>
    <definedName function="false" hidden="false" localSheetId="7" name="Monat.AAUeVM" vbProcedure="false">July!$AN$80</definedName>
    <definedName function="false" hidden="false" localSheetId="7" name="Monat.AB.Total" vbProcedure="false">July!$AI$86</definedName>
    <definedName function="false" hidden="false" localSheetId="7" name="Monat.Abendarbeit.Total" vbProcedure="false">July!$AI$80</definedName>
    <definedName function="false" hidden="false" localSheetId="7" name="Monat.AbendarbeitText" vbProcedure="false">July!$A$80</definedName>
    <definedName function="false" hidden="false" localSheetId="7" name="Monat.AnUeZ.Total" vbProcedure="false">July!$AI$60</definedName>
    <definedName function="false" hidden="false" localSheetId="7" name="Monat.AnUeZ.Zähler" vbProcedure="false">July!$AJ$60</definedName>
    <definedName function="false" hidden="false" localSheetId="7" name="Monat.AnUeZText" vbProcedure="false">July!$A$60</definedName>
    <definedName function="false" hidden="false" localSheetId="7" name="Monat.AnUeZUeVM" vbProcedure="false">July!$AN$60</definedName>
    <definedName function="false" hidden="false" localSheetId="7" name="Monat.ArztText" vbProcedure="false">July!$A$86</definedName>
    <definedName function="false" hidden="false" localSheetId="7" name="Monat.ArztUeVM" vbProcedure="false">July!$AN$86</definedName>
    <definedName function="false" hidden="false" localSheetId="7" name="Monat.AZIstWRestUeVM" vbProcedure="false">July!$AN$51</definedName>
    <definedName function="false" hidden="false" localSheetId="7" name="Monat.AZSaldoUeVM" vbProcedure="false">July!$AN$56</definedName>
    <definedName function="false" hidden="false" localSheetId="7" name="Monat.AZSoll.Total" vbProcedure="false">July!$AI$53</definedName>
    <definedName function="false" hidden="false" localSheetId="7" name="Monat.AZSoll100.Total" vbProcedure="false">July!$AI$54</definedName>
    <definedName function="false" hidden="false" localSheetId="7" name="Monat.BD.Total" vbProcedure="false">July!$AI$81</definedName>
    <definedName function="false" hidden="false" localSheetId="7" name="Monat.BDText" vbProcedure="false">July!$A$81</definedName>
    <definedName function="false" hidden="false" localSheetId="7" name="Monat.BDUeVM" vbProcedure="false">July!$AN$81</definedName>
    <definedName function="false" hidden="false" localSheetId="7" name="Monat.BesU.Total" vbProcedure="false">July!$AI$92</definedName>
    <definedName function="false" hidden="false" localSheetId="7" name="Monat.BesUrlaubText" vbProcedure="false">July!$A$92</definedName>
    <definedName function="false" hidden="false" localSheetId="7" name="Monat.BesUrlaubUeVM" vbProcedure="false">July!$AN$92</definedName>
    <definedName function="false" hidden="false" localSheetId="7" name="Monat.BU.Total" vbProcedure="false">July!$AI$88</definedName>
    <definedName function="false" hidden="false" localSheetId="7" name="Monat.BUText" vbProcedure="false">July!$A$88</definedName>
    <definedName function="false" hidden="false" localSheetId="7" name="Monat.BUUeVM" vbProcedure="false">July!$AN$88</definedName>
    <definedName function="false" hidden="false" localSheetId="7" name="Monat.DAG.Total" vbProcedure="false">July!$AI$95</definedName>
    <definedName function="false" hidden="false" localSheetId="7" name="Monat.DAGText" vbProcedure="false">July!$A$95</definedName>
    <definedName function="false" hidden="false" localSheetId="7" name="Monat.DAGUeVM" vbProcedure="false">July!$AN$95</definedName>
    <definedName function="false" hidden="false" localSheetId="7" name="Monat.ein_aus.Total" vbProcedure="false">July!$AI$23</definedName>
    <definedName function="false" hidden="false" localSheetId="7" name="Monat.ein_ausText" vbProcedure="false">July!$A$23</definedName>
    <definedName function="false" hidden="false" localSheetId="7" name="Monat.ein_aus_Pikett.Total" vbProcedure="false">July!$AI$45</definedName>
    <definedName function="false" hidden="false" localSheetId="7" name="Monat.ein_aus_PikettText" vbProcedure="false">July!$A$45</definedName>
    <definedName function="false" hidden="false" localSheetId="7" name="Monat.Ferien.JS" vbProcedure="false">July!$AO$84</definedName>
    <definedName function="false" hidden="false" localSheetId="7" name="Monat.Ferien.Total" vbProcedure="false">July!$AI$84</definedName>
    <definedName function="false" hidden="false" localSheetId="7" name="Monat.FerienKor.Total" vbProcedure="false">July!$AI$85</definedName>
    <definedName function="false" hidden="false" localSheetId="7" name="Monat.FerienText" vbProcedure="false">July!$A$84</definedName>
    <definedName function="false" hidden="false" localSheetId="7" name="Monat.FerienUeVM" vbProcedure="false">July!$AN$84</definedName>
    <definedName function="false" hidden="false" localSheetId="7" name="Monat.Kom.JS" vbProcedure="false">July!$AO$67</definedName>
    <definedName function="false" hidden="false" localSheetId="7" name="Monat.KomAZ.Total" vbProcedure="false">July!$AI$67</definedName>
    <definedName function="false" hidden="false" localSheetId="7" name="Monat.KomAZText" vbProcedure="false">July!$A$67</definedName>
    <definedName function="false" hidden="false" localSheetId="7" name="Monat.KompZZSND.Total" vbProcedure="false">July!$AI$71</definedName>
    <definedName function="false" hidden="false" localSheetId="7" name="Monat.KompZZSNDText" vbProcedure="false">July!$A$71</definedName>
    <definedName function="false" hidden="false" localSheetId="7" name="Monat.KompZZSNDUeVM" vbProcedure="false">July!$AN$71</definedName>
    <definedName function="false" hidden="false" localSheetId="7" name="Monat.KomUeVM" vbProcedure="false">July!$AN$67</definedName>
    <definedName function="false" hidden="false" localSheetId="7" name="Monat.KomUeZ.Total" vbProcedure="false">July!$AI$61</definedName>
    <definedName function="false" hidden="false" localSheetId="7" name="Monat.KomUeZText" vbProcedure="false">July!$A$61</definedName>
    <definedName function="false" hidden="false" localSheetId="7" name="Monat.Krank.Total" vbProcedure="false">July!$AI$87</definedName>
    <definedName function="false" hidden="false" localSheetId="7" name="Monat.KrankText" vbProcedure="false">July!$A$87</definedName>
    <definedName function="false" hidden="false" localSheetId="7" name="Monat.KrankUeVM" vbProcedure="false">July!$AN$87</definedName>
    <definedName function="false" hidden="false" localSheetId="7" name="Monat.Militaer.Total" vbProcedure="false">July!$AI$90</definedName>
    <definedName function="false" hidden="false" localSheetId="7" name="Monat.MMS.Total" vbProcedure="false">July!$AI$58</definedName>
    <definedName function="false" hidden="false" localSheetId="7" name="Monat.MMS.UeVM" vbProcedure="false">July!$AN$58</definedName>
    <definedName function="false" hidden="false" localSheetId="7" name="Monat.MZSText" vbProcedure="false">July!$A$90</definedName>
    <definedName function="false" hidden="false" localSheetId="7" name="Monat.MZSUeVM" vbProcedure="false">July!$AN$90</definedName>
    <definedName function="false" hidden="false" localSheetId="7" name="Monat.NB.Total" vbProcedure="false">July!$AI$94</definedName>
    <definedName function="false" hidden="false" localSheetId="7" name="Monat.NBText" vbProcedure="false">July!$A$94</definedName>
    <definedName function="false" hidden="false" localSheetId="7" name="Monat.NBU.Total" vbProcedure="false">July!$AI$89</definedName>
    <definedName function="false" hidden="false" localSheetId="7" name="Monat.NBUeVM" vbProcedure="false">July!$AN$94</definedName>
    <definedName function="false" hidden="false" localSheetId="7" name="Monat.NBUText" vbProcedure="false">July!$A$89</definedName>
    <definedName function="false" hidden="false" localSheetId="7" name="Monat.NBUUeVM" vbProcedure="false">July!$AN$89</definedName>
    <definedName function="false" hidden="false" localSheetId="7" name="Monat.ND.Total" vbProcedure="false">July!$AI$73</definedName>
    <definedName function="false" hidden="false" localSheetId="7" name="Monat.NDgesternTag1" vbProcedure="false">July!$B$76</definedName>
    <definedName function="false" hidden="false" localSheetId="7" name="Monat.NDText" vbProcedure="false">July!$A$73</definedName>
    <definedName function="false" hidden="false" localSheetId="7" name="Monat.NDUeVM" vbProcedure="false">July!$AN$73</definedName>
    <definedName function="false" hidden="false" localSheetId="7" name="Monat.P10UeVM" vbProcedure="false">July!$AN$106</definedName>
    <definedName function="false" hidden="false" localSheetId="7" name="Monat.P11UeVM" vbProcedure="false">July!$AN$107</definedName>
    <definedName function="false" hidden="false" localSheetId="7" name="Monat.P12UeVM" vbProcedure="false">July!$AN$108</definedName>
    <definedName function="false" hidden="false" localSheetId="7" name="Monat.P13UeVM" vbProcedure="false">July!$AN$109</definedName>
    <definedName function="false" hidden="false" localSheetId="7" name="Monat.P14UeVM" vbProcedure="false">July!$AN$110</definedName>
    <definedName function="false" hidden="false" localSheetId="7" name="Monat.P15UeVM" vbProcedure="false">July!$AN$111</definedName>
    <definedName function="false" hidden="false" localSheetId="7" name="Monat.P1UeVM" vbProcedure="false">July!$AN$97</definedName>
    <definedName function="false" hidden="false" localSheetId="7" name="Monat.P2UeVM" vbProcedure="false">July!$AN$98</definedName>
    <definedName function="false" hidden="false" localSheetId="7" name="Monat.P3UeVM" vbProcedure="false">July!$AN$99</definedName>
    <definedName function="false" hidden="false" localSheetId="7" name="Monat.P4UeVM" vbProcedure="false">July!$AN$100</definedName>
    <definedName function="false" hidden="false" localSheetId="7" name="Monat.P5UeVM" vbProcedure="false">July!$AN$101</definedName>
    <definedName function="false" hidden="false" localSheetId="7" name="Monat.P6UeVM" vbProcedure="false">July!$AN$102</definedName>
    <definedName function="false" hidden="false" localSheetId="7" name="Monat.P7UeVM" vbProcedure="false">July!$AN$103</definedName>
    <definedName function="false" hidden="false" localSheetId="7" name="Monat.P8UeVM" vbProcedure="false">July!$AN$104</definedName>
    <definedName function="false" hidden="false" localSheetId="7" name="Monat.P9UeVM" vbProcedure="false">July!$AN$105</definedName>
    <definedName function="false" hidden="false" localSheetId="7" name="Monat.PDiffUeVM" vbProcedure="false">July!$AN$114</definedName>
    <definedName function="false" hidden="false" localSheetId="7" name="Monat.Pikett" vbProcedure="false">July!$AG$34</definedName>
    <definedName function="false" hidden="false" localSheetId="7" name="Monat.Pikett.Zähler" vbProcedure="false">July!$AJ$34</definedName>
    <definedName function="false" hidden="false" localSheetId="7" name="Monat.PikettgesternTag1" vbProcedure="false">July!$B$48</definedName>
    <definedName function="false" hidden="false" localSheetId="7" name="Monat.PikettText" vbProcedure="false">July!$A$34</definedName>
    <definedName function="false" hidden="false" localSheetId="7" name="Monat.Projekte.Zeilen" vbProcedure="false">July!$A$97:$A$111</definedName>
    <definedName function="false" hidden="false" localSheetId="7" name="Monat.ProjekteTotal.Bereich" vbProcedure="false">July!$AI$97:$AI$111</definedName>
    <definedName function="false" hidden="false" localSheetId="7" name="Monat.PTotalUeVM" vbProcedure="false">July!$AN$112</definedName>
    <definedName function="false" hidden="false" localSheetId="7" name="Monat.RAZ1_7.Bereich" vbProcedure="false">July!$P$7:$V$7</definedName>
    <definedName function="false" hidden="false" localSheetId="7" name="Monat.SD.Total" vbProcedure="false">July!$AI$82</definedName>
    <definedName function="false" hidden="false" localSheetId="7" name="Monat.SDText" vbProcedure="false">July!$A$82</definedName>
    <definedName function="false" hidden="false" localSheetId="7" name="Monat.SDUeVM" vbProcedure="false">July!$AN$82</definedName>
    <definedName function="false" hidden="false" localSheetId="7" name="Monat.Soll_Ist_UeVM" vbProcedure="false">July!$AN$55</definedName>
    <definedName function="false" hidden="false" localSheetId="7" name="Monat.Tag1" vbProcedure="false">July!$B$10</definedName>
    <definedName function="false" hidden="false" localSheetId="7" name="Monat.Tage.Knoten" vbProcedure="false">July!$B$9</definedName>
    <definedName function="false" hidden="false" localSheetId="7" name="Monat.UeZ.Saldo" vbProcedure="false">July!$AI$62</definedName>
    <definedName function="false" hidden="false" localSheetId="7" name="Monat.UeZ.Total" vbProcedure="false">July!$AI$65</definedName>
    <definedName function="false" hidden="false" localSheetId="7" name="Monat.UeziZSText" vbProcedure="false">July!$AG$65</definedName>
    <definedName function="false" hidden="false" localSheetId="7" name="Monat.UeZSaldoText" vbProcedure="false">July!$AG$62</definedName>
    <definedName function="false" hidden="false" localSheetId="7" name="Monat.UeZUeVM" vbProcedure="false">July!$AN$65</definedName>
    <definedName function="false" hidden="false" localSheetId="7" name="Monat.UnbesU.Total" vbProcedure="false">July!$AI$93</definedName>
    <definedName function="false" hidden="false" localSheetId="7" name="Monat.UnbesUrlaubText" vbProcedure="false">July!$A$93</definedName>
    <definedName function="false" hidden="false" localSheetId="7" name="Monat.UnbesUrlaubUeVM" vbProcedure="false">July!$AN$93</definedName>
    <definedName function="false" hidden="false" localSheetId="7" name="Monat.WB.Total" vbProcedure="false">July!$AI$91</definedName>
    <definedName function="false" hidden="false" localSheetId="7" name="Monat.WBText" vbProcedure="false">July!$A$91</definedName>
    <definedName function="false" hidden="false" localSheetId="7" name="Monat.WBUeVM" vbProcedure="false">July!$AN$91</definedName>
    <definedName function="false" hidden="false" localSheetId="7" name="Monat.Wochentage.Bereich" vbProcedure="false">July!$P$6:$V$6</definedName>
    <definedName function="false" hidden="false" localSheetId="7" name="Monat.ZS.Total" vbProcedure="false">July!$AI$63</definedName>
    <definedName function="false" hidden="false" localSheetId="7" name="Monat.ZSText" vbProcedure="false">July!$AG$63</definedName>
    <definedName function="false" hidden="false" localSheetId="7" name="Monat.ZUeZ.Total" vbProcedure="false">July!$AI$56</definedName>
    <definedName function="false" hidden="false" localSheetId="7" name="Monat.ZZNdUe" vbProcedure="false">July!$AN$79</definedName>
    <definedName function="false" hidden="false" localSheetId="7" name="Monat.ZZSND.Total" vbProcedure="false">July!$AI$79</definedName>
    <definedName function="false" hidden="false" localSheetId="7" name="Monat.ZZSNDText" vbProcedure="false">July!$A$79</definedName>
    <definedName function="false" hidden="false" localSheetId="7" name="Monat.ZählerND.Total" vbProcedure="false">July!$AI$69</definedName>
    <definedName function="false" hidden="false" localSheetId="7" name="Monat.ZählerNDText" vbProcedure="false">July!$A$69</definedName>
    <definedName function="false" hidden="false" localSheetId="7" name="Monat.ZählerNDUe" vbProcedure="false">July!$AN$69</definedName>
    <definedName function="false" hidden="false" localSheetId="7" name="Monat.ÜZZSBerechtigt" vbProcedure="false">July!$V$4</definedName>
    <definedName function="false" hidden="false" localSheetId="7" name="PUEELZ.Knoten" vbProcedure="false">#REF!</definedName>
    <definedName function="false" hidden="false" localSheetId="7" name="PUEELZ.Monate.Bereich" vbProcedure="false">#REF!</definedName>
    <definedName function="false" hidden="false" localSheetId="7" name="PUEELZ.Projektauslastung.Knoten" vbProcedure="false">#REF!</definedName>
    <definedName function="false" hidden="false" localSheetId="7" name="PUEELZ.Summe.Knoten" vbProcedure="false">#REF!</definedName>
    <definedName function="false" hidden="false" localSheetId="8" name="FieldtoSelect" vbProcedure="false">August!$B$13</definedName>
    <definedName function="false" hidden="false" localSheetId="8" name="Monat.AAUeVM" vbProcedure="false">August!$AN$80</definedName>
    <definedName function="false" hidden="false" localSheetId="8" name="Monat.AB.Total" vbProcedure="false">August!$AI$86</definedName>
    <definedName function="false" hidden="false" localSheetId="8" name="Monat.Abendarbeit.Total" vbProcedure="false">August!$AI$80</definedName>
    <definedName function="false" hidden="false" localSheetId="8" name="Monat.AbendarbeitText" vbProcedure="false">August!$A$80</definedName>
    <definedName function="false" hidden="false" localSheetId="8" name="Monat.AnUeZ.Total" vbProcedure="false">August!$AI$60</definedName>
    <definedName function="false" hidden="false" localSheetId="8" name="Monat.AnUeZ.Zähler" vbProcedure="false">August!$AJ$60</definedName>
    <definedName function="false" hidden="false" localSheetId="8" name="Monat.AnUeZText" vbProcedure="false">August!$A$60</definedName>
    <definedName function="false" hidden="false" localSheetId="8" name="Monat.AnUeZUeVM" vbProcedure="false">August!$AN$60</definedName>
    <definedName function="false" hidden="false" localSheetId="8" name="Monat.ArztText" vbProcedure="false">August!$A$86</definedName>
    <definedName function="false" hidden="false" localSheetId="8" name="Monat.ArztUeVM" vbProcedure="false">August!$AN$86</definedName>
    <definedName function="false" hidden="false" localSheetId="8" name="Monat.AZIstWRestUeVM" vbProcedure="false">August!$AN$51</definedName>
    <definedName function="false" hidden="false" localSheetId="8" name="Monat.AZSaldoUeVM" vbProcedure="false">August!$AN$56</definedName>
    <definedName function="false" hidden="false" localSheetId="8" name="Monat.AZSoll.Total" vbProcedure="false">August!$AI$53</definedName>
    <definedName function="false" hidden="false" localSheetId="8" name="Monat.AZSoll100.Total" vbProcedure="false">August!$AI$54</definedName>
    <definedName function="false" hidden="false" localSheetId="8" name="Monat.BD.Total" vbProcedure="false">August!$AI$81</definedName>
    <definedName function="false" hidden="false" localSheetId="8" name="Monat.BDText" vbProcedure="false">August!$A$81</definedName>
    <definedName function="false" hidden="false" localSheetId="8" name="Monat.BDUeVM" vbProcedure="false">August!$AN$81</definedName>
    <definedName function="false" hidden="false" localSheetId="8" name="Monat.BesU.Total" vbProcedure="false">August!$AI$92</definedName>
    <definedName function="false" hidden="false" localSheetId="8" name="Monat.BesUrlaubText" vbProcedure="false">August!$A$92</definedName>
    <definedName function="false" hidden="false" localSheetId="8" name="Monat.BesUrlaubUeVM" vbProcedure="false">August!$AN$92</definedName>
    <definedName function="false" hidden="false" localSheetId="8" name="Monat.BU.Total" vbProcedure="false">August!$AI$88</definedName>
    <definedName function="false" hidden="false" localSheetId="8" name="Monat.BUText" vbProcedure="false">August!$A$88</definedName>
    <definedName function="false" hidden="false" localSheetId="8" name="Monat.BUUeVM" vbProcedure="false">August!$AN$88</definedName>
    <definedName function="false" hidden="false" localSheetId="8" name="Monat.DAG.Total" vbProcedure="false">August!$AI$95</definedName>
    <definedName function="false" hidden="false" localSheetId="8" name="Monat.DAGText" vbProcedure="false">August!$A$95</definedName>
    <definedName function="false" hidden="false" localSheetId="8" name="Monat.DAGUeVM" vbProcedure="false">August!$AN$95</definedName>
    <definedName function="false" hidden="false" localSheetId="8" name="Monat.ein_aus.Total" vbProcedure="false">August!$AI$23</definedName>
    <definedName function="false" hidden="false" localSheetId="8" name="Monat.ein_ausText" vbProcedure="false">August!$A$23</definedName>
    <definedName function="false" hidden="false" localSheetId="8" name="Monat.ein_aus_Pikett.Total" vbProcedure="false">August!$AI$45</definedName>
    <definedName function="false" hidden="false" localSheetId="8" name="Monat.ein_aus_PikettText" vbProcedure="false">August!$A$45</definedName>
    <definedName function="false" hidden="false" localSheetId="8" name="Monat.Ferien.JS" vbProcedure="false">August!$AO$84</definedName>
    <definedName function="false" hidden="false" localSheetId="8" name="Monat.Ferien.Total" vbProcedure="false">August!$AI$84</definedName>
    <definedName function="false" hidden="false" localSheetId="8" name="Monat.FerienKor.Total" vbProcedure="false">August!$AI$85</definedName>
    <definedName function="false" hidden="false" localSheetId="8" name="Monat.FerienText" vbProcedure="false">August!$A$84</definedName>
    <definedName function="false" hidden="false" localSheetId="8" name="Monat.FerienUeVM" vbProcedure="false">August!$AN$84</definedName>
    <definedName function="false" hidden="false" localSheetId="8" name="Monat.Kom.JS" vbProcedure="false">August!$AO$67</definedName>
    <definedName function="false" hidden="false" localSheetId="8" name="Monat.KomAZ.Total" vbProcedure="false">August!$AI$67</definedName>
    <definedName function="false" hidden="false" localSheetId="8" name="Monat.KomAZText" vbProcedure="false">August!$A$67</definedName>
    <definedName function="false" hidden="false" localSheetId="8" name="Monat.KompZZSND.Total" vbProcedure="false">August!$AI$71</definedName>
    <definedName function="false" hidden="false" localSheetId="8" name="Monat.KompZZSNDText" vbProcedure="false">August!$A$71</definedName>
    <definedName function="false" hidden="false" localSheetId="8" name="Monat.KompZZSNDUeVM" vbProcedure="false">August!$AN$71</definedName>
    <definedName function="false" hidden="false" localSheetId="8" name="Monat.KomUeVM" vbProcedure="false">August!$AN$67</definedName>
    <definedName function="false" hidden="false" localSheetId="8" name="Monat.KomUeZ.Total" vbProcedure="false">August!$AI$61</definedName>
    <definedName function="false" hidden="false" localSheetId="8" name="Monat.KomUeZText" vbProcedure="false">August!$A$61</definedName>
    <definedName function="false" hidden="false" localSheetId="8" name="Monat.Krank.Total" vbProcedure="false">August!$AI$87</definedName>
    <definedName function="false" hidden="false" localSheetId="8" name="Monat.KrankText" vbProcedure="false">August!$A$87</definedName>
    <definedName function="false" hidden="false" localSheetId="8" name="Monat.KrankUeVM" vbProcedure="false">August!$AN$87</definedName>
    <definedName function="false" hidden="false" localSheetId="8" name="Monat.Militaer.Total" vbProcedure="false">August!$AI$90</definedName>
    <definedName function="false" hidden="false" localSheetId="8" name="Monat.MMS.Total" vbProcedure="false">August!$AI$58</definedName>
    <definedName function="false" hidden="false" localSheetId="8" name="Monat.MMS.UeVM" vbProcedure="false">August!$AN$58</definedName>
    <definedName function="false" hidden="false" localSheetId="8" name="Monat.MZSText" vbProcedure="false">August!$A$90</definedName>
    <definedName function="false" hidden="false" localSheetId="8" name="Monat.MZSUeVM" vbProcedure="false">August!$AN$90</definedName>
    <definedName function="false" hidden="false" localSheetId="8" name="Monat.NB.Total" vbProcedure="false">August!$AI$94</definedName>
    <definedName function="false" hidden="false" localSheetId="8" name="Monat.NBText" vbProcedure="false">August!$A$94</definedName>
    <definedName function="false" hidden="false" localSheetId="8" name="Monat.NBU.Total" vbProcedure="false">August!$AI$89</definedName>
    <definedName function="false" hidden="false" localSheetId="8" name="Monat.NBUeVM" vbProcedure="false">August!$AN$94</definedName>
    <definedName function="false" hidden="false" localSheetId="8" name="Monat.NBUText" vbProcedure="false">August!$A$89</definedName>
    <definedName function="false" hidden="false" localSheetId="8" name="Monat.NBUUeVM" vbProcedure="false">August!$AN$89</definedName>
    <definedName function="false" hidden="false" localSheetId="8" name="Monat.ND.Total" vbProcedure="false">August!$AI$73</definedName>
    <definedName function="false" hidden="false" localSheetId="8" name="Monat.NDgesternTag1" vbProcedure="false">August!$B$76</definedName>
    <definedName function="false" hidden="false" localSheetId="8" name="Monat.NDText" vbProcedure="false">August!$A$73</definedName>
    <definedName function="false" hidden="false" localSheetId="8" name="Monat.NDUeVM" vbProcedure="false">August!$AN$73</definedName>
    <definedName function="false" hidden="false" localSheetId="8" name="Monat.P10UeVM" vbProcedure="false">August!$AN$106</definedName>
    <definedName function="false" hidden="false" localSheetId="8" name="Monat.P11UeVM" vbProcedure="false">August!$AN$107</definedName>
    <definedName function="false" hidden="false" localSheetId="8" name="Monat.P12UeVM" vbProcedure="false">August!$AN$108</definedName>
    <definedName function="false" hidden="false" localSheetId="8" name="Monat.P13UeVM" vbProcedure="false">August!$AN$109</definedName>
    <definedName function="false" hidden="false" localSheetId="8" name="Monat.P14UeVM" vbProcedure="false">August!$AN$110</definedName>
    <definedName function="false" hidden="false" localSheetId="8" name="Monat.P15UeVM" vbProcedure="false">August!$AN$111</definedName>
    <definedName function="false" hidden="false" localSheetId="8" name="Monat.P1UeVM" vbProcedure="false">August!$AN$97</definedName>
    <definedName function="false" hidden="false" localSheetId="8" name="Monat.P2UeVM" vbProcedure="false">August!$AN$98</definedName>
    <definedName function="false" hidden="false" localSheetId="8" name="Monat.P3UeVM" vbProcedure="false">August!$AN$99</definedName>
    <definedName function="false" hidden="false" localSheetId="8" name="Monat.P4UeVM" vbProcedure="false">August!$AN$100</definedName>
    <definedName function="false" hidden="false" localSheetId="8" name="Monat.P5UeVM" vbProcedure="false">August!$AN$101</definedName>
    <definedName function="false" hidden="false" localSheetId="8" name="Monat.P6UeVM" vbProcedure="false">August!$AN$102</definedName>
    <definedName function="false" hidden="false" localSheetId="8" name="Monat.P7UeVM" vbProcedure="false">August!$AN$103</definedName>
    <definedName function="false" hidden="false" localSheetId="8" name="Monat.P8UeVM" vbProcedure="false">August!$AN$104</definedName>
    <definedName function="false" hidden="false" localSheetId="8" name="Monat.P9UeVM" vbProcedure="false">August!$AN$105</definedName>
    <definedName function="false" hidden="false" localSheetId="8" name="Monat.PDiffUeVM" vbProcedure="false">August!$AN$114</definedName>
    <definedName function="false" hidden="false" localSheetId="8" name="Monat.Pikett" vbProcedure="false">August!$AG$34</definedName>
    <definedName function="false" hidden="false" localSheetId="8" name="Monat.Pikett.Zähler" vbProcedure="false">August!$AJ$34</definedName>
    <definedName function="false" hidden="false" localSheetId="8" name="Monat.PikettgesternTag1" vbProcedure="false">August!$B$48</definedName>
    <definedName function="false" hidden="false" localSheetId="8" name="Monat.PikettText" vbProcedure="false">August!$A$34</definedName>
    <definedName function="false" hidden="false" localSheetId="8" name="Monat.Projekte.Zeilen" vbProcedure="false">August!$A$97:$A$111</definedName>
    <definedName function="false" hidden="false" localSheetId="8" name="Monat.ProjekteTotal.Bereich" vbProcedure="false">August!$AI$97:$AI$111</definedName>
    <definedName function="false" hidden="false" localSheetId="8" name="Monat.PTotalUeVM" vbProcedure="false">August!$AN$112</definedName>
    <definedName function="false" hidden="false" localSheetId="8" name="Monat.RAZ1_7.Bereich" vbProcedure="false">August!$P$7:$V$7</definedName>
    <definedName function="false" hidden="false" localSheetId="8" name="Monat.SD.Total" vbProcedure="false">August!$AI$82</definedName>
    <definedName function="false" hidden="false" localSheetId="8" name="Monat.SDText" vbProcedure="false">August!$A$82</definedName>
    <definedName function="false" hidden="false" localSheetId="8" name="Monat.SDUeVM" vbProcedure="false">August!$AN$82</definedName>
    <definedName function="false" hidden="false" localSheetId="8" name="Monat.Soll_Ist_UeVM" vbProcedure="false">August!$AN$55</definedName>
    <definedName function="false" hidden="false" localSheetId="8" name="Monat.Tag1" vbProcedure="false">August!$B$10</definedName>
    <definedName function="false" hidden="false" localSheetId="8" name="Monat.Tage.Knoten" vbProcedure="false">August!$B$9</definedName>
    <definedName function="false" hidden="false" localSheetId="8" name="Monat.UeZ.Saldo" vbProcedure="false">August!$AI$62</definedName>
    <definedName function="false" hidden="false" localSheetId="8" name="Monat.UeZ.Total" vbProcedure="false">August!$AI$65</definedName>
    <definedName function="false" hidden="false" localSheetId="8" name="Monat.UeziZSText" vbProcedure="false">August!$AG$65</definedName>
    <definedName function="false" hidden="false" localSheetId="8" name="Monat.UeZSaldoText" vbProcedure="false">August!$AG$62</definedName>
    <definedName function="false" hidden="false" localSheetId="8" name="Monat.UeZUeVM" vbProcedure="false">August!$AN$65</definedName>
    <definedName function="false" hidden="false" localSheetId="8" name="Monat.UnbesU.Total" vbProcedure="false">August!$AI$93</definedName>
    <definedName function="false" hidden="false" localSheetId="8" name="Monat.UnbesUrlaubText" vbProcedure="false">August!$A$93</definedName>
    <definedName function="false" hidden="false" localSheetId="8" name="Monat.UnbesUrlaubUeVM" vbProcedure="false">August!$AN$93</definedName>
    <definedName function="false" hidden="false" localSheetId="8" name="Monat.WB.Total" vbProcedure="false">August!$AI$91</definedName>
    <definedName function="false" hidden="false" localSheetId="8" name="Monat.WBText" vbProcedure="false">August!$A$91</definedName>
    <definedName function="false" hidden="false" localSheetId="8" name="Monat.WBUeVM" vbProcedure="false">August!$AN$91</definedName>
    <definedName function="false" hidden="false" localSheetId="8" name="Monat.Wochentage.Bereich" vbProcedure="false">August!$P$6:$V$6</definedName>
    <definedName function="false" hidden="false" localSheetId="8" name="Monat.ZS.Total" vbProcedure="false">August!$AI$63</definedName>
    <definedName function="false" hidden="false" localSheetId="8" name="Monat.ZSText" vbProcedure="false">August!$AG$63</definedName>
    <definedName function="false" hidden="false" localSheetId="8" name="Monat.ZUeZ.Total" vbProcedure="false">August!$AI$56</definedName>
    <definedName function="false" hidden="false" localSheetId="8" name="Monat.ZZNdUe" vbProcedure="false">August!$AN$79</definedName>
    <definedName function="false" hidden="false" localSheetId="8" name="Monat.ZZSND.Total" vbProcedure="false">August!$AI$79</definedName>
    <definedName function="false" hidden="false" localSheetId="8" name="Monat.ZZSNDText" vbProcedure="false">August!$A$79</definedName>
    <definedName function="false" hidden="false" localSheetId="8" name="Monat.ZählerND.Total" vbProcedure="false">August!$AI$69</definedName>
    <definedName function="false" hidden="false" localSheetId="8" name="Monat.ZählerNDText" vbProcedure="false">August!$A$69</definedName>
    <definedName function="false" hidden="false" localSheetId="8" name="Monat.ZählerNDUe" vbProcedure="false">August!$AN$69</definedName>
    <definedName function="false" hidden="false" localSheetId="8" name="Monat.ÜZZSBerechtigt" vbProcedure="false">August!$V$4</definedName>
    <definedName function="false" hidden="false" localSheetId="8" name="PUEELZ.Knoten" vbProcedure="false">#REF!</definedName>
    <definedName function="false" hidden="false" localSheetId="8" name="PUEELZ.Monate.Bereich" vbProcedure="false">#REF!</definedName>
    <definedName function="false" hidden="false" localSheetId="8" name="PUEELZ.Projektauslastung.Knoten" vbProcedure="false">#REF!</definedName>
    <definedName function="false" hidden="false" localSheetId="8" name="PUEELZ.Summe.Knoten" vbProcedure="false">#REF!</definedName>
    <definedName function="false" hidden="false" localSheetId="9" name="FieldtoSelect" vbProcedure="false">September!$B$13</definedName>
    <definedName function="false" hidden="false" localSheetId="9" name="Monat.AAUeVM" vbProcedure="false">September!$AM$80</definedName>
    <definedName function="false" hidden="false" localSheetId="9" name="Monat.AB.Total" vbProcedure="false">September!$AH$86</definedName>
    <definedName function="false" hidden="false" localSheetId="9" name="Monat.Abendarbeit.Total" vbProcedure="false">September!$AH$80</definedName>
    <definedName function="false" hidden="false" localSheetId="9" name="Monat.AbendarbeitText" vbProcedure="false">September!$A$80</definedName>
    <definedName function="false" hidden="false" localSheetId="9" name="Monat.AnUeZ.Total" vbProcedure="false">September!$AH$60</definedName>
    <definedName function="false" hidden="false" localSheetId="9" name="Monat.AnUeZ.Zähler" vbProcedure="false">September!$AI$60</definedName>
    <definedName function="false" hidden="false" localSheetId="9" name="Monat.AnUeZText" vbProcedure="false">September!$A$60</definedName>
    <definedName function="false" hidden="false" localSheetId="9" name="Monat.AnUeZUeVM" vbProcedure="false">September!$AM$60</definedName>
    <definedName function="false" hidden="false" localSheetId="9" name="Monat.ArztText" vbProcedure="false">September!$A$86</definedName>
    <definedName function="false" hidden="false" localSheetId="9" name="Monat.ArztUeVM" vbProcedure="false">September!$AM$86</definedName>
    <definedName function="false" hidden="false" localSheetId="9" name="Monat.AZIstWRestUeVM" vbProcedure="false">September!$AM$51</definedName>
    <definedName function="false" hidden="false" localSheetId="9" name="Monat.AZSaldoUeVM" vbProcedure="false">September!$AM$56</definedName>
    <definedName function="false" hidden="false" localSheetId="9" name="Monat.AZSoll.Total" vbProcedure="false">September!$AH$53</definedName>
    <definedName function="false" hidden="false" localSheetId="9" name="Monat.AZSoll100.Total" vbProcedure="false">September!$AH$54</definedName>
    <definedName function="false" hidden="false" localSheetId="9" name="Monat.BD.Total" vbProcedure="false">September!$AH$81</definedName>
    <definedName function="false" hidden="false" localSheetId="9" name="Monat.BDText" vbProcedure="false">September!$A$81</definedName>
    <definedName function="false" hidden="false" localSheetId="9" name="Monat.BDUeVM" vbProcedure="false">September!$AM$81</definedName>
    <definedName function="false" hidden="false" localSheetId="9" name="Monat.BesU.Total" vbProcedure="false">September!$AH$92</definedName>
    <definedName function="false" hidden="false" localSheetId="9" name="Monat.BesUrlaubText" vbProcedure="false">September!$A$92</definedName>
    <definedName function="false" hidden="false" localSheetId="9" name="Monat.BesUrlaubUeVM" vbProcedure="false">September!$AM$92</definedName>
    <definedName function="false" hidden="false" localSheetId="9" name="Monat.BU.Total" vbProcedure="false">September!$AH$88</definedName>
    <definedName function="false" hidden="false" localSheetId="9" name="Monat.BUText" vbProcedure="false">September!$A$88</definedName>
    <definedName function="false" hidden="false" localSheetId="9" name="Monat.BUUeVM" vbProcedure="false">September!$AM$88</definedName>
    <definedName function="false" hidden="false" localSheetId="9" name="Monat.DAG.Total" vbProcedure="false">September!$AH$95</definedName>
    <definedName function="false" hidden="false" localSheetId="9" name="Monat.DAGText" vbProcedure="false">September!$A$95</definedName>
    <definedName function="false" hidden="false" localSheetId="9" name="Monat.DAGUeVM" vbProcedure="false">September!$AM$95</definedName>
    <definedName function="false" hidden="false" localSheetId="9" name="Monat.ein_aus.Total" vbProcedure="false">September!$AH$23</definedName>
    <definedName function="false" hidden="false" localSheetId="9" name="Monat.ein_ausText" vbProcedure="false">September!$A$23</definedName>
    <definedName function="false" hidden="false" localSheetId="9" name="Monat.ein_aus_Pikett.Total" vbProcedure="false">September!$AH$45</definedName>
    <definedName function="false" hidden="false" localSheetId="9" name="Monat.ein_aus_PikettText" vbProcedure="false">September!$A$45</definedName>
    <definedName function="false" hidden="false" localSheetId="9" name="Monat.Ferien.JS" vbProcedure="false">September!$AN$84</definedName>
    <definedName function="false" hidden="false" localSheetId="9" name="Monat.Ferien.Total" vbProcedure="false">September!$AH$84</definedName>
    <definedName function="false" hidden="false" localSheetId="9" name="Monat.FerienKor.Total" vbProcedure="false">September!$AH$85</definedName>
    <definedName function="false" hidden="false" localSheetId="9" name="Monat.FerienText" vbProcedure="false">September!$A$84</definedName>
    <definedName function="false" hidden="false" localSheetId="9" name="Monat.FerienUeVM" vbProcedure="false">September!$AM$84</definedName>
    <definedName function="false" hidden="false" localSheetId="9" name="Monat.Kom.JS" vbProcedure="false">September!$AN$67</definedName>
    <definedName function="false" hidden="false" localSheetId="9" name="Monat.KomAZ.Total" vbProcedure="false">September!$AH$67</definedName>
    <definedName function="false" hidden="false" localSheetId="9" name="Monat.KomAZText" vbProcedure="false">September!$A$67</definedName>
    <definedName function="false" hidden="false" localSheetId="9" name="Monat.KompZZSND.Total" vbProcedure="false">September!$AH$71</definedName>
    <definedName function="false" hidden="false" localSheetId="9" name="Monat.KompZZSNDText" vbProcedure="false">September!$A$71</definedName>
    <definedName function="false" hidden="false" localSheetId="9" name="Monat.KompZZSNDUeVM" vbProcedure="false">September!$AM$71</definedName>
    <definedName function="false" hidden="false" localSheetId="9" name="Monat.KomUeVM" vbProcedure="false">September!$AM$67</definedName>
    <definedName function="false" hidden="false" localSheetId="9" name="Monat.KomUeZ.Total" vbProcedure="false">September!$AH$61</definedName>
    <definedName function="false" hidden="false" localSheetId="9" name="Monat.KomUeZText" vbProcedure="false">September!$A$61</definedName>
    <definedName function="false" hidden="false" localSheetId="9" name="Monat.Krank.Total" vbProcedure="false">September!$AH$87</definedName>
    <definedName function="false" hidden="false" localSheetId="9" name="Monat.KrankText" vbProcedure="false">September!$A$87</definedName>
    <definedName function="false" hidden="false" localSheetId="9" name="Monat.KrankUeVM" vbProcedure="false">September!$AM$87</definedName>
    <definedName function="false" hidden="false" localSheetId="9" name="Monat.Militaer.Total" vbProcedure="false">September!$AH$90</definedName>
    <definedName function="false" hidden="false" localSheetId="9" name="Monat.MMS.Total" vbProcedure="false">September!$AH$58</definedName>
    <definedName function="false" hidden="false" localSheetId="9" name="Monat.MMS.UeVM" vbProcedure="false">September!$AM$58</definedName>
    <definedName function="false" hidden="false" localSheetId="9" name="Monat.MZSText" vbProcedure="false">September!$A$90</definedName>
    <definedName function="false" hidden="false" localSheetId="9" name="Monat.MZSUeVM" vbProcedure="false">September!$AM$90</definedName>
    <definedName function="false" hidden="false" localSheetId="9" name="Monat.NB.Total" vbProcedure="false">September!$AH$94</definedName>
    <definedName function="false" hidden="false" localSheetId="9" name="Monat.NBText" vbProcedure="false">September!$A$94</definedName>
    <definedName function="false" hidden="false" localSheetId="9" name="Monat.NBU.Total" vbProcedure="false">September!$AH$89</definedName>
    <definedName function="false" hidden="false" localSheetId="9" name="Monat.NBUeVM" vbProcedure="false">September!$AM$94</definedName>
    <definedName function="false" hidden="false" localSheetId="9" name="Monat.NBUText" vbProcedure="false">September!$A$89</definedName>
    <definedName function="false" hidden="false" localSheetId="9" name="Monat.NBUUeVM" vbProcedure="false">September!$AM$89</definedName>
    <definedName function="false" hidden="false" localSheetId="9" name="Monat.ND.Total" vbProcedure="false">September!$AH$73</definedName>
    <definedName function="false" hidden="false" localSheetId="9" name="Monat.NDgesternTag1" vbProcedure="false">September!$B$76</definedName>
    <definedName function="false" hidden="false" localSheetId="9" name="Monat.NDText" vbProcedure="false">September!$A$73</definedName>
    <definedName function="false" hidden="false" localSheetId="9" name="Monat.NDUeVM" vbProcedure="false">September!$AM$73</definedName>
    <definedName function="false" hidden="false" localSheetId="9" name="Monat.P10UeVM" vbProcedure="false">September!$AM$106</definedName>
    <definedName function="false" hidden="false" localSheetId="9" name="Monat.P11UeVM" vbProcedure="false">September!$AM$107</definedName>
    <definedName function="false" hidden="false" localSheetId="9" name="Monat.P12UeVM" vbProcedure="false">September!$AM$108</definedName>
    <definedName function="false" hidden="false" localSheetId="9" name="Monat.P13UeVM" vbProcedure="false">September!$AM$109</definedName>
    <definedName function="false" hidden="false" localSheetId="9" name="Monat.P14UeVM" vbProcedure="false">September!$AM$110</definedName>
    <definedName function="false" hidden="false" localSheetId="9" name="Monat.P15UeVM" vbProcedure="false">September!$AM$111</definedName>
    <definedName function="false" hidden="false" localSheetId="9" name="Monat.P1UeVM" vbProcedure="false">September!$AM$97</definedName>
    <definedName function="false" hidden="false" localSheetId="9" name="Monat.P2UeVM" vbProcedure="false">September!$AM$98</definedName>
    <definedName function="false" hidden="false" localSheetId="9" name="Monat.P3UeVM" vbProcedure="false">September!$AM$99</definedName>
    <definedName function="false" hidden="false" localSheetId="9" name="Monat.P4UeVM" vbProcedure="false">September!$AM$100</definedName>
    <definedName function="false" hidden="false" localSheetId="9" name="Monat.P5UeVM" vbProcedure="false">September!$AM$101</definedName>
    <definedName function="false" hidden="false" localSheetId="9" name="Monat.P6UeVM" vbProcedure="false">September!$AM$102</definedName>
    <definedName function="false" hidden="false" localSheetId="9" name="Monat.P7UeVM" vbProcedure="false">September!$AM$103</definedName>
    <definedName function="false" hidden="false" localSheetId="9" name="Monat.P8UeVM" vbProcedure="false">September!$AM$104</definedName>
    <definedName function="false" hidden="false" localSheetId="9" name="Monat.P9UeVM" vbProcedure="false">September!$AM$105</definedName>
    <definedName function="false" hidden="false" localSheetId="9" name="Monat.PDiffUeVM" vbProcedure="false">September!$AM$114</definedName>
    <definedName function="false" hidden="false" localSheetId="9" name="Monat.Pikett" vbProcedure="false">September!$AF$34</definedName>
    <definedName function="false" hidden="false" localSheetId="9" name="Monat.Pikett.Zähler" vbProcedure="false">September!$AI$34</definedName>
    <definedName function="false" hidden="false" localSheetId="9" name="Monat.PikettgesternTag1" vbProcedure="false">September!$B$48</definedName>
    <definedName function="false" hidden="false" localSheetId="9" name="Monat.PikettText" vbProcedure="false">September!$A$34</definedName>
    <definedName function="false" hidden="false" localSheetId="9" name="Monat.Projekte.Zeilen" vbProcedure="false">September!$A$97:$A$111</definedName>
    <definedName function="false" hidden="false" localSheetId="9" name="Monat.ProjekteTotal.Bereich" vbProcedure="false">September!$AH$97:$AH$111</definedName>
    <definedName function="false" hidden="false" localSheetId="9" name="Monat.PTotalUeVM" vbProcedure="false">September!$AM$112</definedName>
    <definedName function="false" hidden="false" localSheetId="9" name="Monat.RAZ1_7.Bereich" vbProcedure="false">September!$P$7:$V$7</definedName>
    <definedName function="false" hidden="false" localSheetId="9" name="Monat.SD.Total" vbProcedure="false">September!$AH$82</definedName>
    <definedName function="false" hidden="false" localSheetId="9" name="Monat.SDText" vbProcedure="false">September!$A$82</definedName>
    <definedName function="false" hidden="false" localSheetId="9" name="Monat.SDUeVM" vbProcedure="false">September!$AM$82</definedName>
    <definedName function="false" hidden="false" localSheetId="9" name="Monat.Soll_Ist_UeVM" vbProcedure="false">September!$AM$55</definedName>
    <definedName function="false" hidden="false" localSheetId="9" name="Monat.Tag1" vbProcedure="false">September!$B$10</definedName>
    <definedName function="false" hidden="false" localSheetId="9" name="Monat.Tage.Knoten" vbProcedure="false">September!$B$9</definedName>
    <definedName function="false" hidden="false" localSheetId="9" name="Monat.UeZ.Saldo" vbProcedure="false">September!$AH$62</definedName>
    <definedName function="false" hidden="false" localSheetId="9" name="Monat.UeZ.Total" vbProcedure="false">September!$AH$65</definedName>
    <definedName function="false" hidden="false" localSheetId="9" name="Monat.UeziZSText" vbProcedure="false">September!$AF$65</definedName>
    <definedName function="false" hidden="false" localSheetId="9" name="Monat.UeZSaldoText" vbProcedure="false">September!$AF$62</definedName>
    <definedName function="false" hidden="false" localSheetId="9" name="Monat.UeZUeVM" vbProcedure="false">September!$AM$65</definedName>
    <definedName function="false" hidden="false" localSheetId="9" name="Monat.UnbesU.Total" vbProcedure="false">September!$AH$93</definedName>
    <definedName function="false" hidden="false" localSheetId="9" name="Monat.UnbesUrlaubText" vbProcedure="false">September!$A$93</definedName>
    <definedName function="false" hidden="false" localSheetId="9" name="Monat.UnbesUrlaubUeVM" vbProcedure="false">September!$AM$93</definedName>
    <definedName function="false" hidden="false" localSheetId="9" name="Monat.WB.Total" vbProcedure="false">September!$AH$91</definedName>
    <definedName function="false" hidden="false" localSheetId="9" name="Monat.WBText" vbProcedure="false">September!$A$91</definedName>
    <definedName function="false" hidden="false" localSheetId="9" name="Monat.WBUeVM" vbProcedure="false">September!$AM$91</definedName>
    <definedName function="false" hidden="false" localSheetId="9" name="Monat.Wochentage.Bereich" vbProcedure="false">September!$P$6:$V$6</definedName>
    <definedName function="false" hidden="false" localSheetId="9" name="Monat.ZS.Total" vbProcedure="false">September!$AH$63</definedName>
    <definedName function="false" hidden="false" localSheetId="9" name="Monat.ZSText" vbProcedure="false">September!$AF$63</definedName>
    <definedName function="false" hidden="false" localSheetId="9" name="Monat.ZUeZ.Total" vbProcedure="false">September!$AH$56</definedName>
    <definedName function="false" hidden="false" localSheetId="9" name="Monat.ZZNdUe" vbProcedure="false">September!$AM$79</definedName>
    <definedName function="false" hidden="false" localSheetId="9" name="Monat.ZZSND.Total" vbProcedure="false">September!$AH$79</definedName>
    <definedName function="false" hidden="false" localSheetId="9" name="Monat.ZZSNDText" vbProcedure="false">September!$A$79</definedName>
    <definedName function="false" hidden="false" localSheetId="9" name="Monat.ZählerND.Total" vbProcedure="false">September!$AH$69</definedName>
    <definedName function="false" hidden="false" localSheetId="9" name="Monat.ZählerNDText" vbProcedure="false">September!$A$69</definedName>
    <definedName function="false" hidden="false" localSheetId="9" name="Monat.ZählerNDUe" vbProcedure="false">September!$AM$69</definedName>
    <definedName function="false" hidden="false" localSheetId="9" name="Monat.ÜZZSBerechtigt" vbProcedure="false">September!$V$4</definedName>
    <definedName function="false" hidden="false" localSheetId="9" name="PUEELZ.Knoten" vbProcedure="false">#REF!</definedName>
    <definedName function="false" hidden="false" localSheetId="9" name="PUEELZ.Monate.Bereich" vbProcedure="false">#REF!</definedName>
    <definedName function="false" hidden="false" localSheetId="9" name="PUEELZ.Projektauslastung.Knoten" vbProcedure="false">#REF!</definedName>
    <definedName function="false" hidden="false" localSheetId="9" name="PUEELZ.Summe.Knoten" vbProcedure="false">#REF!</definedName>
    <definedName function="false" hidden="false" localSheetId="10" name="FieldtoSelect" vbProcedure="false">October!$B$13</definedName>
    <definedName function="false" hidden="false" localSheetId="10" name="Monat.AAUeVM" vbProcedure="false">October!$AN$80</definedName>
    <definedName function="false" hidden="false" localSheetId="10" name="Monat.AB.Total" vbProcedure="false">October!$AI$86</definedName>
    <definedName function="false" hidden="false" localSheetId="10" name="Monat.Abendarbeit.Total" vbProcedure="false">October!$AI$80</definedName>
    <definedName function="false" hidden="false" localSheetId="10" name="Monat.AbendarbeitText" vbProcedure="false">October!$A$80</definedName>
    <definedName function="false" hidden="false" localSheetId="10" name="Monat.AnUeZ.Total" vbProcedure="false">October!$AI$60</definedName>
    <definedName function="false" hidden="false" localSheetId="10" name="Monat.AnUeZ.Zähler" vbProcedure="false">October!$AJ$60</definedName>
    <definedName function="false" hidden="false" localSheetId="10" name="Monat.AnUeZText" vbProcedure="false">October!$A$60</definedName>
    <definedName function="false" hidden="false" localSheetId="10" name="Monat.AnUeZUeVM" vbProcedure="false">October!$AN$60</definedName>
    <definedName function="false" hidden="false" localSheetId="10" name="Monat.ArztText" vbProcedure="false">October!$A$86</definedName>
    <definedName function="false" hidden="false" localSheetId="10" name="Monat.ArztUeVM" vbProcedure="false">October!$AN$86</definedName>
    <definedName function="false" hidden="false" localSheetId="10" name="Monat.AZIstWRestUeVM" vbProcedure="false">October!$AN$51</definedName>
    <definedName function="false" hidden="false" localSheetId="10" name="Monat.AZSaldoUeVM" vbProcedure="false">October!$AN$56</definedName>
    <definedName function="false" hidden="false" localSheetId="10" name="Monat.AZSoll.Total" vbProcedure="false">October!$AI$53</definedName>
    <definedName function="false" hidden="false" localSheetId="10" name="Monat.AZSoll100.Total" vbProcedure="false">October!$AI$54</definedName>
    <definedName function="false" hidden="false" localSheetId="10" name="Monat.BD.Total" vbProcedure="false">October!$AI$81</definedName>
    <definedName function="false" hidden="false" localSheetId="10" name="Monat.BDText" vbProcedure="false">October!$A$81</definedName>
    <definedName function="false" hidden="false" localSheetId="10" name="Monat.BDUeVM" vbProcedure="false">October!$AN$81</definedName>
    <definedName function="false" hidden="false" localSheetId="10" name="Monat.BesU.Total" vbProcedure="false">October!$AI$92</definedName>
    <definedName function="false" hidden="false" localSheetId="10" name="Monat.BesUrlaubText" vbProcedure="false">October!$A$92</definedName>
    <definedName function="false" hidden="false" localSheetId="10" name="Monat.BesUrlaubUeVM" vbProcedure="false">October!$AN$92</definedName>
    <definedName function="false" hidden="false" localSheetId="10" name="Monat.BU.Total" vbProcedure="false">October!$AI$88</definedName>
    <definedName function="false" hidden="false" localSheetId="10" name="Monat.BUText" vbProcedure="false">October!$A$88</definedName>
    <definedName function="false" hidden="false" localSheetId="10" name="Monat.BUUeVM" vbProcedure="false">October!$AN$88</definedName>
    <definedName function="false" hidden="false" localSheetId="10" name="Monat.DAG.Total" vbProcedure="false">October!$AI$95</definedName>
    <definedName function="false" hidden="false" localSheetId="10" name="Monat.DAGText" vbProcedure="false">October!$A$95</definedName>
    <definedName function="false" hidden="false" localSheetId="10" name="Monat.DAGUeVM" vbProcedure="false">October!$AN$95</definedName>
    <definedName function="false" hidden="false" localSheetId="10" name="Monat.ein_aus.Total" vbProcedure="false">October!$AI$23</definedName>
    <definedName function="false" hidden="false" localSheetId="10" name="Monat.ein_ausText" vbProcedure="false">October!$A$23</definedName>
    <definedName function="false" hidden="false" localSheetId="10" name="Monat.ein_aus_Pikett.Total" vbProcedure="false">October!$AI$45</definedName>
    <definedName function="false" hidden="false" localSheetId="10" name="Monat.ein_aus_PikettText" vbProcedure="false">October!$A$45</definedName>
    <definedName function="false" hidden="false" localSheetId="10" name="Monat.Ferien.JS" vbProcedure="false">October!$AO$84</definedName>
    <definedName function="false" hidden="false" localSheetId="10" name="Monat.Ferien.Total" vbProcedure="false">October!$AI$84</definedName>
    <definedName function="false" hidden="false" localSheetId="10" name="Monat.FerienKor.Total" vbProcedure="false">October!$AI$85</definedName>
    <definedName function="false" hidden="false" localSheetId="10" name="Monat.FerienText" vbProcedure="false">October!$A$84</definedName>
    <definedName function="false" hidden="false" localSheetId="10" name="Monat.FerienUeVM" vbProcedure="false">October!$AN$84</definedName>
    <definedName function="false" hidden="false" localSheetId="10" name="Monat.Kom.JS" vbProcedure="false">October!$AO$67</definedName>
    <definedName function="false" hidden="false" localSheetId="10" name="Monat.KomAZ.Total" vbProcedure="false">October!$AI$67</definedName>
    <definedName function="false" hidden="false" localSheetId="10" name="Monat.KomAZText" vbProcedure="false">October!$A$67</definedName>
    <definedName function="false" hidden="false" localSheetId="10" name="Monat.KompZZSND.Total" vbProcedure="false">October!$AI$71</definedName>
    <definedName function="false" hidden="false" localSheetId="10" name="Monat.KompZZSNDText" vbProcedure="false">October!$A$71</definedName>
    <definedName function="false" hidden="false" localSheetId="10" name="Monat.KompZZSNDUeVM" vbProcedure="false">October!$AN$71</definedName>
    <definedName function="false" hidden="false" localSheetId="10" name="Monat.KomUeVM" vbProcedure="false">October!$AN$67</definedName>
    <definedName function="false" hidden="false" localSheetId="10" name="Monat.KomUeZ.Total" vbProcedure="false">October!$AI$61</definedName>
    <definedName function="false" hidden="false" localSheetId="10" name="Monat.KomUeZText" vbProcedure="false">October!$A$61</definedName>
    <definedName function="false" hidden="false" localSheetId="10" name="Monat.Krank.Total" vbProcedure="false">October!$AI$87</definedName>
    <definedName function="false" hidden="false" localSheetId="10" name="Monat.KrankText" vbProcedure="false">October!$A$87</definedName>
    <definedName function="false" hidden="false" localSheetId="10" name="Monat.KrankUeVM" vbProcedure="false">October!$AN$87</definedName>
    <definedName function="false" hidden="false" localSheetId="10" name="Monat.Militaer.Total" vbProcedure="false">October!$AI$90</definedName>
    <definedName function="false" hidden="false" localSheetId="10" name="Monat.MMS.Total" vbProcedure="false">October!$AI$58</definedName>
    <definedName function="false" hidden="false" localSheetId="10" name="Monat.MMS.UeVM" vbProcedure="false">October!$AN$58</definedName>
    <definedName function="false" hidden="false" localSheetId="10" name="Monat.MZSText" vbProcedure="false">October!$A$90</definedName>
    <definedName function="false" hidden="false" localSheetId="10" name="Monat.MZSUeVM" vbProcedure="false">October!$AN$90</definedName>
    <definedName function="false" hidden="false" localSheetId="10" name="Monat.NB.Total" vbProcedure="false">October!$AI$94</definedName>
    <definedName function="false" hidden="false" localSheetId="10" name="Monat.NBText" vbProcedure="false">October!$A$94</definedName>
    <definedName function="false" hidden="false" localSheetId="10" name="Monat.NBU.Total" vbProcedure="false">October!$AI$89</definedName>
    <definedName function="false" hidden="false" localSheetId="10" name="Monat.NBUeVM" vbProcedure="false">October!$AN$94</definedName>
    <definedName function="false" hidden="false" localSheetId="10" name="Monat.NBUText" vbProcedure="false">October!$A$89</definedName>
    <definedName function="false" hidden="false" localSheetId="10" name="Monat.NBUUeVM" vbProcedure="false">October!$AN$89</definedName>
    <definedName function="false" hidden="false" localSheetId="10" name="Monat.ND.Total" vbProcedure="false">October!$AI$73</definedName>
    <definedName function="false" hidden="false" localSheetId="10" name="Monat.NDgesternTag1" vbProcedure="false">October!$B$76</definedName>
    <definedName function="false" hidden="false" localSheetId="10" name="Monat.NDText" vbProcedure="false">October!$A$73</definedName>
    <definedName function="false" hidden="false" localSheetId="10" name="Monat.NDUeVM" vbProcedure="false">October!$AN$73</definedName>
    <definedName function="false" hidden="false" localSheetId="10" name="Monat.P10UeVM" vbProcedure="false">October!$AN$106</definedName>
    <definedName function="false" hidden="false" localSheetId="10" name="Monat.P11UeVM" vbProcedure="false">October!$AN$107</definedName>
    <definedName function="false" hidden="false" localSheetId="10" name="Monat.P12UeVM" vbProcedure="false">October!$AN$108</definedName>
    <definedName function="false" hidden="false" localSheetId="10" name="Monat.P13UeVM" vbProcedure="false">October!$AN$109</definedName>
    <definedName function="false" hidden="false" localSheetId="10" name="Monat.P14UeVM" vbProcedure="false">October!$AN$110</definedName>
    <definedName function="false" hidden="false" localSheetId="10" name="Monat.P15UeVM" vbProcedure="false">October!$AN$111</definedName>
    <definedName function="false" hidden="false" localSheetId="10" name="Monat.P1UeVM" vbProcedure="false">October!$AN$97</definedName>
    <definedName function="false" hidden="false" localSheetId="10" name="Monat.P2UeVM" vbProcedure="false">October!$AN$98</definedName>
    <definedName function="false" hidden="false" localSheetId="10" name="Monat.P3UeVM" vbProcedure="false">October!$AN$99</definedName>
    <definedName function="false" hidden="false" localSheetId="10" name="Monat.P4UeVM" vbProcedure="false">October!$AN$100</definedName>
    <definedName function="false" hidden="false" localSheetId="10" name="Monat.P5UeVM" vbProcedure="false">October!$AN$101</definedName>
    <definedName function="false" hidden="false" localSheetId="10" name="Monat.P6UeVM" vbProcedure="false">October!$AN$102</definedName>
    <definedName function="false" hidden="false" localSheetId="10" name="Monat.P7UeVM" vbProcedure="false">October!$AN$103</definedName>
    <definedName function="false" hidden="false" localSheetId="10" name="Monat.P8UeVM" vbProcedure="false">October!$AN$104</definedName>
    <definedName function="false" hidden="false" localSheetId="10" name="Monat.P9UeVM" vbProcedure="false">October!$AN$105</definedName>
    <definedName function="false" hidden="false" localSheetId="10" name="Monat.PDiffUeVM" vbProcedure="false">October!$AN$114</definedName>
    <definedName function="false" hidden="false" localSheetId="10" name="Monat.Pikett" vbProcedure="false">October!$AG$34</definedName>
    <definedName function="false" hidden="false" localSheetId="10" name="Monat.Pikett.Zähler" vbProcedure="false">October!$AJ$34</definedName>
    <definedName function="false" hidden="false" localSheetId="10" name="Monat.PikettgesternTag1" vbProcedure="false">October!$B$48</definedName>
    <definedName function="false" hidden="false" localSheetId="10" name="Monat.PikettText" vbProcedure="false">October!$A$34</definedName>
    <definedName function="false" hidden="false" localSheetId="10" name="Monat.Projekte.Zeilen" vbProcedure="false">October!$A$97:$A$111</definedName>
    <definedName function="false" hidden="false" localSheetId="10" name="Monat.ProjekteTotal.Bereich" vbProcedure="false">October!$AI$97:$AI$111</definedName>
    <definedName function="false" hidden="false" localSheetId="10" name="Monat.PTotalUeVM" vbProcedure="false">October!$AN$112</definedName>
    <definedName function="false" hidden="false" localSheetId="10" name="Monat.RAZ1_7.Bereich" vbProcedure="false">October!$P$7:$V$7</definedName>
    <definedName function="false" hidden="false" localSheetId="10" name="Monat.SD.Total" vbProcedure="false">October!$AI$82</definedName>
    <definedName function="false" hidden="false" localSheetId="10" name="Monat.SDText" vbProcedure="false">October!$A$82</definedName>
    <definedName function="false" hidden="false" localSheetId="10" name="Monat.SDUeVM" vbProcedure="false">October!$AN$82</definedName>
    <definedName function="false" hidden="false" localSheetId="10" name="Monat.Soll_Ist_UeVM" vbProcedure="false">October!$AN$55</definedName>
    <definedName function="false" hidden="false" localSheetId="10" name="Monat.Tag1" vbProcedure="false">October!$B$10</definedName>
    <definedName function="false" hidden="false" localSheetId="10" name="Monat.Tage.Knoten" vbProcedure="false">October!$B$9</definedName>
    <definedName function="false" hidden="false" localSheetId="10" name="Monat.UeZ.Saldo" vbProcedure="false">October!$AI$62</definedName>
    <definedName function="false" hidden="false" localSheetId="10" name="Monat.UeZ.Total" vbProcedure="false">October!$AI$65</definedName>
    <definedName function="false" hidden="false" localSheetId="10" name="Monat.UeziZSText" vbProcedure="false">October!$AG$65</definedName>
    <definedName function="false" hidden="false" localSheetId="10" name="Monat.UeZSaldoText" vbProcedure="false">October!$AG$62</definedName>
    <definedName function="false" hidden="false" localSheetId="10" name="Monat.UeZUeVM" vbProcedure="false">October!$AN$65</definedName>
    <definedName function="false" hidden="false" localSheetId="10" name="Monat.UnbesU.Total" vbProcedure="false">October!$AI$93</definedName>
    <definedName function="false" hidden="false" localSheetId="10" name="Monat.UnbesUrlaubText" vbProcedure="false">October!$A$93</definedName>
    <definedName function="false" hidden="false" localSheetId="10" name="Monat.UnbesUrlaubUeVM" vbProcedure="false">October!$AN$93</definedName>
    <definedName function="false" hidden="false" localSheetId="10" name="Monat.WB.Total" vbProcedure="false">October!$AI$91</definedName>
    <definedName function="false" hidden="false" localSheetId="10" name="Monat.WBText" vbProcedure="false">October!$A$91</definedName>
    <definedName function="false" hidden="false" localSheetId="10" name="Monat.WBUeVM" vbProcedure="false">October!$AN$91</definedName>
    <definedName function="false" hidden="false" localSheetId="10" name="Monat.Wochentage.Bereich" vbProcedure="false">October!$P$6:$V$6</definedName>
    <definedName function="false" hidden="false" localSheetId="10" name="Monat.ZS.Total" vbProcedure="false">October!$AI$63</definedName>
    <definedName function="false" hidden="false" localSheetId="10" name="Monat.ZSText" vbProcedure="false">October!$AG$63</definedName>
    <definedName function="false" hidden="false" localSheetId="10" name="Monat.ZUeZ.Total" vbProcedure="false">October!$AI$56</definedName>
    <definedName function="false" hidden="false" localSheetId="10" name="Monat.ZZNdUe" vbProcedure="false">October!$AN$79</definedName>
    <definedName function="false" hidden="false" localSheetId="10" name="Monat.ZZSND.Total" vbProcedure="false">October!$AI$79</definedName>
    <definedName function="false" hidden="false" localSheetId="10" name="Monat.ZZSNDText" vbProcedure="false">October!$A$79</definedName>
    <definedName function="false" hidden="false" localSheetId="10" name="Monat.ZählerND.Total" vbProcedure="false">October!$AI$69</definedName>
    <definedName function="false" hidden="false" localSheetId="10" name="Monat.ZählerNDText" vbProcedure="false">October!$A$69</definedName>
    <definedName function="false" hidden="false" localSheetId="10" name="Monat.ZählerNDUe" vbProcedure="false">October!$AN$69</definedName>
    <definedName function="false" hidden="false" localSheetId="10" name="Monat.ÜZZSBerechtigt" vbProcedure="false">October!$V$4</definedName>
    <definedName function="false" hidden="false" localSheetId="10" name="PUEELZ.Knoten" vbProcedure="false">#REF!</definedName>
    <definedName function="false" hidden="false" localSheetId="10" name="PUEELZ.Monate.Bereich" vbProcedure="false">#REF!</definedName>
    <definedName function="false" hidden="false" localSheetId="10" name="PUEELZ.Projektauslastung.Knoten" vbProcedure="false">#REF!</definedName>
    <definedName function="false" hidden="false" localSheetId="10" name="PUEELZ.Summe.Knoten" vbProcedure="false">#REF!</definedName>
    <definedName function="false" hidden="false" localSheetId="11" name="FieldtoSelect" vbProcedure="false">November!$B$13</definedName>
    <definedName function="false" hidden="false" localSheetId="11" name="Monat.AAUeVM" vbProcedure="false">November!$AM$80</definedName>
    <definedName function="false" hidden="false" localSheetId="11" name="Monat.AB.Total" vbProcedure="false">November!$AH$86</definedName>
    <definedName function="false" hidden="false" localSheetId="11" name="Monat.Abendarbeit.Total" vbProcedure="false">November!$AH$80</definedName>
    <definedName function="false" hidden="false" localSheetId="11" name="Monat.AbendarbeitText" vbProcedure="false">November!$A$80</definedName>
    <definedName function="false" hidden="false" localSheetId="11" name="Monat.AnUeZ.Total" vbProcedure="false">November!$AH$60</definedName>
    <definedName function="false" hidden="false" localSheetId="11" name="Monat.AnUeZ.Zähler" vbProcedure="false">November!$AI$60</definedName>
    <definedName function="false" hidden="false" localSheetId="11" name="Monat.AnUeZText" vbProcedure="false">November!$A$60</definedName>
    <definedName function="false" hidden="false" localSheetId="11" name="Monat.AnUeZUeVM" vbProcedure="false">November!$AM$60</definedName>
    <definedName function="false" hidden="false" localSheetId="11" name="Monat.ArztText" vbProcedure="false">November!$A$86</definedName>
    <definedName function="false" hidden="false" localSheetId="11" name="Monat.ArztUeVM" vbProcedure="false">November!$AM$86</definedName>
    <definedName function="false" hidden="false" localSheetId="11" name="Monat.AZIstWRestUeVM" vbProcedure="false">November!$AM$51</definedName>
    <definedName function="false" hidden="false" localSheetId="11" name="Monat.AZSaldoUeVM" vbProcedure="false">November!$AM$56</definedName>
    <definedName function="false" hidden="false" localSheetId="11" name="Monat.AZSoll.Total" vbProcedure="false">November!$AH$53</definedName>
    <definedName function="false" hidden="false" localSheetId="11" name="Monat.AZSoll100.Total" vbProcedure="false">November!$AH$54</definedName>
    <definedName function="false" hidden="false" localSheetId="11" name="Monat.BD.Total" vbProcedure="false">November!$AH$81</definedName>
    <definedName function="false" hidden="false" localSheetId="11" name="Monat.BDText" vbProcedure="false">November!$A$81</definedName>
    <definedName function="false" hidden="false" localSheetId="11" name="Monat.BDUeVM" vbProcedure="false">November!$AM$81</definedName>
    <definedName function="false" hidden="false" localSheetId="11" name="Monat.BesU.Total" vbProcedure="false">November!$AH$92</definedName>
    <definedName function="false" hidden="false" localSheetId="11" name="Monat.BesUrlaubText" vbProcedure="false">November!$A$92</definedName>
    <definedName function="false" hidden="false" localSheetId="11" name="Monat.BesUrlaubUeVM" vbProcedure="false">November!$AM$92</definedName>
    <definedName function="false" hidden="false" localSheetId="11" name="Monat.BU.Total" vbProcedure="false">November!$AH$88</definedName>
    <definedName function="false" hidden="false" localSheetId="11" name="Monat.BUText" vbProcedure="false">November!$A$88</definedName>
    <definedName function="false" hidden="false" localSheetId="11" name="Monat.BUUeVM" vbProcedure="false">November!$AM$88</definedName>
    <definedName function="false" hidden="false" localSheetId="11" name="Monat.DAG.Total" vbProcedure="false">November!$AH$95</definedName>
    <definedName function="false" hidden="false" localSheetId="11" name="Monat.DAGText" vbProcedure="false">November!$A$95</definedName>
    <definedName function="false" hidden="false" localSheetId="11" name="Monat.DAGUeVM" vbProcedure="false">November!$AM$95</definedName>
    <definedName function="false" hidden="false" localSheetId="11" name="Monat.ein_aus.Total" vbProcedure="false">November!$AH$23</definedName>
    <definedName function="false" hidden="false" localSheetId="11" name="Monat.ein_ausText" vbProcedure="false">November!$A$23</definedName>
    <definedName function="false" hidden="false" localSheetId="11" name="Monat.ein_aus_Pikett.Total" vbProcedure="false">November!$AH$45</definedName>
    <definedName function="false" hidden="false" localSheetId="11" name="Monat.ein_aus_PikettText" vbProcedure="false">November!$A$45</definedName>
    <definedName function="false" hidden="false" localSheetId="11" name="Monat.Ferien.JS" vbProcedure="false">November!$AN$84</definedName>
    <definedName function="false" hidden="false" localSheetId="11" name="Monat.Ferien.Total" vbProcedure="false">November!$AH$84</definedName>
    <definedName function="false" hidden="false" localSheetId="11" name="Monat.FerienKor.Total" vbProcedure="false">November!$AH$85</definedName>
    <definedName function="false" hidden="false" localSheetId="11" name="Monat.FerienText" vbProcedure="false">November!$A$84</definedName>
    <definedName function="false" hidden="false" localSheetId="11" name="Monat.FerienUeVM" vbProcedure="false">November!$AM$84</definedName>
    <definedName function="false" hidden="false" localSheetId="11" name="Monat.Kom.JS" vbProcedure="false">November!$AN$67</definedName>
    <definedName function="false" hidden="false" localSheetId="11" name="Monat.KomAZ.Total" vbProcedure="false">November!$AH$67</definedName>
    <definedName function="false" hidden="false" localSheetId="11" name="Monat.KomAZText" vbProcedure="false">November!$A$67</definedName>
    <definedName function="false" hidden="false" localSheetId="11" name="Monat.KompZZSND.Total" vbProcedure="false">November!$AH$71</definedName>
    <definedName function="false" hidden="false" localSheetId="11" name="Monat.KompZZSNDText" vbProcedure="false">November!$A$71</definedName>
    <definedName function="false" hidden="false" localSheetId="11" name="Monat.KompZZSNDUeVM" vbProcedure="false">November!$AM$71</definedName>
    <definedName function="false" hidden="false" localSheetId="11" name="Monat.KomUeVM" vbProcedure="false">November!$AM$67</definedName>
    <definedName function="false" hidden="false" localSheetId="11" name="Monat.KomUeZ.Total" vbProcedure="false">November!$AH$61</definedName>
    <definedName function="false" hidden="false" localSheetId="11" name="Monat.KomUeZText" vbProcedure="false">November!$A$61</definedName>
    <definedName function="false" hidden="false" localSheetId="11" name="Monat.Krank.Total" vbProcedure="false">November!$AH$87</definedName>
    <definedName function="false" hidden="false" localSheetId="11" name="Monat.KrankText" vbProcedure="false">November!$A$87</definedName>
    <definedName function="false" hidden="false" localSheetId="11" name="Monat.KrankUeVM" vbProcedure="false">November!$AM$87</definedName>
    <definedName function="false" hidden="false" localSheetId="11" name="Monat.Militaer.Total" vbProcedure="false">November!$AH$90</definedName>
    <definedName function="false" hidden="false" localSheetId="11" name="Monat.MMS.Total" vbProcedure="false">November!$AH$58</definedName>
    <definedName function="false" hidden="false" localSheetId="11" name="Monat.MMS.UeVM" vbProcedure="false">November!$AM$58</definedName>
    <definedName function="false" hidden="false" localSheetId="11" name="Monat.MZSText" vbProcedure="false">November!$A$90</definedName>
    <definedName function="false" hidden="false" localSheetId="11" name="Monat.MZSUeVM" vbProcedure="false">November!$AM$90</definedName>
    <definedName function="false" hidden="false" localSheetId="11" name="Monat.NB.Total" vbProcedure="false">November!$AH$94</definedName>
    <definedName function="false" hidden="false" localSheetId="11" name="Monat.NBText" vbProcedure="false">November!$A$94</definedName>
    <definedName function="false" hidden="false" localSheetId="11" name="Monat.NBU.Total" vbProcedure="false">November!$AH$89</definedName>
    <definedName function="false" hidden="false" localSheetId="11" name="Monat.NBUeVM" vbProcedure="false">November!$AM$94</definedName>
    <definedName function="false" hidden="false" localSheetId="11" name="Monat.NBUText" vbProcedure="false">November!$A$89</definedName>
    <definedName function="false" hidden="false" localSheetId="11" name="Monat.NBUUeVM" vbProcedure="false">November!$AM$89</definedName>
    <definedName function="false" hidden="false" localSheetId="11" name="Monat.ND.Total" vbProcedure="false">November!$AH$73</definedName>
    <definedName function="false" hidden="false" localSheetId="11" name="Monat.NDgesternTag1" vbProcedure="false">November!$B$76</definedName>
    <definedName function="false" hidden="false" localSheetId="11" name="Monat.NDText" vbProcedure="false">November!$A$73</definedName>
    <definedName function="false" hidden="false" localSheetId="11" name="Monat.NDUeVM" vbProcedure="false">November!$AM$73</definedName>
    <definedName function="false" hidden="false" localSheetId="11" name="Monat.P10UeVM" vbProcedure="false">November!$AM$106</definedName>
    <definedName function="false" hidden="false" localSheetId="11" name="Monat.P11UeVM" vbProcedure="false">November!$AM$107</definedName>
    <definedName function="false" hidden="false" localSheetId="11" name="Monat.P12UeVM" vbProcedure="false">November!$AM$108</definedName>
    <definedName function="false" hidden="false" localSheetId="11" name="Monat.P13UeVM" vbProcedure="false">November!$AM$109</definedName>
    <definedName function="false" hidden="false" localSheetId="11" name="Monat.P14UeVM" vbProcedure="false">November!$AM$110</definedName>
    <definedName function="false" hidden="false" localSheetId="11" name="Monat.P15UeVM" vbProcedure="false">November!$AM$111</definedName>
    <definedName function="false" hidden="false" localSheetId="11" name="Monat.P1UeVM" vbProcedure="false">November!$AM$97</definedName>
    <definedName function="false" hidden="false" localSheetId="11" name="Monat.P2UeVM" vbProcedure="false">November!$AM$98</definedName>
    <definedName function="false" hidden="false" localSheetId="11" name="Monat.P3UeVM" vbProcedure="false">November!$AM$99</definedName>
    <definedName function="false" hidden="false" localSheetId="11" name="Monat.P4UeVM" vbProcedure="false">November!$AM$100</definedName>
    <definedName function="false" hidden="false" localSheetId="11" name="Monat.P5UeVM" vbProcedure="false">November!$AM$101</definedName>
    <definedName function="false" hidden="false" localSheetId="11" name="Monat.P6UeVM" vbProcedure="false">November!$AM$102</definedName>
    <definedName function="false" hidden="false" localSheetId="11" name="Monat.P7UeVM" vbProcedure="false">November!$AM$103</definedName>
    <definedName function="false" hidden="false" localSheetId="11" name="Monat.P8UeVM" vbProcedure="false">November!$AM$104</definedName>
    <definedName function="false" hidden="false" localSheetId="11" name="Monat.P9UeVM" vbProcedure="false">November!$AM$105</definedName>
    <definedName function="false" hidden="false" localSheetId="11" name="Monat.PDiffUeVM" vbProcedure="false">November!$AM$114</definedName>
    <definedName function="false" hidden="false" localSheetId="11" name="Monat.Pikett" vbProcedure="false">November!$AF$34</definedName>
    <definedName function="false" hidden="false" localSheetId="11" name="Monat.Pikett.Zähler" vbProcedure="false">November!$AI$34</definedName>
    <definedName function="false" hidden="false" localSheetId="11" name="Monat.PikettgesternTag1" vbProcedure="false">November!$B$48</definedName>
    <definedName function="false" hidden="false" localSheetId="11" name="Monat.PikettText" vbProcedure="false">November!$A$34</definedName>
    <definedName function="false" hidden="false" localSheetId="11" name="Monat.Projekte.Zeilen" vbProcedure="false">November!$A$97:$A$111</definedName>
    <definedName function="false" hidden="false" localSheetId="11" name="Monat.ProjekteTotal.Bereich" vbProcedure="false">November!$AH$97:$AH$111</definedName>
    <definedName function="false" hidden="false" localSheetId="11" name="Monat.PTotalUeVM" vbProcedure="false">November!$AM$112</definedName>
    <definedName function="false" hidden="false" localSheetId="11" name="Monat.RAZ1_7.Bereich" vbProcedure="false">November!$P$7:$V$7</definedName>
    <definedName function="false" hidden="false" localSheetId="11" name="Monat.SD.Total" vbProcedure="false">November!$AH$82</definedName>
    <definedName function="false" hidden="false" localSheetId="11" name="Monat.SDText" vbProcedure="false">November!$A$82</definedName>
    <definedName function="false" hidden="false" localSheetId="11" name="Monat.SDUeVM" vbProcedure="false">November!$AM$82</definedName>
    <definedName function="false" hidden="false" localSheetId="11" name="Monat.Soll_Ist_UeVM" vbProcedure="false">November!$AM$55</definedName>
    <definedName function="false" hidden="false" localSheetId="11" name="Monat.Tag1" vbProcedure="false">November!$B$10</definedName>
    <definedName function="false" hidden="false" localSheetId="11" name="Monat.Tage.Knoten" vbProcedure="false">November!$B$9</definedName>
    <definedName function="false" hidden="false" localSheetId="11" name="Monat.UeZ.Saldo" vbProcedure="false">November!$AH$62</definedName>
    <definedName function="false" hidden="false" localSheetId="11" name="Monat.UeZ.Total" vbProcedure="false">November!$AH$65</definedName>
    <definedName function="false" hidden="false" localSheetId="11" name="Monat.UeziZSText" vbProcedure="false">November!$AF$65</definedName>
    <definedName function="false" hidden="false" localSheetId="11" name="Monat.UeZSaldoText" vbProcedure="false">November!$AF$62</definedName>
    <definedName function="false" hidden="false" localSheetId="11" name="Monat.UeZUeVM" vbProcedure="false">November!$AM$65</definedName>
    <definedName function="false" hidden="false" localSheetId="11" name="Monat.UnbesU.Total" vbProcedure="false">November!$AH$93</definedName>
    <definedName function="false" hidden="false" localSheetId="11" name="Monat.UnbesUrlaubText" vbProcedure="false">November!$A$93</definedName>
    <definedName function="false" hidden="false" localSheetId="11" name="Monat.UnbesUrlaubUeVM" vbProcedure="false">November!$AM$93</definedName>
    <definedName function="false" hidden="false" localSheetId="11" name="Monat.WB.Total" vbProcedure="false">November!$AH$91</definedName>
    <definedName function="false" hidden="false" localSheetId="11" name="Monat.WBText" vbProcedure="false">November!$A$91</definedName>
    <definedName function="false" hidden="false" localSheetId="11" name="Monat.WBUeVM" vbProcedure="false">November!$AM$91</definedName>
    <definedName function="false" hidden="false" localSheetId="11" name="Monat.Wochentage.Bereich" vbProcedure="false">November!$P$6:$V$6</definedName>
    <definedName function="false" hidden="false" localSheetId="11" name="Monat.ZS.Total" vbProcedure="false">November!$AH$63</definedName>
    <definedName function="false" hidden="false" localSheetId="11" name="Monat.ZSText" vbProcedure="false">November!$AF$63</definedName>
    <definedName function="false" hidden="false" localSheetId="11" name="Monat.ZUeZ.Total" vbProcedure="false">November!$AH$56</definedName>
    <definedName function="false" hidden="false" localSheetId="11" name="Monat.ZZNdUe" vbProcedure="false">November!$AM$79</definedName>
    <definedName function="false" hidden="false" localSheetId="11" name="Monat.ZZSND.Total" vbProcedure="false">November!$AH$79</definedName>
    <definedName function="false" hidden="false" localSheetId="11" name="Monat.ZZSNDText" vbProcedure="false">November!$A$79</definedName>
    <definedName function="false" hidden="false" localSheetId="11" name="Monat.ZählerND.Total" vbProcedure="false">November!$AH$69</definedName>
    <definedName function="false" hidden="false" localSheetId="11" name="Monat.ZählerNDText" vbProcedure="false">November!$A$69</definedName>
    <definedName function="false" hidden="false" localSheetId="11" name="Monat.ZählerNDUe" vbProcedure="false">November!$AM$69</definedName>
    <definedName function="false" hidden="false" localSheetId="11" name="Monat.ÜZZSBerechtigt" vbProcedure="false">November!$V$4</definedName>
    <definedName function="false" hidden="false" localSheetId="11" name="PUEELZ.Knoten" vbProcedure="false">#REF!</definedName>
    <definedName function="false" hidden="false" localSheetId="11" name="PUEELZ.Monate.Bereich" vbProcedure="false">#REF!</definedName>
    <definedName function="false" hidden="false" localSheetId="11" name="PUEELZ.Projektauslastung.Knoten" vbProcedure="false">#REF!</definedName>
    <definedName function="false" hidden="false" localSheetId="11" name="PUEELZ.Summe.Knoten" vbProcedure="false">#REF!</definedName>
    <definedName function="false" hidden="false" localSheetId="12" name="FieldtoSelect" vbProcedure="false">December!$B$13</definedName>
    <definedName function="false" hidden="false" localSheetId="12" name="Monat.AAUeVM" vbProcedure="false">December!$AN$80</definedName>
    <definedName function="false" hidden="false" localSheetId="12" name="Monat.AB.Total" vbProcedure="false">December!$AI$86</definedName>
    <definedName function="false" hidden="false" localSheetId="12" name="Monat.Abendarbeit.Total" vbProcedure="false">December!$AI$80</definedName>
    <definedName function="false" hidden="false" localSheetId="12" name="Monat.AbendarbeitText" vbProcedure="false">December!$A$80</definedName>
    <definedName function="false" hidden="false" localSheetId="12" name="Monat.AnUeZ.Total" vbProcedure="false">December!$AI$60</definedName>
    <definedName function="false" hidden="false" localSheetId="12" name="Monat.AnUeZ.Zähler" vbProcedure="false">December!$AJ$60</definedName>
    <definedName function="false" hidden="false" localSheetId="12" name="Monat.AnUeZText" vbProcedure="false">December!$A$60</definedName>
    <definedName function="false" hidden="false" localSheetId="12" name="Monat.AnUeZUeVM" vbProcedure="false">December!$AN$60</definedName>
    <definedName function="false" hidden="false" localSheetId="12" name="Monat.ArztText" vbProcedure="false">December!$A$86</definedName>
    <definedName function="false" hidden="false" localSheetId="12" name="Monat.ArztUeVM" vbProcedure="false">December!$AN$86</definedName>
    <definedName function="false" hidden="false" localSheetId="12" name="Monat.AZIstWRestUeVM" vbProcedure="false">December!$AN$51</definedName>
    <definedName function="false" hidden="false" localSheetId="12" name="Monat.AZSaldoUeVM" vbProcedure="false">December!$AN$56</definedName>
    <definedName function="false" hidden="false" localSheetId="12" name="Monat.AZSoll.Total" vbProcedure="false">December!$AI$53</definedName>
    <definedName function="false" hidden="false" localSheetId="12" name="Monat.AZSoll100.Total" vbProcedure="false">December!$AI$54</definedName>
    <definedName function="false" hidden="false" localSheetId="12" name="Monat.BD.Total" vbProcedure="false">December!$AI$81</definedName>
    <definedName function="false" hidden="false" localSheetId="12" name="Monat.BDText" vbProcedure="false">December!$A$81</definedName>
    <definedName function="false" hidden="false" localSheetId="12" name="Monat.BDUeVM" vbProcedure="false">December!$AN$81</definedName>
    <definedName function="false" hidden="false" localSheetId="12" name="Monat.BesU.Total" vbProcedure="false">December!$AI$92</definedName>
    <definedName function="false" hidden="false" localSheetId="12" name="Monat.BesUrlaubText" vbProcedure="false">December!$A$92</definedName>
    <definedName function="false" hidden="false" localSheetId="12" name="Monat.BesUrlaubUeVM" vbProcedure="false">December!$AN$92</definedName>
    <definedName function="false" hidden="false" localSheetId="12" name="Monat.BU.Total" vbProcedure="false">December!$AI$88</definedName>
    <definedName function="false" hidden="false" localSheetId="12" name="Monat.BUText" vbProcedure="false">December!$A$88</definedName>
    <definedName function="false" hidden="false" localSheetId="12" name="Monat.BUUeVM" vbProcedure="false">December!$AN$88</definedName>
    <definedName function="false" hidden="false" localSheetId="12" name="Monat.DAG.Total" vbProcedure="false">December!$AI$95</definedName>
    <definedName function="false" hidden="false" localSheetId="12" name="Monat.DAGText" vbProcedure="false">December!$A$95</definedName>
    <definedName function="false" hidden="false" localSheetId="12" name="Monat.DAGUeVM" vbProcedure="false">December!$AN$95</definedName>
    <definedName function="false" hidden="false" localSheetId="12" name="Monat.ein_aus.Total" vbProcedure="false">December!$AI$23</definedName>
    <definedName function="false" hidden="false" localSheetId="12" name="Monat.ein_ausText" vbProcedure="false">December!$A$23</definedName>
    <definedName function="false" hidden="false" localSheetId="12" name="Monat.ein_aus_Pikett.Total" vbProcedure="false">December!$AI$45</definedName>
    <definedName function="false" hidden="false" localSheetId="12" name="Monat.ein_aus_PikettText" vbProcedure="false">December!$A$45</definedName>
    <definedName function="false" hidden="false" localSheetId="12" name="Monat.Ferien.JS" vbProcedure="false">December!$AO$84</definedName>
    <definedName function="false" hidden="false" localSheetId="12" name="Monat.Ferien.Total" vbProcedure="false">December!$AI$84</definedName>
    <definedName function="false" hidden="false" localSheetId="12" name="Monat.FerienKor.Total" vbProcedure="false">December!$AI$85</definedName>
    <definedName function="false" hidden="false" localSheetId="12" name="Monat.FerienText" vbProcedure="false">December!$A$84</definedName>
    <definedName function="false" hidden="false" localSheetId="12" name="Monat.FerienUeVM" vbProcedure="false">December!$AN$84</definedName>
    <definedName function="false" hidden="false" localSheetId="12" name="Monat.Kom.JS" vbProcedure="false">December!$AO$67</definedName>
    <definedName function="false" hidden="false" localSheetId="12" name="Monat.KomAZ.Total" vbProcedure="false">December!$AI$67</definedName>
    <definedName function="false" hidden="false" localSheetId="12" name="Monat.KomAZText" vbProcedure="false">December!$A$67</definedName>
    <definedName function="false" hidden="false" localSheetId="12" name="Monat.KompZZSND.Total" vbProcedure="false">December!$AI$71</definedName>
    <definedName function="false" hidden="false" localSheetId="12" name="Monat.KompZZSNDText" vbProcedure="false">December!$A$71</definedName>
    <definedName function="false" hidden="false" localSheetId="12" name="Monat.KompZZSNDUeVM" vbProcedure="false">December!$AN$71</definedName>
    <definedName function="false" hidden="false" localSheetId="12" name="Monat.KomUeVM" vbProcedure="false">December!$AN$67</definedName>
    <definedName function="false" hidden="false" localSheetId="12" name="Monat.KomUeZ.Total" vbProcedure="false">December!$AI$61</definedName>
    <definedName function="false" hidden="false" localSheetId="12" name="Monat.KomUeZText" vbProcedure="false">December!$A$61</definedName>
    <definedName function="false" hidden="false" localSheetId="12" name="Monat.Krank.Total" vbProcedure="false">December!$AI$87</definedName>
    <definedName function="false" hidden="false" localSheetId="12" name="Monat.KrankText" vbProcedure="false">December!$A$87</definedName>
    <definedName function="false" hidden="false" localSheetId="12" name="Monat.KrankUeVM" vbProcedure="false">December!$AN$87</definedName>
    <definedName function="false" hidden="false" localSheetId="12" name="Monat.Militaer.Total" vbProcedure="false">December!$AI$90</definedName>
    <definedName function="false" hidden="false" localSheetId="12" name="Monat.MMS.Total" vbProcedure="false">December!$AI$58</definedName>
    <definedName function="false" hidden="false" localSheetId="12" name="Monat.MMS.UeVM" vbProcedure="false">December!$AN$58</definedName>
    <definedName function="false" hidden="false" localSheetId="12" name="Monat.MZSText" vbProcedure="false">December!$A$90</definedName>
    <definedName function="false" hidden="false" localSheetId="12" name="Monat.MZSUeVM" vbProcedure="false">December!$AN$90</definedName>
    <definedName function="false" hidden="false" localSheetId="12" name="Monat.NB.Total" vbProcedure="false">December!$AI$94</definedName>
    <definedName function="false" hidden="false" localSheetId="12" name="Monat.NBText" vbProcedure="false">December!$A$94</definedName>
    <definedName function="false" hidden="false" localSheetId="12" name="Monat.NBU.Total" vbProcedure="false">December!$AI$89</definedName>
    <definedName function="false" hidden="false" localSheetId="12" name="Monat.NBUeVM" vbProcedure="false">December!$AN$94</definedName>
    <definedName function="false" hidden="false" localSheetId="12" name="Monat.NBUText" vbProcedure="false">December!$A$89</definedName>
    <definedName function="false" hidden="false" localSheetId="12" name="Monat.NBUUeVM" vbProcedure="false">December!$AN$89</definedName>
    <definedName function="false" hidden="false" localSheetId="12" name="Monat.ND.Total" vbProcedure="false">December!$AI$73</definedName>
    <definedName function="false" hidden="false" localSheetId="12" name="Monat.NDgesternTag1" vbProcedure="false">December!$B$76</definedName>
    <definedName function="false" hidden="false" localSheetId="12" name="Monat.NDText" vbProcedure="false">December!$A$73</definedName>
    <definedName function="false" hidden="false" localSheetId="12" name="Monat.NDUeVM" vbProcedure="false">December!$AN$73</definedName>
    <definedName function="false" hidden="false" localSheetId="12" name="Monat.P10UeVM" vbProcedure="false">December!$AN$106</definedName>
    <definedName function="false" hidden="false" localSheetId="12" name="Monat.P11UeVM" vbProcedure="false">December!$AN$107</definedName>
    <definedName function="false" hidden="false" localSheetId="12" name="Monat.P12UeVM" vbProcedure="false">December!$AN$108</definedName>
    <definedName function="false" hidden="false" localSheetId="12" name="Monat.P13UeVM" vbProcedure="false">December!$AN$109</definedName>
    <definedName function="false" hidden="false" localSheetId="12" name="Monat.P14UeVM" vbProcedure="false">December!$AN$110</definedName>
    <definedName function="false" hidden="false" localSheetId="12" name="Monat.P15UeVM" vbProcedure="false">December!$AN$111</definedName>
    <definedName function="false" hidden="false" localSheetId="12" name="Monat.P1UeVM" vbProcedure="false">December!$AN$97</definedName>
    <definedName function="false" hidden="false" localSheetId="12" name="Monat.P2UeVM" vbProcedure="false">December!$AN$98</definedName>
    <definedName function="false" hidden="false" localSheetId="12" name="Monat.P3UeVM" vbProcedure="false">December!$AN$99</definedName>
    <definedName function="false" hidden="false" localSheetId="12" name="Monat.P4UeVM" vbProcedure="false">December!$AN$100</definedName>
    <definedName function="false" hidden="false" localSheetId="12" name="Monat.P5UeVM" vbProcedure="false">December!$AN$101</definedName>
    <definedName function="false" hidden="false" localSheetId="12" name="Monat.P6UeVM" vbProcedure="false">December!$AN$102</definedName>
    <definedName function="false" hidden="false" localSheetId="12" name="Monat.P7UeVM" vbProcedure="false">December!$AN$103</definedName>
    <definedName function="false" hidden="false" localSheetId="12" name="Monat.P8UeVM" vbProcedure="false">December!$AN$104</definedName>
    <definedName function="false" hidden="false" localSheetId="12" name="Monat.P9UeVM" vbProcedure="false">December!$AN$105</definedName>
    <definedName function="false" hidden="false" localSheetId="12" name="Monat.PDiffUeVM" vbProcedure="false">December!$AN$114</definedName>
    <definedName function="false" hidden="false" localSheetId="12" name="Monat.Pikett" vbProcedure="false">December!$AG$34</definedName>
    <definedName function="false" hidden="false" localSheetId="12" name="Monat.Pikett.Zähler" vbProcedure="false">December!$AJ$34</definedName>
    <definedName function="false" hidden="false" localSheetId="12" name="Monat.PikettgesternTag1" vbProcedure="false">December!$B$48</definedName>
    <definedName function="false" hidden="false" localSheetId="12" name="Monat.PikettText" vbProcedure="false">December!$A$34</definedName>
    <definedName function="false" hidden="false" localSheetId="12" name="Monat.Projekte.Zeilen" vbProcedure="false">December!$A$97:$A$111</definedName>
    <definedName function="false" hidden="false" localSheetId="12" name="Monat.ProjekteTotal.Bereich" vbProcedure="false">December!$AI$97:$AI$111</definedName>
    <definedName function="false" hidden="false" localSheetId="12" name="Monat.PTotalUeVM" vbProcedure="false">December!$AN$112</definedName>
    <definedName function="false" hidden="false" localSheetId="12" name="Monat.RAZ1_7.Bereich" vbProcedure="false">December!$P$7:$V$7</definedName>
    <definedName function="false" hidden="false" localSheetId="12" name="Monat.SD.Total" vbProcedure="false">December!$AI$82</definedName>
    <definedName function="false" hidden="false" localSheetId="12" name="Monat.SDText" vbProcedure="false">December!$A$82</definedName>
    <definedName function="false" hidden="false" localSheetId="12" name="Monat.SDUeVM" vbProcedure="false">December!$AN$82</definedName>
    <definedName function="false" hidden="false" localSheetId="12" name="Monat.Soll_Ist_UeVM" vbProcedure="false">December!$AN$55</definedName>
    <definedName function="false" hidden="false" localSheetId="12" name="Monat.Tag1" vbProcedure="false">December!$B$10</definedName>
    <definedName function="false" hidden="false" localSheetId="12" name="Monat.Tage.Knoten" vbProcedure="false">December!$B$9</definedName>
    <definedName function="false" hidden="false" localSheetId="12" name="Monat.UeZ.Saldo" vbProcedure="false">December!$AI$62</definedName>
    <definedName function="false" hidden="false" localSheetId="12" name="Monat.UeZ.Total" vbProcedure="false">December!$AI$65</definedName>
    <definedName function="false" hidden="false" localSheetId="12" name="Monat.UeziZSText" vbProcedure="false">December!$AG$65</definedName>
    <definedName function="false" hidden="false" localSheetId="12" name="Monat.UeZSaldoText" vbProcedure="false">December!$AG$62</definedName>
    <definedName function="false" hidden="false" localSheetId="12" name="Monat.UeZUeVM" vbProcedure="false">December!$AN$65</definedName>
    <definedName function="false" hidden="false" localSheetId="12" name="Monat.UnbesU.Total" vbProcedure="false">December!$AI$93</definedName>
    <definedName function="false" hidden="false" localSheetId="12" name="Monat.UnbesUrlaubText" vbProcedure="false">December!$A$93</definedName>
    <definedName function="false" hidden="false" localSheetId="12" name="Monat.UnbesUrlaubUeVM" vbProcedure="false">December!$AN$93</definedName>
    <definedName function="false" hidden="false" localSheetId="12" name="Monat.WB.Total" vbProcedure="false">December!$AI$91</definedName>
    <definedName function="false" hidden="false" localSheetId="12" name="Monat.WBText" vbProcedure="false">December!$A$91</definedName>
    <definedName function="false" hidden="false" localSheetId="12" name="Monat.WBUeVM" vbProcedure="false">December!$AN$91</definedName>
    <definedName function="false" hidden="false" localSheetId="12" name="Monat.Wochentage.Bereich" vbProcedure="false">December!$P$6:$V$6</definedName>
    <definedName function="false" hidden="false" localSheetId="12" name="Monat.ZS.Total" vbProcedure="false">December!$AI$63</definedName>
    <definedName function="false" hidden="false" localSheetId="12" name="Monat.ZSText" vbProcedure="false">December!$AG$63</definedName>
    <definedName function="false" hidden="false" localSheetId="12" name="Monat.ZUeZ.Total" vbProcedure="false">December!$AI$56</definedName>
    <definedName function="false" hidden="false" localSheetId="12" name="Monat.ZZNdUe" vbProcedure="false">December!$AN$79</definedName>
    <definedName function="false" hidden="false" localSheetId="12" name="Monat.ZZSND.Total" vbProcedure="false">December!$AI$79</definedName>
    <definedName function="false" hidden="false" localSheetId="12" name="Monat.ZZSNDText" vbProcedure="false">December!$A$79</definedName>
    <definedName function="false" hidden="false" localSheetId="12" name="Monat.ZählerND.Total" vbProcedure="false">December!$AI$69</definedName>
    <definedName function="false" hidden="false" localSheetId="12" name="Monat.ZählerNDText" vbProcedure="false">December!$A$69</definedName>
    <definedName function="false" hidden="false" localSheetId="12" name="Monat.ZählerNDUe" vbProcedure="false">December!$AN$69</definedName>
    <definedName function="false" hidden="false" localSheetId="12" name="Monat.ÜZZSBerechtigt" vbProcedure="false">December!$V$4</definedName>
    <definedName function="false" hidden="false" localSheetId="12" name="PUEELZ.Knoten" vbProcedure="false">#REF!</definedName>
    <definedName function="false" hidden="false" localSheetId="12" name="PUEELZ.Monate.Bereich" vbProcedure="false">#REF!</definedName>
    <definedName function="false" hidden="false" localSheetId="12" name="PUEELZ.Projektauslastung.Knoten" vbProcedure="false">#REF!</definedName>
    <definedName function="false" hidden="false" localSheetId="12" name="PUEELZ.Summe.Knoten" vbProcedure="false">#REF!</definedName>
    <definedName function="false" hidden="false" localSheetId="13" name="FieldtoSelect" vbProcedure="false">Jahresabrechnung!$A$1</definedName>
    <definedName function="false" hidden="false" localSheetId="14" name="FieldtoSelect" vbProcedure="false">Projektübersicht!$A$1</definedName>
    <definedName function="false" hidden="false" localSheetId="15" name="FieldtoSelect" vbProcedure="false">'Projektübersicht-E+Q'!$E$1</definedName>
    <definedName function="false" hidden="false" localSheetId="16" name="FieldtoSelect" vbProcedure="false">Tabellen!$A$2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29" authorId="0">
      <text>
        <r>
          <rPr>
            <b val="true"/>
            <sz val="8"/>
            <color rgb="FF000000"/>
            <rFont val="Calibri"/>
            <family val="2"/>
            <charset val="1"/>
          </rPr>
          <t xml:space="preserve">Please indicate if plus or minus hours by choosing "+" or "-".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G57" authorId="0">
      <text>
        <r>
          <rPr>
            <b val="true"/>
            <sz val="8"/>
            <color rgb="FF000000"/>
            <rFont val="Calibri"/>
            <family val="2"/>
            <charset val="1"/>
          </rPr>
          <t xml:space="preserve">Please indicate with "+" or "-" if correction is plus or minus.</t>
        </r>
      </text>
    </comment>
    <comment ref="AG64" authorId="0">
      <text>
        <r>
          <rPr>
            <b val="true"/>
            <sz val="8"/>
            <color rgb="FF000000"/>
            <rFont val="Calibri"/>
            <family val="2"/>
            <charset val="1"/>
          </rPr>
          <t xml:space="preserve">Please indicate with "+" or "-" if correction is plus or minus.</t>
        </r>
      </text>
    </comment>
    <comment ref="AG85" authorId="0">
      <text>
        <r>
          <rPr>
            <b val="true"/>
            <sz val="8"/>
            <color rgb="FF000000"/>
            <rFont val="Calibri"/>
            <family val="2"/>
            <charset val="1"/>
          </rPr>
          <t xml:space="preserve">Please indicate with "+" or "-" if correction is plus or minus.</t>
        </r>
      </text>
    </comment>
    <comment ref="AL48" authorId="0">
      <text>
        <r>
          <rPr>
            <b val="true"/>
            <sz val="8"/>
            <color rgb="FF000000"/>
            <rFont val="Calibri"/>
            <family val="2"/>
            <charset val="1"/>
          </rPr>
          <t xml:space="preserve">On call hours of the first day of the following month that are calculated to the previous day.
In December you can manually enter on call hours between 00:00 and 08:00 worked on the 1st January of the following year.
In all other months the value is calculated and shan't be overwritten.</t>
        </r>
      </text>
    </comment>
    <comment ref="AL76" authorId="0">
      <text>
        <r>
          <rPr>
            <b val="true"/>
            <sz val="8"/>
            <color rgb="FF000000"/>
            <rFont val="Calibri"/>
            <family val="2"/>
            <charset val="1"/>
          </rPr>
          <t xml:space="preserve">Night shift hours of the first day of the following month that are calculated to the previous day.
In December you can manually enter night shift hours between 00:00 and 06:00 worked on the 1st January of the following year.
In all other months the value is calculated and shan't be overwritten.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H57" authorId="0">
      <text>
        <r>
          <rPr>
            <b val="true"/>
            <sz val="8"/>
            <color rgb="FF000000"/>
            <rFont val="Calibri"/>
            <family val="2"/>
            <charset val="1"/>
          </rPr>
          <t xml:space="preserve">Please indicate with "+" or "-" if correction is plus or minus.</t>
        </r>
      </text>
    </comment>
    <comment ref="AH64" authorId="0">
      <text>
        <r>
          <rPr>
            <b val="true"/>
            <sz val="8"/>
            <color rgb="FF000000"/>
            <rFont val="Calibri"/>
            <family val="2"/>
            <charset val="1"/>
          </rPr>
          <t xml:space="preserve">Please indicate with "+" or "-" if correction is plus or minus.</t>
        </r>
      </text>
    </comment>
    <comment ref="AH85" authorId="0">
      <text>
        <r>
          <rPr>
            <b val="true"/>
            <sz val="8"/>
            <color rgb="FF000000"/>
            <rFont val="Calibri"/>
            <family val="2"/>
            <charset val="1"/>
          </rPr>
          <t xml:space="preserve">Please indicate with "+" or "-" if correction is plus or minus.</t>
        </r>
      </text>
    </comment>
    <comment ref="AM48" authorId="0">
      <text>
        <r>
          <rPr>
            <b val="true"/>
            <sz val="8"/>
            <color rgb="FF000000"/>
            <rFont val="Calibri"/>
            <family val="2"/>
            <charset val="1"/>
          </rPr>
          <t xml:space="preserve">On call hours of the first day of the following month that are calculated to the previous day.
In December you can manually enter on call hours between 00:00 and 08:00 worked on the 1st January of the following year.
In all other months the value is calculated and shan't be overwritten.</t>
        </r>
      </text>
    </comment>
    <comment ref="AM76" authorId="0">
      <text>
        <r>
          <rPr>
            <b val="true"/>
            <sz val="8"/>
            <color rgb="FF000000"/>
            <rFont val="Calibri"/>
            <family val="2"/>
            <charset val="1"/>
          </rPr>
          <t xml:space="preserve">Night shift hours of the first day of the following month that are calculated to the previous day.
In December you can manually enter night shift hours between 00:00 and 06:00 worked on the 1st January of the following year.
In all other months the value is calculated and shan't be overwritten.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G57" authorId="0">
      <text>
        <r>
          <rPr>
            <b val="true"/>
            <sz val="8"/>
            <color rgb="FF000000"/>
            <rFont val="Calibri"/>
            <family val="2"/>
            <charset val="1"/>
          </rPr>
          <t xml:space="preserve">Please indicate with "+" or "-" if correction is plus or minus.</t>
        </r>
      </text>
    </comment>
    <comment ref="AG64" authorId="0">
      <text>
        <r>
          <rPr>
            <b val="true"/>
            <sz val="8"/>
            <color rgb="FF000000"/>
            <rFont val="Calibri"/>
            <family val="2"/>
            <charset val="1"/>
          </rPr>
          <t xml:space="preserve">Please indicate with "+" or "-" if correction is plus or minus.</t>
        </r>
      </text>
    </comment>
    <comment ref="AG85" authorId="0">
      <text>
        <r>
          <rPr>
            <b val="true"/>
            <sz val="8"/>
            <color rgb="FF000000"/>
            <rFont val="Calibri"/>
            <family val="2"/>
            <charset val="1"/>
          </rPr>
          <t xml:space="preserve">Please indicate with "+" or "-" if correction is plus or minus.</t>
        </r>
      </text>
    </comment>
    <comment ref="AL48" authorId="0">
      <text>
        <r>
          <rPr>
            <b val="true"/>
            <sz val="8"/>
            <color rgb="FF000000"/>
            <rFont val="Calibri"/>
            <family val="2"/>
            <charset val="1"/>
          </rPr>
          <t xml:space="preserve">On call hours of the first day of the following month that are calculated to the previous day.
In December you can manually enter on call hours between 00:00 and 08:00 worked on the 1st January of the following year.
In all other months the value is calculated and shan't be overwritten.</t>
        </r>
      </text>
    </comment>
    <comment ref="AL76" authorId="0">
      <text>
        <r>
          <rPr>
            <b val="true"/>
            <sz val="8"/>
            <color rgb="FF000000"/>
            <rFont val="Calibri"/>
            <family val="2"/>
            <charset val="1"/>
          </rPr>
          <t xml:space="preserve">Night shift hours of the first day of the following month that are calculated to the previous day.
In December you can manually enter night shift hours between 00:00 and 06:00 worked on the 1st January of the following year.
In all other months the value is calculated and shan't be overwritten.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H57" authorId="0">
      <text>
        <r>
          <rPr>
            <b val="true"/>
            <sz val="8"/>
            <color rgb="FF000000"/>
            <rFont val="Calibri"/>
            <family val="2"/>
            <charset val="1"/>
          </rPr>
          <t xml:space="preserve">Please indicate with "+" or "-" if correction is plus or minus.</t>
        </r>
      </text>
    </comment>
    <comment ref="AH64" authorId="0">
      <text>
        <r>
          <rPr>
            <b val="true"/>
            <sz val="8"/>
            <color rgb="FF000000"/>
            <rFont val="Calibri"/>
            <family val="2"/>
            <charset val="1"/>
          </rPr>
          <t xml:space="preserve">Please indicate with "+" or "-" if correction is plus or minus.</t>
        </r>
      </text>
    </comment>
    <comment ref="AH85" authorId="0">
      <text>
        <r>
          <rPr>
            <b val="true"/>
            <sz val="8"/>
            <color rgb="FF000000"/>
            <rFont val="Calibri"/>
            <family val="2"/>
            <charset val="1"/>
          </rPr>
          <t xml:space="preserve">Please indicate with "+" or "-" if correction is plus or minus.</t>
        </r>
      </text>
    </comment>
    <comment ref="AM48" authorId="0">
      <text>
        <r>
          <rPr>
            <b val="true"/>
            <sz val="8"/>
            <color rgb="FF000000"/>
            <rFont val="Calibri"/>
            <family val="2"/>
            <charset val="1"/>
          </rPr>
          <t xml:space="preserve">On call hours of the first day of the following month that are calculated to the previous day.
In December you can manually enter on call hours between 00:00 and 08:00 worked on the 1st January of the following year.
In all other months the value is calculated and shan't be overwritten.</t>
        </r>
      </text>
    </comment>
    <comment ref="AM76" authorId="0">
      <text>
        <r>
          <rPr>
            <b val="true"/>
            <sz val="8"/>
            <color rgb="FF000000"/>
            <rFont val="Calibri"/>
            <family val="2"/>
            <charset val="1"/>
          </rPr>
          <t xml:space="preserve">Night shift hours of the first day of the following month that are calculated to the previous day.
In December you can manually enter night shift hours between 00:00 and 06:00 worked on the 1st January of the following year.
In all other months the value is calculated and shan't be overwritten.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H57" authorId="0">
      <text>
        <r>
          <rPr>
            <b val="true"/>
            <sz val="8"/>
            <color rgb="FF000000"/>
            <rFont val="Calibri"/>
            <family val="2"/>
            <charset val="1"/>
          </rPr>
          <t xml:space="preserve">Please indicate with "+" or "-" if correction is plus or minus.</t>
        </r>
      </text>
    </comment>
    <comment ref="AH64" authorId="0">
      <text>
        <r>
          <rPr>
            <b val="true"/>
            <sz val="8"/>
            <color rgb="FF000000"/>
            <rFont val="Calibri"/>
            <family val="2"/>
            <charset val="1"/>
          </rPr>
          <t xml:space="preserve">Please indicate with "+" or "-" if correction is plus or minus.</t>
        </r>
      </text>
    </comment>
    <comment ref="AH85" authorId="0">
      <text>
        <r>
          <rPr>
            <b val="true"/>
            <sz val="8"/>
            <color rgb="FF000000"/>
            <rFont val="Calibri"/>
            <family val="2"/>
            <charset val="1"/>
          </rPr>
          <t xml:space="preserve">Please indicate with "+" or "-" if correction is plus or minus.</t>
        </r>
      </text>
    </comment>
    <comment ref="AM48" authorId="0">
      <text>
        <r>
          <rPr>
            <b val="true"/>
            <sz val="8"/>
            <color rgb="FF000000"/>
            <rFont val="Calibri"/>
            <family val="2"/>
            <charset val="1"/>
          </rPr>
          <t xml:space="preserve">On call hours of the first day of the following month that are calculated to the previous day.
In December you can manually enter on call hours between 00:00 and 08:00 worked on the 1st January of the following year.
In all other months the value is calculated and shan't be overwritten.</t>
        </r>
      </text>
    </comment>
    <comment ref="AM76" authorId="0">
      <text>
        <r>
          <rPr>
            <b val="true"/>
            <sz val="8"/>
            <color rgb="FF000000"/>
            <rFont val="Calibri"/>
            <family val="2"/>
            <charset val="1"/>
          </rPr>
          <t xml:space="preserve">Night shift hours of the first day of the following month that are calculated to the previous day.
In December you can manually enter night shift hours between 00:00 and 06:00 worked on the 1st January of the following year.
In all other months the value is calculated and shan't be overwritten.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E57" authorId="0">
      <text>
        <r>
          <rPr>
            <b val="true"/>
            <sz val="8"/>
            <color rgb="FF000000"/>
            <rFont val="Calibri"/>
            <family val="2"/>
            <charset val="1"/>
          </rPr>
          <t xml:space="preserve">Please indicate with "+" or "-" if correction is plus or minus.</t>
        </r>
      </text>
    </comment>
    <comment ref="AE64" authorId="0">
      <text>
        <r>
          <rPr>
            <b val="true"/>
            <sz val="8"/>
            <color rgb="FF000000"/>
            <rFont val="Calibri"/>
            <family val="2"/>
            <charset val="1"/>
          </rPr>
          <t xml:space="preserve">Please indicate with "+" or "-" if correction is plus or minus.</t>
        </r>
      </text>
    </comment>
    <comment ref="AE85" authorId="0">
      <text>
        <r>
          <rPr>
            <b val="true"/>
            <sz val="8"/>
            <color rgb="FF000000"/>
            <rFont val="Calibri"/>
            <family val="2"/>
            <charset val="1"/>
          </rPr>
          <t xml:space="preserve">Please indicate with "+" or "-" if correction is plus or minus.</t>
        </r>
      </text>
    </comment>
    <comment ref="AJ48" authorId="0">
      <text>
        <r>
          <rPr>
            <b val="true"/>
            <sz val="8"/>
            <color rgb="FF000000"/>
            <rFont val="Calibri"/>
            <family val="2"/>
            <charset val="1"/>
          </rPr>
          <t xml:space="preserve">On call hours of the first day of the following month that are calculated to the previous day.
In December you can manually enter on call hours between 00:00 and 08:00 worked on the 1st January of the following year.
In all other months the value is calculated and shan't be overwritten.</t>
        </r>
      </text>
    </comment>
    <comment ref="AJ76" authorId="0">
      <text>
        <r>
          <rPr>
            <b val="true"/>
            <sz val="8"/>
            <color rgb="FF000000"/>
            <rFont val="Calibri"/>
            <family val="2"/>
            <charset val="1"/>
          </rPr>
          <t xml:space="preserve">Night shift hours of the first day of the following month that are calculated to the previous day.
In December you can manually enter night shift hours between 00:00 and 06:00 worked on the 1st January of the following year.
In all other months the value is calculated and shan't be overwritten.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H57" authorId="0">
      <text>
        <r>
          <rPr>
            <b val="true"/>
            <sz val="8"/>
            <color rgb="FF000000"/>
            <rFont val="Calibri"/>
            <family val="2"/>
            <charset val="1"/>
          </rPr>
          <t xml:space="preserve">Please indicate with "+" or "-" if correction is plus or minus.</t>
        </r>
      </text>
    </comment>
    <comment ref="AH64" authorId="0">
      <text>
        <r>
          <rPr>
            <b val="true"/>
            <sz val="8"/>
            <color rgb="FF000000"/>
            <rFont val="Calibri"/>
            <family val="2"/>
            <charset val="1"/>
          </rPr>
          <t xml:space="preserve">Please indicate with "+" or "-" if correction is plus or minus.</t>
        </r>
      </text>
    </comment>
    <comment ref="AH85" authorId="0">
      <text>
        <r>
          <rPr>
            <b val="true"/>
            <sz val="8"/>
            <color rgb="FF000000"/>
            <rFont val="Calibri"/>
            <family val="2"/>
            <charset val="1"/>
          </rPr>
          <t xml:space="preserve">Please indicate with "+" or "-" if correction is plus or minus.</t>
        </r>
      </text>
    </comment>
    <comment ref="AM48" authorId="0">
      <text>
        <r>
          <rPr>
            <b val="true"/>
            <sz val="8"/>
            <color rgb="FF000000"/>
            <rFont val="Calibri"/>
            <family val="2"/>
            <charset val="1"/>
          </rPr>
          <t xml:space="preserve">On call hours of the first day of the following month that are calculated to the previous day.
In December you can manually enter on call hours between 00:00 and 08:00 worked on the 1st January of the following year.
In all other months the value is calculated and shan't be overwritten.</t>
        </r>
      </text>
    </comment>
    <comment ref="AM76" authorId="0">
      <text>
        <r>
          <rPr>
            <b val="true"/>
            <sz val="8"/>
            <color rgb="FF000000"/>
            <rFont val="Calibri"/>
            <family val="2"/>
            <charset val="1"/>
          </rPr>
          <t xml:space="preserve">Night shift hours of the first day of the following month that are calculated to the previous day.
In December you can manually enter night shift hours between 00:00 and 06:00 worked on the 1st January of the following year.
In all other months the value is calculated and shan't be overwritten.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G57" authorId="0">
      <text>
        <r>
          <rPr>
            <b val="true"/>
            <sz val="8"/>
            <color rgb="FF000000"/>
            <rFont val="Calibri"/>
            <family val="2"/>
            <charset val="1"/>
          </rPr>
          <t xml:space="preserve">Please indicate with "+" or "-" if correction is plus or minus.</t>
        </r>
      </text>
    </comment>
    <comment ref="AG64" authorId="0">
      <text>
        <r>
          <rPr>
            <b val="true"/>
            <sz val="8"/>
            <color rgb="FF000000"/>
            <rFont val="Calibri"/>
            <family val="2"/>
            <charset val="1"/>
          </rPr>
          <t xml:space="preserve">Please indicate with "+" or "-" if correction is plus or minus.</t>
        </r>
      </text>
    </comment>
    <comment ref="AG85" authorId="0">
      <text>
        <r>
          <rPr>
            <b val="true"/>
            <sz val="8"/>
            <color rgb="FF000000"/>
            <rFont val="Calibri"/>
            <family val="2"/>
            <charset val="1"/>
          </rPr>
          <t xml:space="preserve">Please indicate with "+" or "-" if correction is plus or minus.</t>
        </r>
      </text>
    </comment>
    <comment ref="AL48" authorId="0">
      <text>
        <r>
          <rPr>
            <b val="true"/>
            <sz val="8"/>
            <color rgb="FF000000"/>
            <rFont val="Calibri"/>
            <family val="2"/>
            <charset val="1"/>
          </rPr>
          <t xml:space="preserve">On call hours of the first day of the following month that are calculated to the previous day.
In December you can manually enter on call hours between 00:00 and 08:00 worked on the 1st January of the following year.
In all other months the value is calculated and shan't be overwritten.</t>
        </r>
      </text>
    </comment>
    <comment ref="AL76" authorId="0">
      <text>
        <r>
          <rPr>
            <b val="true"/>
            <sz val="8"/>
            <color rgb="FF000000"/>
            <rFont val="Calibri"/>
            <family val="2"/>
            <charset val="1"/>
          </rPr>
          <t xml:space="preserve">Night shift hours of the first day of the following month that are calculated to the previous day.
In December you can manually enter night shift hours between 00:00 and 06:00 worked on the 1st January of the following year.
In all other months the value is calculated and shan't be overwritten.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H57" authorId="0">
      <text>
        <r>
          <rPr>
            <b val="true"/>
            <sz val="8"/>
            <color rgb="FF000000"/>
            <rFont val="Calibri"/>
            <family val="2"/>
            <charset val="1"/>
          </rPr>
          <t xml:space="preserve">Please indicate with "+" or "-" if correction is plus or minus.</t>
        </r>
      </text>
    </comment>
    <comment ref="AH64" authorId="0">
      <text>
        <r>
          <rPr>
            <b val="true"/>
            <sz val="8"/>
            <color rgb="FF000000"/>
            <rFont val="Calibri"/>
            <family val="2"/>
            <charset val="1"/>
          </rPr>
          <t xml:space="preserve">Please indicate with "+" or "-" if correction is plus or minus.</t>
        </r>
      </text>
    </comment>
    <comment ref="AH85" authorId="0">
      <text>
        <r>
          <rPr>
            <b val="true"/>
            <sz val="8"/>
            <color rgb="FF000000"/>
            <rFont val="Calibri"/>
            <family val="2"/>
            <charset val="1"/>
          </rPr>
          <t xml:space="preserve">Please indicate with "+" or "-" if correction is plus or minus.</t>
        </r>
      </text>
    </comment>
    <comment ref="AM48" authorId="0">
      <text>
        <r>
          <rPr>
            <b val="true"/>
            <sz val="8"/>
            <color rgb="FF000000"/>
            <rFont val="Calibri"/>
            <family val="2"/>
            <charset val="1"/>
          </rPr>
          <t xml:space="preserve">On call hours of the first day of the following month that are calculated to the previous day.
In December you can manually enter on call hours between 00:00 and 08:00 worked on the 1st January of the following year.
In all other months the value is calculated and shan't be overwritten.</t>
        </r>
      </text>
    </comment>
    <comment ref="AM76" authorId="0">
      <text>
        <r>
          <rPr>
            <b val="true"/>
            <sz val="8"/>
            <color rgb="FF000000"/>
            <rFont val="Calibri"/>
            <family val="2"/>
            <charset val="1"/>
          </rPr>
          <t xml:space="preserve">Night shift hours of the first day of the following month that are calculated to the previous day.
In December you can manually enter night shift hours between 00:00 and 06:00 worked on the 1st January of the following year.
In all other months the value is calculated and shan't be overwritten.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G57" authorId="0">
      <text>
        <r>
          <rPr>
            <b val="true"/>
            <sz val="8"/>
            <color rgb="FF000000"/>
            <rFont val="Calibri"/>
            <family val="2"/>
            <charset val="1"/>
          </rPr>
          <t xml:space="preserve">Please indicate with "+" or "-" if correction is plus or minus.</t>
        </r>
      </text>
    </comment>
    <comment ref="AG64" authorId="0">
      <text>
        <r>
          <rPr>
            <b val="true"/>
            <sz val="8"/>
            <color rgb="FF000000"/>
            <rFont val="Calibri"/>
            <family val="2"/>
            <charset val="1"/>
          </rPr>
          <t xml:space="preserve">Please indicate with "+" or "-" if correction is plus or minus.</t>
        </r>
      </text>
    </comment>
    <comment ref="AG85" authorId="0">
      <text>
        <r>
          <rPr>
            <b val="true"/>
            <sz val="8"/>
            <color rgb="FF000000"/>
            <rFont val="Calibri"/>
            <family val="2"/>
            <charset val="1"/>
          </rPr>
          <t xml:space="preserve">Please indicate with "+" or "-" if correction is plus or minus.</t>
        </r>
      </text>
    </comment>
    <comment ref="AL48" authorId="0">
      <text>
        <r>
          <rPr>
            <b val="true"/>
            <sz val="8"/>
            <color rgb="FF000000"/>
            <rFont val="Calibri"/>
            <family val="2"/>
            <charset val="1"/>
          </rPr>
          <t xml:space="preserve">On call hours of the first day of the following month that are calculated to the previous day.
In December you can manually enter on call hours between 00:00 and 08:00 worked on the 1st January of the following year.
In all other months the value is calculated and shan't be overwritten.</t>
        </r>
      </text>
    </comment>
    <comment ref="AL76" authorId="0">
      <text>
        <r>
          <rPr>
            <b val="true"/>
            <sz val="8"/>
            <color rgb="FF000000"/>
            <rFont val="Calibri"/>
            <family val="2"/>
            <charset val="1"/>
          </rPr>
          <t xml:space="preserve">Night shift hours of the first day of the following month that are calculated to the previous day.
In December you can manually enter night shift hours between 00:00 and 06:00 worked on the 1st January of the following year.
In all other months the value is calculated and shan't be overwritten.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H57" authorId="0">
      <text>
        <r>
          <rPr>
            <b val="true"/>
            <sz val="8"/>
            <color rgb="FF000000"/>
            <rFont val="Calibri"/>
            <family val="2"/>
            <charset val="1"/>
          </rPr>
          <t xml:space="preserve">Please indicate with "+" or "-" if correction is plus or minus.</t>
        </r>
      </text>
    </comment>
    <comment ref="AH64" authorId="0">
      <text>
        <r>
          <rPr>
            <b val="true"/>
            <sz val="8"/>
            <color rgb="FF000000"/>
            <rFont val="Calibri"/>
            <family val="2"/>
            <charset val="1"/>
          </rPr>
          <t xml:space="preserve">Please indicate with "+" or "-" if correction is plus or minus.</t>
        </r>
      </text>
    </comment>
    <comment ref="AH85" authorId="0">
      <text>
        <r>
          <rPr>
            <b val="true"/>
            <sz val="8"/>
            <color rgb="FF000000"/>
            <rFont val="Calibri"/>
            <family val="2"/>
            <charset val="1"/>
          </rPr>
          <t xml:space="preserve">Please indicate with "+" or "-" if correction is plus or minus.</t>
        </r>
      </text>
    </comment>
    <comment ref="AM48" authorId="0">
      <text>
        <r>
          <rPr>
            <b val="true"/>
            <sz val="8"/>
            <color rgb="FF000000"/>
            <rFont val="Calibri"/>
            <family val="2"/>
            <charset val="1"/>
          </rPr>
          <t xml:space="preserve">On call hours of the first day of the following month that are calculated to the previous day.
In December you can manually enter on call hours between 00:00 and 08:00 worked on the 1st January of the following year.
In all other months the value is calculated and shan't be overwritten.</t>
        </r>
      </text>
    </comment>
    <comment ref="AM76" authorId="0">
      <text>
        <r>
          <rPr>
            <b val="true"/>
            <sz val="8"/>
            <color rgb="FF000000"/>
            <rFont val="Calibri"/>
            <family val="2"/>
            <charset val="1"/>
          </rPr>
          <t xml:space="preserve">Night shift hours of the first day of the following month that are calculated to the previous day.
In December you can manually enter night shift hours between 00:00 and 06:00 worked on the 1st January of the following year.
In all other months the value is calculated and shan't be overwritten.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H57" authorId="0">
      <text>
        <r>
          <rPr>
            <b val="true"/>
            <sz val="8"/>
            <color rgb="FF000000"/>
            <rFont val="Calibri"/>
            <family val="2"/>
            <charset val="1"/>
          </rPr>
          <t xml:space="preserve">Please indicate with "+" or "-" if correction is plus or minus.</t>
        </r>
      </text>
    </comment>
    <comment ref="AH64" authorId="0">
      <text>
        <r>
          <rPr>
            <b val="true"/>
            <sz val="8"/>
            <color rgb="FF000000"/>
            <rFont val="Calibri"/>
            <family val="2"/>
            <charset val="1"/>
          </rPr>
          <t xml:space="preserve">Please indicate with "+" or "-" if correction is plus or minus.</t>
        </r>
      </text>
    </comment>
    <comment ref="AH85" authorId="0">
      <text>
        <r>
          <rPr>
            <b val="true"/>
            <sz val="8"/>
            <color rgb="FF000000"/>
            <rFont val="Calibri"/>
            <family val="2"/>
            <charset val="1"/>
          </rPr>
          <t xml:space="preserve">Please indicate with "+" or "-" if correction is plus or minus.</t>
        </r>
      </text>
    </comment>
    <comment ref="AM48" authorId="0">
      <text>
        <r>
          <rPr>
            <b val="true"/>
            <sz val="8"/>
            <color rgb="FF000000"/>
            <rFont val="Calibri"/>
            <family val="2"/>
            <charset val="1"/>
          </rPr>
          <t xml:space="preserve">On call hours of the first day of the following month that are calculated to the previous day.
In December you can manually enter on call hours between 00:00 and 08:00 worked on the 1st January of the following year.
In all other months the value is calculated and shan't be overwritten.</t>
        </r>
      </text>
    </comment>
    <comment ref="AM76" authorId="0">
      <text>
        <r>
          <rPr>
            <b val="true"/>
            <sz val="8"/>
            <color rgb="FF000000"/>
            <rFont val="Calibri"/>
            <family val="2"/>
            <charset val="1"/>
          </rPr>
          <t xml:space="preserve">Night shift hours of the first day of the following month that are calculated to the previous day.
In December you can manually enter night shift hours between 00:00 and 06:00 worked on the 1st January of the following year.
In all other months the value is calculated and shan't be overwritten.</t>
        </r>
      </text>
    </comment>
  </commentList>
</comments>
</file>

<file path=xl/sharedStrings.xml><?xml version="1.0" encoding="utf-8"?>
<sst xmlns="http://schemas.openxmlformats.org/spreadsheetml/2006/main" count="1306" uniqueCount="266">
  <si>
    <t xml:space="preserve">Record</t>
  </si>
  <si>
    <t xml:space="preserve">Employee Time Sheet</t>
  </si>
  <si>
    <t xml:space="preserve">Version 01.18</t>
  </si>
  <si>
    <t xml:space="preserve">EN</t>
  </si>
  <si>
    <t xml:space="preserve">Year</t>
  </si>
  <si>
    <t xml:space="preserve">Function</t>
  </si>
  <si>
    <t xml:space="preserve">Description of Function</t>
  </si>
  <si>
    <t xml:space="preserve">Vacation entitlement according to age</t>
  </si>
  <si>
    <t xml:space="preserve">Name</t>
  </si>
  <si>
    <t xml:space="preserve">Christopher Gwilliams</t>
  </si>
  <si>
    <t xml:space="preserve">Institute/Department</t>
  </si>
  <si>
    <t xml:space="preserve">Institute/Department Name</t>
  </si>
  <si>
    <t xml:space="preserve">Age in years</t>
  </si>
  <si>
    <t xml:space="preserve">Date of Birth</t>
  </si>
  <si>
    <t xml:space="preserve">Year of Birth</t>
  </si>
  <si>
    <t xml:space="preserve">Faculty</t>
  </si>
  <si>
    <t xml:space="preserve">Select Faculty</t>
  </si>
  <si>
    <t xml:space="preserve">Additional weeks</t>
  </si>
  <si>
    <t xml:space="preserve">until and incl. the age of 20 and apprentice</t>
  </si>
  <si>
    <t xml:space="preserve">Employee Number</t>
  </si>
  <si>
    <t xml:space="preserve">Wage Group &gt; 16</t>
  </si>
  <si>
    <t xml:space="preserve">Yes / No</t>
  </si>
  <si>
    <t xml:space="preserve">Employee Category</t>
  </si>
  <si>
    <t xml:space="preserve">Select Employee Category</t>
  </si>
  <si>
    <t xml:space="preserve">from age 50 upwards</t>
  </si>
  <si>
    <t xml:space="preserve">Entry Date during the Year</t>
  </si>
  <si>
    <t xml:space="preserve">Termination Date during the Year</t>
  </si>
  <si>
    <t xml:space="preserve">Apprentice</t>
  </si>
  <si>
    <t xml:space="preserve">Supplement on Overtime entitled</t>
  </si>
  <si>
    <t xml:space="preserve">No</t>
  </si>
  <si>
    <t xml:space="preserve">from age 60 upwards</t>
  </si>
  <si>
    <t xml:space="preserve">More Information</t>
  </si>
  <si>
    <t xml:space="preserve">Weekly Working Hours</t>
  </si>
  <si>
    <t xml:space="preserve">Employment Level (FTE) in %</t>
  </si>
  <si>
    <t xml:space="preserve">Monthly Required Hours of Work</t>
  </si>
  <si>
    <t xml:space="preserve">General Information</t>
  </si>
  <si>
    <t xml:space="preserve">Yearly vacation entitlement in weeks at FTE 100%</t>
  </si>
  <si>
    <t xml:space="preserve">Yearly vacation entitlement in weeks acc. to FTE</t>
  </si>
  <si>
    <t xml:space="preserve">Yearly compensation in hours at FTE 100%</t>
  </si>
  <si>
    <t xml:space="preserve">Yearly compensation in hours acc. to FTE</t>
  </si>
  <si>
    <t xml:space="preserve">Month</t>
  </si>
  <si>
    <t xml:space="preserve">Required hours at 100%</t>
  </si>
  <si>
    <t xml:space="preserve">ø Hours per day at 100%</t>
  </si>
  <si>
    <t xml:space="preserve">Vacation entitle- ment 100%</t>
  </si>
  <si>
    <t xml:space="preserve">Compensation entitlement 100%</t>
  </si>
  <si>
    <t xml:space="preserve">Employment level full time equivalent (FTE) %</t>
  </si>
  <si>
    <t xml:space="preserve">Required hours at FTE</t>
  </si>
  <si>
    <t xml:space="preserve">ø Hours per day at FTE</t>
  </si>
  <si>
    <t xml:space="preserve">Vacation entitle- ment FTE</t>
  </si>
  <si>
    <t xml:space="preserve">Compensation entitlement FTE</t>
  </si>
  <si>
    <t xml:space="preserve">Total working hours</t>
  </si>
  <si>
    <t xml:space="preserve">Exact vacation entitlement</t>
  </si>
  <si>
    <t xml:space="preserve">Exact compensation entitlement</t>
  </si>
  <si>
    <t xml:space="preserve">Number of months actually worked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</si>
  <si>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</si>
  <si>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</si>
  <si>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</si>
  <si>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</si>
  <si>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</si>
  <si>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</si>
  <si>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</si>
  <si>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</si>
  <si>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</si>
  <si>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</si>
  <si>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</si>
  <si>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</si>
  <si>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Total</t>
  </si>
  <si>
    <t xml:space="preserve">Average FTE</t>
  </si>
  <si>
    <t xml:space="preserve">Carryover</t>
  </si>
  <si>
    <t xml:space="preserve">Projects</t>
  </si>
  <si>
    <t xml:space="preserve">Current year</t>
  </si>
  <si>
    <t xml:space="preserve">Balances previous year</t>
  </si>
  <si>
    <t xml:space="preserve">Please indicate the specific project description and project type (1 = Drittmittel / Grants, 2 = Nationalfonds / National Foundation, 3 = E-/Q Projekte / E-/Q Projects, 4 = Uni / University, 5 = Andere / Other, 6 = Arbeitstätigkeiten / Working Activities, 7 = Entlastungszeit / Relief Time). Please list items without gaps.</t>
  </si>
  <si>
    <t xml:space="preserve">Balances previous year calculated</t>
  </si>
  <si>
    <t xml:space="preserve">Extra/minus hours</t>
  </si>
  <si>
    <t xml:space="preserve">+</t>
  </si>
  <si>
    <t xml:space="preserve">For EU Projects only</t>
  </si>
  <si>
    <t xml:space="preserve">Overtime balance</t>
  </si>
  <si>
    <t xml:space="preserve">Description</t>
  </si>
  <si>
    <t xml:space="preserve">Project type</t>
  </si>
  <si>
    <t xml:space="preserve">PSP Element no.</t>
  </si>
  <si>
    <t xml:space="preserve">Contract number</t>
  </si>
  <si>
    <t xml:space="preserve">Project head</t>
  </si>
  <si>
    <t xml:space="preserve">FTE acc. to employment contract</t>
  </si>
  <si>
    <t xml:space="preserve">Time supplement night shift</t>
  </si>
  <si>
    <t xml:space="preserve">Project 1</t>
  </si>
  <si>
    <t xml:space="preserve">Seniority allowance</t>
  </si>
  <si>
    <t xml:space="preserve">Project 2</t>
  </si>
  <si>
    <t xml:space="preserve">Vacation entitlement</t>
  </si>
  <si>
    <t xml:space="preserve">Project 3</t>
  </si>
  <si>
    <t xml:space="preserve">Days off according to contract</t>
  </si>
  <si>
    <t xml:space="preserve">Project 4</t>
  </si>
  <si>
    <t xml:space="preserve">Compensation entitlement</t>
  </si>
  <si>
    <t xml:space="preserve">Project 5</t>
  </si>
  <si>
    <t xml:space="preserve">Balance working hours</t>
  </si>
  <si>
    <t xml:space="preserve">Project 6</t>
  </si>
  <si>
    <t xml:space="preserve">Project 7</t>
  </si>
  <si>
    <t xml:space="preserve">Standard working hours</t>
  </si>
  <si>
    <t xml:space="preserve">Project 8</t>
  </si>
  <si>
    <t xml:space="preserve">Monday</t>
  </si>
  <si>
    <t xml:space="preserve">Project 9</t>
  </si>
  <si>
    <t xml:space="preserve">Tuesday</t>
  </si>
  <si>
    <t xml:space="preserve">Project 10</t>
  </si>
  <si>
    <t xml:space="preserve">Wednesday</t>
  </si>
  <si>
    <t xml:space="preserve">Project 11</t>
  </si>
  <si>
    <t xml:space="preserve">Thursday</t>
  </si>
  <si>
    <t xml:space="preserve">Project 12</t>
  </si>
  <si>
    <t xml:space="preserve">Friday</t>
  </si>
  <si>
    <t xml:space="preserve">Project 13</t>
  </si>
  <si>
    <t xml:space="preserve">Saturday</t>
  </si>
  <si>
    <t xml:space="preserve">Project 14</t>
  </si>
  <si>
    <t xml:space="preserve">Sunday</t>
  </si>
  <si>
    <t xml:space="preserve">Project 15</t>
  </si>
  <si>
    <t xml:space="preserve">revised by</t>
  </si>
  <si>
    <t xml:space="preserve">parzung GmbH</t>
  </si>
  <si>
    <t xml:space="preserve">Im Cholächer 16</t>
  </si>
  <si>
    <t xml:space="preserve">8907 Wettswil</t>
  </si>
  <si>
    <t xml:space="preserve">parzung.ch</t>
  </si>
  <si>
    <t xml:space="preserve">Date</t>
  </si>
  <si>
    <t xml:space="preserve">01 2018</t>
  </si>
  <si>
    <t xml:space="preserve"> </t>
  </si>
  <si>
    <t xml:space="preserve">Day</t>
  </si>
  <si>
    <t xml:space="preserve">Special counts</t>
  </si>
  <si>
    <t xml:space="preserve">Monthly time credit</t>
  </si>
  <si>
    <t xml:space="preserve">Carryover from previous month</t>
  </si>
  <si>
    <t xml:space="preserve">Carryover from next month</t>
  </si>
  <si>
    <t xml:space="preserve">Feiertaginfo</t>
  </si>
  <si>
    <t xml:space="preserve">Angestellt</t>
  </si>
  <si>
    <t xml:space="preserve">in</t>
  </si>
  <si>
    <t xml:space="preserve">out</t>
  </si>
  <si>
    <t xml:space="preserve">Total in/out</t>
  </si>
  <si>
    <t xml:space="preserve">paid break in</t>
  </si>
  <si>
    <t xml:space="preserve">paid break out</t>
  </si>
  <si>
    <t xml:space="preserve">Total breaks (in out/paid)</t>
  </si>
  <si>
    <t xml:space="preserve">on call standby Yes / No</t>
  </si>
  <si>
    <t xml:space="preserve">Total on call standby in/out</t>
  </si>
  <si>
    <t xml:space="preserve">Total on call hours today</t>
  </si>
  <si>
    <t xml:space="preserve">Total on call hours yesterday</t>
  </si>
  <si>
    <t xml:space="preserve">Total on call standby hours</t>
  </si>
  <si>
    <t xml:space="preserve">Actual hours worked</t>
  </si>
  <si>
    <t xml:space="preserve">Standardized hours (Info)</t>
  </si>
  <si>
    <t xml:space="preserve">Req. hours of work FTE</t>
  </si>
  <si>
    <t xml:space="preserve">Req. hours of work 100%</t>
  </si>
  <si>
    <t xml:space="preserve">+/- required/actual hours daily</t>
  </si>
  <si>
    <t xml:space="preserve">current extra/minus hours</t>
  </si>
  <si>
    <t xml:space="preserve">Correction extra/minus hours</t>
  </si>
  <si>
    <t xml:space="preserve">-</t>
  </si>
  <si>
    <t xml:space="preserve">Total extra/minus hours</t>
  </si>
  <si>
    <t xml:space="preserve">Ordered overtime</t>
  </si>
  <si>
    <t xml:space="preserve">Compensation overtime</t>
  </si>
  <si>
    <t xml:space="preserve">Actual/compensated overtime</t>
  </si>
  <si>
    <t xml:space="preserve">Supplement 25%</t>
  </si>
  <si>
    <t xml:space="preserve">Correction overtime</t>
  </si>
  <si>
    <t xml:space="preserve">Total overtime incl. suppl.</t>
  </si>
  <si>
    <t xml:space="preserve">Compensation working hours</t>
  </si>
  <si>
    <t xml:space="preserve">Counter night shift</t>
  </si>
  <si>
    <t xml:space="preserve">Balance counter night shift</t>
  </si>
  <si>
    <t xml:space="preserve">Compensation TS night shift</t>
  </si>
  <si>
    <t xml:space="preserve">Start pl. night shift Yes/No</t>
  </si>
  <si>
    <t xml:space="preserve">Night shift</t>
  </si>
  <si>
    <t xml:space="preserve">Total NS hours today</t>
  </si>
  <si>
    <t xml:space="preserve">Total NS hours yesterday</t>
  </si>
  <si>
    <t xml:space="preserve">Total NS hours</t>
  </si>
  <si>
    <t xml:space="preserve">Evening work</t>
  </si>
  <si>
    <t xml:space="preserve">On-call duty</t>
  </si>
  <si>
    <t xml:space="preserve">Saturday/Sunday shift</t>
  </si>
  <si>
    <t xml:space="preserve">Vacation</t>
  </si>
  <si>
    <t xml:space="preserve">Correction vacation</t>
  </si>
  <si>
    <t xml:space="preserve">Consultation</t>
  </si>
  <si>
    <t xml:space="preserve">Illness</t>
  </si>
  <si>
    <t xml:space="preserve">Work-related accident</t>
  </si>
  <si>
    <t xml:space="preserve">Non-work-related accident</t>
  </si>
  <si>
    <t xml:space="preserve">Military/civilian service</t>
  </si>
  <si>
    <t xml:space="preserve">Continuing education</t>
  </si>
  <si>
    <t xml:space="preserve">Paid leave</t>
  </si>
  <si>
    <t xml:space="preserve">Unpaid leave</t>
  </si>
  <si>
    <t xml:space="preserve">Secondary employment</t>
  </si>
  <si>
    <t xml:space="preserve">Hours worked for projects</t>
  </si>
  <si>
    <t xml:space="preserve">Difference WH-Project type 6</t>
  </si>
  <si>
    <t xml:space="preserve">I verified that the data of this monthly report is correct:</t>
  </si>
  <si>
    <t xml:space="preserve">Remarks:</t>
  </si>
  <si>
    <t xml:space="preserve">Date and Signature Employee:</t>
  </si>
  <si>
    <t xml:space="preserve">Date and Initials Supervisor:</t>
  </si>
  <si>
    <t xml:space="preserve">Any abuse shall be subject to penalties!</t>
  </si>
  <si>
    <t xml:space="preserve">Annual Statement</t>
  </si>
  <si>
    <t xml:space="preserve">Overtime</t>
  </si>
  <si>
    <t xml:space="preserve">Standardized h</t>
  </si>
  <si>
    <t xml:space="preserve">On call and shifts</t>
  </si>
  <si>
    <t xml:space="preserve">Leaves</t>
  </si>
  <si>
    <t xml:space="preserve">Total working hours (actual)</t>
  </si>
  <si>
    <t xml:space="preserve">FTE</t>
  </si>
  <si>
    <t xml:space="preserve">Required hours of work (net)</t>
  </si>
  <si>
    <t xml:space="preserve">Extra/minus hours of work</t>
  </si>
  <si>
    <t xml:space="preserve">Yearly working hours (accumulated)</t>
  </si>
  <si>
    <t xml:space="preserve">+/- Standardized hours</t>
  </si>
  <si>
    <t xml:space="preserve">Number of on call days</t>
  </si>
  <si>
    <t xml:space="preserve">Yearly entitlement</t>
  </si>
  <si>
    <t xml:space="preserve">Carryover from previous year</t>
  </si>
  <si>
    <t xml:space="preserve">Balance</t>
  </si>
  <si>
    <t xml:space="preserve">Carryover to the following year</t>
  </si>
  <si>
    <t xml:space="preserve">Total first half-year</t>
  </si>
  <si>
    <t xml:space="preserve">Total second half-year</t>
  </si>
  <si>
    <t xml:space="preserve">Project Overview</t>
  </si>
  <si>
    <t xml:space="preserve">ø FTE in %</t>
  </si>
  <si>
    <t xml:space="preserve">Monthly/Yearly Project Workload</t>
  </si>
  <si>
    <t xml:space="preserve">in % of working hours (in/out)</t>
  </si>
  <si>
    <t xml:space="preserve">Summary of all Projects</t>
  </si>
  <si>
    <t xml:space="preserve">Project Overview (E-/Q-projects)</t>
  </si>
  <si>
    <t xml:space="preserve">+/- required/actual monthly</t>
  </si>
  <si>
    <t xml:space="preserve">%-empl. acc. act. hours worked</t>
  </si>
  <si>
    <t xml:space="preserve">Total productive hours</t>
  </si>
  <si>
    <t xml:space="preserve">Req. prod. hours FTE in %</t>
  </si>
  <si>
    <t xml:space="preserve">Difference</t>
  </si>
  <si>
    <t xml:space="preserve">Tabellen</t>
  </si>
  <si>
    <t xml:space="preserve">Fakultät</t>
  </si>
  <si>
    <t xml:space="preserve">Personalkategorie</t>
  </si>
  <si>
    <t xml:space="preserve">Projektart</t>
  </si>
  <si>
    <t xml:space="preserve">Projektart Name</t>
  </si>
  <si>
    <t xml:space="preserve">Feiertage</t>
  </si>
  <si>
    <t xml:space="preserve">Arbeitszeit in %</t>
  </si>
  <si>
    <t xml:space="preserve">Frei-Tage</t>
  </si>
  <si>
    <t xml:space="preserve">Definierte Zeiten</t>
  </si>
  <si>
    <t xml:space="preserve">ab</t>
  </si>
  <si>
    <t xml:space="preserve">bis</t>
  </si>
  <si>
    <t xml:space="preserve">Weitere Angaben</t>
  </si>
  <si>
    <t xml:space="preserve">Wochenarbeitszeit</t>
  </si>
  <si>
    <t xml:space="preserve">Produktive Stunden</t>
  </si>
  <si>
    <t xml:space="preserve">Abfragewerte</t>
  </si>
  <si>
    <t xml:space="preserve">Wert</t>
  </si>
  <si>
    <t xml:space="preserve">Definierte Abfragen</t>
  </si>
  <si>
    <t xml:space="preserve">Resultat</t>
  </si>
  <si>
    <t xml:space="preserve">ZZS Nachtdienst</t>
  </si>
  <si>
    <t xml:space="preserve">Ja/Nein Auswahl
(DE/EN)</t>
  </si>
  <si>
    <t xml:space="preserve">Pikett</t>
  </si>
  <si>
    <t xml:space="preserve">Math.-Naturwissenschaften / Science</t>
  </si>
  <si>
    <t xml:space="preserve">Admin. und Techn. Personal / Admin. and techn. Staff</t>
  </si>
  <si>
    <t xml:space="preserve">Drittmittel / Grants</t>
  </si>
  <si>
    <t xml:space="preserve">Nachtdienst</t>
  </si>
  <si>
    <t xml:space="preserve">ServiceCenter Irchel</t>
  </si>
  <si>
    <t xml:space="preserve">Grenze Ang.ÜZ 50_Vetsuisse</t>
  </si>
  <si>
    <t xml:space="preserve">50 Stundenwoche und Vetsuisse</t>
  </si>
  <si>
    <t xml:space="preserve">Medizin / Medicine</t>
  </si>
  <si>
    <t xml:space="preserve">Wissenschaftliche Mitarbeitende(r) / Academic associate</t>
  </si>
  <si>
    <t xml:space="preserve">Nationalfonds / National Foundation</t>
  </si>
  <si>
    <t xml:space="preserve">Abendarbeit</t>
  </si>
  <si>
    <t xml:space="preserve">Ang.ÜZ 50_Vetsuisse orange</t>
  </si>
  <si>
    <t xml:space="preserve">50 Stundenwoche ohne Vetsuisse</t>
  </si>
  <si>
    <t xml:space="preserve">B</t>
  </si>
  <si>
    <t xml:space="preserve">Philosophie / Arts and Social Sciences</t>
  </si>
  <si>
    <t xml:space="preserve">Qualifikationsstelle / Junior academic position</t>
  </si>
  <si>
    <t xml:space="preserve">E-/Q Projekte / E-/Q Projects</t>
  </si>
  <si>
    <t xml:space="preserve">Pikettdienst bis Vetsuisse</t>
  </si>
  <si>
    <t xml:space="preserve">E</t>
  </si>
  <si>
    <t xml:space="preserve">Rechtswissenschaften / Law</t>
  </si>
  <si>
    <t xml:space="preserve">Intern / FVH Assistierende(r) / Resident</t>
  </si>
  <si>
    <t xml:space="preserve">Uni / University</t>
  </si>
  <si>
    <t xml:space="preserve">Theologie / Theology</t>
  </si>
  <si>
    <t xml:space="preserve">Assistenzärztin/Assistenzarzt</t>
  </si>
  <si>
    <t xml:space="preserve">Andere / Other</t>
  </si>
  <si>
    <t xml:space="preserve">Vetsuisse</t>
  </si>
  <si>
    <t xml:space="preserve">Oberärztin/Oberarzt</t>
  </si>
  <si>
    <t xml:space="preserve">Arbeitstätigkeiten / Working Activities</t>
  </si>
  <si>
    <t xml:space="preserve">Wirtschaftwissenschaften / Business, Economics, Informatics</t>
  </si>
  <si>
    <t xml:space="preserve">Entlastungszeit / Relief Time</t>
  </si>
  <si>
    <t xml:space="preserve">Zentrale Dienste / Central Services</t>
  </si>
  <si>
    <t xml:space="preserve">nicht definiert / non-defined</t>
  </si>
</sst>
</file>

<file path=xl/styles.xml><?xml version="1.0" encoding="utf-8"?>
<styleSheet xmlns="http://schemas.openxmlformats.org/spreadsheetml/2006/main">
  <numFmts count="29">
    <numFmt numFmtId="164" formatCode="DD/MM/YYYY"/>
    <numFmt numFmtId="165" formatCode="@\ * &quot;ab &quot;"/>
    <numFmt numFmtId="166" formatCode="@\ * &quot;from &quot;"/>
    <numFmt numFmtId="167" formatCode="General"/>
    <numFmt numFmtId="168" formatCode="@"/>
    <numFmt numFmtId="169" formatCode="0"/>
    <numFmt numFmtId="170" formatCode="YYYY"/>
    <numFmt numFmtId="171" formatCode="[H]\:MM;&quot;- &quot;[H]\:MM;0\:00"/>
    <numFmt numFmtId="172" formatCode="0_ ;\-0\ "/>
    <numFmt numFmtId="173" formatCode="DD/MM/YYYY;@"/>
    <numFmt numFmtId="174" formatCode="M/D/YYYY"/>
    <numFmt numFmtId="175" formatCode=";;;"/>
    <numFmt numFmtId="176" formatCode="[H]:MM;\-[H]:MM;&quot;-     &quot;"/>
    <numFmt numFmtId="177" formatCode="0.00"/>
    <numFmt numFmtId="178" formatCode="[H]\:MM;&quot;- &quot;[H]\:MM;&quot;-     &quot;"/>
    <numFmt numFmtId="179" formatCode="MMMM"/>
    <numFmt numFmtId="180" formatCode="MMMM\ YYYY"/>
    <numFmt numFmtId="181" formatCode="DDD"/>
    <numFmt numFmtId="182" formatCode="D"/>
    <numFmt numFmtId="183" formatCode="[H]\:MM;\-[H]\:MM;&quot;-     &quot;"/>
    <numFmt numFmtId="184" formatCode="0;\-0;;"/>
    <numFmt numFmtId="185" formatCode="[H]\:MM;[H]\:MM;&quot;&quot;"/>
    <numFmt numFmtId="186" formatCode="__@"/>
    <numFmt numFmtId="187" formatCode="General;General;&quot;-     &quot;"/>
    <numFmt numFmtId="188" formatCode="&quot;ø &quot;0.00;\-0.00"/>
    <numFmt numFmtId="189" formatCode="[H]:MM;&quot;-     &quot;;&quot;-     &quot;"/>
    <numFmt numFmtId="190" formatCode="0%"/>
    <numFmt numFmtId="191" formatCode="DDD&quot; - &quot;DD/MM/YYYY"/>
    <numFmt numFmtId="192" formatCode="0.00%"/>
  </numFmts>
  <fonts count="23">
    <font>
      <sz val="10"/>
      <name val="Verdana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5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Verdana"/>
      <family val="2"/>
      <charset val="1"/>
    </font>
    <font>
      <i val="true"/>
      <sz val="1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FFFF99"/>
      <name val="Arial"/>
      <family val="2"/>
      <charset val="1"/>
    </font>
    <font>
      <sz val="10"/>
      <color rgb="FFC0C0C0"/>
      <name val="Arial"/>
      <family val="2"/>
      <charset val="1"/>
    </font>
    <font>
      <b val="true"/>
      <sz val="8"/>
      <color rgb="FF000000"/>
      <name val="Calibri"/>
      <family val="2"/>
      <charset val="1"/>
    </font>
    <font>
      <sz val="10"/>
      <name val="Arial"/>
      <family val="0"/>
      <charset val="1"/>
    </font>
    <font>
      <u val="single"/>
      <sz val="10"/>
      <color rgb="FF0000D4"/>
      <name val="Verdana"/>
      <family val="2"/>
      <charset val="1"/>
    </font>
    <font>
      <sz val="11"/>
      <name val="Arial"/>
      <family val="2"/>
      <charset val="1"/>
    </font>
    <font>
      <b val="true"/>
      <sz val="18"/>
      <name val="Arial"/>
      <family val="2"/>
      <charset val="1"/>
    </font>
    <font>
      <sz val="18"/>
      <name val="Arial"/>
      <family val="2"/>
      <charset val="1"/>
    </font>
    <font>
      <b val="true"/>
      <sz val="11"/>
      <name val="Arial"/>
      <family val="2"/>
      <charset val="1"/>
    </font>
    <font>
      <sz val="8"/>
      <name val="Calibri"/>
      <family val="2"/>
      <charset val="1"/>
    </font>
    <font>
      <b val="true"/>
      <sz val="15"/>
      <color rgb="FF000080"/>
      <name val="Century Gothic"/>
      <family val="2"/>
      <charset val="1"/>
    </font>
    <font>
      <sz val="8"/>
      <color rgb="FF8EB4E3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2F2F2"/>
        <bgColor rgb="FFF0F0F0"/>
      </patternFill>
    </fill>
    <fill>
      <patternFill patternType="solid">
        <fgColor rgb="FFC6D9F1"/>
        <bgColor rgb="FFB9CDE5"/>
      </patternFill>
    </fill>
    <fill>
      <patternFill patternType="solid">
        <fgColor rgb="FFE1E1E1"/>
        <bgColor rgb="FFDCE6F2"/>
      </patternFill>
    </fill>
    <fill>
      <patternFill patternType="solid">
        <fgColor rgb="FFF0F0F0"/>
        <bgColor rgb="FFF2F2F2"/>
      </patternFill>
    </fill>
    <fill>
      <patternFill patternType="solid">
        <fgColor rgb="FFB9CDE5"/>
        <bgColor rgb="FFC6D9F1"/>
      </patternFill>
    </fill>
    <fill>
      <patternFill patternType="solid">
        <fgColor rgb="FFDCE6F2"/>
        <bgColor rgb="FFE1E1E1"/>
      </patternFill>
    </fill>
    <fill>
      <patternFill patternType="solid">
        <fgColor rgb="FFD9D9D9"/>
        <bgColor rgb="FFE1E1E1"/>
      </patternFill>
    </fill>
    <fill>
      <patternFill patternType="solid">
        <fgColor rgb="FFFFFFFF"/>
        <bgColor rgb="FFF2F2F2"/>
      </patternFill>
    </fill>
    <fill>
      <patternFill patternType="solid">
        <fgColor rgb="FFFCD5B5"/>
        <bgColor rgb="FFE1E1E1"/>
      </patternFill>
    </fill>
  </fills>
  <borders count="2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/>
      <bottom style="thin">
        <color rgb="FFFFFFFF"/>
      </bottom>
      <diagonal/>
    </border>
    <border diagonalUp="false" diagonalDown="false">
      <left style="thin">
        <color rgb="FFFFFFFF"/>
      </left>
      <right/>
      <top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/>
      <bottom style="thin">
        <color rgb="FFFFFFFF"/>
      </bottom>
      <diagonal/>
    </border>
    <border diagonalUp="false" diagonalDown="false">
      <left/>
      <right style="thin">
        <color rgb="FFFFFFFF"/>
      </right>
      <top style="thin"/>
      <bottom style="thin">
        <color rgb="FFFFFFFF"/>
      </bottom>
      <diagonal/>
    </border>
    <border diagonalUp="false" diagonalDown="false">
      <left style="thin">
        <color rgb="FFFFFFFF"/>
      </left>
      <right/>
      <top style="thin"/>
      <bottom style="thin">
        <color rgb="FFFFFFFF"/>
      </bottom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1">
    <xf numFmtId="16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7" fontId="1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35"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5" fillId="2" borderId="1" xfId="0" applyFont="true" applyBorder="true" applyAlignment="true" applyProtection="true">
      <alignment horizontal="left" vertical="center" textRotation="0" wrapText="false" indent="15" shrinkToFit="false"/>
      <protection locked="true" hidden="false"/>
    </xf>
    <xf numFmtId="167" fontId="5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5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6" fillId="2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6" fillId="2" borderId="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6" fillId="2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6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6" fillId="3" borderId="1" xfId="0" applyFont="true" applyBorder="true" applyAlignment="true" applyProtection="true">
      <alignment horizontal="left" vertical="center" textRotation="0" wrapText="false" indent="15" shrinkToFit="false"/>
      <protection locked="true" hidden="false"/>
    </xf>
    <xf numFmtId="170" fontId="6" fillId="4" borderId="4" xfId="0" applyFont="true" applyBorder="true" applyAlignment="true" applyProtection="true">
      <alignment horizontal="left" vertical="center" textRotation="0" wrapText="false" indent="15" shrinkToFit="false"/>
      <protection locked="true" hidden="false"/>
    </xf>
    <xf numFmtId="167" fontId="4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true">
      <alignment horizontal="left" vertical="center" textRotation="0" wrapText="false" indent="15" shrinkToFit="false"/>
      <protection locked="false" hidden="false"/>
    </xf>
    <xf numFmtId="171" fontId="6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4" fillId="2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6" fillId="3" borderId="6" xfId="0" applyFont="true" applyBorder="true" applyAlignment="true" applyProtection="true">
      <alignment horizontal="left" vertical="center" textRotation="0" wrapText="false" indent="15" shrinkToFit="false"/>
      <protection locked="true" hidden="false"/>
    </xf>
    <xf numFmtId="170" fontId="6" fillId="0" borderId="7" xfId="0" applyFont="true" applyBorder="true" applyAlignment="true" applyProtection="true">
      <alignment horizontal="left" vertical="center" textRotation="0" wrapText="false" indent="15" shrinkToFit="false"/>
      <protection locked="false" hidden="false"/>
    </xf>
    <xf numFmtId="167" fontId="6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true">
      <alignment horizontal="right" vertical="center" textRotation="0" wrapText="false" indent="15" shrinkToFit="false"/>
      <protection locked="true" hidden="false"/>
    </xf>
    <xf numFmtId="172" fontId="4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3" fontId="4" fillId="0" borderId="2" xfId="0" applyFont="true" applyBorder="true" applyAlignment="true" applyProtection="true">
      <alignment horizontal="left" vertical="center" textRotation="0" wrapText="false" indent="15" shrinkToFit="false"/>
      <protection locked="false" hidden="false"/>
    </xf>
    <xf numFmtId="170" fontId="4" fillId="4" borderId="1" xfId="0" applyFont="true" applyBorder="true" applyAlignment="true" applyProtection="true">
      <alignment horizontal="left" vertical="center" textRotation="0" wrapText="false" indent="15" shrinkToFit="false"/>
      <protection locked="true" hidden="false"/>
    </xf>
    <xf numFmtId="174" fontId="4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true">
      <alignment horizontal="left" vertical="center" textRotation="0" wrapText="true" indent="15" shrinkToFit="false"/>
      <protection locked="true" hidden="false"/>
    </xf>
    <xf numFmtId="167" fontId="8" fillId="2" borderId="1" xfId="0" applyFont="true" applyBorder="true" applyAlignment="true" applyProtection="true">
      <alignment horizontal="left" vertical="center" textRotation="0" wrapText="false" indent="15" shrinkToFit="false"/>
      <protection locked="true" hidden="false"/>
    </xf>
    <xf numFmtId="167" fontId="4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4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4" fillId="0" borderId="1" xfId="0" applyFont="true" applyBorder="true" applyAlignment="true" applyProtection="true">
      <alignment horizontal="left" vertical="center" textRotation="0" wrapText="false" indent="15" shrinkToFit="false"/>
      <protection locked="false" hidden="false"/>
    </xf>
    <xf numFmtId="167" fontId="4" fillId="0" borderId="2" xfId="0" applyFont="true" applyBorder="true" applyAlignment="true" applyProtection="true">
      <alignment horizontal="left" vertical="center" textRotation="0" wrapText="false" indent="15" shrinkToFit="false"/>
      <protection locked="false" hidden="false"/>
    </xf>
    <xf numFmtId="173" fontId="9" fillId="0" borderId="1" xfId="0" applyFont="true" applyBorder="true" applyAlignment="true" applyProtection="true">
      <alignment horizontal="left" vertical="center" textRotation="0" wrapText="false" indent="15" shrinkToFit="false"/>
      <protection locked="false" hidden="false"/>
    </xf>
    <xf numFmtId="167" fontId="8" fillId="2" borderId="2" xfId="0" applyFont="true" applyBorder="true" applyAlignment="true" applyProtection="true">
      <alignment horizontal="left" vertical="center" textRotation="0" wrapText="false" indent="15" shrinkToFit="false"/>
      <protection locked="true" hidden="false"/>
    </xf>
    <xf numFmtId="167" fontId="4" fillId="2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3" fontId="4" fillId="0" borderId="1" xfId="0" applyFont="true" applyBorder="true" applyAlignment="true" applyProtection="true">
      <alignment horizontal="left" vertical="center" textRotation="0" wrapText="false" indent="15" shrinkToFit="false"/>
      <protection locked="false" hidden="false"/>
    </xf>
    <xf numFmtId="175" fontId="4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6" fontId="4" fillId="0" borderId="2" xfId="0" applyFont="true" applyBorder="true" applyAlignment="true" applyProtection="true">
      <alignment horizontal="left" vertical="center" textRotation="0" wrapText="false" indent="15" shrinkToFit="false"/>
      <protection locked="false" hidden="false"/>
    </xf>
    <xf numFmtId="177" fontId="4" fillId="0" borderId="4" xfId="0" applyFont="true" applyBorder="true" applyAlignment="true" applyProtection="true">
      <alignment horizontal="left" vertical="center" textRotation="0" wrapText="false" indent="15" shrinkToFit="false"/>
      <protection locked="false" hidden="false"/>
    </xf>
    <xf numFmtId="178" fontId="6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4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8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4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0" fillId="2" borderId="0" xfId="0" applyFont="true" applyBorder="true" applyAlignment="true" applyProtection="true">
      <alignment horizontal="left" vertical="center" textRotation="0" wrapText="false" indent="15" shrinkToFit="false"/>
      <protection locked="true" hidden="false"/>
    </xf>
    <xf numFmtId="167" fontId="4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4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4" fillId="2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6" fillId="2" borderId="5" xfId="0" applyFont="true" applyBorder="true" applyAlignment="true" applyProtection="true">
      <alignment horizontal="left" vertical="center" textRotation="0" wrapText="false" indent="15" shrinkToFit="false"/>
      <protection locked="true" hidden="false"/>
    </xf>
    <xf numFmtId="167" fontId="4" fillId="2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8" fontId="4" fillId="2" borderId="5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71" fontId="6" fillId="2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4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0" fontId="4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0" fontId="4" fillId="2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8" fontId="4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4" fillId="2" borderId="0" xfId="0" applyFont="true" applyBorder="true" applyAlignment="true" applyProtection="true">
      <alignment horizontal="right" vertical="center" textRotation="0" wrapText="false" indent="15" shrinkToFit="false"/>
      <protection locked="true" hidden="false"/>
    </xf>
    <xf numFmtId="169" fontId="4" fillId="4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4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7" fontId="4" fillId="4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4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4" fillId="2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4" fillId="2" borderId="8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4" fillId="2" borderId="8" xfId="0" applyFont="true" applyBorder="true" applyAlignment="true" applyProtection="true">
      <alignment horizontal="right" vertical="center" textRotation="0" wrapText="false" indent="15" shrinkToFit="false"/>
      <protection locked="true" hidden="false"/>
    </xf>
    <xf numFmtId="169" fontId="4" fillId="2" borderId="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4" fillId="4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7" fontId="4" fillId="2" borderId="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8" fontId="4" fillId="4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6" fillId="3" borderId="10" xfId="0" applyFont="true" applyBorder="true" applyAlignment="true" applyProtection="true">
      <alignment horizontal="right" vertical="bottom" textRotation="0" wrapText="true" indent="15" shrinkToFit="false"/>
      <protection locked="true" hidden="false"/>
    </xf>
    <xf numFmtId="167" fontId="6" fillId="3" borderId="9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7" fontId="6" fillId="3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7" fontId="6" fillId="3" borderId="1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7" fontId="6" fillId="2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6" fillId="3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79" fontId="6" fillId="3" borderId="2" xfId="0" applyFont="true" applyBorder="true" applyAlignment="true" applyProtection="true">
      <alignment horizontal="right" vertical="center" textRotation="0" wrapText="false" indent="15" shrinkToFit="false"/>
      <protection locked="true" hidden="false"/>
    </xf>
    <xf numFmtId="178" fontId="4" fillId="4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8" fontId="4" fillId="4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8" fontId="4" fillId="4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8" fontId="4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7" fontId="4" fillId="5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1" fontId="4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4" fillId="4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6" fillId="2" borderId="0" xfId="0" applyFont="true" applyBorder="false" applyAlignment="true" applyProtection="true">
      <alignment horizontal="right" vertical="center" textRotation="0" wrapText="false" indent="15" shrinkToFit="false"/>
      <protection locked="true" hidden="false"/>
    </xf>
    <xf numFmtId="178" fontId="6" fillId="6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8" fontId="6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8" fontId="6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7" fontId="6" fillId="6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4" fillId="6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7" fontId="10" fillId="2" borderId="0" xfId="0" applyFont="true" applyBorder="false" applyAlignment="true" applyProtection="true">
      <alignment horizontal="left" vertical="bottom" textRotation="0" wrapText="false" indent="15" shrinkToFit="false"/>
      <protection locked="true" hidden="false"/>
    </xf>
    <xf numFmtId="167" fontId="6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8" fontId="6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1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2" borderId="1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7" fontId="6" fillId="3" borderId="6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7" fontId="4" fillId="2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4" fillId="2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4" fillId="3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7" fontId="4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6" fillId="3" borderId="2" xfId="0" applyFont="true" applyBorder="true" applyAlignment="true" applyProtection="true">
      <alignment horizontal="right" vertical="center" textRotation="0" wrapText="false" indent="15" shrinkToFit="false"/>
      <protection locked="true" hidden="false"/>
    </xf>
    <xf numFmtId="178" fontId="4" fillId="2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4" fillId="0" borderId="2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78" fontId="4" fillId="0" borderId="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8" fontId="6" fillId="6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4" fillId="2" borderId="1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7" fontId="4" fillId="2" borderId="1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6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6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6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7" fontId="4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7" fontId="4" fillId="0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7" fontId="6" fillId="3" borderId="1" xfId="0" applyFont="true" applyBorder="true" applyAlignment="true" applyProtection="true">
      <alignment horizontal="right" vertical="center" textRotation="0" wrapText="false" indent="15" shrinkToFit="false"/>
      <protection locked="true" hidden="false"/>
    </xf>
    <xf numFmtId="178" fontId="4" fillId="0" borderId="7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8" fontId="6" fillId="6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8" fontId="4" fillId="7" borderId="1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4" fillId="0" borderId="3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78" fontId="4" fillId="0" borderId="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9" fontId="4" fillId="0" borderId="1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1" fontId="11" fillId="2" borderId="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8" fontId="4" fillId="4" borderId="1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8" fontId="6" fillId="6" borderId="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11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8" fontId="4" fillId="5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7" fontId="12" fillId="0" borderId="0" xfId="0" applyFont="true" applyBorder="false" applyAlignment="true" applyProtection="true">
      <alignment horizontal="left" vertical="bottom" textRotation="0" wrapText="false" indent="15" shrinkToFit="false"/>
      <protection locked="true" hidden="false"/>
    </xf>
    <xf numFmtId="168" fontId="12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78" fontId="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8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left" vertical="bottom" textRotation="0" wrapText="false" indent="15" shrinkToFit="false"/>
      <protection locked="true" hidden="false"/>
    </xf>
    <xf numFmtId="168" fontId="12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80" fontId="5" fillId="2" borderId="2" xfId="0" applyFont="true" applyBorder="true" applyAlignment="true" applyProtection="true">
      <alignment horizontal="right" vertical="center" textRotation="0" wrapText="false" indent="15" shrinkToFit="false"/>
      <protection locked="true" hidden="false"/>
    </xf>
    <xf numFmtId="167" fontId="5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6" fillId="2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6" fillId="2" borderId="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6" fillId="2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6" fillId="2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6" fillId="4" borderId="1" xfId="0" applyFont="true" applyBorder="true" applyAlignment="true" applyProtection="true">
      <alignment horizontal="left" vertical="center" textRotation="0" wrapText="false" indent="15" shrinkToFit="false"/>
      <protection locked="true" hidden="false"/>
    </xf>
    <xf numFmtId="167" fontId="6" fillId="2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7" fontId="4" fillId="2" borderId="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4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6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6" fillId="2" borderId="0" xfId="0" applyFont="true" applyBorder="true" applyAlignment="true" applyProtection="true">
      <alignment horizontal="right" vertical="center" textRotation="0" wrapText="false" indent="15" shrinkToFit="false"/>
      <protection locked="true" hidden="false"/>
    </xf>
    <xf numFmtId="167" fontId="4" fillId="4" borderId="1" xfId="0" applyFont="true" applyBorder="true" applyAlignment="true" applyProtection="true">
      <alignment horizontal="left" vertical="center" textRotation="0" wrapText="false" indent="15" shrinkToFit="false"/>
      <protection locked="true" hidden="false"/>
    </xf>
    <xf numFmtId="178" fontId="4" fillId="4" borderId="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8" fontId="4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4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81" fontId="6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8" fontId="4" fillId="5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6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3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82" fontId="6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3" borderId="1" xfId="0" applyFont="true" applyBorder="true" applyAlignment="true" applyProtection="true">
      <alignment horizontal="left" vertical="center" textRotation="0" wrapText="true" indent="15" shrinkToFit="false"/>
      <protection locked="true" hidden="false"/>
    </xf>
    <xf numFmtId="167" fontId="6" fillId="3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6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6" fillId="3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6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6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7" fontId="6" fillId="3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6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6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4" fillId="2" borderId="15" xfId="0" applyFont="true" applyBorder="true" applyAlignment="true" applyProtection="true">
      <alignment horizontal="left" vertical="center" textRotation="0" wrapText="false" indent="15" shrinkToFit="false"/>
      <protection locked="true" hidden="false"/>
    </xf>
    <xf numFmtId="171" fontId="6" fillId="2" borderId="1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6" fillId="2" borderId="1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6" fillId="2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4" fillId="2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6" fillId="3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4" fillId="2" borderId="15" xfId="0" applyFont="true" applyBorder="true" applyAlignment="true" applyProtection="true">
      <alignment horizontal="right" vertical="center" textRotation="0" wrapText="false" indent="15" shrinkToFit="false"/>
      <protection locked="true" hidden="false"/>
    </xf>
    <xf numFmtId="171" fontId="4" fillId="0" borderId="6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1" fontId="4" fillId="0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1" fontId="4" fillId="0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1" fontId="4" fillId="2" borderId="1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4" fillId="2" borderId="1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4" fillId="2" borderId="1" xfId="0" applyFont="true" applyBorder="true" applyAlignment="true" applyProtection="true">
      <alignment horizontal="right" vertical="center" textRotation="0" wrapText="false" indent="15" shrinkToFit="false"/>
      <protection locked="true" hidden="false"/>
    </xf>
    <xf numFmtId="176" fontId="4" fillId="7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4" fillId="2" borderId="1" xfId="0" applyFont="true" applyBorder="true" applyAlignment="true" applyProtection="true">
      <alignment horizontal="left" vertical="center" textRotation="0" wrapText="false" indent="15" shrinkToFit="false"/>
      <protection locked="true" hidden="false"/>
    </xf>
    <xf numFmtId="168" fontId="4" fillId="2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1" fontId="4" fillId="7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4" fillId="2" borderId="17" xfId="0" applyFont="true" applyBorder="true" applyAlignment="true" applyProtection="true">
      <alignment horizontal="right" vertical="center" textRotation="0" wrapText="false" indent="15" shrinkToFit="false"/>
      <protection locked="true" hidden="false"/>
    </xf>
    <xf numFmtId="171" fontId="4" fillId="2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4" fillId="2" borderId="1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4" fillId="0" borderId="1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1" fontId="4" fillId="0" borderId="18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1" fontId="4" fillId="2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4" fillId="2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6" fontId="4" fillId="7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4" fillId="2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4" fillId="2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4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4" fillId="2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4" fillId="8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4" fillId="5" borderId="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7" fontId="4" fillId="2" borderId="10" xfId="0" applyFont="true" applyBorder="true" applyAlignment="true" applyProtection="true">
      <alignment horizontal="right" vertical="center" textRotation="0" wrapText="false" indent="15" shrinkToFit="false"/>
      <protection locked="true" hidden="false"/>
    </xf>
    <xf numFmtId="167" fontId="4" fillId="2" borderId="9" xfId="0" applyFont="true" applyBorder="true" applyAlignment="true" applyProtection="true">
      <alignment horizontal="left" vertical="center" textRotation="0" wrapText="false" indent="15" shrinkToFit="false"/>
      <protection locked="true" hidden="false"/>
    </xf>
    <xf numFmtId="168" fontId="4" fillId="2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6" fontId="4" fillId="6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6" fontId="4" fillId="6" borderId="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6" fontId="4" fillId="6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6" fontId="4" fillId="6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4" fillId="6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5" fontId="4" fillId="2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6" fontId="4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6" fontId="4" fillId="4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6" fontId="4" fillId="4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4" fillId="2" borderId="6" xfId="0" applyFont="true" applyBorder="true" applyAlignment="true" applyProtection="true">
      <alignment horizontal="left" vertical="center" textRotation="0" wrapText="false" indent="15" shrinkToFit="false"/>
      <protection locked="true" hidden="false"/>
    </xf>
    <xf numFmtId="176" fontId="4" fillId="8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6" fontId="4" fillId="8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6" fontId="4" fillId="8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4" fillId="8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6" fillId="6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83" fontId="4" fillId="8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4" fillId="2" borderId="17" xfId="0" applyFont="true" applyBorder="true" applyAlignment="true" applyProtection="true">
      <alignment horizontal="right" vertical="bottom" textRotation="0" wrapText="true" indent="15" shrinkToFit="false"/>
      <protection locked="true" hidden="false"/>
    </xf>
    <xf numFmtId="171" fontId="4" fillId="2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4" fillId="2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8" fontId="4" fillId="2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4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8" fontId="4" fillId="2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1" fontId="4" fillId="2" borderId="1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4" fillId="9" borderId="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71" fontId="4" fillId="9" borderId="7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7" fontId="4" fillId="2" borderId="16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71" fontId="4" fillId="2" borderId="1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4" fillId="2" borderId="1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4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4" fillId="2" borderId="17" xfId="0" applyFont="true" applyBorder="true" applyAlignment="true" applyProtection="true">
      <alignment horizontal="right" vertical="center" textRotation="0" wrapText="true" indent="15" shrinkToFit="false"/>
      <protection locked="true" hidden="false"/>
    </xf>
    <xf numFmtId="171" fontId="4" fillId="2" borderId="1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4" fillId="2" borderId="15" xfId="0" applyFont="true" applyBorder="true" applyAlignment="true" applyProtection="true">
      <alignment horizontal="right" vertical="center" textRotation="0" wrapText="true" indent="15" shrinkToFit="false"/>
      <protection locked="true" hidden="false"/>
    </xf>
    <xf numFmtId="171" fontId="4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4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1" fontId="4" fillId="5" borderId="6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1" fontId="4" fillId="5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1" fontId="4" fillId="5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8" fontId="4" fillId="2" borderId="1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4" fillId="2" borderId="15" xfId="0" applyFont="true" applyBorder="true" applyAlignment="true" applyProtection="true">
      <alignment horizontal="right" vertical="center" textRotation="0" wrapText="true" indent="15" shrinkToFit="true"/>
      <protection locked="true" hidden="false"/>
    </xf>
    <xf numFmtId="168" fontId="4" fillId="2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8" fontId="4" fillId="2" borderId="1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4" fillId="9" borderId="5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1" fontId="4" fillId="0" borderId="7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7" fontId="4" fillId="2" borderId="16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1" fontId="4" fillId="2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1" fontId="4" fillId="8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84" fontId="4" fillId="8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4" fillId="2" borderId="1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4" fillId="6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4" fillId="8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6" fillId="6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6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85" fontId="4" fillId="8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85" fontId="4" fillId="8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85" fontId="4" fillId="8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4" fillId="2" borderId="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4" fillId="9" borderId="7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1" fontId="4" fillId="2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4" fillId="6" borderId="1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4" fillId="2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4" fillId="2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4" fillId="2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4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4" fillId="2" borderId="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4" fillId="2" borderId="5" xfId="0" applyFont="true" applyBorder="true" applyAlignment="true" applyProtection="true">
      <alignment horizontal="right" vertical="center" textRotation="0" wrapText="false" indent="15" shrinkToFit="false"/>
      <protection locked="true" hidden="false"/>
    </xf>
    <xf numFmtId="167" fontId="4" fillId="2" borderId="5" xfId="0" applyFont="true" applyBorder="true" applyAlignment="true" applyProtection="true">
      <alignment horizontal="left" vertical="center" textRotation="0" wrapText="false" indent="15" shrinkToFit="false"/>
      <protection locked="true" hidden="false"/>
    </xf>
    <xf numFmtId="171" fontId="4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1" fontId="4" fillId="2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1" fontId="4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4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6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6" fillId="2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71" fontId="4" fillId="2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4" fillId="2" borderId="0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8" fontId="4" fillId="2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71" fontId="6" fillId="2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1" fontId="4" fillId="2" borderId="0" xfId="0" applyFont="true" applyBorder="true" applyAlignment="true" applyProtection="true">
      <alignment horizontal="left" vertical="top" textRotation="0" wrapText="false" indent="15" shrinkToFit="false"/>
      <protection locked="true" hidden="false"/>
    </xf>
    <xf numFmtId="167" fontId="4" fillId="0" borderId="0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7" fontId="4" fillId="0" borderId="8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71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2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4" fillId="2" borderId="0" xfId="0" applyFont="true" applyBorder="true" applyAlignment="true" applyProtection="true">
      <alignment horizontal="right" vertical="bottom" textRotation="0" wrapText="false" indent="15" shrinkToFit="false"/>
      <protection locked="true" hidden="false"/>
    </xf>
    <xf numFmtId="167" fontId="4" fillId="0" borderId="8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1" fontId="4" fillId="2" borderId="0" xfId="0" applyFont="true" applyBorder="true" applyAlignment="true" applyProtection="true">
      <alignment horizontal="right" vertical="bottom" textRotation="0" wrapText="false" indent="15" shrinkToFit="false"/>
      <protection locked="true" hidden="false"/>
    </xf>
    <xf numFmtId="167" fontId="4" fillId="2" borderId="0" xfId="0" applyFont="true" applyBorder="true" applyAlignment="true" applyProtection="true">
      <alignment horizontal="left" vertical="bottom" textRotation="0" wrapText="false" indent="15" shrinkToFit="false"/>
      <protection locked="true" hidden="false"/>
    </xf>
    <xf numFmtId="171" fontId="4" fillId="2" borderId="0" xfId="0" applyFont="true" applyBorder="true" applyAlignment="true" applyProtection="true">
      <alignment horizontal="left" vertical="bottom" textRotation="0" wrapText="false" indent="15" shrinkToFit="false"/>
      <protection locked="true" hidden="false"/>
    </xf>
    <xf numFmtId="167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14" fillId="0" borderId="6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7" fontId="5" fillId="2" borderId="2" xfId="0" applyFont="true" applyBorder="true" applyAlignment="true" applyProtection="true">
      <alignment horizontal="left" vertical="center" textRotation="0" wrapText="false" indent="15" shrinkToFit="false"/>
      <protection locked="true" hidden="false"/>
    </xf>
    <xf numFmtId="167" fontId="5" fillId="2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6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4" fillId="2" borderId="1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4" fillId="4" borderId="2" xfId="0" applyFont="true" applyBorder="true" applyAlignment="true" applyProtection="true">
      <alignment horizontal="left" vertical="center" textRotation="0" wrapText="false" indent="15" shrinkToFit="false"/>
      <protection locked="true" hidden="false"/>
    </xf>
    <xf numFmtId="173" fontId="4" fillId="4" borderId="4" xfId="0" applyFont="true" applyBorder="true" applyAlignment="true" applyProtection="true">
      <alignment horizontal="left" vertical="center" textRotation="0" wrapText="false" indent="15" shrinkToFit="false"/>
      <protection locked="true" hidden="false"/>
    </xf>
    <xf numFmtId="167" fontId="4" fillId="2" borderId="1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7" fontId="4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4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2" borderId="0" xfId="0" applyFont="true" applyBorder="true" applyAlignment="true" applyProtection="true">
      <alignment horizontal="general" vertical="bottom" textRotation="90" wrapText="false" indent="0" shrinkToFit="false"/>
      <protection locked="true" hidden="false"/>
    </xf>
    <xf numFmtId="168" fontId="4" fillId="2" borderId="0" xfId="0" applyFont="true" applyBorder="true" applyAlignment="true" applyProtection="true">
      <alignment horizontal="center" vertical="bottom" textRotation="90" wrapText="true" indent="0" shrinkToFit="false"/>
      <protection locked="true" hidden="false"/>
    </xf>
    <xf numFmtId="186" fontId="4" fillId="3" borderId="6" xfId="0" applyFont="true" applyBorder="true" applyAlignment="true" applyProtection="true">
      <alignment horizontal="center" vertical="bottom" textRotation="90" wrapText="true" indent="0" shrinkToFit="false"/>
      <protection locked="true" hidden="false"/>
    </xf>
    <xf numFmtId="186" fontId="4" fillId="3" borderId="1" xfId="0" applyFont="true" applyBorder="true" applyAlignment="true" applyProtection="true">
      <alignment horizontal="center" vertical="bottom" textRotation="90" wrapText="true" indent="0" shrinkToFit="false"/>
      <protection locked="true" hidden="false"/>
    </xf>
    <xf numFmtId="168" fontId="4" fillId="0" borderId="0" xfId="0" applyFont="true" applyBorder="true" applyAlignment="true" applyProtection="true">
      <alignment horizontal="general" vertical="bottom" textRotation="90" wrapText="false" indent="0" shrinkToFit="false"/>
      <protection locked="true" hidden="false"/>
    </xf>
    <xf numFmtId="168" fontId="4" fillId="2" borderId="8" xfId="0" applyFont="true" applyBorder="true" applyAlignment="true" applyProtection="true">
      <alignment horizontal="general" vertical="bottom" textRotation="90" wrapText="false" indent="0" shrinkToFit="false"/>
      <protection locked="true" hidden="false"/>
    </xf>
    <xf numFmtId="168" fontId="4" fillId="2" borderId="5" xfId="0" applyFont="true" applyBorder="true" applyAlignment="true" applyProtection="true">
      <alignment horizontal="center" vertical="bottom" textRotation="90" wrapText="true" indent="0" shrinkToFit="false"/>
      <protection locked="true" hidden="false"/>
    </xf>
    <xf numFmtId="168" fontId="4" fillId="2" borderId="3" xfId="0" applyFont="true" applyBorder="true" applyAlignment="true" applyProtection="true">
      <alignment horizontal="center" vertical="bottom" textRotation="90" wrapText="true" indent="0" shrinkToFit="false"/>
      <protection locked="true" hidden="false"/>
    </xf>
    <xf numFmtId="167" fontId="4" fillId="3" borderId="9" xfId="0" applyFont="true" applyBorder="true" applyAlignment="true" applyProtection="true">
      <alignment horizontal="right" vertical="center" textRotation="0" wrapText="false" indent="15" shrinkToFit="false"/>
      <protection locked="true" hidden="false"/>
    </xf>
    <xf numFmtId="171" fontId="4" fillId="2" borderId="1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8" fontId="4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8" fontId="4" fillId="2" borderId="8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8" fontId="4" fillId="2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84" fontId="4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8" fontId="4" fillId="4" borderId="9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8" fontId="4" fillId="2" borderId="1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8" fontId="4" fillId="2" borderId="1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8" fontId="4" fillId="2" borderId="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4" fillId="2" borderId="3" xfId="0" applyFont="true" applyBorder="true" applyAlignment="true" applyProtection="true">
      <alignment horizontal="left" vertical="center" textRotation="0" wrapText="false" indent="15" shrinkToFit="false"/>
      <protection locked="true" hidden="false"/>
    </xf>
    <xf numFmtId="178" fontId="4" fillId="2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84" fontId="4" fillId="2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9" fontId="4" fillId="3" borderId="1" xfId="0" applyFont="true" applyBorder="true" applyAlignment="true" applyProtection="true">
      <alignment horizontal="right" vertical="center" textRotation="0" wrapText="false" indent="15" shrinkToFit="false"/>
      <protection locked="true" hidden="false"/>
    </xf>
    <xf numFmtId="177" fontId="4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87" fontId="4" fillId="4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8" fontId="4" fillId="6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88" fontId="4" fillId="6" borderId="1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87" fontId="4" fillId="6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87" fontId="4" fillId="6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8" fontId="4" fillId="2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8" fontId="4" fillId="6" borderId="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84" fontId="4" fillId="2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8" fontId="4" fillId="2" borderId="1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4" fillId="2" borderId="1" xfId="0" applyFont="true" applyBorder="true" applyAlignment="true" applyProtection="true">
      <alignment horizontal="right" vertical="bottom" textRotation="0" wrapText="true" indent="15" shrinkToFit="false"/>
      <protection locked="true" hidden="false"/>
    </xf>
    <xf numFmtId="167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4" fillId="4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5" fillId="2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4" fillId="2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7" fontId="4" fillId="4" borderId="1" xfId="0" applyFont="true" applyBorder="true" applyAlignment="true" applyProtection="true">
      <alignment horizontal="left" vertical="center" textRotation="0" wrapText="false" indent="15" shrinkToFit="false"/>
      <protection locked="true" hidden="false"/>
    </xf>
    <xf numFmtId="175" fontId="4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4" fillId="2" borderId="16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86" fontId="4" fillId="3" borderId="1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7" fontId="4" fillId="2" borderId="8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89" fontId="4" fillId="4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90" fontId="4" fillId="6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0" fontId="4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0" fontId="4" fillId="4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4" fillId="2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15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6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17" fillId="2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6" fillId="2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9" fillId="3" borderId="1" xfId="0" applyFont="true" applyBorder="true" applyAlignment="true" applyProtection="true">
      <alignment horizontal="left" vertical="center" textRotation="0" wrapText="false" indent="15" shrinkToFit="false"/>
      <protection locked="true" hidden="false"/>
    </xf>
    <xf numFmtId="167" fontId="19" fillId="4" borderId="1" xfId="0" applyFont="true" applyBorder="true" applyAlignment="true" applyProtection="true">
      <alignment horizontal="left" vertical="center" textRotation="0" wrapText="false" indent="15" shrinkToFit="false"/>
      <protection locked="true" hidden="false"/>
    </xf>
    <xf numFmtId="167" fontId="16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7" fontId="16" fillId="4" borderId="1" xfId="0" applyFont="true" applyBorder="true" applyAlignment="true" applyProtection="true">
      <alignment horizontal="left" vertical="center" textRotation="0" wrapText="false" indent="15" shrinkToFit="false"/>
      <protection locked="true" hidden="false"/>
    </xf>
    <xf numFmtId="167" fontId="19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6" fillId="4" borderId="1" xfId="0" applyFont="true" applyBorder="true" applyAlignment="true" applyProtection="true">
      <alignment horizontal="left" vertical="center" textRotation="0" wrapText="false" indent="15" shrinkToFit="false"/>
      <protection locked="true" hidden="false"/>
    </xf>
    <xf numFmtId="167" fontId="19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5" fontId="16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6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1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6" fillId="2" borderId="0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86" fontId="16" fillId="3" borderId="6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86" fontId="16" fillId="2" borderId="6" xfId="0" applyFont="true" applyBorder="true" applyAlignment="true" applyProtection="true">
      <alignment horizontal="center" vertical="bottom" textRotation="90" wrapText="true" indent="0" shrinkToFit="false"/>
      <protection locked="true" hidden="false"/>
    </xf>
    <xf numFmtId="186" fontId="16" fillId="3" borderId="5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86" fontId="16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86" fontId="16" fillId="3" borderId="1" xfId="0" applyFont="true" applyBorder="true" applyAlignment="true" applyProtection="true">
      <alignment horizontal="center" vertical="bottom" textRotation="90" wrapText="true" indent="0" shrinkToFit="false"/>
      <protection locked="true" hidden="false"/>
    </xf>
    <xf numFmtId="168" fontId="16" fillId="0" borderId="0" xfId="0" applyFont="true" applyBorder="true" applyAlignment="true" applyProtection="true">
      <alignment horizontal="general" vertical="bottom" textRotation="90" wrapText="false" indent="0" shrinkToFit="false"/>
      <protection locked="true" hidden="false"/>
    </xf>
    <xf numFmtId="167" fontId="16" fillId="2" borderId="5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8" fontId="16" fillId="2" borderId="0" xfId="0" applyFont="true" applyBorder="true" applyAlignment="true" applyProtection="true">
      <alignment horizontal="center" vertical="bottom" textRotation="90" wrapText="true" indent="0" shrinkToFit="false"/>
      <protection locked="true" hidden="false"/>
    </xf>
    <xf numFmtId="167" fontId="16" fillId="8" borderId="1" xfId="0" applyFont="true" applyBorder="true" applyAlignment="true" applyProtection="true">
      <alignment horizontal="left" vertical="center" textRotation="0" wrapText="false" indent="15" shrinkToFit="false"/>
      <protection locked="true" hidden="false"/>
    </xf>
    <xf numFmtId="187" fontId="16" fillId="4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6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7" fontId="16" fillId="4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8" fontId="16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9" fontId="16" fillId="3" borderId="1" xfId="0" applyFont="true" applyBorder="true" applyAlignment="true" applyProtection="true">
      <alignment horizontal="right" vertical="center" textRotation="0" wrapText="false" indent="15" shrinkToFit="false"/>
      <protection locked="true" hidden="false"/>
    </xf>
    <xf numFmtId="189" fontId="16" fillId="4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6" fontId="16" fillId="6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89" fontId="16" fillId="6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6" fillId="2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6" fillId="3" borderId="1" xfId="0" applyFont="true" applyBorder="true" applyAlignment="true" applyProtection="true">
      <alignment horizontal="left" vertical="center" textRotation="0" wrapText="false" indent="15" shrinkToFit="false"/>
      <protection locked="true" hidden="false"/>
    </xf>
    <xf numFmtId="189" fontId="16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89" fontId="16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89" fontId="16" fillId="6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6" fontId="16" fillId="4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6" fontId="16" fillId="6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6" fillId="2" borderId="1" xfId="0" applyFont="true" applyBorder="true" applyAlignment="true" applyProtection="true">
      <alignment horizontal="left" vertical="center" textRotation="0" wrapText="false" indent="15" shrinkToFit="false"/>
      <protection locked="true" hidden="false"/>
    </xf>
    <xf numFmtId="189" fontId="16" fillId="2" borderId="1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89" fontId="16" fillId="2" borderId="1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5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6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16" fillId="2" borderId="0" xfId="0" applyFont="true" applyBorder="true" applyAlignment="true" applyProtection="true">
      <alignment horizontal="right" vertical="bottom" textRotation="0" wrapText="false" indent="15" shrinkToFit="false"/>
      <protection locked="true" hidden="false"/>
    </xf>
    <xf numFmtId="167" fontId="16" fillId="0" borderId="8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7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2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77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20" fillId="6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7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20" fillId="6" borderId="1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77" fontId="20" fillId="6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7" fontId="20" fillId="1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1" fontId="20" fillId="1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2" fontId="20" fillId="1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0" fillId="4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20" fillId="5" borderId="21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71" fontId="20" fillId="1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20" fillId="1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0" fillId="4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0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0" fillId="4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20" fillId="1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0" fillId="1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1" fontId="20" fillId="1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2" fontId="20" fillId="1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0" fillId="4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20" fillId="1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20" fillId="1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20" fillId="1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0" fillId="4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0" fontId="20" fillId="1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0" fillId="4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0" fillId="4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20" fillId="1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0" fillId="10" borderId="25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21">
    <dxf>
      <fill>
        <patternFill>
          <bgColor rgb="FFFF555A"/>
        </patternFill>
      </fill>
    </dxf>
    <dxf>
      <fill>
        <patternFill>
          <bgColor rgb="FFFF555A"/>
        </patternFill>
      </fill>
    </dxf>
    <dxf>
      <fill>
        <patternFill>
          <bgColor rgb="FFFF555A"/>
        </patternFill>
      </fill>
    </dxf>
    <dxf>
      <font>
        <color rgb="FFFFFFFF"/>
      </font>
      <numFmt numFmtId="164" formatCode="DD/MM/YYYY"/>
    </dxf>
    <dxf>
      <fill>
        <patternFill>
          <bgColor rgb="FFFF555A"/>
        </patternFill>
      </fill>
    </dxf>
    <dxf>
      <fill>
        <patternFill>
          <bgColor rgb="FFFF555A"/>
        </patternFill>
      </fill>
    </dxf>
    <dxf>
      <numFmt numFmtId="165" formatCode="@\ * &quot;ab &quot;"/>
    </dxf>
    <dxf>
      <numFmt numFmtId="166" formatCode="@\ * &quot;from &quot;"/>
    </dxf>
    <dxf>
      <fill>
        <patternFill>
          <bgColor rgb="FFFF555A"/>
        </patternFill>
      </fill>
    </dxf>
    <dxf>
      <fill>
        <patternFill>
          <bgColor rgb="FFFF555A"/>
        </patternFill>
      </fill>
    </dxf>
    <dxf>
      <fill>
        <patternFill>
          <bgColor rgb="FFFF555A"/>
        </patternFill>
      </fill>
    </dxf>
    <dxf>
      <font>
        <color rgb="FFFFFFFF"/>
      </font>
      <numFmt numFmtId="164" formatCode="DD/MM/YYYY"/>
    </dxf>
    <dxf>
      <fill>
        <patternFill>
          <bgColor rgb="FFFF555A"/>
        </patternFill>
      </fill>
    </dxf>
    <dxf>
      <fill>
        <patternFill>
          <bgColor rgb="FFFF555A"/>
        </patternFill>
      </fill>
    </dxf>
    <dxf>
      <numFmt numFmtId="165" formatCode="@\ * &quot;ab &quot;"/>
    </dxf>
    <dxf>
      <numFmt numFmtId="166" formatCode="@\ * &quot;from &quot;"/>
    </dxf>
    <dxf>
      <fill>
        <patternFill>
          <bgColor rgb="FFFF555A"/>
        </patternFill>
      </fill>
    </dxf>
    <dxf>
      <fill>
        <patternFill>
          <bgColor rgb="FFFF555A"/>
        </patternFill>
      </fill>
    </dxf>
    <dxf>
      <fill>
        <patternFill>
          <bgColor rgb="FFFF555A"/>
        </patternFill>
      </fill>
    </dxf>
    <dxf>
      <font>
        <color rgb="FFFFFFFF"/>
      </font>
      <numFmt numFmtId="164" formatCode="DD/MM/YYYY"/>
    </dxf>
    <dxf>
      <fill>
        <patternFill>
          <bgColor rgb="FFFF555A"/>
        </patternFill>
      </fill>
    </dxf>
  </dxfs>
  <colors>
    <indexedColors>
      <rgbColor rgb="FF000000"/>
      <rgbColor rgb="FFFFFFFF"/>
      <rgbColor rgb="FFFF0000"/>
      <rgbColor rgb="FF00FF00"/>
      <rgbColor rgb="FF0000D4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EB4E3"/>
      <rgbColor rgb="FF993366"/>
      <rgbColor rgb="FFF2F2F2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0F0F0"/>
      <rgbColor rgb="FFE1E1E1"/>
      <rgbColor rgb="FFFFFF99"/>
      <rgbColor rgb="FFB9CDE5"/>
      <rgbColor rgb="FFFF99CC"/>
      <rgbColor rgb="FFD9D9D9"/>
      <rgbColor rgb="FFFCD5B5"/>
      <rgbColor rgb="FF3366FF"/>
      <rgbColor rgb="FF33CCCC"/>
      <rgbColor rgb="FF99CC00"/>
      <rgbColor rgb="FFFFCC00"/>
      <rgbColor rgb="FFFF9900"/>
      <rgbColor rgb="FFFF555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1114560</xdr:colOff>
      <xdr:row>66</xdr:row>
      <xdr:rowOff>149400</xdr:rowOff>
    </xdr:to>
    <xdr:sp>
      <xdr:nvSpPr>
        <xdr:cNvPr id="0" name="CustomShape 1" hidden="1"/>
        <xdr:cNvSpPr/>
      </xdr:nvSpPr>
      <xdr:spPr>
        <a:xfrm>
          <a:off x="0" y="0"/>
          <a:ext cx="13370040" cy="1272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819360</xdr:colOff>
      <xdr:row>27</xdr:row>
      <xdr:rowOff>73800</xdr:rowOff>
    </xdr:to>
    <xdr:sp>
      <xdr:nvSpPr>
        <xdr:cNvPr id="1" name="CustomShape 1" hidden="1"/>
        <xdr:cNvSpPr/>
      </xdr:nvSpPr>
      <xdr:spPr>
        <a:xfrm>
          <a:off x="0" y="0"/>
          <a:ext cx="5388120" cy="5458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1116720</xdr:colOff>
      <xdr:row>66</xdr:row>
      <xdr:rowOff>151560</xdr:rowOff>
    </xdr:to>
    <xdr:sp>
      <xdr:nvSpPr>
        <xdr:cNvPr id="2" name="CustomShape 1" hidden="1"/>
        <xdr:cNvSpPr/>
      </xdr:nvSpPr>
      <xdr:spPr>
        <a:xfrm>
          <a:off x="0" y="0"/>
          <a:ext cx="13372200" cy="12730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26</xdr:col>
      <xdr:colOff>35280</xdr:colOff>
      <xdr:row>118</xdr:row>
      <xdr:rowOff>276480</xdr:rowOff>
    </xdr:to>
    <xdr:sp>
      <xdr:nvSpPr>
        <xdr:cNvPr id="123" name="CustomShape 1" hidden="1"/>
        <xdr:cNvSpPr/>
      </xdr:nvSpPr>
      <xdr:spPr>
        <a:xfrm>
          <a:off x="0" y="0"/>
          <a:ext cx="13424760" cy="1292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35280</xdr:colOff>
      <xdr:row>118</xdr:row>
      <xdr:rowOff>276480</xdr:rowOff>
    </xdr:to>
    <xdr:sp>
      <xdr:nvSpPr>
        <xdr:cNvPr id="124" name="CustomShape 1" hidden="1"/>
        <xdr:cNvSpPr/>
      </xdr:nvSpPr>
      <xdr:spPr>
        <a:xfrm>
          <a:off x="0" y="0"/>
          <a:ext cx="13424760" cy="1292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35280</xdr:colOff>
      <xdr:row>118</xdr:row>
      <xdr:rowOff>276480</xdr:rowOff>
    </xdr:to>
    <xdr:sp>
      <xdr:nvSpPr>
        <xdr:cNvPr id="125" name="CustomShape 1" hidden="1"/>
        <xdr:cNvSpPr/>
      </xdr:nvSpPr>
      <xdr:spPr>
        <a:xfrm>
          <a:off x="0" y="0"/>
          <a:ext cx="13424760" cy="1292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35280</xdr:colOff>
      <xdr:row>118</xdr:row>
      <xdr:rowOff>276480</xdr:rowOff>
    </xdr:to>
    <xdr:sp>
      <xdr:nvSpPr>
        <xdr:cNvPr id="126" name="CustomShape 1" hidden="1"/>
        <xdr:cNvSpPr/>
      </xdr:nvSpPr>
      <xdr:spPr>
        <a:xfrm>
          <a:off x="0" y="0"/>
          <a:ext cx="13424760" cy="1292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35280</xdr:colOff>
      <xdr:row>118</xdr:row>
      <xdr:rowOff>276480</xdr:rowOff>
    </xdr:to>
    <xdr:sp>
      <xdr:nvSpPr>
        <xdr:cNvPr id="127" name="CustomShape 1" hidden="1"/>
        <xdr:cNvSpPr/>
      </xdr:nvSpPr>
      <xdr:spPr>
        <a:xfrm>
          <a:off x="0" y="0"/>
          <a:ext cx="13424760" cy="1292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204480</xdr:colOff>
      <xdr:row>51</xdr:row>
      <xdr:rowOff>187920</xdr:rowOff>
    </xdr:to>
    <xdr:sp>
      <xdr:nvSpPr>
        <xdr:cNvPr id="128" name="CustomShape 1" hidden="1"/>
        <xdr:cNvSpPr/>
      </xdr:nvSpPr>
      <xdr:spPr>
        <a:xfrm>
          <a:off x="0" y="0"/>
          <a:ext cx="5375880" cy="563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204480</xdr:colOff>
      <xdr:row>51</xdr:row>
      <xdr:rowOff>187920</xdr:rowOff>
    </xdr:to>
    <xdr:sp>
      <xdr:nvSpPr>
        <xdr:cNvPr id="129" name="CustomShape 1" hidden="1"/>
        <xdr:cNvSpPr/>
      </xdr:nvSpPr>
      <xdr:spPr>
        <a:xfrm>
          <a:off x="0" y="0"/>
          <a:ext cx="5375880" cy="563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204480</xdr:colOff>
      <xdr:row>51</xdr:row>
      <xdr:rowOff>187920</xdr:rowOff>
    </xdr:to>
    <xdr:sp>
      <xdr:nvSpPr>
        <xdr:cNvPr id="130" name="CustomShape 1" hidden="1"/>
        <xdr:cNvSpPr/>
      </xdr:nvSpPr>
      <xdr:spPr>
        <a:xfrm>
          <a:off x="0" y="0"/>
          <a:ext cx="5375880" cy="563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204480</xdr:colOff>
      <xdr:row>51</xdr:row>
      <xdr:rowOff>187920</xdr:rowOff>
    </xdr:to>
    <xdr:sp>
      <xdr:nvSpPr>
        <xdr:cNvPr id="131" name="CustomShape 1" hidden="1"/>
        <xdr:cNvSpPr/>
      </xdr:nvSpPr>
      <xdr:spPr>
        <a:xfrm>
          <a:off x="0" y="0"/>
          <a:ext cx="5375880" cy="563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204480</xdr:colOff>
      <xdr:row>51</xdr:row>
      <xdr:rowOff>187920</xdr:rowOff>
    </xdr:to>
    <xdr:sp>
      <xdr:nvSpPr>
        <xdr:cNvPr id="132" name="CustomShape 1" hidden="1"/>
        <xdr:cNvSpPr/>
      </xdr:nvSpPr>
      <xdr:spPr>
        <a:xfrm>
          <a:off x="0" y="0"/>
          <a:ext cx="5375880" cy="563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37440</xdr:colOff>
      <xdr:row>118</xdr:row>
      <xdr:rowOff>113760</xdr:rowOff>
    </xdr:to>
    <xdr:sp>
      <xdr:nvSpPr>
        <xdr:cNvPr id="133" name="CustomShape 1" hidden="1"/>
        <xdr:cNvSpPr/>
      </xdr:nvSpPr>
      <xdr:spPr>
        <a:xfrm>
          <a:off x="0" y="0"/>
          <a:ext cx="13426920" cy="12762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37440</xdr:colOff>
      <xdr:row>118</xdr:row>
      <xdr:rowOff>113760</xdr:rowOff>
    </xdr:to>
    <xdr:sp>
      <xdr:nvSpPr>
        <xdr:cNvPr id="134" name="CustomShape 1" hidden="1"/>
        <xdr:cNvSpPr/>
      </xdr:nvSpPr>
      <xdr:spPr>
        <a:xfrm>
          <a:off x="0" y="0"/>
          <a:ext cx="13426920" cy="12762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37440</xdr:colOff>
      <xdr:row>118</xdr:row>
      <xdr:rowOff>113760</xdr:rowOff>
    </xdr:to>
    <xdr:sp>
      <xdr:nvSpPr>
        <xdr:cNvPr id="135" name="CustomShape 1" hidden="1"/>
        <xdr:cNvSpPr/>
      </xdr:nvSpPr>
      <xdr:spPr>
        <a:xfrm>
          <a:off x="0" y="0"/>
          <a:ext cx="13426920" cy="12762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37440</xdr:colOff>
      <xdr:row>118</xdr:row>
      <xdr:rowOff>113760</xdr:rowOff>
    </xdr:to>
    <xdr:sp>
      <xdr:nvSpPr>
        <xdr:cNvPr id="136" name="CustomShape 1" hidden="1"/>
        <xdr:cNvSpPr/>
      </xdr:nvSpPr>
      <xdr:spPr>
        <a:xfrm>
          <a:off x="0" y="0"/>
          <a:ext cx="13426920" cy="12762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37440</xdr:colOff>
      <xdr:row>118</xdr:row>
      <xdr:rowOff>113760</xdr:rowOff>
    </xdr:to>
    <xdr:sp>
      <xdr:nvSpPr>
        <xdr:cNvPr id="137" name="CustomShape 1" hidden="1"/>
        <xdr:cNvSpPr/>
      </xdr:nvSpPr>
      <xdr:spPr>
        <a:xfrm>
          <a:off x="0" y="0"/>
          <a:ext cx="13426920" cy="12762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26</xdr:col>
      <xdr:colOff>35280</xdr:colOff>
      <xdr:row>118</xdr:row>
      <xdr:rowOff>276480</xdr:rowOff>
    </xdr:to>
    <xdr:sp>
      <xdr:nvSpPr>
        <xdr:cNvPr id="138" name="CustomShape 1" hidden="1"/>
        <xdr:cNvSpPr/>
      </xdr:nvSpPr>
      <xdr:spPr>
        <a:xfrm>
          <a:off x="0" y="0"/>
          <a:ext cx="13424760" cy="1292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35280</xdr:colOff>
      <xdr:row>118</xdr:row>
      <xdr:rowOff>276480</xdr:rowOff>
    </xdr:to>
    <xdr:sp>
      <xdr:nvSpPr>
        <xdr:cNvPr id="139" name="CustomShape 1" hidden="1"/>
        <xdr:cNvSpPr/>
      </xdr:nvSpPr>
      <xdr:spPr>
        <a:xfrm>
          <a:off x="0" y="0"/>
          <a:ext cx="13424760" cy="1292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35280</xdr:colOff>
      <xdr:row>118</xdr:row>
      <xdr:rowOff>276480</xdr:rowOff>
    </xdr:to>
    <xdr:sp>
      <xdr:nvSpPr>
        <xdr:cNvPr id="140" name="CustomShape 1" hidden="1"/>
        <xdr:cNvSpPr/>
      </xdr:nvSpPr>
      <xdr:spPr>
        <a:xfrm>
          <a:off x="0" y="0"/>
          <a:ext cx="13424760" cy="1292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35280</xdr:colOff>
      <xdr:row>118</xdr:row>
      <xdr:rowOff>276480</xdr:rowOff>
    </xdr:to>
    <xdr:sp>
      <xdr:nvSpPr>
        <xdr:cNvPr id="141" name="CustomShape 1" hidden="1"/>
        <xdr:cNvSpPr/>
      </xdr:nvSpPr>
      <xdr:spPr>
        <a:xfrm>
          <a:off x="0" y="0"/>
          <a:ext cx="13424760" cy="1292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35280</xdr:colOff>
      <xdr:row>118</xdr:row>
      <xdr:rowOff>276480</xdr:rowOff>
    </xdr:to>
    <xdr:sp>
      <xdr:nvSpPr>
        <xdr:cNvPr id="142" name="CustomShape 1" hidden="1"/>
        <xdr:cNvSpPr/>
      </xdr:nvSpPr>
      <xdr:spPr>
        <a:xfrm>
          <a:off x="0" y="0"/>
          <a:ext cx="13424760" cy="1292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204480</xdr:colOff>
      <xdr:row>51</xdr:row>
      <xdr:rowOff>187920</xdr:rowOff>
    </xdr:to>
    <xdr:sp>
      <xdr:nvSpPr>
        <xdr:cNvPr id="143" name="CustomShape 1" hidden="1"/>
        <xdr:cNvSpPr/>
      </xdr:nvSpPr>
      <xdr:spPr>
        <a:xfrm>
          <a:off x="0" y="0"/>
          <a:ext cx="5375880" cy="563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204480</xdr:colOff>
      <xdr:row>51</xdr:row>
      <xdr:rowOff>187920</xdr:rowOff>
    </xdr:to>
    <xdr:sp>
      <xdr:nvSpPr>
        <xdr:cNvPr id="144" name="CustomShape 1" hidden="1"/>
        <xdr:cNvSpPr/>
      </xdr:nvSpPr>
      <xdr:spPr>
        <a:xfrm>
          <a:off x="0" y="0"/>
          <a:ext cx="5375880" cy="563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204480</xdr:colOff>
      <xdr:row>51</xdr:row>
      <xdr:rowOff>187920</xdr:rowOff>
    </xdr:to>
    <xdr:sp>
      <xdr:nvSpPr>
        <xdr:cNvPr id="145" name="CustomShape 1" hidden="1"/>
        <xdr:cNvSpPr/>
      </xdr:nvSpPr>
      <xdr:spPr>
        <a:xfrm>
          <a:off x="0" y="0"/>
          <a:ext cx="5375880" cy="563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204480</xdr:colOff>
      <xdr:row>51</xdr:row>
      <xdr:rowOff>187920</xdr:rowOff>
    </xdr:to>
    <xdr:sp>
      <xdr:nvSpPr>
        <xdr:cNvPr id="146" name="CustomShape 1" hidden="1"/>
        <xdr:cNvSpPr/>
      </xdr:nvSpPr>
      <xdr:spPr>
        <a:xfrm>
          <a:off x="0" y="0"/>
          <a:ext cx="5375880" cy="563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204480</xdr:colOff>
      <xdr:row>51</xdr:row>
      <xdr:rowOff>187920</xdr:rowOff>
    </xdr:to>
    <xdr:sp>
      <xdr:nvSpPr>
        <xdr:cNvPr id="147" name="CustomShape 1" hidden="1"/>
        <xdr:cNvSpPr/>
      </xdr:nvSpPr>
      <xdr:spPr>
        <a:xfrm>
          <a:off x="0" y="0"/>
          <a:ext cx="5375880" cy="563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37440</xdr:colOff>
      <xdr:row>118</xdr:row>
      <xdr:rowOff>113760</xdr:rowOff>
    </xdr:to>
    <xdr:sp>
      <xdr:nvSpPr>
        <xdr:cNvPr id="148" name="CustomShape 1" hidden="1"/>
        <xdr:cNvSpPr/>
      </xdr:nvSpPr>
      <xdr:spPr>
        <a:xfrm>
          <a:off x="0" y="0"/>
          <a:ext cx="13426920" cy="12762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37440</xdr:colOff>
      <xdr:row>118</xdr:row>
      <xdr:rowOff>113760</xdr:rowOff>
    </xdr:to>
    <xdr:sp>
      <xdr:nvSpPr>
        <xdr:cNvPr id="149" name="CustomShape 1" hidden="1"/>
        <xdr:cNvSpPr/>
      </xdr:nvSpPr>
      <xdr:spPr>
        <a:xfrm>
          <a:off x="0" y="0"/>
          <a:ext cx="13426920" cy="12762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37440</xdr:colOff>
      <xdr:row>118</xdr:row>
      <xdr:rowOff>113760</xdr:rowOff>
    </xdr:to>
    <xdr:sp>
      <xdr:nvSpPr>
        <xdr:cNvPr id="150" name="CustomShape 1" hidden="1"/>
        <xdr:cNvSpPr/>
      </xdr:nvSpPr>
      <xdr:spPr>
        <a:xfrm>
          <a:off x="0" y="0"/>
          <a:ext cx="13426920" cy="12762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37440</xdr:colOff>
      <xdr:row>118</xdr:row>
      <xdr:rowOff>113760</xdr:rowOff>
    </xdr:to>
    <xdr:sp>
      <xdr:nvSpPr>
        <xdr:cNvPr id="151" name="CustomShape 1" hidden="1"/>
        <xdr:cNvSpPr/>
      </xdr:nvSpPr>
      <xdr:spPr>
        <a:xfrm>
          <a:off x="0" y="0"/>
          <a:ext cx="13426920" cy="12762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37440</xdr:colOff>
      <xdr:row>118</xdr:row>
      <xdr:rowOff>113760</xdr:rowOff>
    </xdr:to>
    <xdr:sp>
      <xdr:nvSpPr>
        <xdr:cNvPr id="152" name="CustomShape 1" hidden="1"/>
        <xdr:cNvSpPr/>
      </xdr:nvSpPr>
      <xdr:spPr>
        <a:xfrm>
          <a:off x="0" y="0"/>
          <a:ext cx="13426920" cy="12762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26</xdr:col>
      <xdr:colOff>35280</xdr:colOff>
      <xdr:row>118</xdr:row>
      <xdr:rowOff>276480</xdr:rowOff>
    </xdr:to>
    <xdr:sp>
      <xdr:nvSpPr>
        <xdr:cNvPr id="153" name="CustomShape 1" hidden="1"/>
        <xdr:cNvSpPr/>
      </xdr:nvSpPr>
      <xdr:spPr>
        <a:xfrm>
          <a:off x="0" y="0"/>
          <a:ext cx="13424760" cy="1292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35280</xdr:colOff>
      <xdr:row>118</xdr:row>
      <xdr:rowOff>276480</xdr:rowOff>
    </xdr:to>
    <xdr:sp>
      <xdr:nvSpPr>
        <xdr:cNvPr id="154" name="CustomShape 1" hidden="1"/>
        <xdr:cNvSpPr/>
      </xdr:nvSpPr>
      <xdr:spPr>
        <a:xfrm>
          <a:off x="0" y="0"/>
          <a:ext cx="13424760" cy="1292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35280</xdr:colOff>
      <xdr:row>118</xdr:row>
      <xdr:rowOff>276480</xdr:rowOff>
    </xdr:to>
    <xdr:sp>
      <xdr:nvSpPr>
        <xdr:cNvPr id="155" name="CustomShape 1" hidden="1"/>
        <xdr:cNvSpPr/>
      </xdr:nvSpPr>
      <xdr:spPr>
        <a:xfrm>
          <a:off x="0" y="0"/>
          <a:ext cx="13424760" cy="1292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35280</xdr:colOff>
      <xdr:row>118</xdr:row>
      <xdr:rowOff>276480</xdr:rowOff>
    </xdr:to>
    <xdr:sp>
      <xdr:nvSpPr>
        <xdr:cNvPr id="156" name="CustomShape 1" hidden="1"/>
        <xdr:cNvSpPr/>
      </xdr:nvSpPr>
      <xdr:spPr>
        <a:xfrm>
          <a:off x="0" y="0"/>
          <a:ext cx="13424760" cy="1292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35280</xdr:colOff>
      <xdr:row>118</xdr:row>
      <xdr:rowOff>276480</xdr:rowOff>
    </xdr:to>
    <xdr:sp>
      <xdr:nvSpPr>
        <xdr:cNvPr id="157" name="CustomShape 1" hidden="1"/>
        <xdr:cNvSpPr/>
      </xdr:nvSpPr>
      <xdr:spPr>
        <a:xfrm>
          <a:off x="0" y="0"/>
          <a:ext cx="13424760" cy="1292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204480</xdr:colOff>
      <xdr:row>51</xdr:row>
      <xdr:rowOff>187920</xdr:rowOff>
    </xdr:to>
    <xdr:sp>
      <xdr:nvSpPr>
        <xdr:cNvPr id="158" name="CustomShape 1" hidden="1"/>
        <xdr:cNvSpPr/>
      </xdr:nvSpPr>
      <xdr:spPr>
        <a:xfrm>
          <a:off x="0" y="0"/>
          <a:ext cx="5375880" cy="563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204480</xdr:colOff>
      <xdr:row>51</xdr:row>
      <xdr:rowOff>187920</xdr:rowOff>
    </xdr:to>
    <xdr:sp>
      <xdr:nvSpPr>
        <xdr:cNvPr id="159" name="CustomShape 1" hidden="1"/>
        <xdr:cNvSpPr/>
      </xdr:nvSpPr>
      <xdr:spPr>
        <a:xfrm>
          <a:off x="0" y="0"/>
          <a:ext cx="5375880" cy="563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204480</xdr:colOff>
      <xdr:row>51</xdr:row>
      <xdr:rowOff>187920</xdr:rowOff>
    </xdr:to>
    <xdr:sp>
      <xdr:nvSpPr>
        <xdr:cNvPr id="160" name="CustomShape 1" hidden="1"/>
        <xdr:cNvSpPr/>
      </xdr:nvSpPr>
      <xdr:spPr>
        <a:xfrm>
          <a:off x="0" y="0"/>
          <a:ext cx="5375880" cy="563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204480</xdr:colOff>
      <xdr:row>51</xdr:row>
      <xdr:rowOff>187920</xdr:rowOff>
    </xdr:to>
    <xdr:sp>
      <xdr:nvSpPr>
        <xdr:cNvPr id="161" name="CustomShape 1" hidden="1"/>
        <xdr:cNvSpPr/>
      </xdr:nvSpPr>
      <xdr:spPr>
        <a:xfrm>
          <a:off x="0" y="0"/>
          <a:ext cx="5375880" cy="563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204480</xdr:colOff>
      <xdr:row>51</xdr:row>
      <xdr:rowOff>187920</xdr:rowOff>
    </xdr:to>
    <xdr:sp>
      <xdr:nvSpPr>
        <xdr:cNvPr id="162" name="CustomShape 1" hidden="1"/>
        <xdr:cNvSpPr/>
      </xdr:nvSpPr>
      <xdr:spPr>
        <a:xfrm>
          <a:off x="0" y="0"/>
          <a:ext cx="5375880" cy="563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37440</xdr:colOff>
      <xdr:row>118</xdr:row>
      <xdr:rowOff>113760</xdr:rowOff>
    </xdr:to>
    <xdr:sp>
      <xdr:nvSpPr>
        <xdr:cNvPr id="163" name="CustomShape 1" hidden="1"/>
        <xdr:cNvSpPr/>
      </xdr:nvSpPr>
      <xdr:spPr>
        <a:xfrm>
          <a:off x="0" y="0"/>
          <a:ext cx="13426920" cy="12762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37440</xdr:colOff>
      <xdr:row>118</xdr:row>
      <xdr:rowOff>113760</xdr:rowOff>
    </xdr:to>
    <xdr:sp>
      <xdr:nvSpPr>
        <xdr:cNvPr id="164" name="CustomShape 1" hidden="1"/>
        <xdr:cNvSpPr/>
      </xdr:nvSpPr>
      <xdr:spPr>
        <a:xfrm>
          <a:off x="0" y="0"/>
          <a:ext cx="13426920" cy="12762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37440</xdr:colOff>
      <xdr:row>118</xdr:row>
      <xdr:rowOff>113760</xdr:rowOff>
    </xdr:to>
    <xdr:sp>
      <xdr:nvSpPr>
        <xdr:cNvPr id="165" name="CustomShape 1" hidden="1"/>
        <xdr:cNvSpPr/>
      </xdr:nvSpPr>
      <xdr:spPr>
        <a:xfrm>
          <a:off x="0" y="0"/>
          <a:ext cx="13426920" cy="12762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37440</xdr:colOff>
      <xdr:row>118</xdr:row>
      <xdr:rowOff>113760</xdr:rowOff>
    </xdr:to>
    <xdr:sp>
      <xdr:nvSpPr>
        <xdr:cNvPr id="166" name="CustomShape 1" hidden="1"/>
        <xdr:cNvSpPr/>
      </xdr:nvSpPr>
      <xdr:spPr>
        <a:xfrm>
          <a:off x="0" y="0"/>
          <a:ext cx="13426920" cy="12762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37440</xdr:colOff>
      <xdr:row>118</xdr:row>
      <xdr:rowOff>113760</xdr:rowOff>
    </xdr:to>
    <xdr:sp>
      <xdr:nvSpPr>
        <xdr:cNvPr id="167" name="CustomShape 1" hidden="1"/>
        <xdr:cNvSpPr/>
      </xdr:nvSpPr>
      <xdr:spPr>
        <a:xfrm>
          <a:off x="0" y="0"/>
          <a:ext cx="13426920" cy="12762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26</xdr:col>
      <xdr:colOff>35280</xdr:colOff>
      <xdr:row>118</xdr:row>
      <xdr:rowOff>276480</xdr:rowOff>
    </xdr:to>
    <xdr:sp>
      <xdr:nvSpPr>
        <xdr:cNvPr id="168" name="CustomShape 1" hidden="1"/>
        <xdr:cNvSpPr/>
      </xdr:nvSpPr>
      <xdr:spPr>
        <a:xfrm>
          <a:off x="0" y="0"/>
          <a:ext cx="13424760" cy="1292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35280</xdr:colOff>
      <xdr:row>118</xdr:row>
      <xdr:rowOff>276480</xdr:rowOff>
    </xdr:to>
    <xdr:sp>
      <xdr:nvSpPr>
        <xdr:cNvPr id="169" name="CustomShape 1" hidden="1"/>
        <xdr:cNvSpPr/>
      </xdr:nvSpPr>
      <xdr:spPr>
        <a:xfrm>
          <a:off x="0" y="0"/>
          <a:ext cx="13424760" cy="1292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35280</xdr:colOff>
      <xdr:row>118</xdr:row>
      <xdr:rowOff>276480</xdr:rowOff>
    </xdr:to>
    <xdr:sp>
      <xdr:nvSpPr>
        <xdr:cNvPr id="170" name="CustomShape 1" hidden="1"/>
        <xdr:cNvSpPr/>
      </xdr:nvSpPr>
      <xdr:spPr>
        <a:xfrm>
          <a:off x="0" y="0"/>
          <a:ext cx="13424760" cy="1292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35280</xdr:colOff>
      <xdr:row>118</xdr:row>
      <xdr:rowOff>276480</xdr:rowOff>
    </xdr:to>
    <xdr:sp>
      <xdr:nvSpPr>
        <xdr:cNvPr id="171" name="CustomShape 1" hidden="1"/>
        <xdr:cNvSpPr/>
      </xdr:nvSpPr>
      <xdr:spPr>
        <a:xfrm>
          <a:off x="0" y="0"/>
          <a:ext cx="13424760" cy="1292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35280</xdr:colOff>
      <xdr:row>118</xdr:row>
      <xdr:rowOff>276480</xdr:rowOff>
    </xdr:to>
    <xdr:sp>
      <xdr:nvSpPr>
        <xdr:cNvPr id="172" name="CustomShape 1" hidden="1"/>
        <xdr:cNvSpPr/>
      </xdr:nvSpPr>
      <xdr:spPr>
        <a:xfrm>
          <a:off x="0" y="0"/>
          <a:ext cx="13424760" cy="1292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204480</xdr:colOff>
      <xdr:row>51</xdr:row>
      <xdr:rowOff>187920</xdr:rowOff>
    </xdr:to>
    <xdr:sp>
      <xdr:nvSpPr>
        <xdr:cNvPr id="173" name="CustomShape 1" hidden="1"/>
        <xdr:cNvSpPr/>
      </xdr:nvSpPr>
      <xdr:spPr>
        <a:xfrm>
          <a:off x="0" y="0"/>
          <a:ext cx="5375880" cy="563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204480</xdr:colOff>
      <xdr:row>51</xdr:row>
      <xdr:rowOff>187920</xdr:rowOff>
    </xdr:to>
    <xdr:sp>
      <xdr:nvSpPr>
        <xdr:cNvPr id="174" name="CustomShape 1" hidden="1"/>
        <xdr:cNvSpPr/>
      </xdr:nvSpPr>
      <xdr:spPr>
        <a:xfrm>
          <a:off x="0" y="0"/>
          <a:ext cx="5375880" cy="563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204480</xdr:colOff>
      <xdr:row>51</xdr:row>
      <xdr:rowOff>187920</xdr:rowOff>
    </xdr:to>
    <xdr:sp>
      <xdr:nvSpPr>
        <xdr:cNvPr id="175" name="CustomShape 1" hidden="1"/>
        <xdr:cNvSpPr/>
      </xdr:nvSpPr>
      <xdr:spPr>
        <a:xfrm>
          <a:off x="0" y="0"/>
          <a:ext cx="5375880" cy="563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204480</xdr:colOff>
      <xdr:row>51</xdr:row>
      <xdr:rowOff>187920</xdr:rowOff>
    </xdr:to>
    <xdr:sp>
      <xdr:nvSpPr>
        <xdr:cNvPr id="176" name="CustomShape 1" hidden="1"/>
        <xdr:cNvSpPr/>
      </xdr:nvSpPr>
      <xdr:spPr>
        <a:xfrm>
          <a:off x="0" y="0"/>
          <a:ext cx="5375880" cy="563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204480</xdr:colOff>
      <xdr:row>51</xdr:row>
      <xdr:rowOff>187920</xdr:rowOff>
    </xdr:to>
    <xdr:sp>
      <xdr:nvSpPr>
        <xdr:cNvPr id="177" name="CustomShape 1" hidden="1"/>
        <xdr:cNvSpPr/>
      </xdr:nvSpPr>
      <xdr:spPr>
        <a:xfrm>
          <a:off x="0" y="0"/>
          <a:ext cx="5375880" cy="563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37440</xdr:colOff>
      <xdr:row>118</xdr:row>
      <xdr:rowOff>113760</xdr:rowOff>
    </xdr:to>
    <xdr:sp>
      <xdr:nvSpPr>
        <xdr:cNvPr id="178" name="CustomShape 1" hidden="1"/>
        <xdr:cNvSpPr/>
      </xdr:nvSpPr>
      <xdr:spPr>
        <a:xfrm>
          <a:off x="0" y="0"/>
          <a:ext cx="13426920" cy="12762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37440</xdr:colOff>
      <xdr:row>118</xdr:row>
      <xdr:rowOff>113760</xdr:rowOff>
    </xdr:to>
    <xdr:sp>
      <xdr:nvSpPr>
        <xdr:cNvPr id="179" name="CustomShape 1" hidden="1"/>
        <xdr:cNvSpPr/>
      </xdr:nvSpPr>
      <xdr:spPr>
        <a:xfrm>
          <a:off x="0" y="0"/>
          <a:ext cx="13426920" cy="12762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37440</xdr:colOff>
      <xdr:row>118</xdr:row>
      <xdr:rowOff>113760</xdr:rowOff>
    </xdr:to>
    <xdr:sp>
      <xdr:nvSpPr>
        <xdr:cNvPr id="180" name="CustomShape 1" hidden="1"/>
        <xdr:cNvSpPr/>
      </xdr:nvSpPr>
      <xdr:spPr>
        <a:xfrm>
          <a:off x="0" y="0"/>
          <a:ext cx="13426920" cy="12762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37440</xdr:colOff>
      <xdr:row>118</xdr:row>
      <xdr:rowOff>113760</xdr:rowOff>
    </xdr:to>
    <xdr:sp>
      <xdr:nvSpPr>
        <xdr:cNvPr id="181" name="CustomShape 1" hidden="1"/>
        <xdr:cNvSpPr/>
      </xdr:nvSpPr>
      <xdr:spPr>
        <a:xfrm>
          <a:off x="0" y="0"/>
          <a:ext cx="13426920" cy="12762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37440</xdr:colOff>
      <xdr:row>118</xdr:row>
      <xdr:rowOff>113760</xdr:rowOff>
    </xdr:to>
    <xdr:sp>
      <xdr:nvSpPr>
        <xdr:cNvPr id="182" name="CustomShape 1" hidden="1"/>
        <xdr:cNvSpPr/>
      </xdr:nvSpPr>
      <xdr:spPr>
        <a:xfrm>
          <a:off x="0" y="0"/>
          <a:ext cx="13426920" cy="12762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26</xdr:col>
      <xdr:colOff>35280</xdr:colOff>
      <xdr:row>118</xdr:row>
      <xdr:rowOff>276480</xdr:rowOff>
    </xdr:to>
    <xdr:sp>
      <xdr:nvSpPr>
        <xdr:cNvPr id="3" name="CustomShape 1" hidden="1"/>
        <xdr:cNvSpPr/>
      </xdr:nvSpPr>
      <xdr:spPr>
        <a:xfrm>
          <a:off x="0" y="0"/>
          <a:ext cx="13424760" cy="12760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35280</xdr:colOff>
      <xdr:row>118</xdr:row>
      <xdr:rowOff>276480</xdr:rowOff>
    </xdr:to>
    <xdr:sp>
      <xdr:nvSpPr>
        <xdr:cNvPr id="4" name="CustomShape 1" hidden="1"/>
        <xdr:cNvSpPr/>
      </xdr:nvSpPr>
      <xdr:spPr>
        <a:xfrm>
          <a:off x="0" y="0"/>
          <a:ext cx="13424760" cy="12760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35280</xdr:colOff>
      <xdr:row>118</xdr:row>
      <xdr:rowOff>276480</xdr:rowOff>
    </xdr:to>
    <xdr:sp>
      <xdr:nvSpPr>
        <xdr:cNvPr id="5" name="CustomShape 1" hidden="1"/>
        <xdr:cNvSpPr/>
      </xdr:nvSpPr>
      <xdr:spPr>
        <a:xfrm>
          <a:off x="0" y="0"/>
          <a:ext cx="13424760" cy="12760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35280</xdr:colOff>
      <xdr:row>118</xdr:row>
      <xdr:rowOff>276480</xdr:rowOff>
    </xdr:to>
    <xdr:sp>
      <xdr:nvSpPr>
        <xdr:cNvPr id="6" name="CustomShape 1" hidden="1"/>
        <xdr:cNvSpPr/>
      </xdr:nvSpPr>
      <xdr:spPr>
        <a:xfrm>
          <a:off x="0" y="0"/>
          <a:ext cx="13424760" cy="12760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35280</xdr:colOff>
      <xdr:row>118</xdr:row>
      <xdr:rowOff>276480</xdr:rowOff>
    </xdr:to>
    <xdr:sp>
      <xdr:nvSpPr>
        <xdr:cNvPr id="7" name="CustomShape 1" hidden="1"/>
        <xdr:cNvSpPr/>
      </xdr:nvSpPr>
      <xdr:spPr>
        <a:xfrm>
          <a:off x="0" y="0"/>
          <a:ext cx="13424760" cy="12760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204480</xdr:colOff>
      <xdr:row>51</xdr:row>
      <xdr:rowOff>187920</xdr:rowOff>
    </xdr:to>
    <xdr:sp>
      <xdr:nvSpPr>
        <xdr:cNvPr id="8" name="CustomShape 1" hidden="1"/>
        <xdr:cNvSpPr/>
      </xdr:nvSpPr>
      <xdr:spPr>
        <a:xfrm>
          <a:off x="0" y="0"/>
          <a:ext cx="5375880" cy="5470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204480</xdr:colOff>
      <xdr:row>51</xdr:row>
      <xdr:rowOff>187920</xdr:rowOff>
    </xdr:to>
    <xdr:sp>
      <xdr:nvSpPr>
        <xdr:cNvPr id="9" name="CustomShape 1" hidden="1"/>
        <xdr:cNvSpPr/>
      </xdr:nvSpPr>
      <xdr:spPr>
        <a:xfrm>
          <a:off x="0" y="0"/>
          <a:ext cx="5375880" cy="5470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204480</xdr:colOff>
      <xdr:row>51</xdr:row>
      <xdr:rowOff>187920</xdr:rowOff>
    </xdr:to>
    <xdr:sp>
      <xdr:nvSpPr>
        <xdr:cNvPr id="10" name="CustomShape 1" hidden="1"/>
        <xdr:cNvSpPr/>
      </xdr:nvSpPr>
      <xdr:spPr>
        <a:xfrm>
          <a:off x="0" y="0"/>
          <a:ext cx="5375880" cy="5470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204480</xdr:colOff>
      <xdr:row>51</xdr:row>
      <xdr:rowOff>187920</xdr:rowOff>
    </xdr:to>
    <xdr:sp>
      <xdr:nvSpPr>
        <xdr:cNvPr id="11" name="CustomShape 1" hidden="1"/>
        <xdr:cNvSpPr/>
      </xdr:nvSpPr>
      <xdr:spPr>
        <a:xfrm>
          <a:off x="0" y="0"/>
          <a:ext cx="5375880" cy="5470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204480</xdr:colOff>
      <xdr:row>51</xdr:row>
      <xdr:rowOff>187920</xdr:rowOff>
    </xdr:to>
    <xdr:sp>
      <xdr:nvSpPr>
        <xdr:cNvPr id="12" name="CustomShape 1" hidden="1"/>
        <xdr:cNvSpPr/>
      </xdr:nvSpPr>
      <xdr:spPr>
        <a:xfrm>
          <a:off x="0" y="0"/>
          <a:ext cx="5375880" cy="5470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37440</xdr:colOff>
      <xdr:row>118</xdr:row>
      <xdr:rowOff>278640</xdr:rowOff>
    </xdr:to>
    <xdr:sp>
      <xdr:nvSpPr>
        <xdr:cNvPr id="13" name="CustomShape 1" hidden="1"/>
        <xdr:cNvSpPr/>
      </xdr:nvSpPr>
      <xdr:spPr>
        <a:xfrm>
          <a:off x="0" y="0"/>
          <a:ext cx="13426920" cy="12762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37440</xdr:colOff>
      <xdr:row>118</xdr:row>
      <xdr:rowOff>278640</xdr:rowOff>
    </xdr:to>
    <xdr:sp>
      <xdr:nvSpPr>
        <xdr:cNvPr id="14" name="CustomShape 1" hidden="1"/>
        <xdr:cNvSpPr/>
      </xdr:nvSpPr>
      <xdr:spPr>
        <a:xfrm>
          <a:off x="0" y="0"/>
          <a:ext cx="13426920" cy="12762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37440</xdr:colOff>
      <xdr:row>118</xdr:row>
      <xdr:rowOff>278640</xdr:rowOff>
    </xdr:to>
    <xdr:sp>
      <xdr:nvSpPr>
        <xdr:cNvPr id="15" name="CustomShape 1" hidden="1"/>
        <xdr:cNvSpPr/>
      </xdr:nvSpPr>
      <xdr:spPr>
        <a:xfrm>
          <a:off x="0" y="0"/>
          <a:ext cx="13426920" cy="12762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37440</xdr:colOff>
      <xdr:row>118</xdr:row>
      <xdr:rowOff>278640</xdr:rowOff>
    </xdr:to>
    <xdr:sp>
      <xdr:nvSpPr>
        <xdr:cNvPr id="16" name="CustomShape 1" hidden="1"/>
        <xdr:cNvSpPr/>
      </xdr:nvSpPr>
      <xdr:spPr>
        <a:xfrm>
          <a:off x="0" y="0"/>
          <a:ext cx="13426920" cy="12762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37440</xdr:colOff>
      <xdr:row>118</xdr:row>
      <xdr:rowOff>278640</xdr:rowOff>
    </xdr:to>
    <xdr:sp>
      <xdr:nvSpPr>
        <xdr:cNvPr id="17" name="CustomShape 1" hidden="1"/>
        <xdr:cNvSpPr/>
      </xdr:nvSpPr>
      <xdr:spPr>
        <a:xfrm>
          <a:off x="0" y="0"/>
          <a:ext cx="13426920" cy="12762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26</xdr:col>
      <xdr:colOff>35280</xdr:colOff>
      <xdr:row>118</xdr:row>
      <xdr:rowOff>276480</xdr:rowOff>
    </xdr:to>
    <xdr:sp>
      <xdr:nvSpPr>
        <xdr:cNvPr id="18" name="CustomShape 1" hidden="1"/>
        <xdr:cNvSpPr/>
      </xdr:nvSpPr>
      <xdr:spPr>
        <a:xfrm>
          <a:off x="0" y="0"/>
          <a:ext cx="13424760" cy="1292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35280</xdr:colOff>
      <xdr:row>118</xdr:row>
      <xdr:rowOff>276480</xdr:rowOff>
    </xdr:to>
    <xdr:sp>
      <xdr:nvSpPr>
        <xdr:cNvPr id="19" name="CustomShape 1" hidden="1"/>
        <xdr:cNvSpPr/>
      </xdr:nvSpPr>
      <xdr:spPr>
        <a:xfrm>
          <a:off x="0" y="0"/>
          <a:ext cx="13424760" cy="1292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35280</xdr:colOff>
      <xdr:row>118</xdr:row>
      <xdr:rowOff>276480</xdr:rowOff>
    </xdr:to>
    <xdr:sp>
      <xdr:nvSpPr>
        <xdr:cNvPr id="20" name="CustomShape 1" hidden="1"/>
        <xdr:cNvSpPr/>
      </xdr:nvSpPr>
      <xdr:spPr>
        <a:xfrm>
          <a:off x="0" y="0"/>
          <a:ext cx="13424760" cy="1292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35280</xdr:colOff>
      <xdr:row>118</xdr:row>
      <xdr:rowOff>276480</xdr:rowOff>
    </xdr:to>
    <xdr:sp>
      <xdr:nvSpPr>
        <xdr:cNvPr id="21" name="CustomShape 1" hidden="1"/>
        <xdr:cNvSpPr/>
      </xdr:nvSpPr>
      <xdr:spPr>
        <a:xfrm>
          <a:off x="0" y="0"/>
          <a:ext cx="13424760" cy="1292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35280</xdr:colOff>
      <xdr:row>118</xdr:row>
      <xdr:rowOff>276480</xdr:rowOff>
    </xdr:to>
    <xdr:sp>
      <xdr:nvSpPr>
        <xdr:cNvPr id="22" name="CustomShape 1" hidden="1"/>
        <xdr:cNvSpPr/>
      </xdr:nvSpPr>
      <xdr:spPr>
        <a:xfrm>
          <a:off x="0" y="0"/>
          <a:ext cx="13424760" cy="1292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204480</xdr:colOff>
      <xdr:row>51</xdr:row>
      <xdr:rowOff>187920</xdr:rowOff>
    </xdr:to>
    <xdr:sp>
      <xdr:nvSpPr>
        <xdr:cNvPr id="23" name="CustomShape 1" hidden="1"/>
        <xdr:cNvSpPr/>
      </xdr:nvSpPr>
      <xdr:spPr>
        <a:xfrm>
          <a:off x="0" y="0"/>
          <a:ext cx="5375880" cy="563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204480</xdr:colOff>
      <xdr:row>51</xdr:row>
      <xdr:rowOff>187920</xdr:rowOff>
    </xdr:to>
    <xdr:sp>
      <xdr:nvSpPr>
        <xdr:cNvPr id="24" name="CustomShape 1" hidden="1"/>
        <xdr:cNvSpPr/>
      </xdr:nvSpPr>
      <xdr:spPr>
        <a:xfrm>
          <a:off x="0" y="0"/>
          <a:ext cx="5375880" cy="563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204480</xdr:colOff>
      <xdr:row>51</xdr:row>
      <xdr:rowOff>187920</xdr:rowOff>
    </xdr:to>
    <xdr:sp>
      <xdr:nvSpPr>
        <xdr:cNvPr id="25" name="CustomShape 1" hidden="1"/>
        <xdr:cNvSpPr/>
      </xdr:nvSpPr>
      <xdr:spPr>
        <a:xfrm>
          <a:off x="0" y="0"/>
          <a:ext cx="5375880" cy="563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204480</xdr:colOff>
      <xdr:row>51</xdr:row>
      <xdr:rowOff>187920</xdr:rowOff>
    </xdr:to>
    <xdr:sp>
      <xdr:nvSpPr>
        <xdr:cNvPr id="26" name="CustomShape 1" hidden="1"/>
        <xdr:cNvSpPr/>
      </xdr:nvSpPr>
      <xdr:spPr>
        <a:xfrm>
          <a:off x="0" y="0"/>
          <a:ext cx="5375880" cy="563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204480</xdr:colOff>
      <xdr:row>51</xdr:row>
      <xdr:rowOff>187920</xdr:rowOff>
    </xdr:to>
    <xdr:sp>
      <xdr:nvSpPr>
        <xdr:cNvPr id="27" name="CustomShape 1" hidden="1"/>
        <xdr:cNvSpPr/>
      </xdr:nvSpPr>
      <xdr:spPr>
        <a:xfrm>
          <a:off x="0" y="0"/>
          <a:ext cx="5375880" cy="563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37440</xdr:colOff>
      <xdr:row>118</xdr:row>
      <xdr:rowOff>113760</xdr:rowOff>
    </xdr:to>
    <xdr:sp>
      <xdr:nvSpPr>
        <xdr:cNvPr id="28" name="CustomShape 1" hidden="1"/>
        <xdr:cNvSpPr/>
      </xdr:nvSpPr>
      <xdr:spPr>
        <a:xfrm>
          <a:off x="0" y="0"/>
          <a:ext cx="13426920" cy="12762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37440</xdr:colOff>
      <xdr:row>118</xdr:row>
      <xdr:rowOff>113760</xdr:rowOff>
    </xdr:to>
    <xdr:sp>
      <xdr:nvSpPr>
        <xdr:cNvPr id="29" name="CustomShape 1" hidden="1"/>
        <xdr:cNvSpPr/>
      </xdr:nvSpPr>
      <xdr:spPr>
        <a:xfrm>
          <a:off x="0" y="0"/>
          <a:ext cx="13426920" cy="12762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37440</xdr:colOff>
      <xdr:row>118</xdr:row>
      <xdr:rowOff>113760</xdr:rowOff>
    </xdr:to>
    <xdr:sp>
      <xdr:nvSpPr>
        <xdr:cNvPr id="30" name="CustomShape 1" hidden="1"/>
        <xdr:cNvSpPr/>
      </xdr:nvSpPr>
      <xdr:spPr>
        <a:xfrm>
          <a:off x="0" y="0"/>
          <a:ext cx="13426920" cy="12762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37440</xdr:colOff>
      <xdr:row>118</xdr:row>
      <xdr:rowOff>113760</xdr:rowOff>
    </xdr:to>
    <xdr:sp>
      <xdr:nvSpPr>
        <xdr:cNvPr id="31" name="CustomShape 1" hidden="1"/>
        <xdr:cNvSpPr/>
      </xdr:nvSpPr>
      <xdr:spPr>
        <a:xfrm>
          <a:off x="0" y="0"/>
          <a:ext cx="13426920" cy="12762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37440</xdr:colOff>
      <xdr:row>118</xdr:row>
      <xdr:rowOff>113760</xdr:rowOff>
    </xdr:to>
    <xdr:sp>
      <xdr:nvSpPr>
        <xdr:cNvPr id="32" name="CustomShape 1" hidden="1"/>
        <xdr:cNvSpPr/>
      </xdr:nvSpPr>
      <xdr:spPr>
        <a:xfrm>
          <a:off x="0" y="0"/>
          <a:ext cx="13426920" cy="12762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26</xdr:col>
      <xdr:colOff>35280</xdr:colOff>
      <xdr:row>118</xdr:row>
      <xdr:rowOff>276480</xdr:rowOff>
    </xdr:to>
    <xdr:sp>
      <xdr:nvSpPr>
        <xdr:cNvPr id="33" name="CustomShape 1" hidden="1"/>
        <xdr:cNvSpPr/>
      </xdr:nvSpPr>
      <xdr:spPr>
        <a:xfrm>
          <a:off x="0" y="0"/>
          <a:ext cx="13424760" cy="1292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35280</xdr:colOff>
      <xdr:row>118</xdr:row>
      <xdr:rowOff>276480</xdr:rowOff>
    </xdr:to>
    <xdr:sp>
      <xdr:nvSpPr>
        <xdr:cNvPr id="34" name="CustomShape 1" hidden="1"/>
        <xdr:cNvSpPr/>
      </xdr:nvSpPr>
      <xdr:spPr>
        <a:xfrm>
          <a:off x="0" y="0"/>
          <a:ext cx="13424760" cy="1292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35280</xdr:colOff>
      <xdr:row>118</xdr:row>
      <xdr:rowOff>276480</xdr:rowOff>
    </xdr:to>
    <xdr:sp>
      <xdr:nvSpPr>
        <xdr:cNvPr id="35" name="CustomShape 1" hidden="1"/>
        <xdr:cNvSpPr/>
      </xdr:nvSpPr>
      <xdr:spPr>
        <a:xfrm>
          <a:off x="0" y="0"/>
          <a:ext cx="13424760" cy="1292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35280</xdr:colOff>
      <xdr:row>118</xdr:row>
      <xdr:rowOff>276480</xdr:rowOff>
    </xdr:to>
    <xdr:sp>
      <xdr:nvSpPr>
        <xdr:cNvPr id="36" name="CustomShape 1" hidden="1"/>
        <xdr:cNvSpPr/>
      </xdr:nvSpPr>
      <xdr:spPr>
        <a:xfrm>
          <a:off x="0" y="0"/>
          <a:ext cx="13424760" cy="1292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35280</xdr:colOff>
      <xdr:row>118</xdr:row>
      <xdr:rowOff>276480</xdr:rowOff>
    </xdr:to>
    <xdr:sp>
      <xdr:nvSpPr>
        <xdr:cNvPr id="37" name="CustomShape 1" hidden="1"/>
        <xdr:cNvSpPr/>
      </xdr:nvSpPr>
      <xdr:spPr>
        <a:xfrm>
          <a:off x="0" y="0"/>
          <a:ext cx="13424760" cy="1292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204480</xdr:colOff>
      <xdr:row>51</xdr:row>
      <xdr:rowOff>187920</xdr:rowOff>
    </xdr:to>
    <xdr:sp>
      <xdr:nvSpPr>
        <xdr:cNvPr id="38" name="CustomShape 1" hidden="1"/>
        <xdr:cNvSpPr/>
      </xdr:nvSpPr>
      <xdr:spPr>
        <a:xfrm>
          <a:off x="0" y="0"/>
          <a:ext cx="5375880" cy="563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204480</xdr:colOff>
      <xdr:row>51</xdr:row>
      <xdr:rowOff>187920</xdr:rowOff>
    </xdr:to>
    <xdr:sp>
      <xdr:nvSpPr>
        <xdr:cNvPr id="39" name="CustomShape 1" hidden="1"/>
        <xdr:cNvSpPr/>
      </xdr:nvSpPr>
      <xdr:spPr>
        <a:xfrm>
          <a:off x="0" y="0"/>
          <a:ext cx="5375880" cy="563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204480</xdr:colOff>
      <xdr:row>51</xdr:row>
      <xdr:rowOff>187920</xdr:rowOff>
    </xdr:to>
    <xdr:sp>
      <xdr:nvSpPr>
        <xdr:cNvPr id="40" name="CustomShape 1" hidden="1"/>
        <xdr:cNvSpPr/>
      </xdr:nvSpPr>
      <xdr:spPr>
        <a:xfrm>
          <a:off x="0" y="0"/>
          <a:ext cx="5375880" cy="563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204480</xdr:colOff>
      <xdr:row>51</xdr:row>
      <xdr:rowOff>187920</xdr:rowOff>
    </xdr:to>
    <xdr:sp>
      <xdr:nvSpPr>
        <xdr:cNvPr id="41" name="CustomShape 1" hidden="1"/>
        <xdr:cNvSpPr/>
      </xdr:nvSpPr>
      <xdr:spPr>
        <a:xfrm>
          <a:off x="0" y="0"/>
          <a:ext cx="5375880" cy="563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204480</xdr:colOff>
      <xdr:row>51</xdr:row>
      <xdr:rowOff>187920</xdr:rowOff>
    </xdr:to>
    <xdr:sp>
      <xdr:nvSpPr>
        <xdr:cNvPr id="42" name="CustomShape 1" hidden="1"/>
        <xdr:cNvSpPr/>
      </xdr:nvSpPr>
      <xdr:spPr>
        <a:xfrm>
          <a:off x="0" y="0"/>
          <a:ext cx="5375880" cy="563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37440</xdr:colOff>
      <xdr:row>118</xdr:row>
      <xdr:rowOff>113760</xdr:rowOff>
    </xdr:to>
    <xdr:sp>
      <xdr:nvSpPr>
        <xdr:cNvPr id="43" name="CustomShape 1" hidden="1"/>
        <xdr:cNvSpPr/>
      </xdr:nvSpPr>
      <xdr:spPr>
        <a:xfrm>
          <a:off x="0" y="0"/>
          <a:ext cx="13426920" cy="12762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37440</xdr:colOff>
      <xdr:row>118</xdr:row>
      <xdr:rowOff>113760</xdr:rowOff>
    </xdr:to>
    <xdr:sp>
      <xdr:nvSpPr>
        <xdr:cNvPr id="44" name="CustomShape 1" hidden="1"/>
        <xdr:cNvSpPr/>
      </xdr:nvSpPr>
      <xdr:spPr>
        <a:xfrm>
          <a:off x="0" y="0"/>
          <a:ext cx="13426920" cy="12762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37440</xdr:colOff>
      <xdr:row>118</xdr:row>
      <xdr:rowOff>113760</xdr:rowOff>
    </xdr:to>
    <xdr:sp>
      <xdr:nvSpPr>
        <xdr:cNvPr id="45" name="CustomShape 1" hidden="1"/>
        <xdr:cNvSpPr/>
      </xdr:nvSpPr>
      <xdr:spPr>
        <a:xfrm>
          <a:off x="0" y="0"/>
          <a:ext cx="13426920" cy="12762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37440</xdr:colOff>
      <xdr:row>118</xdr:row>
      <xdr:rowOff>113760</xdr:rowOff>
    </xdr:to>
    <xdr:sp>
      <xdr:nvSpPr>
        <xdr:cNvPr id="46" name="CustomShape 1" hidden="1"/>
        <xdr:cNvSpPr/>
      </xdr:nvSpPr>
      <xdr:spPr>
        <a:xfrm>
          <a:off x="0" y="0"/>
          <a:ext cx="13426920" cy="12762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37440</xdr:colOff>
      <xdr:row>118</xdr:row>
      <xdr:rowOff>113760</xdr:rowOff>
    </xdr:to>
    <xdr:sp>
      <xdr:nvSpPr>
        <xdr:cNvPr id="47" name="CustomShape 1" hidden="1"/>
        <xdr:cNvSpPr/>
      </xdr:nvSpPr>
      <xdr:spPr>
        <a:xfrm>
          <a:off x="0" y="0"/>
          <a:ext cx="13426920" cy="12762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26</xdr:col>
      <xdr:colOff>35280</xdr:colOff>
      <xdr:row>118</xdr:row>
      <xdr:rowOff>276480</xdr:rowOff>
    </xdr:to>
    <xdr:sp>
      <xdr:nvSpPr>
        <xdr:cNvPr id="48" name="CustomShape 1" hidden="1"/>
        <xdr:cNvSpPr/>
      </xdr:nvSpPr>
      <xdr:spPr>
        <a:xfrm>
          <a:off x="0" y="0"/>
          <a:ext cx="13424760" cy="1292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35280</xdr:colOff>
      <xdr:row>118</xdr:row>
      <xdr:rowOff>276480</xdr:rowOff>
    </xdr:to>
    <xdr:sp>
      <xdr:nvSpPr>
        <xdr:cNvPr id="49" name="CustomShape 1" hidden="1"/>
        <xdr:cNvSpPr/>
      </xdr:nvSpPr>
      <xdr:spPr>
        <a:xfrm>
          <a:off x="0" y="0"/>
          <a:ext cx="13424760" cy="1292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35280</xdr:colOff>
      <xdr:row>118</xdr:row>
      <xdr:rowOff>276480</xdr:rowOff>
    </xdr:to>
    <xdr:sp>
      <xdr:nvSpPr>
        <xdr:cNvPr id="50" name="CustomShape 1" hidden="1"/>
        <xdr:cNvSpPr/>
      </xdr:nvSpPr>
      <xdr:spPr>
        <a:xfrm>
          <a:off x="0" y="0"/>
          <a:ext cx="13424760" cy="1292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35280</xdr:colOff>
      <xdr:row>118</xdr:row>
      <xdr:rowOff>276480</xdr:rowOff>
    </xdr:to>
    <xdr:sp>
      <xdr:nvSpPr>
        <xdr:cNvPr id="51" name="CustomShape 1" hidden="1"/>
        <xdr:cNvSpPr/>
      </xdr:nvSpPr>
      <xdr:spPr>
        <a:xfrm>
          <a:off x="0" y="0"/>
          <a:ext cx="13424760" cy="1292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35280</xdr:colOff>
      <xdr:row>118</xdr:row>
      <xdr:rowOff>276480</xdr:rowOff>
    </xdr:to>
    <xdr:sp>
      <xdr:nvSpPr>
        <xdr:cNvPr id="52" name="CustomShape 1" hidden="1"/>
        <xdr:cNvSpPr/>
      </xdr:nvSpPr>
      <xdr:spPr>
        <a:xfrm>
          <a:off x="0" y="0"/>
          <a:ext cx="13424760" cy="1292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204480</xdr:colOff>
      <xdr:row>51</xdr:row>
      <xdr:rowOff>187920</xdr:rowOff>
    </xdr:to>
    <xdr:sp>
      <xdr:nvSpPr>
        <xdr:cNvPr id="53" name="CustomShape 1" hidden="1"/>
        <xdr:cNvSpPr/>
      </xdr:nvSpPr>
      <xdr:spPr>
        <a:xfrm>
          <a:off x="0" y="0"/>
          <a:ext cx="5375880" cy="563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204480</xdr:colOff>
      <xdr:row>51</xdr:row>
      <xdr:rowOff>187920</xdr:rowOff>
    </xdr:to>
    <xdr:sp>
      <xdr:nvSpPr>
        <xdr:cNvPr id="54" name="CustomShape 1" hidden="1"/>
        <xdr:cNvSpPr/>
      </xdr:nvSpPr>
      <xdr:spPr>
        <a:xfrm>
          <a:off x="0" y="0"/>
          <a:ext cx="5375880" cy="563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204480</xdr:colOff>
      <xdr:row>51</xdr:row>
      <xdr:rowOff>187920</xdr:rowOff>
    </xdr:to>
    <xdr:sp>
      <xdr:nvSpPr>
        <xdr:cNvPr id="55" name="CustomShape 1" hidden="1"/>
        <xdr:cNvSpPr/>
      </xdr:nvSpPr>
      <xdr:spPr>
        <a:xfrm>
          <a:off x="0" y="0"/>
          <a:ext cx="5375880" cy="563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204480</xdr:colOff>
      <xdr:row>51</xdr:row>
      <xdr:rowOff>187920</xdr:rowOff>
    </xdr:to>
    <xdr:sp>
      <xdr:nvSpPr>
        <xdr:cNvPr id="56" name="CustomShape 1" hidden="1"/>
        <xdr:cNvSpPr/>
      </xdr:nvSpPr>
      <xdr:spPr>
        <a:xfrm>
          <a:off x="0" y="0"/>
          <a:ext cx="5375880" cy="563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204480</xdr:colOff>
      <xdr:row>51</xdr:row>
      <xdr:rowOff>187920</xdr:rowOff>
    </xdr:to>
    <xdr:sp>
      <xdr:nvSpPr>
        <xdr:cNvPr id="57" name="CustomShape 1" hidden="1"/>
        <xdr:cNvSpPr/>
      </xdr:nvSpPr>
      <xdr:spPr>
        <a:xfrm>
          <a:off x="0" y="0"/>
          <a:ext cx="5375880" cy="563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37440</xdr:colOff>
      <xdr:row>118</xdr:row>
      <xdr:rowOff>113760</xdr:rowOff>
    </xdr:to>
    <xdr:sp>
      <xdr:nvSpPr>
        <xdr:cNvPr id="58" name="CustomShape 1" hidden="1"/>
        <xdr:cNvSpPr/>
      </xdr:nvSpPr>
      <xdr:spPr>
        <a:xfrm>
          <a:off x="0" y="0"/>
          <a:ext cx="13426920" cy="12762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37440</xdr:colOff>
      <xdr:row>118</xdr:row>
      <xdr:rowOff>113760</xdr:rowOff>
    </xdr:to>
    <xdr:sp>
      <xdr:nvSpPr>
        <xdr:cNvPr id="59" name="CustomShape 1" hidden="1"/>
        <xdr:cNvSpPr/>
      </xdr:nvSpPr>
      <xdr:spPr>
        <a:xfrm>
          <a:off x="0" y="0"/>
          <a:ext cx="13426920" cy="12762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37440</xdr:colOff>
      <xdr:row>118</xdr:row>
      <xdr:rowOff>113760</xdr:rowOff>
    </xdr:to>
    <xdr:sp>
      <xdr:nvSpPr>
        <xdr:cNvPr id="60" name="CustomShape 1" hidden="1"/>
        <xdr:cNvSpPr/>
      </xdr:nvSpPr>
      <xdr:spPr>
        <a:xfrm>
          <a:off x="0" y="0"/>
          <a:ext cx="13426920" cy="12762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37440</xdr:colOff>
      <xdr:row>118</xdr:row>
      <xdr:rowOff>113760</xdr:rowOff>
    </xdr:to>
    <xdr:sp>
      <xdr:nvSpPr>
        <xdr:cNvPr id="61" name="CustomShape 1" hidden="1"/>
        <xdr:cNvSpPr/>
      </xdr:nvSpPr>
      <xdr:spPr>
        <a:xfrm>
          <a:off x="0" y="0"/>
          <a:ext cx="13426920" cy="12762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37440</xdr:colOff>
      <xdr:row>118</xdr:row>
      <xdr:rowOff>113760</xdr:rowOff>
    </xdr:to>
    <xdr:sp>
      <xdr:nvSpPr>
        <xdr:cNvPr id="62" name="CustomShape 1" hidden="1"/>
        <xdr:cNvSpPr/>
      </xdr:nvSpPr>
      <xdr:spPr>
        <a:xfrm>
          <a:off x="0" y="0"/>
          <a:ext cx="13426920" cy="12762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26</xdr:col>
      <xdr:colOff>35280</xdr:colOff>
      <xdr:row>118</xdr:row>
      <xdr:rowOff>276480</xdr:rowOff>
    </xdr:to>
    <xdr:sp>
      <xdr:nvSpPr>
        <xdr:cNvPr id="63" name="CustomShape 1" hidden="1"/>
        <xdr:cNvSpPr/>
      </xdr:nvSpPr>
      <xdr:spPr>
        <a:xfrm>
          <a:off x="0" y="0"/>
          <a:ext cx="13424760" cy="1292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35280</xdr:colOff>
      <xdr:row>118</xdr:row>
      <xdr:rowOff>276480</xdr:rowOff>
    </xdr:to>
    <xdr:sp>
      <xdr:nvSpPr>
        <xdr:cNvPr id="64" name="CustomShape 1" hidden="1"/>
        <xdr:cNvSpPr/>
      </xdr:nvSpPr>
      <xdr:spPr>
        <a:xfrm>
          <a:off x="0" y="0"/>
          <a:ext cx="13424760" cy="1292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35280</xdr:colOff>
      <xdr:row>118</xdr:row>
      <xdr:rowOff>276480</xdr:rowOff>
    </xdr:to>
    <xdr:sp>
      <xdr:nvSpPr>
        <xdr:cNvPr id="65" name="CustomShape 1" hidden="1"/>
        <xdr:cNvSpPr/>
      </xdr:nvSpPr>
      <xdr:spPr>
        <a:xfrm>
          <a:off x="0" y="0"/>
          <a:ext cx="13424760" cy="1292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35280</xdr:colOff>
      <xdr:row>118</xdr:row>
      <xdr:rowOff>276480</xdr:rowOff>
    </xdr:to>
    <xdr:sp>
      <xdr:nvSpPr>
        <xdr:cNvPr id="66" name="CustomShape 1" hidden="1"/>
        <xdr:cNvSpPr/>
      </xdr:nvSpPr>
      <xdr:spPr>
        <a:xfrm>
          <a:off x="0" y="0"/>
          <a:ext cx="13424760" cy="1292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35280</xdr:colOff>
      <xdr:row>118</xdr:row>
      <xdr:rowOff>276480</xdr:rowOff>
    </xdr:to>
    <xdr:sp>
      <xdr:nvSpPr>
        <xdr:cNvPr id="67" name="CustomShape 1" hidden="1"/>
        <xdr:cNvSpPr/>
      </xdr:nvSpPr>
      <xdr:spPr>
        <a:xfrm>
          <a:off x="0" y="0"/>
          <a:ext cx="13424760" cy="1292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204480</xdr:colOff>
      <xdr:row>51</xdr:row>
      <xdr:rowOff>187920</xdr:rowOff>
    </xdr:to>
    <xdr:sp>
      <xdr:nvSpPr>
        <xdr:cNvPr id="68" name="CustomShape 1" hidden="1"/>
        <xdr:cNvSpPr/>
      </xdr:nvSpPr>
      <xdr:spPr>
        <a:xfrm>
          <a:off x="0" y="0"/>
          <a:ext cx="5375880" cy="563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204480</xdr:colOff>
      <xdr:row>51</xdr:row>
      <xdr:rowOff>187920</xdr:rowOff>
    </xdr:to>
    <xdr:sp>
      <xdr:nvSpPr>
        <xdr:cNvPr id="69" name="CustomShape 1" hidden="1"/>
        <xdr:cNvSpPr/>
      </xdr:nvSpPr>
      <xdr:spPr>
        <a:xfrm>
          <a:off x="0" y="0"/>
          <a:ext cx="5375880" cy="563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204480</xdr:colOff>
      <xdr:row>51</xdr:row>
      <xdr:rowOff>187920</xdr:rowOff>
    </xdr:to>
    <xdr:sp>
      <xdr:nvSpPr>
        <xdr:cNvPr id="70" name="CustomShape 1" hidden="1"/>
        <xdr:cNvSpPr/>
      </xdr:nvSpPr>
      <xdr:spPr>
        <a:xfrm>
          <a:off x="0" y="0"/>
          <a:ext cx="5375880" cy="563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204480</xdr:colOff>
      <xdr:row>51</xdr:row>
      <xdr:rowOff>187920</xdr:rowOff>
    </xdr:to>
    <xdr:sp>
      <xdr:nvSpPr>
        <xdr:cNvPr id="71" name="CustomShape 1" hidden="1"/>
        <xdr:cNvSpPr/>
      </xdr:nvSpPr>
      <xdr:spPr>
        <a:xfrm>
          <a:off x="0" y="0"/>
          <a:ext cx="5375880" cy="563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204480</xdr:colOff>
      <xdr:row>51</xdr:row>
      <xdr:rowOff>187920</xdr:rowOff>
    </xdr:to>
    <xdr:sp>
      <xdr:nvSpPr>
        <xdr:cNvPr id="72" name="CustomShape 1" hidden="1"/>
        <xdr:cNvSpPr/>
      </xdr:nvSpPr>
      <xdr:spPr>
        <a:xfrm>
          <a:off x="0" y="0"/>
          <a:ext cx="5375880" cy="563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37440</xdr:colOff>
      <xdr:row>118</xdr:row>
      <xdr:rowOff>113760</xdr:rowOff>
    </xdr:to>
    <xdr:sp>
      <xdr:nvSpPr>
        <xdr:cNvPr id="73" name="CustomShape 1" hidden="1"/>
        <xdr:cNvSpPr/>
      </xdr:nvSpPr>
      <xdr:spPr>
        <a:xfrm>
          <a:off x="0" y="0"/>
          <a:ext cx="13426920" cy="12762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37440</xdr:colOff>
      <xdr:row>118</xdr:row>
      <xdr:rowOff>113760</xdr:rowOff>
    </xdr:to>
    <xdr:sp>
      <xdr:nvSpPr>
        <xdr:cNvPr id="74" name="CustomShape 1" hidden="1"/>
        <xdr:cNvSpPr/>
      </xdr:nvSpPr>
      <xdr:spPr>
        <a:xfrm>
          <a:off x="0" y="0"/>
          <a:ext cx="13426920" cy="12762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37440</xdr:colOff>
      <xdr:row>118</xdr:row>
      <xdr:rowOff>113760</xdr:rowOff>
    </xdr:to>
    <xdr:sp>
      <xdr:nvSpPr>
        <xdr:cNvPr id="75" name="CustomShape 1" hidden="1"/>
        <xdr:cNvSpPr/>
      </xdr:nvSpPr>
      <xdr:spPr>
        <a:xfrm>
          <a:off x="0" y="0"/>
          <a:ext cx="13426920" cy="12762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37440</xdr:colOff>
      <xdr:row>118</xdr:row>
      <xdr:rowOff>113760</xdr:rowOff>
    </xdr:to>
    <xdr:sp>
      <xdr:nvSpPr>
        <xdr:cNvPr id="76" name="CustomShape 1" hidden="1"/>
        <xdr:cNvSpPr/>
      </xdr:nvSpPr>
      <xdr:spPr>
        <a:xfrm>
          <a:off x="0" y="0"/>
          <a:ext cx="13426920" cy="12762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37440</xdr:colOff>
      <xdr:row>118</xdr:row>
      <xdr:rowOff>113760</xdr:rowOff>
    </xdr:to>
    <xdr:sp>
      <xdr:nvSpPr>
        <xdr:cNvPr id="77" name="CustomShape 1" hidden="1"/>
        <xdr:cNvSpPr/>
      </xdr:nvSpPr>
      <xdr:spPr>
        <a:xfrm>
          <a:off x="0" y="0"/>
          <a:ext cx="13426920" cy="12762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26</xdr:col>
      <xdr:colOff>35280</xdr:colOff>
      <xdr:row>118</xdr:row>
      <xdr:rowOff>276480</xdr:rowOff>
    </xdr:to>
    <xdr:sp>
      <xdr:nvSpPr>
        <xdr:cNvPr id="78" name="CustomShape 1" hidden="1"/>
        <xdr:cNvSpPr/>
      </xdr:nvSpPr>
      <xdr:spPr>
        <a:xfrm>
          <a:off x="0" y="0"/>
          <a:ext cx="13424760" cy="1292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35280</xdr:colOff>
      <xdr:row>118</xdr:row>
      <xdr:rowOff>276480</xdr:rowOff>
    </xdr:to>
    <xdr:sp>
      <xdr:nvSpPr>
        <xdr:cNvPr id="79" name="CustomShape 1" hidden="1"/>
        <xdr:cNvSpPr/>
      </xdr:nvSpPr>
      <xdr:spPr>
        <a:xfrm>
          <a:off x="0" y="0"/>
          <a:ext cx="13424760" cy="1292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35280</xdr:colOff>
      <xdr:row>118</xdr:row>
      <xdr:rowOff>276480</xdr:rowOff>
    </xdr:to>
    <xdr:sp>
      <xdr:nvSpPr>
        <xdr:cNvPr id="80" name="CustomShape 1" hidden="1"/>
        <xdr:cNvSpPr/>
      </xdr:nvSpPr>
      <xdr:spPr>
        <a:xfrm>
          <a:off x="0" y="0"/>
          <a:ext cx="13424760" cy="1292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35280</xdr:colOff>
      <xdr:row>118</xdr:row>
      <xdr:rowOff>276480</xdr:rowOff>
    </xdr:to>
    <xdr:sp>
      <xdr:nvSpPr>
        <xdr:cNvPr id="81" name="CustomShape 1" hidden="1"/>
        <xdr:cNvSpPr/>
      </xdr:nvSpPr>
      <xdr:spPr>
        <a:xfrm>
          <a:off x="0" y="0"/>
          <a:ext cx="13424760" cy="1292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35280</xdr:colOff>
      <xdr:row>118</xdr:row>
      <xdr:rowOff>276480</xdr:rowOff>
    </xdr:to>
    <xdr:sp>
      <xdr:nvSpPr>
        <xdr:cNvPr id="82" name="CustomShape 1" hidden="1"/>
        <xdr:cNvSpPr/>
      </xdr:nvSpPr>
      <xdr:spPr>
        <a:xfrm>
          <a:off x="0" y="0"/>
          <a:ext cx="13424760" cy="1292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204480</xdr:colOff>
      <xdr:row>51</xdr:row>
      <xdr:rowOff>187920</xdr:rowOff>
    </xdr:to>
    <xdr:sp>
      <xdr:nvSpPr>
        <xdr:cNvPr id="83" name="CustomShape 1" hidden="1"/>
        <xdr:cNvSpPr/>
      </xdr:nvSpPr>
      <xdr:spPr>
        <a:xfrm>
          <a:off x="0" y="0"/>
          <a:ext cx="5375880" cy="563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204480</xdr:colOff>
      <xdr:row>51</xdr:row>
      <xdr:rowOff>187920</xdr:rowOff>
    </xdr:to>
    <xdr:sp>
      <xdr:nvSpPr>
        <xdr:cNvPr id="84" name="CustomShape 1" hidden="1"/>
        <xdr:cNvSpPr/>
      </xdr:nvSpPr>
      <xdr:spPr>
        <a:xfrm>
          <a:off x="0" y="0"/>
          <a:ext cx="5375880" cy="563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204480</xdr:colOff>
      <xdr:row>51</xdr:row>
      <xdr:rowOff>187920</xdr:rowOff>
    </xdr:to>
    <xdr:sp>
      <xdr:nvSpPr>
        <xdr:cNvPr id="85" name="CustomShape 1" hidden="1"/>
        <xdr:cNvSpPr/>
      </xdr:nvSpPr>
      <xdr:spPr>
        <a:xfrm>
          <a:off x="0" y="0"/>
          <a:ext cx="5375880" cy="563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204480</xdr:colOff>
      <xdr:row>51</xdr:row>
      <xdr:rowOff>187920</xdr:rowOff>
    </xdr:to>
    <xdr:sp>
      <xdr:nvSpPr>
        <xdr:cNvPr id="86" name="CustomShape 1" hidden="1"/>
        <xdr:cNvSpPr/>
      </xdr:nvSpPr>
      <xdr:spPr>
        <a:xfrm>
          <a:off x="0" y="0"/>
          <a:ext cx="5375880" cy="563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204480</xdr:colOff>
      <xdr:row>51</xdr:row>
      <xdr:rowOff>187920</xdr:rowOff>
    </xdr:to>
    <xdr:sp>
      <xdr:nvSpPr>
        <xdr:cNvPr id="87" name="CustomShape 1" hidden="1"/>
        <xdr:cNvSpPr/>
      </xdr:nvSpPr>
      <xdr:spPr>
        <a:xfrm>
          <a:off x="0" y="0"/>
          <a:ext cx="5375880" cy="563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37440</xdr:colOff>
      <xdr:row>118</xdr:row>
      <xdr:rowOff>113760</xdr:rowOff>
    </xdr:to>
    <xdr:sp>
      <xdr:nvSpPr>
        <xdr:cNvPr id="88" name="CustomShape 1" hidden="1"/>
        <xdr:cNvSpPr/>
      </xdr:nvSpPr>
      <xdr:spPr>
        <a:xfrm>
          <a:off x="0" y="0"/>
          <a:ext cx="13426920" cy="12762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37440</xdr:colOff>
      <xdr:row>118</xdr:row>
      <xdr:rowOff>113760</xdr:rowOff>
    </xdr:to>
    <xdr:sp>
      <xdr:nvSpPr>
        <xdr:cNvPr id="89" name="CustomShape 1" hidden="1"/>
        <xdr:cNvSpPr/>
      </xdr:nvSpPr>
      <xdr:spPr>
        <a:xfrm>
          <a:off x="0" y="0"/>
          <a:ext cx="13426920" cy="12762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37440</xdr:colOff>
      <xdr:row>118</xdr:row>
      <xdr:rowOff>113760</xdr:rowOff>
    </xdr:to>
    <xdr:sp>
      <xdr:nvSpPr>
        <xdr:cNvPr id="90" name="CustomShape 1" hidden="1"/>
        <xdr:cNvSpPr/>
      </xdr:nvSpPr>
      <xdr:spPr>
        <a:xfrm>
          <a:off x="0" y="0"/>
          <a:ext cx="13426920" cy="12762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37440</xdr:colOff>
      <xdr:row>118</xdr:row>
      <xdr:rowOff>113760</xdr:rowOff>
    </xdr:to>
    <xdr:sp>
      <xdr:nvSpPr>
        <xdr:cNvPr id="91" name="CustomShape 1" hidden="1"/>
        <xdr:cNvSpPr/>
      </xdr:nvSpPr>
      <xdr:spPr>
        <a:xfrm>
          <a:off x="0" y="0"/>
          <a:ext cx="13426920" cy="12762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37440</xdr:colOff>
      <xdr:row>118</xdr:row>
      <xdr:rowOff>113760</xdr:rowOff>
    </xdr:to>
    <xdr:sp>
      <xdr:nvSpPr>
        <xdr:cNvPr id="92" name="CustomShape 1" hidden="1"/>
        <xdr:cNvSpPr/>
      </xdr:nvSpPr>
      <xdr:spPr>
        <a:xfrm>
          <a:off x="0" y="0"/>
          <a:ext cx="13426920" cy="12762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26</xdr:col>
      <xdr:colOff>35280</xdr:colOff>
      <xdr:row>118</xdr:row>
      <xdr:rowOff>276480</xdr:rowOff>
    </xdr:to>
    <xdr:sp>
      <xdr:nvSpPr>
        <xdr:cNvPr id="93" name="CustomShape 1" hidden="1"/>
        <xdr:cNvSpPr/>
      </xdr:nvSpPr>
      <xdr:spPr>
        <a:xfrm>
          <a:off x="0" y="0"/>
          <a:ext cx="13424760" cy="1292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35280</xdr:colOff>
      <xdr:row>118</xdr:row>
      <xdr:rowOff>276480</xdr:rowOff>
    </xdr:to>
    <xdr:sp>
      <xdr:nvSpPr>
        <xdr:cNvPr id="94" name="CustomShape 1" hidden="1"/>
        <xdr:cNvSpPr/>
      </xdr:nvSpPr>
      <xdr:spPr>
        <a:xfrm>
          <a:off x="0" y="0"/>
          <a:ext cx="13424760" cy="1292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35280</xdr:colOff>
      <xdr:row>118</xdr:row>
      <xdr:rowOff>276480</xdr:rowOff>
    </xdr:to>
    <xdr:sp>
      <xdr:nvSpPr>
        <xdr:cNvPr id="95" name="CustomShape 1" hidden="1"/>
        <xdr:cNvSpPr/>
      </xdr:nvSpPr>
      <xdr:spPr>
        <a:xfrm>
          <a:off x="0" y="0"/>
          <a:ext cx="13424760" cy="1292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35280</xdr:colOff>
      <xdr:row>118</xdr:row>
      <xdr:rowOff>276480</xdr:rowOff>
    </xdr:to>
    <xdr:sp>
      <xdr:nvSpPr>
        <xdr:cNvPr id="96" name="CustomShape 1" hidden="1"/>
        <xdr:cNvSpPr/>
      </xdr:nvSpPr>
      <xdr:spPr>
        <a:xfrm>
          <a:off x="0" y="0"/>
          <a:ext cx="13424760" cy="1292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35280</xdr:colOff>
      <xdr:row>118</xdr:row>
      <xdr:rowOff>276480</xdr:rowOff>
    </xdr:to>
    <xdr:sp>
      <xdr:nvSpPr>
        <xdr:cNvPr id="97" name="CustomShape 1" hidden="1"/>
        <xdr:cNvSpPr/>
      </xdr:nvSpPr>
      <xdr:spPr>
        <a:xfrm>
          <a:off x="0" y="0"/>
          <a:ext cx="13424760" cy="1292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204480</xdr:colOff>
      <xdr:row>51</xdr:row>
      <xdr:rowOff>187920</xdr:rowOff>
    </xdr:to>
    <xdr:sp>
      <xdr:nvSpPr>
        <xdr:cNvPr id="98" name="CustomShape 1" hidden="1"/>
        <xdr:cNvSpPr/>
      </xdr:nvSpPr>
      <xdr:spPr>
        <a:xfrm>
          <a:off x="0" y="0"/>
          <a:ext cx="5375880" cy="563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204480</xdr:colOff>
      <xdr:row>51</xdr:row>
      <xdr:rowOff>187920</xdr:rowOff>
    </xdr:to>
    <xdr:sp>
      <xdr:nvSpPr>
        <xdr:cNvPr id="99" name="CustomShape 1" hidden="1"/>
        <xdr:cNvSpPr/>
      </xdr:nvSpPr>
      <xdr:spPr>
        <a:xfrm>
          <a:off x="0" y="0"/>
          <a:ext cx="5375880" cy="563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204480</xdr:colOff>
      <xdr:row>51</xdr:row>
      <xdr:rowOff>187920</xdr:rowOff>
    </xdr:to>
    <xdr:sp>
      <xdr:nvSpPr>
        <xdr:cNvPr id="100" name="CustomShape 1" hidden="1"/>
        <xdr:cNvSpPr/>
      </xdr:nvSpPr>
      <xdr:spPr>
        <a:xfrm>
          <a:off x="0" y="0"/>
          <a:ext cx="5375880" cy="563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204480</xdr:colOff>
      <xdr:row>51</xdr:row>
      <xdr:rowOff>187920</xdr:rowOff>
    </xdr:to>
    <xdr:sp>
      <xdr:nvSpPr>
        <xdr:cNvPr id="101" name="CustomShape 1" hidden="1"/>
        <xdr:cNvSpPr/>
      </xdr:nvSpPr>
      <xdr:spPr>
        <a:xfrm>
          <a:off x="0" y="0"/>
          <a:ext cx="5375880" cy="563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204480</xdr:colOff>
      <xdr:row>51</xdr:row>
      <xdr:rowOff>187920</xdr:rowOff>
    </xdr:to>
    <xdr:sp>
      <xdr:nvSpPr>
        <xdr:cNvPr id="102" name="CustomShape 1" hidden="1"/>
        <xdr:cNvSpPr/>
      </xdr:nvSpPr>
      <xdr:spPr>
        <a:xfrm>
          <a:off x="0" y="0"/>
          <a:ext cx="5375880" cy="563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37440</xdr:colOff>
      <xdr:row>118</xdr:row>
      <xdr:rowOff>113760</xdr:rowOff>
    </xdr:to>
    <xdr:sp>
      <xdr:nvSpPr>
        <xdr:cNvPr id="103" name="CustomShape 1" hidden="1"/>
        <xdr:cNvSpPr/>
      </xdr:nvSpPr>
      <xdr:spPr>
        <a:xfrm>
          <a:off x="0" y="0"/>
          <a:ext cx="13426920" cy="12762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37440</xdr:colOff>
      <xdr:row>118</xdr:row>
      <xdr:rowOff>113760</xdr:rowOff>
    </xdr:to>
    <xdr:sp>
      <xdr:nvSpPr>
        <xdr:cNvPr id="104" name="CustomShape 1" hidden="1"/>
        <xdr:cNvSpPr/>
      </xdr:nvSpPr>
      <xdr:spPr>
        <a:xfrm>
          <a:off x="0" y="0"/>
          <a:ext cx="13426920" cy="12762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37440</xdr:colOff>
      <xdr:row>118</xdr:row>
      <xdr:rowOff>113760</xdr:rowOff>
    </xdr:to>
    <xdr:sp>
      <xdr:nvSpPr>
        <xdr:cNvPr id="105" name="CustomShape 1" hidden="1"/>
        <xdr:cNvSpPr/>
      </xdr:nvSpPr>
      <xdr:spPr>
        <a:xfrm>
          <a:off x="0" y="0"/>
          <a:ext cx="13426920" cy="12762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37440</xdr:colOff>
      <xdr:row>118</xdr:row>
      <xdr:rowOff>113760</xdr:rowOff>
    </xdr:to>
    <xdr:sp>
      <xdr:nvSpPr>
        <xdr:cNvPr id="106" name="CustomShape 1" hidden="1"/>
        <xdr:cNvSpPr/>
      </xdr:nvSpPr>
      <xdr:spPr>
        <a:xfrm>
          <a:off x="0" y="0"/>
          <a:ext cx="13426920" cy="12762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37440</xdr:colOff>
      <xdr:row>118</xdr:row>
      <xdr:rowOff>113760</xdr:rowOff>
    </xdr:to>
    <xdr:sp>
      <xdr:nvSpPr>
        <xdr:cNvPr id="107" name="CustomShape 1" hidden="1"/>
        <xdr:cNvSpPr/>
      </xdr:nvSpPr>
      <xdr:spPr>
        <a:xfrm>
          <a:off x="0" y="0"/>
          <a:ext cx="13426920" cy="12762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26</xdr:col>
      <xdr:colOff>35280</xdr:colOff>
      <xdr:row>118</xdr:row>
      <xdr:rowOff>276480</xdr:rowOff>
    </xdr:to>
    <xdr:sp>
      <xdr:nvSpPr>
        <xdr:cNvPr id="108" name="CustomShape 1" hidden="1"/>
        <xdr:cNvSpPr/>
      </xdr:nvSpPr>
      <xdr:spPr>
        <a:xfrm>
          <a:off x="0" y="0"/>
          <a:ext cx="13424760" cy="1292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35280</xdr:colOff>
      <xdr:row>118</xdr:row>
      <xdr:rowOff>276480</xdr:rowOff>
    </xdr:to>
    <xdr:sp>
      <xdr:nvSpPr>
        <xdr:cNvPr id="109" name="CustomShape 1" hidden="1"/>
        <xdr:cNvSpPr/>
      </xdr:nvSpPr>
      <xdr:spPr>
        <a:xfrm>
          <a:off x="0" y="0"/>
          <a:ext cx="13424760" cy="1292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35280</xdr:colOff>
      <xdr:row>118</xdr:row>
      <xdr:rowOff>276480</xdr:rowOff>
    </xdr:to>
    <xdr:sp>
      <xdr:nvSpPr>
        <xdr:cNvPr id="110" name="CustomShape 1" hidden="1"/>
        <xdr:cNvSpPr/>
      </xdr:nvSpPr>
      <xdr:spPr>
        <a:xfrm>
          <a:off x="0" y="0"/>
          <a:ext cx="13424760" cy="1292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35280</xdr:colOff>
      <xdr:row>118</xdr:row>
      <xdr:rowOff>276480</xdr:rowOff>
    </xdr:to>
    <xdr:sp>
      <xdr:nvSpPr>
        <xdr:cNvPr id="111" name="CustomShape 1" hidden="1"/>
        <xdr:cNvSpPr/>
      </xdr:nvSpPr>
      <xdr:spPr>
        <a:xfrm>
          <a:off x="0" y="0"/>
          <a:ext cx="13424760" cy="1292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35280</xdr:colOff>
      <xdr:row>118</xdr:row>
      <xdr:rowOff>276480</xdr:rowOff>
    </xdr:to>
    <xdr:sp>
      <xdr:nvSpPr>
        <xdr:cNvPr id="112" name="CustomShape 1" hidden="1"/>
        <xdr:cNvSpPr/>
      </xdr:nvSpPr>
      <xdr:spPr>
        <a:xfrm>
          <a:off x="0" y="0"/>
          <a:ext cx="13424760" cy="1292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204480</xdr:colOff>
      <xdr:row>51</xdr:row>
      <xdr:rowOff>187920</xdr:rowOff>
    </xdr:to>
    <xdr:sp>
      <xdr:nvSpPr>
        <xdr:cNvPr id="113" name="CustomShape 1" hidden="1"/>
        <xdr:cNvSpPr/>
      </xdr:nvSpPr>
      <xdr:spPr>
        <a:xfrm>
          <a:off x="0" y="0"/>
          <a:ext cx="5375880" cy="563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204480</xdr:colOff>
      <xdr:row>51</xdr:row>
      <xdr:rowOff>187920</xdr:rowOff>
    </xdr:to>
    <xdr:sp>
      <xdr:nvSpPr>
        <xdr:cNvPr id="114" name="CustomShape 1" hidden="1"/>
        <xdr:cNvSpPr/>
      </xdr:nvSpPr>
      <xdr:spPr>
        <a:xfrm>
          <a:off x="0" y="0"/>
          <a:ext cx="5375880" cy="563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204480</xdr:colOff>
      <xdr:row>51</xdr:row>
      <xdr:rowOff>187920</xdr:rowOff>
    </xdr:to>
    <xdr:sp>
      <xdr:nvSpPr>
        <xdr:cNvPr id="115" name="CustomShape 1" hidden="1"/>
        <xdr:cNvSpPr/>
      </xdr:nvSpPr>
      <xdr:spPr>
        <a:xfrm>
          <a:off x="0" y="0"/>
          <a:ext cx="5375880" cy="563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204480</xdr:colOff>
      <xdr:row>51</xdr:row>
      <xdr:rowOff>187920</xdr:rowOff>
    </xdr:to>
    <xdr:sp>
      <xdr:nvSpPr>
        <xdr:cNvPr id="116" name="CustomShape 1" hidden="1"/>
        <xdr:cNvSpPr/>
      </xdr:nvSpPr>
      <xdr:spPr>
        <a:xfrm>
          <a:off x="0" y="0"/>
          <a:ext cx="5375880" cy="563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204480</xdr:colOff>
      <xdr:row>51</xdr:row>
      <xdr:rowOff>187920</xdr:rowOff>
    </xdr:to>
    <xdr:sp>
      <xdr:nvSpPr>
        <xdr:cNvPr id="117" name="CustomShape 1" hidden="1"/>
        <xdr:cNvSpPr/>
      </xdr:nvSpPr>
      <xdr:spPr>
        <a:xfrm>
          <a:off x="0" y="0"/>
          <a:ext cx="5375880" cy="563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37440</xdr:colOff>
      <xdr:row>118</xdr:row>
      <xdr:rowOff>113760</xdr:rowOff>
    </xdr:to>
    <xdr:sp>
      <xdr:nvSpPr>
        <xdr:cNvPr id="118" name="CustomShape 1" hidden="1"/>
        <xdr:cNvSpPr/>
      </xdr:nvSpPr>
      <xdr:spPr>
        <a:xfrm>
          <a:off x="0" y="0"/>
          <a:ext cx="13426920" cy="12762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37440</xdr:colOff>
      <xdr:row>118</xdr:row>
      <xdr:rowOff>113760</xdr:rowOff>
    </xdr:to>
    <xdr:sp>
      <xdr:nvSpPr>
        <xdr:cNvPr id="119" name="CustomShape 1" hidden="1"/>
        <xdr:cNvSpPr/>
      </xdr:nvSpPr>
      <xdr:spPr>
        <a:xfrm>
          <a:off x="0" y="0"/>
          <a:ext cx="13426920" cy="12762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37440</xdr:colOff>
      <xdr:row>118</xdr:row>
      <xdr:rowOff>113760</xdr:rowOff>
    </xdr:to>
    <xdr:sp>
      <xdr:nvSpPr>
        <xdr:cNvPr id="120" name="CustomShape 1" hidden="1"/>
        <xdr:cNvSpPr/>
      </xdr:nvSpPr>
      <xdr:spPr>
        <a:xfrm>
          <a:off x="0" y="0"/>
          <a:ext cx="13426920" cy="12762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37440</xdr:colOff>
      <xdr:row>118</xdr:row>
      <xdr:rowOff>113760</xdr:rowOff>
    </xdr:to>
    <xdr:sp>
      <xdr:nvSpPr>
        <xdr:cNvPr id="121" name="CustomShape 1" hidden="1"/>
        <xdr:cNvSpPr/>
      </xdr:nvSpPr>
      <xdr:spPr>
        <a:xfrm>
          <a:off x="0" y="0"/>
          <a:ext cx="13426920" cy="12762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37440</xdr:colOff>
      <xdr:row>118</xdr:row>
      <xdr:rowOff>113760</xdr:rowOff>
    </xdr:to>
    <xdr:sp>
      <xdr:nvSpPr>
        <xdr:cNvPr id="122" name="CustomShape 1" hidden="1"/>
        <xdr:cNvSpPr/>
      </xdr:nvSpPr>
      <xdr:spPr>
        <a:xfrm>
          <a:off x="0" y="0"/>
          <a:ext cx="13426920" cy="12762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10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11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12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drawing" Target="../drawings/drawing13.xml"/><Relationship Id="rId3" Type="http://schemas.openxmlformats.org/officeDocument/2006/relationships/vmlDrawing" Target="../drawings/vmlDrawing13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8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9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R5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0" activeCellId="0" sqref="F30"/>
    </sheetView>
  </sheetViews>
  <sheetFormatPr defaultRowHeight="13" zeroHeight="false" outlineLevelRow="0" outlineLevelCol="1"/>
  <cols>
    <col collapsed="false" customWidth="true" hidden="false" outlineLevel="0" max="1" min="1" style="1" width="27"/>
    <col collapsed="false" customWidth="true" hidden="false" outlineLevel="0" max="2" min="2" style="1" width="12.83"/>
    <col collapsed="false" customWidth="true" hidden="false" outlineLevel="0" max="3" min="3" style="2" width="2.66"/>
    <col collapsed="false" customWidth="true" hidden="false" outlineLevel="0" max="5" min="4" style="1" width="14.17"/>
    <col collapsed="false" customWidth="true" hidden="false" outlineLevel="0" max="6" min="6" style="1" width="16.17"/>
    <col collapsed="false" customWidth="true" hidden="false" outlineLevel="0" max="7" min="7" style="1" width="2"/>
    <col collapsed="false" customWidth="true" hidden="false" outlineLevel="0" max="8" min="8" style="1" width="20.5"/>
    <col collapsed="false" customWidth="true" hidden="false" outlineLevel="0" max="9" min="9" style="1" width="12.83"/>
    <col collapsed="false" customWidth="true" hidden="false" outlineLevel="0" max="10" min="10" style="1" width="15.5"/>
    <col collapsed="false" customWidth="true" hidden="false" outlineLevel="0" max="11" min="11" style="1" width="14.17"/>
    <col collapsed="false" customWidth="true" hidden="false" outlineLevel="0" max="12" min="12" style="1" width="15.5"/>
    <col collapsed="false" customWidth="true" hidden="false" outlineLevel="0" max="13" min="13" style="1" width="27"/>
    <col collapsed="false" customWidth="true" hidden="false" outlineLevel="0" max="14" min="14" style="1" width="3.66"/>
    <col collapsed="false" customWidth="true" hidden="true" outlineLevel="1" max="15" min="15" style="1" width="15.66"/>
    <col collapsed="false" customWidth="true" hidden="true" outlineLevel="1" max="16" min="16" style="1" width="20.83"/>
    <col collapsed="false" customWidth="true" hidden="true" outlineLevel="1" max="17" min="17" style="1" width="20.5"/>
    <col collapsed="false" customWidth="true" hidden="true" outlineLevel="1" max="18" min="18" style="1" width="20.83"/>
    <col collapsed="false" customWidth="true" hidden="false" outlineLevel="0" max="1025" min="19" style="0" width="10.66"/>
  </cols>
  <sheetData>
    <row r="1" s="10" customFormat="true" ht="22.5" hidden="false" customHeight="true" outlineLevel="0" collapsed="false">
      <c r="A1" s="3" t="s">
        <v>0</v>
      </c>
      <c r="B1" s="4" t="s">
        <v>1</v>
      </c>
      <c r="C1" s="4"/>
      <c r="D1" s="4"/>
      <c r="E1" s="4"/>
      <c r="F1" s="5" t="n">
        <v>2018</v>
      </c>
      <c r="G1" s="6"/>
      <c r="H1" s="6"/>
      <c r="I1" s="6"/>
      <c r="J1" s="6"/>
      <c r="K1" s="7"/>
      <c r="L1" s="7"/>
      <c r="M1" s="7" t="s">
        <v>2</v>
      </c>
      <c r="N1" s="8" t="s">
        <v>3</v>
      </c>
      <c r="O1" s="6"/>
      <c r="P1" s="6"/>
      <c r="Q1" s="8"/>
      <c r="R1" s="9"/>
    </row>
    <row r="2" customFormat="false" ht="15" hidden="false" customHeight="true" outlineLevel="0" collapsed="false">
      <c r="A2" s="11" t="s">
        <v>4</v>
      </c>
      <c r="B2" s="12" t="n">
        <f aca="false">DATE(EB.Jahr,1,1)</f>
        <v>41639</v>
      </c>
      <c r="C2" s="12"/>
      <c r="D2" s="12"/>
      <c r="E2" s="12"/>
      <c r="F2" s="12"/>
      <c r="G2" s="13"/>
      <c r="H2" s="11" t="s">
        <v>5</v>
      </c>
      <c r="I2" s="14" t="s">
        <v>6</v>
      </c>
      <c r="J2" s="14"/>
      <c r="K2" s="14"/>
      <c r="L2" s="14"/>
      <c r="M2" s="15"/>
      <c r="N2" s="16"/>
      <c r="O2" s="11" t="s">
        <v>7</v>
      </c>
      <c r="P2" s="11"/>
      <c r="Q2" s="11"/>
      <c r="R2" s="11"/>
    </row>
    <row r="3" customFormat="false" ht="15" hidden="false" customHeight="true" outlineLevel="0" collapsed="false">
      <c r="A3" s="17" t="s">
        <v>8</v>
      </c>
      <c r="B3" s="18" t="s">
        <v>9</v>
      </c>
      <c r="C3" s="18"/>
      <c r="D3" s="18"/>
      <c r="E3" s="18"/>
      <c r="F3" s="18"/>
      <c r="G3" s="19"/>
      <c r="H3" s="11" t="s">
        <v>10</v>
      </c>
      <c r="I3" s="14" t="s">
        <v>11</v>
      </c>
      <c r="J3" s="14"/>
      <c r="K3" s="14"/>
      <c r="L3" s="14"/>
      <c r="M3" s="15"/>
      <c r="N3" s="13"/>
      <c r="O3" s="20" t="s">
        <v>12</v>
      </c>
      <c r="P3" s="20"/>
      <c r="Q3" s="20"/>
      <c r="R3" s="21" t="n">
        <f aca="false">EB.Jahr-YEAR(EB.Geburtsjahr)</f>
        <v>29</v>
      </c>
    </row>
    <row r="4" customFormat="false" ht="15" hidden="false" customHeight="true" outlineLevel="0" collapsed="false">
      <c r="A4" s="11" t="s">
        <v>13</v>
      </c>
      <c r="B4" s="22" t="n">
        <v>31254</v>
      </c>
      <c r="C4" s="11" t="s">
        <v>14</v>
      </c>
      <c r="D4" s="11"/>
      <c r="E4" s="11"/>
      <c r="F4" s="23" t="n">
        <f aca="false">IF(ISNUMBER(EB.Geburtsdatum),EB.Geburtsdatum,"")</f>
        <v>31254</v>
      </c>
      <c r="G4" s="24"/>
      <c r="H4" s="11" t="s">
        <v>15</v>
      </c>
      <c r="I4" s="14" t="s">
        <v>16</v>
      </c>
      <c r="J4" s="14"/>
      <c r="K4" s="14"/>
      <c r="L4" s="14"/>
      <c r="M4" s="15"/>
      <c r="N4" s="13"/>
      <c r="O4" s="25" t="s">
        <v>17</v>
      </c>
      <c r="P4" s="26" t="s">
        <v>18</v>
      </c>
      <c r="Q4" s="27"/>
      <c r="R4" s="28" t="n">
        <f aca="true">IF(R3&lt;21,1,IF(EB.Lernender=INDEX(T.JaNein.Bereich,1,1),1,0))</f>
        <v>0</v>
      </c>
    </row>
    <row r="5" customFormat="false" ht="15" hidden="false" customHeight="true" outlineLevel="0" collapsed="false">
      <c r="A5" s="11" t="s">
        <v>19</v>
      </c>
      <c r="B5" s="29"/>
      <c r="C5" s="11" t="s">
        <v>20</v>
      </c>
      <c r="D5" s="11"/>
      <c r="E5" s="30" t="s">
        <v>21</v>
      </c>
      <c r="F5" s="31" t="n">
        <f aca="false">IF(EB.Anwendung&lt;&gt;"",MAX(DATE(EB.Jahr,1,1),EB.UJEintritt),"")</f>
        <v>41729</v>
      </c>
      <c r="G5" s="13"/>
      <c r="H5" s="11" t="s">
        <v>22</v>
      </c>
      <c r="I5" s="14" t="s">
        <v>23</v>
      </c>
      <c r="J5" s="14"/>
      <c r="K5" s="14"/>
      <c r="L5" s="14"/>
      <c r="M5" s="15"/>
      <c r="N5" s="13"/>
      <c r="O5" s="25"/>
      <c r="P5" s="32" t="s">
        <v>24</v>
      </c>
      <c r="Q5" s="33"/>
      <c r="R5" s="28" t="n">
        <f aca="false">IF(R3&gt;49,1,0)</f>
        <v>0</v>
      </c>
    </row>
    <row r="6" customFormat="false" ht="15" hidden="false" customHeight="true" outlineLevel="0" collapsed="false">
      <c r="A6" s="11" t="s">
        <v>25</v>
      </c>
      <c r="B6" s="22" t="n">
        <v>41729</v>
      </c>
      <c r="C6" s="11" t="s">
        <v>26</v>
      </c>
      <c r="D6" s="11"/>
      <c r="E6" s="11"/>
      <c r="F6" s="34"/>
      <c r="G6" s="13"/>
      <c r="H6" s="11" t="s">
        <v>27</v>
      </c>
      <c r="I6" s="30" t="s">
        <v>21</v>
      </c>
      <c r="J6" s="11" t="s">
        <v>28</v>
      </c>
      <c r="K6" s="11"/>
      <c r="L6" s="14" t="s">
        <v>29</v>
      </c>
      <c r="M6" s="15"/>
      <c r="N6" s="13"/>
      <c r="O6" s="25"/>
      <c r="P6" s="32" t="s">
        <v>30</v>
      </c>
      <c r="Q6" s="33"/>
      <c r="R6" s="28" t="n">
        <f aca="false">IF(R3&gt;59,1,0)</f>
        <v>0</v>
      </c>
    </row>
    <row r="7" customFormat="false" ht="15" hidden="false" customHeight="true" outlineLevel="0" collapsed="false">
      <c r="A7" s="35" t="str">
        <f aca="true">IFERROR(INFO("VERSION"),"andere")</f>
        <v>00m0(Build:2)</v>
      </c>
      <c r="B7" s="13"/>
      <c r="C7" s="11" t="s">
        <v>31</v>
      </c>
      <c r="D7" s="11"/>
      <c r="E7" s="14"/>
      <c r="F7" s="14"/>
      <c r="G7" s="13"/>
      <c r="H7" s="11" t="s">
        <v>32</v>
      </c>
      <c r="I7" s="36" t="n">
        <v>1.75</v>
      </c>
      <c r="J7" s="11" t="s">
        <v>33</v>
      </c>
      <c r="K7" s="11"/>
      <c r="L7" s="37" t="n">
        <v>100</v>
      </c>
      <c r="M7" s="38"/>
      <c r="N7" s="13"/>
      <c r="O7" s="39"/>
      <c r="P7" s="40"/>
      <c r="Q7" s="39"/>
      <c r="R7" s="41"/>
    </row>
    <row r="8" customFormat="false" ht="16" hidden="false" customHeight="false" outlineLevel="0" collapsed="false">
      <c r="A8" s="42" t="s">
        <v>34</v>
      </c>
      <c r="B8" s="43"/>
      <c r="C8" s="44"/>
      <c r="D8" s="43"/>
      <c r="E8" s="43"/>
      <c r="F8" s="43"/>
      <c r="G8" s="43"/>
      <c r="H8" s="43"/>
      <c r="I8" s="43"/>
      <c r="J8" s="43"/>
      <c r="K8" s="43"/>
      <c r="L8" s="43"/>
      <c r="M8" s="15"/>
      <c r="N8" s="45"/>
      <c r="O8" s="43"/>
      <c r="P8" s="43"/>
      <c r="Q8" s="43"/>
      <c r="R8" s="46"/>
    </row>
    <row r="9" customFormat="false" ht="15" hidden="false" customHeight="true" outlineLevel="0" collapsed="false">
      <c r="A9" s="47" t="s">
        <v>35</v>
      </c>
      <c r="B9" s="48"/>
      <c r="C9" s="49"/>
      <c r="D9" s="48"/>
      <c r="E9" s="48"/>
      <c r="F9" s="48"/>
      <c r="G9" s="48"/>
      <c r="H9" s="48"/>
      <c r="I9" s="48"/>
      <c r="J9" s="48"/>
      <c r="K9" s="48"/>
      <c r="L9" s="48"/>
      <c r="M9" s="50"/>
      <c r="N9" s="51"/>
      <c r="O9" s="51"/>
      <c r="P9" s="51"/>
      <c r="Q9" s="52"/>
      <c r="R9" s="53"/>
    </row>
    <row r="10" customFormat="false" ht="15" hidden="false" customHeight="true" outlineLevel="0" collapsed="false">
      <c r="A10" s="39"/>
      <c r="B10" s="39"/>
      <c r="C10" s="54"/>
      <c r="D10" s="55" t="s">
        <v>36</v>
      </c>
      <c r="E10" s="56" t="n">
        <f aca="false">IF(EB.Geburtsjahr="","0",(4+R4+R5+R6))</f>
        <v>4</v>
      </c>
      <c r="F10" s="57"/>
      <c r="G10" s="57"/>
      <c r="H10" s="39"/>
      <c r="I10" s="39"/>
      <c r="J10" s="55" t="s">
        <v>37</v>
      </c>
      <c r="K10" s="58" t="n">
        <f aca="false">IF(K25=0,"-     ",(K25/EB.Wochenarbeitszeit))</f>
        <v>3</v>
      </c>
      <c r="L10" s="57"/>
      <c r="M10" s="57"/>
      <c r="N10" s="57"/>
      <c r="O10" s="39"/>
      <c r="P10" s="39"/>
      <c r="Q10" s="39"/>
      <c r="R10" s="59"/>
    </row>
    <row r="11" customFormat="false" ht="15" hidden="false" customHeight="true" outlineLevel="0" collapsed="false">
      <c r="A11" s="60"/>
      <c r="B11" s="60"/>
      <c r="C11" s="61"/>
      <c r="D11" s="62" t="s">
        <v>38</v>
      </c>
      <c r="E11" s="63"/>
      <c r="F11" s="64" t="n">
        <f aca="false">IF(EB.Wochenarbeitszeit=50/24,0,126/24)</f>
        <v>5.25</v>
      </c>
      <c r="G11" s="57"/>
      <c r="H11" s="60"/>
      <c r="I11" s="60"/>
      <c r="J11" s="62" t="s">
        <v>39</v>
      </c>
      <c r="K11" s="65"/>
      <c r="L11" s="66" t="n">
        <f aca="false">L25</f>
        <v>3.9375</v>
      </c>
      <c r="M11" s="15"/>
      <c r="N11" s="57"/>
      <c r="O11" s="39"/>
      <c r="P11" s="39"/>
      <c r="Q11" s="39"/>
      <c r="R11" s="59"/>
    </row>
    <row r="12" customFormat="false" ht="24.5" hidden="false" customHeight="true" outlineLevel="0" collapsed="false">
      <c r="A12" s="67" t="s">
        <v>40</v>
      </c>
      <c r="B12" s="68" t="s">
        <v>41</v>
      </c>
      <c r="C12" s="69" t="s">
        <v>42</v>
      </c>
      <c r="D12" s="69"/>
      <c r="E12" s="70" t="s">
        <v>43</v>
      </c>
      <c r="F12" s="68" t="s">
        <v>44</v>
      </c>
      <c r="G12" s="71"/>
      <c r="H12" s="68" t="s">
        <v>45</v>
      </c>
      <c r="I12" s="68" t="s">
        <v>46</v>
      </c>
      <c r="J12" s="68" t="s">
        <v>47</v>
      </c>
      <c r="K12" s="70" t="s">
        <v>48</v>
      </c>
      <c r="L12" s="68" t="s">
        <v>49</v>
      </c>
      <c r="M12" s="15"/>
      <c r="N12" s="71"/>
      <c r="O12" s="69" t="s">
        <v>50</v>
      </c>
      <c r="P12" s="69" t="s">
        <v>51</v>
      </c>
      <c r="Q12" s="72" t="s">
        <v>52</v>
      </c>
      <c r="R12" s="69" t="s">
        <v>53</v>
      </c>
    </row>
    <row r="13" customFormat="false" ht="15" hidden="false" customHeight="true" outlineLevel="0" collapsed="false">
      <c r="A13" s="73" t="s">
        <v>54</v>
      </c>
      <c r="B13" s="74" t="n">
        <f aca="false">IF(EB.Anwendung&lt;&gt;"",January!Monat.AZSoll100.Total,"")</f>
        <v>7.35</v>
      </c>
      <c r="C13" s="75"/>
      <c r="D13" s="76" t="n">
        <f aca="false">EB.Wochenarbeitszeit/5</f>
        <v>0.35</v>
      </c>
      <c r="E13" s="76" t="n">
        <f aca="false">E25/12</f>
        <v>0.583333333333333</v>
      </c>
      <c r="F13" s="77" t="n">
        <f aca="false">F11/12</f>
        <v>0.4375</v>
      </c>
      <c r="G13" s="57"/>
      <c r="H13" s="78" t="n">
        <f aca="false">IF(OR(AND(EB.UJEintritt&lt;&gt;"",MONTH(EB.UJEintritt)&gt;ROW(H13)-ROW(EB.EffBG.Knoten)),AND(EB.UJAustritt&lt;&gt;"",MONTH(EB.UJAustritt)&lt;ROW(H13)-ROW(EB.EffBG.Knoten))),0,IF(MONTH(EB.UJEintritt)=ROW(H13)-ROW(EB.EffBG.Knoten),EB.BG,IF(ROW(H13)-ROW(EB.EffBG.Knoten) &gt; 1,H12,EB.BG)))</f>
        <v>0</v>
      </c>
      <c r="I13" s="77" t="n">
        <f aca="false">IF(EB.Anwendung&lt;&gt;"",January!Monat.AZSoll.Total,"")</f>
        <v>0</v>
      </c>
      <c r="J13" s="77" t="n">
        <f aca="false">D13/100*H13</f>
        <v>0</v>
      </c>
      <c r="K13" s="76" t="n">
        <f aca="false">E13*I13/B13</f>
        <v>0</v>
      </c>
      <c r="L13" s="77" t="n">
        <f aca="false">F13*I13/B13</f>
        <v>0</v>
      </c>
      <c r="M13" s="15"/>
      <c r="N13" s="57"/>
      <c r="O13" s="79" t="n">
        <f aca="false">I13</f>
        <v>0</v>
      </c>
      <c r="P13" s="79" t="n">
        <f aca="false">K13</f>
        <v>0</v>
      </c>
      <c r="Q13" s="80" t="n">
        <f aca="false">L13</f>
        <v>0</v>
      </c>
      <c r="R13" s="56" t="n">
        <f aca="false">IF(I13=0,0,1)</f>
        <v>0</v>
      </c>
    </row>
    <row r="14" customFormat="false" ht="15" hidden="false" customHeight="true" outlineLevel="0" collapsed="false">
      <c r="A14" s="73" t="s">
        <v>55</v>
      </c>
      <c r="B14" s="74" t="n">
        <f aca="false">IF(EB.Anwendung&lt;&gt;"",February!Monat.AZSoll100.Total,"")</f>
        <v>7</v>
      </c>
      <c r="C14" s="75"/>
      <c r="D14" s="76" t="n">
        <f aca="false">EB.Wochenarbeitszeit/5</f>
        <v>0.35</v>
      </c>
      <c r="E14" s="76" t="n">
        <f aca="false">E25/12</f>
        <v>0.583333333333333</v>
      </c>
      <c r="F14" s="77" t="n">
        <f aca="false">F11/12</f>
        <v>0.4375</v>
      </c>
      <c r="G14" s="57"/>
      <c r="H14" s="78" t="n">
        <f aca="false">IF(OR(AND(EB.UJEintritt&lt;&gt;"",MONTH(EB.UJEintritt)&gt;ROW(H14)-ROW(EB.EffBG.Knoten)),AND(EB.UJAustritt&lt;&gt;"",MONTH(EB.UJAustritt)&lt;ROW(H14)-ROW(EB.EffBG.Knoten))),0,IF(MONTH(EB.UJEintritt)=ROW(H14)-ROW(EB.EffBG.Knoten),EB.BG,IF(ROW(H14)-ROW(EB.EffBG.Knoten) &gt; 1,H13,EB.BG)))</f>
        <v>0</v>
      </c>
      <c r="I14" s="77" t="n">
        <f aca="false">IF(EB.Anwendung&lt;&gt;"",February!Monat.AZSoll.Total,"")</f>
        <v>0</v>
      </c>
      <c r="J14" s="77" t="n">
        <f aca="false">D14/100*H14</f>
        <v>0</v>
      </c>
      <c r="K14" s="76" t="n">
        <f aca="false">E14*I14/B14</f>
        <v>0</v>
      </c>
      <c r="L14" s="77" t="n">
        <f aca="false">F14*I14/B14</f>
        <v>0</v>
      </c>
      <c r="M14" s="15"/>
      <c r="N14" s="57"/>
      <c r="O14" s="79" t="n">
        <f aca="false">O13+I14</f>
        <v>0</v>
      </c>
      <c r="P14" s="79" t="n">
        <f aca="false">P13+K14</f>
        <v>0</v>
      </c>
      <c r="Q14" s="80" t="n">
        <f aca="false">Q13+L14</f>
        <v>0</v>
      </c>
      <c r="R14" s="56" t="n">
        <f aca="false">IF(I14=0,0,1)</f>
        <v>0</v>
      </c>
    </row>
    <row r="15" customFormat="false" ht="15" hidden="false" customHeight="true" outlineLevel="0" collapsed="false">
      <c r="A15" s="73" t="s">
        <v>56</v>
      </c>
      <c r="B15" s="74" t="n">
        <f aca="false">IF(EB.Anwendung&lt;&gt;"",March!Monat.AZSoll100.Total,"")</f>
        <v>7.25</v>
      </c>
      <c r="C15" s="75"/>
      <c r="D15" s="76" t="n">
        <f aca="false">EB.Wochenarbeitszeit/5</f>
        <v>0.35</v>
      </c>
      <c r="E15" s="76" t="n">
        <f aca="false">E25/12</f>
        <v>0.583333333333333</v>
      </c>
      <c r="F15" s="77" t="n">
        <f aca="false">F11/12</f>
        <v>0.4375</v>
      </c>
      <c r="G15" s="57"/>
      <c r="H15" s="78" t="n">
        <f aca="false">IF(OR(AND(EB.UJEintritt&lt;&gt;"",MONTH(EB.UJEintritt)&gt;ROW(H15)-ROW(EB.EffBG.Knoten)),AND(EB.UJAustritt&lt;&gt;"",MONTH(EB.UJAustritt)&lt;ROW(H15)-ROW(EB.EffBG.Knoten))),0,IF(MONTH(EB.UJEintritt)=ROW(H15)-ROW(EB.EffBG.Knoten),EB.BG,IF(ROW(H15)-ROW(EB.EffBG.Knoten) &gt; 1,H14,EB.BG)))</f>
        <v>0</v>
      </c>
      <c r="I15" s="77" t="n">
        <f aca="false">IF(EB.Anwendung&lt;&gt;"",March!Monat.AZSoll.Total,"")</f>
        <v>0</v>
      </c>
      <c r="J15" s="77" t="n">
        <f aca="false">D15/100*H15</f>
        <v>0</v>
      </c>
      <c r="K15" s="76" t="n">
        <f aca="false">E15*I15/B15</f>
        <v>0</v>
      </c>
      <c r="L15" s="77" t="n">
        <f aca="false">F15*I15/B15</f>
        <v>0</v>
      </c>
      <c r="M15" s="15"/>
      <c r="N15" s="57"/>
      <c r="O15" s="79" t="n">
        <f aca="false">O14+I15</f>
        <v>0</v>
      </c>
      <c r="P15" s="79" t="n">
        <f aca="false">P14+K15</f>
        <v>0</v>
      </c>
      <c r="Q15" s="80" t="n">
        <f aca="false">Q14+L15</f>
        <v>0</v>
      </c>
      <c r="R15" s="56" t="n">
        <f aca="false">IF(I15=0,0,1)</f>
        <v>0</v>
      </c>
    </row>
    <row r="16" customFormat="false" ht="15" hidden="false" customHeight="true" outlineLevel="0" collapsed="false">
      <c r="A16" s="73" t="s">
        <v>57</v>
      </c>
      <c r="B16" s="74" t="n">
        <f aca="false">IF(EB.Anwendung&lt;&gt;"",April!Monat.AZSoll100.Total,"")</f>
        <v>6.825</v>
      </c>
      <c r="C16" s="75"/>
      <c r="D16" s="76" t="n">
        <f aca="false">EB.Wochenarbeitszeit/5</f>
        <v>0.35</v>
      </c>
      <c r="E16" s="76" t="n">
        <f aca="false">E25/12</f>
        <v>0.583333333333333</v>
      </c>
      <c r="F16" s="77" t="n">
        <f aca="false">F11/12</f>
        <v>0.4375</v>
      </c>
      <c r="G16" s="57"/>
      <c r="H16" s="78" t="n">
        <f aca="false">IF(OR(AND(EB.UJEintritt&lt;&gt;"",MONTH(EB.UJEintritt)&gt;ROW(H16)-ROW(EB.EffBG.Knoten)),AND(EB.UJAustritt&lt;&gt;"",MONTH(EB.UJAustritt)&lt;ROW(H16)-ROW(EB.EffBG.Knoten))),0,IF(MONTH(EB.UJEintritt)=ROW(H16)-ROW(EB.EffBG.Knoten),EB.BG,IF(ROW(H16)-ROW(EB.EffBG.Knoten) &gt; 1,H15,EB.BG)))</f>
        <v>100</v>
      </c>
      <c r="I16" s="77" t="n">
        <f aca="false">IF(EB.Anwendung&lt;&gt;"",April!Monat.AZSoll.Total,"")</f>
        <v>6.825</v>
      </c>
      <c r="J16" s="77" t="n">
        <f aca="false">D16/100*H16</f>
        <v>0.35</v>
      </c>
      <c r="K16" s="76" t="n">
        <f aca="false">E16*I16/B16</f>
        <v>0.583333333333333</v>
      </c>
      <c r="L16" s="77" t="n">
        <f aca="false">F16*I16/B16</f>
        <v>0.4375</v>
      </c>
      <c r="M16" s="15"/>
      <c r="N16" s="57"/>
      <c r="O16" s="79" t="n">
        <f aca="false">O15+I16</f>
        <v>6.825</v>
      </c>
      <c r="P16" s="79" t="n">
        <f aca="false">P15+K16</f>
        <v>0.583333333333333</v>
      </c>
      <c r="Q16" s="80" t="n">
        <f aca="false">Q15+L16</f>
        <v>0.4375</v>
      </c>
      <c r="R16" s="56" t="n">
        <f aca="false">IF(I16=0,0,1)</f>
        <v>1</v>
      </c>
    </row>
    <row r="17" customFormat="false" ht="15" hidden="false" customHeight="true" outlineLevel="0" collapsed="false">
      <c r="A17" s="73" t="s">
        <v>58</v>
      </c>
      <c r="B17" s="74" t="n">
        <f aca="false">IF(EB.Anwendung&lt;&gt;"",May!Monat.AZSoll100.Total,"")</f>
        <v>6.9</v>
      </c>
      <c r="C17" s="75"/>
      <c r="D17" s="76" t="n">
        <f aca="false">EB.Wochenarbeitszeit/5</f>
        <v>0.35</v>
      </c>
      <c r="E17" s="76" t="n">
        <f aca="false">E25/12</f>
        <v>0.583333333333333</v>
      </c>
      <c r="F17" s="77" t="n">
        <f aca="false">F11/12</f>
        <v>0.4375</v>
      </c>
      <c r="G17" s="57"/>
      <c r="H17" s="78" t="n">
        <f aca="false">IF(OR(AND(EB.UJEintritt&lt;&gt;"",MONTH(EB.UJEintritt)&gt;ROW(H17)-ROW(EB.EffBG.Knoten)),AND(EB.UJAustritt&lt;&gt;"",MONTH(EB.UJAustritt)&lt;ROW(H17)-ROW(EB.EffBG.Knoten))),0,IF(MONTH(EB.UJEintritt)=ROW(H17)-ROW(EB.EffBG.Knoten),EB.BG,IF(ROW(H17)-ROW(EB.EffBG.Knoten) &gt; 1,H16,EB.BG)))</f>
        <v>100</v>
      </c>
      <c r="I17" s="77" t="n">
        <f aca="false">IF(EB.Anwendung&lt;&gt;"",May!Monat.AZSoll.Total,"")</f>
        <v>6.9</v>
      </c>
      <c r="J17" s="77" t="n">
        <f aca="false">D17/100*H17</f>
        <v>0.35</v>
      </c>
      <c r="K17" s="76" t="n">
        <f aca="false">E17*I17/B17</f>
        <v>0.583333333333333</v>
      </c>
      <c r="L17" s="77" t="n">
        <f aca="false">F17*I17/B17</f>
        <v>0.4375</v>
      </c>
      <c r="M17" s="15"/>
      <c r="N17" s="57"/>
      <c r="O17" s="79" t="n">
        <f aca="false">O16+I17</f>
        <v>13.725</v>
      </c>
      <c r="P17" s="79" t="n">
        <f aca="false">P16+K17</f>
        <v>1.16666666666667</v>
      </c>
      <c r="Q17" s="80" t="n">
        <f aca="false">Q16+L17</f>
        <v>0.875</v>
      </c>
      <c r="R17" s="56" t="n">
        <f aca="false">IF(I17=0,0,1)</f>
        <v>1</v>
      </c>
    </row>
    <row r="18" customFormat="false" ht="15" hidden="false" customHeight="true" outlineLevel="0" collapsed="false">
      <c r="A18" s="73" t="s">
        <v>59</v>
      </c>
      <c r="B18" s="74" t="n">
        <f aca="false">IF(EB.Anwendung&lt;&gt;"",June!Monat.AZSoll100.Total,"")</f>
        <v>7.35</v>
      </c>
      <c r="C18" s="75"/>
      <c r="D18" s="76" t="n">
        <f aca="false">EB.Wochenarbeitszeit/5</f>
        <v>0.35</v>
      </c>
      <c r="E18" s="76" t="n">
        <f aca="false">E25/12</f>
        <v>0.583333333333333</v>
      </c>
      <c r="F18" s="77" t="n">
        <f aca="false">F11/12</f>
        <v>0.4375</v>
      </c>
      <c r="G18" s="57"/>
      <c r="H18" s="78" t="n">
        <f aca="false">IF(OR(AND(EB.UJEintritt&lt;&gt;"",MONTH(EB.UJEintritt)&gt;ROW(H18)-ROW(EB.EffBG.Knoten)),AND(EB.UJAustritt&lt;&gt;"",MONTH(EB.UJAustritt)&lt;ROW(H18)-ROW(EB.EffBG.Knoten))),0,IF(MONTH(EB.UJEintritt)=ROW(H18)-ROW(EB.EffBG.Knoten),EB.BG,IF(ROW(H18)-ROW(EB.EffBG.Knoten) &gt; 1,H17,EB.BG)))</f>
        <v>100</v>
      </c>
      <c r="I18" s="77" t="n">
        <f aca="false">IF(EB.Anwendung&lt;&gt;"",June!Monat.AZSoll.Total,"")</f>
        <v>7.35</v>
      </c>
      <c r="J18" s="77" t="n">
        <f aca="false">D18/100*H18</f>
        <v>0.35</v>
      </c>
      <c r="K18" s="76" t="n">
        <f aca="false">E18*I18/B18</f>
        <v>0.583333333333333</v>
      </c>
      <c r="L18" s="77" t="n">
        <f aca="false">F18*I18/B18</f>
        <v>0.4375</v>
      </c>
      <c r="M18" s="15"/>
      <c r="N18" s="57"/>
      <c r="O18" s="79" t="n">
        <f aca="false">O17+I18</f>
        <v>21.075</v>
      </c>
      <c r="P18" s="79" t="n">
        <f aca="false">P17+K18</f>
        <v>1.75</v>
      </c>
      <c r="Q18" s="80" t="n">
        <f aca="false">Q17+L18</f>
        <v>1.3125</v>
      </c>
      <c r="R18" s="56" t="n">
        <f aca="false">IF(I18=0,0,1)</f>
        <v>1</v>
      </c>
    </row>
    <row r="19" customFormat="false" ht="15" hidden="false" customHeight="true" outlineLevel="0" collapsed="false">
      <c r="A19" s="73" t="s">
        <v>60</v>
      </c>
      <c r="B19" s="74" t="n">
        <f aca="false">IF(EB.Anwendung&lt;&gt;"",July!Monat.AZSoll100.Total,"")</f>
        <v>7.7</v>
      </c>
      <c r="C19" s="75"/>
      <c r="D19" s="76" t="n">
        <f aca="false">EB.Wochenarbeitszeit/5</f>
        <v>0.35</v>
      </c>
      <c r="E19" s="76" t="n">
        <f aca="false">E25/12</f>
        <v>0.583333333333333</v>
      </c>
      <c r="F19" s="77" t="n">
        <f aca="false">F11/12</f>
        <v>0.4375</v>
      </c>
      <c r="G19" s="57"/>
      <c r="H19" s="78" t="n">
        <f aca="false">IF(OR(AND(EB.UJEintritt&lt;&gt;"",MONTH(EB.UJEintritt)&gt;ROW(H19)-ROW(EB.EffBG.Knoten)),AND(EB.UJAustritt&lt;&gt;"",MONTH(EB.UJAustritt)&lt;ROW(H19)-ROW(EB.EffBG.Knoten))),0,IF(MONTH(EB.UJEintritt)=ROW(H19)-ROW(EB.EffBG.Knoten),EB.BG,IF(ROW(H19)-ROW(EB.EffBG.Knoten) &gt; 1,H18,EB.BG)))</f>
        <v>100</v>
      </c>
      <c r="I19" s="77" t="n">
        <f aca="false">IF(EB.Anwendung&lt;&gt;"",July!Monat.AZSoll.Total,"")</f>
        <v>7.7</v>
      </c>
      <c r="J19" s="77" t="n">
        <f aca="false">D19/100*H19</f>
        <v>0.35</v>
      </c>
      <c r="K19" s="76" t="n">
        <f aca="false">E19*I19/B19</f>
        <v>0.583333333333333</v>
      </c>
      <c r="L19" s="77" t="n">
        <f aca="false">F19*I19/B19</f>
        <v>0.4375</v>
      </c>
      <c r="M19" s="15"/>
      <c r="N19" s="57"/>
      <c r="O19" s="79" t="n">
        <f aca="false">O18+I19</f>
        <v>28.775</v>
      </c>
      <c r="P19" s="79" t="n">
        <f aca="false">P18+K19</f>
        <v>2.33333333333333</v>
      </c>
      <c r="Q19" s="80" t="n">
        <f aca="false">Q18+L19</f>
        <v>1.75</v>
      </c>
      <c r="R19" s="56" t="n">
        <f aca="false">IF(I19=0,0,1)</f>
        <v>1</v>
      </c>
    </row>
    <row r="20" customFormat="false" ht="15" hidden="false" customHeight="true" outlineLevel="0" collapsed="false">
      <c r="A20" s="73" t="s">
        <v>61</v>
      </c>
      <c r="B20" s="74" t="n">
        <f aca="false">IF(EB.Anwendung&lt;&gt;"",August!Monat.AZSoll100.Total,"")</f>
        <v>7.7</v>
      </c>
      <c r="C20" s="75"/>
      <c r="D20" s="76" t="n">
        <f aca="false">EB.Wochenarbeitszeit/5</f>
        <v>0.35</v>
      </c>
      <c r="E20" s="76" t="n">
        <f aca="false">E25/12</f>
        <v>0.583333333333333</v>
      </c>
      <c r="F20" s="77" t="n">
        <f aca="false">F11/12</f>
        <v>0.4375</v>
      </c>
      <c r="G20" s="57"/>
      <c r="H20" s="78" t="n">
        <f aca="false">IF(OR(AND(EB.UJEintritt&lt;&gt;"",MONTH(EB.UJEintritt)&gt;ROW(H20)-ROW(EB.EffBG.Knoten)),AND(EB.UJAustritt&lt;&gt;"",MONTH(EB.UJAustritt)&lt;ROW(H20)-ROW(EB.EffBG.Knoten))),0,IF(MONTH(EB.UJEintritt)=ROW(H20)-ROW(EB.EffBG.Knoten),EB.BG,IF(ROW(H20)-ROW(EB.EffBG.Knoten) &gt; 1,H19,EB.BG)))</f>
        <v>100</v>
      </c>
      <c r="I20" s="77" t="n">
        <f aca="false">IF(EB.Anwendung&lt;&gt;"",August!Monat.AZSoll.Total,"")</f>
        <v>7.7</v>
      </c>
      <c r="J20" s="77" t="n">
        <f aca="false">D20/100*H20</f>
        <v>0.35</v>
      </c>
      <c r="K20" s="76" t="n">
        <f aca="false">E20*I20/B20</f>
        <v>0.583333333333333</v>
      </c>
      <c r="L20" s="77" t="n">
        <f aca="false">F20*I20/B20</f>
        <v>0.4375</v>
      </c>
      <c r="M20" s="15"/>
      <c r="N20" s="57"/>
      <c r="O20" s="79" t="n">
        <f aca="false">O19+I20</f>
        <v>36.475</v>
      </c>
      <c r="P20" s="79" t="n">
        <f aca="false">P19+K20</f>
        <v>2.91666666666667</v>
      </c>
      <c r="Q20" s="80" t="n">
        <f aca="false">Q19+L20</f>
        <v>2.1875</v>
      </c>
      <c r="R20" s="56" t="n">
        <f aca="false">IF(I20=0,0,1)</f>
        <v>1</v>
      </c>
    </row>
    <row r="21" customFormat="false" ht="15" hidden="false" customHeight="true" outlineLevel="0" collapsed="false">
      <c r="A21" s="73" t="s">
        <v>62</v>
      </c>
      <c r="B21" s="74" t="n">
        <f aca="false">IF(EB.Anwendung&lt;&gt;"",September!Monat.AZSoll100.Total,"")</f>
        <v>6.825</v>
      </c>
      <c r="C21" s="75"/>
      <c r="D21" s="76" t="n">
        <f aca="false">EB.Wochenarbeitszeit/5</f>
        <v>0.35</v>
      </c>
      <c r="E21" s="76" t="n">
        <f aca="false">E25/12</f>
        <v>0.583333333333333</v>
      </c>
      <c r="F21" s="77" t="n">
        <f aca="false">F11/12</f>
        <v>0.4375</v>
      </c>
      <c r="G21" s="57"/>
      <c r="H21" s="78" t="n">
        <f aca="false">IF(OR(AND(EB.UJEintritt&lt;&gt;"",MONTH(EB.UJEintritt)&gt;ROW(H21)-ROW(EB.EffBG.Knoten)),AND(EB.UJAustritt&lt;&gt;"",MONTH(EB.UJAustritt)&lt;ROW(H21)-ROW(EB.EffBG.Knoten))),0,IF(MONTH(EB.UJEintritt)=ROW(H21)-ROW(EB.EffBG.Knoten),EB.BG,IF(ROW(H21)-ROW(EB.EffBG.Knoten) &gt; 1,H20,EB.BG)))</f>
        <v>100</v>
      </c>
      <c r="I21" s="77" t="n">
        <f aca="false">IF(EB.Anwendung&lt;&gt;"",September!Monat.AZSoll.Total,"")</f>
        <v>6.825</v>
      </c>
      <c r="J21" s="77" t="n">
        <f aca="false">D21/100*H21</f>
        <v>0.35</v>
      </c>
      <c r="K21" s="76" t="n">
        <f aca="false">E21*I21/B21</f>
        <v>0.583333333333333</v>
      </c>
      <c r="L21" s="77" t="n">
        <f aca="false">F21*I21/B21</f>
        <v>0.4375</v>
      </c>
      <c r="M21" s="15"/>
      <c r="N21" s="57"/>
      <c r="O21" s="79" t="n">
        <f aca="false">O20+I21</f>
        <v>43.3</v>
      </c>
      <c r="P21" s="79" t="n">
        <f aca="false">P20+K21</f>
        <v>3.5</v>
      </c>
      <c r="Q21" s="80" t="n">
        <f aca="false">Q20+L21</f>
        <v>2.625</v>
      </c>
      <c r="R21" s="56" t="n">
        <f aca="false">IF(I21=0,0,1)</f>
        <v>1</v>
      </c>
    </row>
    <row r="22" customFormat="false" ht="15" hidden="false" customHeight="true" outlineLevel="0" collapsed="false">
      <c r="A22" s="73" t="s">
        <v>63</v>
      </c>
      <c r="B22" s="74" t="n">
        <f aca="false">IF(EB.Anwendung&lt;&gt;"",October!Monat.AZSoll100.Total,"")</f>
        <v>8.05</v>
      </c>
      <c r="C22" s="75"/>
      <c r="D22" s="76" t="n">
        <f aca="false">EB.Wochenarbeitszeit/5</f>
        <v>0.35</v>
      </c>
      <c r="E22" s="76" t="n">
        <f aca="false">E25/12</f>
        <v>0.583333333333333</v>
      </c>
      <c r="F22" s="77" t="n">
        <f aca="false">F11/12</f>
        <v>0.4375</v>
      </c>
      <c r="G22" s="57"/>
      <c r="H22" s="78" t="n">
        <f aca="false">IF(OR(AND(EB.UJEintritt&lt;&gt;"",MONTH(EB.UJEintritt)&gt;ROW(H22)-ROW(EB.EffBG.Knoten)),AND(EB.UJAustritt&lt;&gt;"",MONTH(EB.UJAustritt)&lt;ROW(H22)-ROW(EB.EffBG.Knoten))),0,IF(MONTH(EB.UJEintritt)=ROW(H22)-ROW(EB.EffBG.Knoten),EB.BG,IF(ROW(H22)-ROW(EB.EffBG.Knoten) &gt; 1,H21,EB.BG)))</f>
        <v>100</v>
      </c>
      <c r="I22" s="77" t="n">
        <f aca="false">IF(EB.Anwendung&lt;&gt;"",October!Monat.AZSoll.Total,"")</f>
        <v>8.05</v>
      </c>
      <c r="J22" s="77" t="n">
        <f aca="false">D22/100*H22</f>
        <v>0.35</v>
      </c>
      <c r="K22" s="76" t="n">
        <f aca="false">E22*I22/B22</f>
        <v>0.583333333333333</v>
      </c>
      <c r="L22" s="77" t="n">
        <f aca="false">F22*I22/B22</f>
        <v>0.4375</v>
      </c>
      <c r="M22" s="15"/>
      <c r="N22" s="57"/>
      <c r="O22" s="79" t="n">
        <f aca="false">O21+I22</f>
        <v>51.35</v>
      </c>
      <c r="P22" s="79" t="n">
        <f aca="false">P21+K22</f>
        <v>4.08333333333333</v>
      </c>
      <c r="Q22" s="80" t="n">
        <f aca="false">Q21+L22</f>
        <v>3.0625</v>
      </c>
      <c r="R22" s="56" t="n">
        <f aca="false">IF(I22=0,0,1)</f>
        <v>1</v>
      </c>
    </row>
    <row r="23" customFormat="false" ht="15" hidden="false" customHeight="true" outlineLevel="0" collapsed="false">
      <c r="A23" s="73" t="s">
        <v>64</v>
      </c>
      <c r="B23" s="74" t="n">
        <f aca="false">IF(EB.Anwendung&lt;&gt;"",November!Monat.AZSoll100.Total,"")</f>
        <v>7.7</v>
      </c>
      <c r="C23" s="75"/>
      <c r="D23" s="76" t="n">
        <f aca="false">EB.Wochenarbeitszeit/5</f>
        <v>0.35</v>
      </c>
      <c r="E23" s="76" t="n">
        <f aca="false">E25/12</f>
        <v>0.583333333333333</v>
      </c>
      <c r="F23" s="77" t="n">
        <f aca="false">F11/12</f>
        <v>0.4375</v>
      </c>
      <c r="G23" s="57"/>
      <c r="H23" s="78" t="n">
        <f aca="false">IF(OR(AND(EB.UJEintritt&lt;&gt;"",MONTH(EB.UJEintritt)&gt;ROW(H23)-ROW(EB.EffBG.Knoten)),AND(EB.UJAustritt&lt;&gt;"",MONTH(EB.UJAustritt)&lt;ROW(H23)-ROW(EB.EffBG.Knoten))),0,IF(MONTH(EB.UJEintritt)=ROW(H23)-ROW(EB.EffBG.Knoten),EB.BG,IF(ROW(H23)-ROW(EB.EffBG.Knoten) &gt; 1,H22,EB.BG)))</f>
        <v>100</v>
      </c>
      <c r="I23" s="77" t="n">
        <f aca="false">IF(EB.Anwendung&lt;&gt;"",November!Monat.AZSoll.Total,"")</f>
        <v>7.7</v>
      </c>
      <c r="J23" s="77" t="n">
        <f aca="false">D23/100*H23</f>
        <v>0.35</v>
      </c>
      <c r="K23" s="76" t="n">
        <f aca="false">E23*I23/B23</f>
        <v>0.583333333333333</v>
      </c>
      <c r="L23" s="77" t="n">
        <f aca="false">F23*I23/B23</f>
        <v>0.4375</v>
      </c>
      <c r="M23" s="15"/>
      <c r="N23" s="57"/>
      <c r="O23" s="79" t="n">
        <f aca="false">O22+I23</f>
        <v>59.05</v>
      </c>
      <c r="P23" s="79" t="n">
        <f aca="false">P22+K23</f>
        <v>4.66666666666667</v>
      </c>
      <c r="Q23" s="80" t="n">
        <f aca="false">Q22+L23</f>
        <v>3.5</v>
      </c>
      <c r="R23" s="56" t="n">
        <f aca="false">IF(I23=0,0,1)</f>
        <v>1</v>
      </c>
    </row>
    <row r="24" customFormat="false" ht="15" hidden="false" customHeight="true" outlineLevel="0" collapsed="false">
      <c r="A24" s="73" t="s">
        <v>65</v>
      </c>
      <c r="B24" s="74" t="n">
        <f aca="false">IF(EB.Anwendung&lt;&gt;"",December!Monat.AZSoll100.Total,"")</f>
        <v>6.375</v>
      </c>
      <c r="C24" s="75"/>
      <c r="D24" s="76" t="n">
        <f aca="false">EB.Wochenarbeitszeit/5</f>
        <v>0.35</v>
      </c>
      <c r="E24" s="76" t="n">
        <f aca="false">E25/12</f>
        <v>0.583333333333333</v>
      </c>
      <c r="F24" s="77" t="n">
        <f aca="false">F11/12</f>
        <v>0.4375</v>
      </c>
      <c r="G24" s="57"/>
      <c r="H24" s="78" t="n">
        <f aca="false">IF(OR(AND(EB.UJEintritt&lt;&gt;"",MONTH(EB.UJEintritt)&gt;ROW(H24)-ROW(EB.EffBG.Knoten)),AND(EB.UJAustritt&lt;&gt;"",MONTH(EB.UJAustritt)&lt;ROW(H24)-ROW(EB.EffBG.Knoten))),0,IF(MONTH(EB.UJEintritt)=ROW(H24)-ROW(EB.EffBG.Knoten),EB.BG,IF(ROW(H24)-ROW(EB.EffBG.Knoten) &gt; 1,H23,EB.BG)))</f>
        <v>100</v>
      </c>
      <c r="I24" s="77" t="n">
        <f aca="false">IF(EB.Anwendung&lt;&gt;"",December!Monat.AZSoll.Total,"")</f>
        <v>6.375</v>
      </c>
      <c r="J24" s="77" t="n">
        <f aca="false">D24/100*H24</f>
        <v>0.35</v>
      </c>
      <c r="K24" s="76" t="n">
        <f aca="false">E24*I24/B24</f>
        <v>0.583333333333333</v>
      </c>
      <c r="L24" s="77" t="n">
        <f aca="false">F24*I24/B24</f>
        <v>0.4375</v>
      </c>
      <c r="M24" s="15"/>
      <c r="N24" s="57"/>
      <c r="O24" s="79" t="n">
        <f aca="false">O23+I24</f>
        <v>65.425</v>
      </c>
      <c r="P24" s="79" t="n">
        <f aca="false">P23+K24</f>
        <v>5.25</v>
      </c>
      <c r="Q24" s="80" t="n">
        <f aca="false">Q23+L24</f>
        <v>3.9375</v>
      </c>
      <c r="R24" s="56" t="n">
        <f aca="false">IF(I24=0,0,1)</f>
        <v>1</v>
      </c>
    </row>
    <row r="25" customFormat="false" ht="15" hidden="false" customHeight="true" outlineLevel="0" collapsed="false">
      <c r="A25" s="81" t="s">
        <v>66</v>
      </c>
      <c r="B25" s="82" t="n">
        <f aca="false">SUM(B13:B24)</f>
        <v>87.025</v>
      </c>
      <c r="C25" s="83"/>
      <c r="D25" s="38"/>
      <c r="E25" s="84" t="n">
        <f aca="false">E10*EB.Wochenarbeitszeit</f>
        <v>7</v>
      </c>
      <c r="F25" s="82" t="n">
        <f aca="false">SUM(F13:F24)</f>
        <v>5.25</v>
      </c>
      <c r="G25" s="15"/>
      <c r="H25" s="85" t="n">
        <f aca="false">IF(R25=0,"-     ",AVERAGEIF(H13:H24,"&gt;0"))</f>
        <v>100</v>
      </c>
      <c r="I25" s="82" t="n">
        <f aca="false">SUM(I13:I24)</f>
        <v>65.425</v>
      </c>
      <c r="J25" s="82" t="n">
        <f aca="false">AVERAGEIF(J13:J24,"&gt;0")</f>
        <v>0.35</v>
      </c>
      <c r="K25" s="82" t="n">
        <f aca="false">SUM(K13:K24)</f>
        <v>5.25</v>
      </c>
      <c r="L25" s="82" t="n">
        <f aca="false">SUM(L13:L24)</f>
        <v>3.9375</v>
      </c>
      <c r="M25" s="15"/>
      <c r="N25" s="15"/>
      <c r="O25" s="39"/>
      <c r="P25" s="39"/>
      <c r="Q25" s="59"/>
      <c r="R25" s="86" t="n">
        <f aca="false">SUM(R13:R24)</f>
        <v>9</v>
      </c>
    </row>
    <row r="26" customFormat="false" ht="15" hidden="false" customHeight="true" outlineLevel="0" collapsed="false">
      <c r="A26" s="46"/>
      <c r="B26" s="46"/>
      <c r="C26" s="87"/>
      <c r="D26" s="46"/>
      <c r="E26" s="46"/>
      <c r="F26" s="46"/>
      <c r="G26" s="46"/>
      <c r="H26" s="88" t="s">
        <v>67</v>
      </c>
      <c r="I26" s="46"/>
      <c r="J26" s="46"/>
      <c r="K26" s="46"/>
      <c r="L26" s="46"/>
      <c r="M26" s="46"/>
      <c r="N26" s="43"/>
      <c r="O26" s="46"/>
      <c r="P26" s="46"/>
      <c r="Q26" s="46"/>
      <c r="R26" s="46"/>
    </row>
    <row r="27" customFormat="false" ht="16" hidden="false" customHeight="false" outlineLevel="0" collapsed="false">
      <c r="A27" s="89" t="s">
        <v>68</v>
      </c>
      <c r="B27" s="90"/>
      <c r="C27" s="91"/>
      <c r="D27" s="90"/>
      <c r="E27" s="90"/>
      <c r="F27" s="90"/>
      <c r="G27" s="90"/>
      <c r="H27" s="92" t="s">
        <v>69</v>
      </c>
      <c r="I27" s="92"/>
      <c r="J27" s="92"/>
      <c r="K27" s="92"/>
      <c r="L27" s="46"/>
      <c r="M27" s="46"/>
      <c r="N27" s="43"/>
      <c r="O27" s="46"/>
      <c r="P27" s="46"/>
      <c r="Q27" s="46"/>
      <c r="R27" s="46"/>
    </row>
    <row r="28" customFormat="false" ht="41.25" hidden="false" customHeight="true" outlineLevel="0" collapsed="false">
      <c r="A28" s="93"/>
      <c r="B28" s="94" t="s">
        <v>70</v>
      </c>
      <c r="C28" s="94" t="s">
        <v>71</v>
      </c>
      <c r="D28" s="94"/>
      <c r="E28" s="94" t="s">
        <v>66</v>
      </c>
      <c r="F28" s="71"/>
      <c r="G28" s="71"/>
      <c r="H28" s="95" t="s">
        <v>72</v>
      </c>
      <c r="I28" s="95"/>
      <c r="J28" s="95"/>
      <c r="K28" s="95"/>
      <c r="L28" s="95"/>
      <c r="M28" s="95"/>
      <c r="N28" s="96"/>
      <c r="O28" s="97" t="s">
        <v>73</v>
      </c>
      <c r="P28" s="98"/>
      <c r="Q28" s="98"/>
      <c r="R28" s="98"/>
    </row>
    <row r="29" customFormat="false" ht="15" hidden="false" customHeight="true" outlineLevel="0" collapsed="false">
      <c r="A29" s="99" t="s">
        <v>74</v>
      </c>
      <c r="B29" s="100"/>
      <c r="C29" s="101" t="s">
        <v>75</v>
      </c>
      <c r="D29" s="102"/>
      <c r="E29" s="103" t="n">
        <f aca="false">IF(C29="+",(B29+D29),(B29-D29))</f>
        <v>0</v>
      </c>
      <c r="F29" s="71"/>
      <c r="G29" s="71"/>
      <c r="H29" s="104" t="n">
        <f aca="false">COUNTIF(EB.Projekte.RahmenBereich,"&lt;&gt;")-COUNTIF(EB.Projekte.RahmenBereich,"=Projekt 1?")-COUNTIF(EB.Projekte.RahmenBereich,"=Projekt 1")-COUNTIF(EB.Projekte.RahmenBereich,"=Projekt 2")-COUNTIF(EB.Projekte.RahmenBereich,"=Projekt 3")-COUNTIF(EB.Projekte.RahmenBereich,"=Projekt 4")-COUNTIF(EB.Projekte.RahmenBereich,"=Projekt 5")-COUNTIF(EB.Projekte.RahmenBereich,"=Projekt 6")-COUNTIF(EB.Projekte.RahmenBereich,"=Projekt 7")-COUNTIF(EB.Projekte.RahmenBereich,"=Projekt 8")-COUNTIF(EB.Projekte.RahmenBereich,"=Projekt 9")-COUNTIF(EB.Projekte.RahmenBereich,"=Project 1?")-COUNTIF(EB.Projekte.RahmenBereich,"=Project 1")-COUNTIF(EB.Projekte.RahmenBereich,"=Project 2")-COUNTIF(EB.Projekte.RahmenBereich,"=Project 3")-COUNTIF(EB.Projekte.RahmenBereich,"=Project 4")-COUNTIF(EB.Projekte.RahmenBereich,"=Project 5")-COUNTIF(EB.Projekte.RahmenBereich,"=Project 6")-COUNTIF(EB.Projekte.RahmenBereich,"=Project 7")-COUNTIF(EB.Projekte.RahmenBereich,"=Project 8")-COUNTIF(EB.Projekte.RahmenBereich,"=Project 9")</f>
        <v>0</v>
      </c>
      <c r="I29" s="105" t="str">
        <f aca="false">IF(H27="Projects",IF(EB.AnzProjekte=1,"Project","Projects"),IF(EB.AnzProjekte=1,"Projekt","Projekte"))</f>
        <v>Projects</v>
      </c>
      <c r="J29" s="106" t="s">
        <v>76</v>
      </c>
      <c r="K29" s="106"/>
      <c r="L29" s="106"/>
      <c r="M29" s="106"/>
      <c r="N29" s="96"/>
      <c r="O29" s="79" t="n">
        <f aca="false">IF(C29="+",D29,(D29*(-1)))</f>
        <v>0</v>
      </c>
      <c r="P29" s="71"/>
      <c r="Q29" s="71"/>
      <c r="R29" s="71"/>
    </row>
    <row r="30" customFormat="false" ht="15" hidden="false" customHeight="true" outlineLevel="0" collapsed="false">
      <c r="A30" s="99" t="s">
        <v>77</v>
      </c>
      <c r="B30" s="100"/>
      <c r="C30" s="101" t="s">
        <v>75</v>
      </c>
      <c r="D30" s="102"/>
      <c r="E30" s="103" t="n">
        <f aca="false">IF(C30="+",(B30+D30),(B30-D30))</f>
        <v>0</v>
      </c>
      <c r="F30" s="15"/>
      <c r="G30" s="15"/>
      <c r="H30" s="107" t="s">
        <v>78</v>
      </c>
      <c r="I30" s="108" t="s">
        <v>79</v>
      </c>
      <c r="J30" s="108" t="s">
        <v>80</v>
      </c>
      <c r="K30" s="108" t="s">
        <v>81</v>
      </c>
      <c r="L30" s="108" t="s">
        <v>82</v>
      </c>
      <c r="M30" s="108" t="s">
        <v>83</v>
      </c>
      <c r="N30" s="39"/>
      <c r="O30" s="79" t="n">
        <f aca="false">IF(C30="+",D30,(D30*(-1)))</f>
        <v>0</v>
      </c>
      <c r="P30" s="59"/>
      <c r="Q30" s="59"/>
      <c r="R30" s="59"/>
    </row>
    <row r="31" customFormat="false" ht="15" hidden="false" customHeight="true" outlineLevel="0" collapsed="false">
      <c r="A31" s="99" t="s">
        <v>84</v>
      </c>
      <c r="B31" s="100"/>
      <c r="C31" s="101" t="s">
        <v>75</v>
      </c>
      <c r="D31" s="102"/>
      <c r="E31" s="103" t="n">
        <f aca="false">IF(C31="+",(B31+D31),(B31-D31))</f>
        <v>0</v>
      </c>
      <c r="F31" s="15"/>
      <c r="G31" s="15"/>
      <c r="H31" s="109" t="s">
        <v>85</v>
      </c>
      <c r="I31" s="109"/>
      <c r="J31" s="110"/>
      <c r="K31" s="110"/>
      <c r="L31" s="110"/>
      <c r="M31" s="111"/>
      <c r="N31" s="39"/>
      <c r="O31" s="79" t="n">
        <f aca="false">IF(C31="+",D31,(D31*(-1)))</f>
        <v>0</v>
      </c>
      <c r="P31" s="59"/>
      <c r="Q31" s="59"/>
      <c r="R31" s="59"/>
    </row>
    <row r="32" customFormat="false" ht="15" hidden="false" customHeight="true" outlineLevel="0" collapsed="false">
      <c r="A32" s="112" t="s">
        <v>86</v>
      </c>
      <c r="B32" s="113"/>
      <c r="C32" s="101" t="s">
        <v>75</v>
      </c>
      <c r="D32" s="102"/>
      <c r="E32" s="114" t="n">
        <f aca="false">IF(C32="+",(B32+D32),(B32-D32))</f>
        <v>0</v>
      </c>
      <c r="F32" s="15"/>
      <c r="G32" s="15"/>
      <c r="H32" s="109" t="s">
        <v>87</v>
      </c>
      <c r="I32" s="109"/>
      <c r="J32" s="110"/>
      <c r="K32" s="110"/>
      <c r="L32" s="110"/>
      <c r="M32" s="111"/>
      <c r="N32" s="39"/>
      <c r="O32" s="79" t="n">
        <f aca="false">IF(C32="+",D32,(D32*(-1)))</f>
        <v>0</v>
      </c>
      <c r="P32" s="59"/>
      <c r="Q32" s="59"/>
      <c r="R32" s="59"/>
    </row>
    <row r="33" customFormat="false" ht="15" hidden="false" customHeight="true" outlineLevel="0" collapsed="false">
      <c r="A33" s="99" t="s">
        <v>88</v>
      </c>
      <c r="B33" s="115" t="n">
        <f aca="false">K25+EB.Frei_Tage</f>
        <v>5.25</v>
      </c>
      <c r="C33" s="116" t="s">
        <v>75</v>
      </c>
      <c r="D33" s="117"/>
      <c r="E33" s="82" t="n">
        <f aca="false">IF(C33="+",(B33+D33),(B33-D33))</f>
        <v>5.25</v>
      </c>
      <c r="F33" s="15"/>
      <c r="G33" s="15"/>
      <c r="H33" s="109" t="s">
        <v>89</v>
      </c>
      <c r="I33" s="109"/>
      <c r="J33" s="110"/>
      <c r="K33" s="110"/>
      <c r="L33" s="110"/>
      <c r="M33" s="111"/>
      <c r="N33" s="39"/>
      <c r="O33" s="79" t="n">
        <f aca="false">IF(C33="+",D33,(D33*(-1)))</f>
        <v>0</v>
      </c>
      <c r="P33" s="59"/>
      <c r="Q33" s="59"/>
      <c r="R33" s="59"/>
    </row>
    <row r="34" customFormat="false" ht="15" hidden="false" customHeight="true" outlineLevel="0" collapsed="false">
      <c r="A34" s="99" t="s">
        <v>90</v>
      </c>
      <c r="B34" s="118" t="n">
        <v>0</v>
      </c>
      <c r="C34" s="119"/>
      <c r="D34" s="119"/>
      <c r="E34" s="82" t="n">
        <f aca="false">J25*B34</f>
        <v>0</v>
      </c>
      <c r="F34" s="15"/>
      <c r="G34" s="15"/>
      <c r="H34" s="109" t="s">
        <v>91</v>
      </c>
      <c r="I34" s="109"/>
      <c r="J34" s="110"/>
      <c r="K34" s="110"/>
      <c r="L34" s="110"/>
      <c r="M34" s="111"/>
      <c r="N34" s="39"/>
      <c r="O34" s="57"/>
      <c r="P34" s="59"/>
      <c r="Q34" s="59"/>
      <c r="R34" s="59"/>
    </row>
    <row r="35" customFormat="false" ht="15" hidden="false" customHeight="true" outlineLevel="0" collapsed="false">
      <c r="A35" s="99" t="s">
        <v>92</v>
      </c>
      <c r="B35" s="120" t="n">
        <f aca="false">L25</f>
        <v>3.9375</v>
      </c>
      <c r="C35" s="119"/>
      <c r="D35" s="119"/>
      <c r="E35" s="121" t="n">
        <f aca="false">IF(C35="+",(B35+D35),(B35-D35))</f>
        <v>3.9375</v>
      </c>
      <c r="F35" s="15"/>
      <c r="G35" s="15"/>
      <c r="H35" s="109" t="s">
        <v>93</v>
      </c>
      <c r="I35" s="109"/>
      <c r="J35" s="110"/>
      <c r="K35" s="110"/>
      <c r="L35" s="110"/>
      <c r="M35" s="111"/>
      <c r="N35" s="39"/>
      <c r="O35" s="57"/>
      <c r="P35" s="59"/>
      <c r="Q35" s="59"/>
      <c r="R35" s="59"/>
    </row>
    <row r="36" customFormat="false" ht="15" hidden="false" customHeight="true" outlineLevel="0" collapsed="false">
      <c r="A36" s="99" t="s">
        <v>94</v>
      </c>
      <c r="B36" s="66" t="n">
        <f aca="false">I25</f>
        <v>65.425</v>
      </c>
      <c r="C36" s="119"/>
      <c r="D36" s="119"/>
      <c r="E36" s="82" t="n">
        <f aca="false">IF(C36="+",(B36+D36),(B36-D36))</f>
        <v>65.425</v>
      </c>
      <c r="F36" s="15"/>
      <c r="G36" s="15"/>
      <c r="H36" s="109" t="s">
        <v>95</v>
      </c>
      <c r="I36" s="109"/>
      <c r="J36" s="110"/>
      <c r="K36" s="110"/>
      <c r="L36" s="110"/>
      <c r="M36" s="111"/>
      <c r="N36" s="39"/>
      <c r="O36" s="46"/>
      <c r="P36" s="59"/>
      <c r="Q36" s="59"/>
      <c r="R36" s="59"/>
    </row>
    <row r="37" customFormat="false" ht="15" hidden="false" customHeight="true" outlineLevel="0" collapsed="false">
      <c r="A37" s="122"/>
      <c r="B37" s="122"/>
      <c r="C37" s="122"/>
      <c r="D37" s="122"/>
      <c r="E37" s="122"/>
      <c r="F37" s="15"/>
      <c r="G37" s="15"/>
      <c r="H37" s="109" t="s">
        <v>96</v>
      </c>
      <c r="I37" s="109"/>
      <c r="J37" s="110"/>
      <c r="K37" s="110"/>
      <c r="L37" s="110"/>
      <c r="M37" s="111"/>
      <c r="N37" s="39"/>
      <c r="O37" s="57"/>
      <c r="P37" s="46"/>
      <c r="Q37" s="46"/>
      <c r="R37" s="46"/>
    </row>
    <row r="38" customFormat="false" ht="15.75" hidden="false" customHeight="true" outlineLevel="0" collapsed="false">
      <c r="A38" s="89" t="s">
        <v>97</v>
      </c>
      <c r="B38" s="15"/>
      <c r="C38" s="122"/>
      <c r="D38" s="122"/>
      <c r="E38" s="122"/>
      <c r="F38" s="15"/>
      <c r="G38" s="15"/>
      <c r="H38" s="109" t="s">
        <v>98</v>
      </c>
      <c r="I38" s="109"/>
      <c r="J38" s="110"/>
      <c r="K38" s="110"/>
      <c r="L38" s="110"/>
      <c r="M38" s="111"/>
      <c r="N38" s="39"/>
      <c r="O38" s="57"/>
      <c r="P38" s="59"/>
      <c r="Q38" s="59"/>
      <c r="R38" s="59"/>
    </row>
    <row r="39" customFormat="false" ht="15" hidden="false" customHeight="true" outlineLevel="0" collapsed="false">
      <c r="A39" s="99" t="s">
        <v>99</v>
      </c>
      <c r="B39" s="123" t="n">
        <f aca="false">INDEX(EB.DurchSollTAZStd.Bereich,IF(EB.UJEintritt&lt;&gt;"",MONTH(EB.UJEintritt),1))</f>
        <v>0.35</v>
      </c>
      <c r="C39" s="122"/>
      <c r="D39" s="122"/>
      <c r="E39" s="122"/>
      <c r="F39" s="15"/>
      <c r="G39" s="15"/>
      <c r="H39" s="109" t="s">
        <v>100</v>
      </c>
      <c r="I39" s="109"/>
      <c r="J39" s="110"/>
      <c r="K39" s="110"/>
      <c r="L39" s="110"/>
      <c r="M39" s="111"/>
      <c r="N39" s="39"/>
      <c r="O39" s="57"/>
      <c r="P39" s="59"/>
      <c r="Q39" s="59"/>
      <c r="R39" s="59"/>
    </row>
    <row r="40" customFormat="false" ht="15" hidden="false" customHeight="true" outlineLevel="0" collapsed="false">
      <c r="A40" s="99" t="s">
        <v>101</v>
      </c>
      <c r="B40" s="123" t="n">
        <f aca="false">INDEX(EB.DurchSollTAZStd.Bereich,IF(EB.UJEintritt&lt;&gt;"",MONTH(EB.UJEintritt),1))</f>
        <v>0.35</v>
      </c>
      <c r="C40" s="122"/>
      <c r="D40" s="122"/>
      <c r="E40" s="122"/>
      <c r="F40" s="15"/>
      <c r="G40" s="15"/>
      <c r="H40" s="109" t="s">
        <v>102</v>
      </c>
      <c r="I40" s="109"/>
      <c r="J40" s="110"/>
      <c r="K40" s="110"/>
      <c r="L40" s="110"/>
      <c r="M40" s="111"/>
      <c r="N40" s="39"/>
      <c r="O40" s="57"/>
      <c r="P40" s="59"/>
      <c r="Q40" s="59"/>
      <c r="R40" s="59"/>
    </row>
    <row r="41" customFormat="false" ht="15" hidden="false" customHeight="true" outlineLevel="0" collapsed="false">
      <c r="A41" s="99" t="s">
        <v>103</v>
      </c>
      <c r="B41" s="123" t="n">
        <f aca="false">INDEX(EB.DurchSollTAZStd.Bereich,IF(EB.UJEintritt&lt;&gt;"",MONTH(EB.UJEintritt),1))</f>
        <v>0.35</v>
      </c>
      <c r="C41" s="122"/>
      <c r="D41" s="122"/>
      <c r="E41" s="122"/>
      <c r="F41" s="15"/>
      <c r="G41" s="15"/>
      <c r="H41" s="109" t="s">
        <v>104</v>
      </c>
      <c r="I41" s="109"/>
      <c r="J41" s="110"/>
      <c r="K41" s="110"/>
      <c r="L41" s="110"/>
      <c r="M41" s="111"/>
      <c r="N41" s="39"/>
      <c r="O41" s="57"/>
      <c r="P41" s="59"/>
      <c r="Q41" s="59"/>
      <c r="R41" s="59"/>
    </row>
    <row r="42" customFormat="false" ht="15" hidden="false" customHeight="true" outlineLevel="0" collapsed="false">
      <c r="A42" s="99" t="s">
        <v>105</v>
      </c>
      <c r="B42" s="123" t="n">
        <f aca="false">INDEX(EB.DurchSollTAZStd.Bereich,IF(EB.UJEintritt&lt;&gt;"",MONTH(EB.UJEintritt),1))</f>
        <v>0.35</v>
      </c>
      <c r="C42" s="122"/>
      <c r="D42" s="122"/>
      <c r="E42" s="122"/>
      <c r="F42" s="15"/>
      <c r="G42" s="15"/>
      <c r="H42" s="109" t="s">
        <v>106</v>
      </c>
      <c r="I42" s="109"/>
      <c r="J42" s="110"/>
      <c r="K42" s="110"/>
      <c r="L42" s="110"/>
      <c r="M42" s="111"/>
      <c r="N42" s="39"/>
      <c r="O42" s="57"/>
      <c r="P42" s="59"/>
      <c r="Q42" s="59"/>
      <c r="R42" s="59"/>
    </row>
    <row r="43" customFormat="false" ht="15" hidden="false" customHeight="true" outlineLevel="0" collapsed="false">
      <c r="A43" s="99" t="s">
        <v>107</v>
      </c>
      <c r="B43" s="123" t="n">
        <f aca="false">INDEX(EB.DurchSollTAZStd.Bereich,IF(EB.UJEintritt&lt;&gt;"",MONTH(EB.UJEintritt),1))</f>
        <v>0.35</v>
      </c>
      <c r="C43" s="122"/>
      <c r="D43" s="122"/>
      <c r="E43" s="122"/>
      <c r="F43" s="15"/>
      <c r="G43" s="15"/>
      <c r="H43" s="109" t="s">
        <v>108</v>
      </c>
      <c r="I43" s="109"/>
      <c r="J43" s="110"/>
      <c r="K43" s="110"/>
      <c r="L43" s="110"/>
      <c r="M43" s="111"/>
      <c r="N43" s="39"/>
      <c r="O43" s="57"/>
      <c r="P43" s="59"/>
      <c r="Q43" s="59"/>
      <c r="R43" s="59"/>
    </row>
    <row r="44" customFormat="false" ht="15" hidden="false" customHeight="true" outlineLevel="0" collapsed="false">
      <c r="A44" s="99" t="s">
        <v>109</v>
      </c>
      <c r="B44" s="123"/>
      <c r="C44" s="122"/>
      <c r="D44" s="122"/>
      <c r="E44" s="122"/>
      <c r="F44" s="15"/>
      <c r="G44" s="15"/>
      <c r="H44" s="109" t="s">
        <v>110</v>
      </c>
      <c r="I44" s="109"/>
      <c r="J44" s="110"/>
      <c r="K44" s="110"/>
      <c r="L44" s="110"/>
      <c r="M44" s="111"/>
      <c r="N44" s="39"/>
      <c r="O44" s="57"/>
      <c r="P44" s="59"/>
      <c r="Q44" s="59"/>
      <c r="R44" s="59"/>
    </row>
    <row r="45" customFormat="false" ht="15" hidden="false" customHeight="true" outlineLevel="0" collapsed="false">
      <c r="A45" s="99" t="s">
        <v>111</v>
      </c>
      <c r="B45" s="123"/>
      <c r="C45" s="122"/>
      <c r="D45" s="122"/>
      <c r="E45" s="122"/>
      <c r="F45" s="15"/>
      <c r="G45" s="15"/>
      <c r="H45" s="109" t="s">
        <v>112</v>
      </c>
      <c r="I45" s="109"/>
      <c r="J45" s="110"/>
      <c r="K45" s="110"/>
      <c r="L45" s="110"/>
      <c r="M45" s="111"/>
      <c r="N45" s="39"/>
      <c r="O45" s="46"/>
      <c r="P45" s="59"/>
      <c r="Q45" s="59"/>
      <c r="R45" s="59"/>
    </row>
    <row r="46" customFormat="false" ht="11.25" hidden="false" customHeight="true" outlineLevel="0" collapsed="false">
      <c r="A46" s="122"/>
      <c r="B46" s="122"/>
      <c r="C46" s="122"/>
      <c r="D46" s="122"/>
      <c r="E46" s="122"/>
      <c r="F46" s="15"/>
      <c r="G46" s="15"/>
      <c r="H46" s="15"/>
      <c r="I46" s="15"/>
      <c r="J46" s="15"/>
      <c r="K46" s="15"/>
      <c r="L46" s="15"/>
      <c r="M46" s="15"/>
      <c r="N46" s="15"/>
      <c r="O46" s="46"/>
      <c r="P46" s="46"/>
      <c r="Q46" s="46"/>
      <c r="R46" s="46"/>
    </row>
    <row r="47" customFormat="false" ht="11.25" hidden="false" customHeight="true" outlineLevel="0" collapsed="false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46"/>
      <c r="P47" s="46"/>
      <c r="Q47" s="46"/>
      <c r="R47" s="46"/>
    </row>
    <row r="48" customFormat="false" ht="13" hidden="false" customHeight="false" outlineLevel="0" collapsed="false">
      <c r="A48" s="124" t="s">
        <v>113</v>
      </c>
      <c r="B48" s="125" t="s">
        <v>114</v>
      </c>
      <c r="D48" s="126"/>
    </row>
    <row r="49" customFormat="false" ht="13" hidden="false" customHeight="false" outlineLevel="0" collapsed="false">
      <c r="A49" s="124"/>
      <c r="B49" s="125" t="s">
        <v>115</v>
      </c>
      <c r="D49" s="126"/>
      <c r="H49" s="126"/>
      <c r="I49" s="127"/>
      <c r="J49" s="128"/>
      <c r="K49" s="128"/>
    </row>
    <row r="50" customFormat="false" ht="13" hidden="false" customHeight="false" outlineLevel="0" collapsed="false">
      <c r="A50" s="124"/>
      <c r="B50" s="125" t="s">
        <v>116</v>
      </c>
      <c r="D50" s="126"/>
      <c r="H50" s="126"/>
      <c r="J50" s="128"/>
      <c r="K50" s="128"/>
    </row>
    <row r="51" customFormat="false" ht="13" hidden="false" customHeight="false" outlineLevel="0" collapsed="false">
      <c r="A51" s="124"/>
      <c r="B51" s="129" t="s">
        <v>117</v>
      </c>
      <c r="D51" s="126"/>
      <c r="J51" s="128"/>
      <c r="K51" s="128"/>
    </row>
    <row r="52" customFormat="false" ht="13" hidden="false" customHeight="false" outlineLevel="0" collapsed="false">
      <c r="A52" s="130"/>
      <c r="J52" s="128"/>
      <c r="K52" s="128"/>
    </row>
    <row r="53" customFormat="false" ht="13" hidden="false" customHeight="false" outlineLevel="0" collapsed="false">
      <c r="A53" s="124" t="s">
        <v>118</v>
      </c>
      <c r="B53" s="131" t="s">
        <v>119</v>
      </c>
      <c r="J53" s="128"/>
      <c r="K53" s="128"/>
    </row>
  </sheetData>
  <sheetProtection sheet="true" objects="true" scenarios="true"/>
  <mergeCells count="24">
    <mergeCell ref="B1:E1"/>
    <mergeCell ref="B2:F2"/>
    <mergeCell ref="I2:L2"/>
    <mergeCell ref="O2:R2"/>
    <mergeCell ref="B3:F3"/>
    <mergeCell ref="I3:L3"/>
    <mergeCell ref="O3:Q3"/>
    <mergeCell ref="C4:E4"/>
    <mergeCell ref="I4:L4"/>
    <mergeCell ref="O4:O6"/>
    <mergeCell ref="C5:D5"/>
    <mergeCell ref="I5:L5"/>
    <mergeCell ref="C6:E6"/>
    <mergeCell ref="J6:K6"/>
    <mergeCell ref="C7:D7"/>
    <mergeCell ref="E7:F7"/>
    <mergeCell ref="J7:K7"/>
    <mergeCell ref="C12:D12"/>
    <mergeCell ref="H27:K27"/>
    <mergeCell ref="C28:D28"/>
    <mergeCell ref="H28:M28"/>
    <mergeCell ref="B29:B31"/>
    <mergeCell ref="J29:M29"/>
    <mergeCell ref="C34:D36"/>
  </mergeCells>
  <conditionalFormatting sqref="H31:H45">
    <cfRule type="expression" priority="2" aboveAverage="0" equalAverage="0" bottom="0" percent="0" rank="0" text="" dxfId="0">
      <formula>AND(OR($H31="Projekt 1",$H31="Projekt 2",$H31="Projekt 3",$H31="Projekt 4",$H31="Projekt 5",$H31="Projekt 6",$H31="Projekt 7",$H31="Projekt 8",$H31="Projekt 9",$H31="Projekt 10",$H31="Projekt 11",$H31="Projekt 12",$H31="Projekt 13",$H31="Projekt 14",$H31="Projekt 15"),ROW($H31)-ROW($H$31)+1&lt;=EB.AnzProjekte)</formula>
    </cfRule>
  </conditionalFormatting>
  <conditionalFormatting sqref="D29">
    <cfRule type="expression" priority="3" aboveAverage="0" equalAverage="0" bottom="0" percent="0" rank="0" text="" dxfId="1">
      <formula>AND($I$7=1/24*50,$D$29&lt;&gt;"")</formula>
    </cfRule>
  </conditionalFormatting>
  <conditionalFormatting sqref="D31">
    <cfRule type="expression" priority="4" aboveAverage="0" equalAverage="0" bottom="0" percent="0" rank="0" text="" dxfId="2">
      <formula>AND(T.50_Vetsuisse=0,$D$31&lt;&gt;"")</formula>
    </cfRule>
  </conditionalFormatting>
  <conditionalFormatting sqref="F5">
    <cfRule type="expression" priority="5" aboveAverage="0" equalAverage="0" bottom="0" percent="0" rank="0" text="" dxfId="3">
      <formula>$E$5=INDEX(T.JaNein.Bereich,1,1)</formula>
    </cfRule>
    <cfRule type="expression" priority="6" aboveAverage="0" equalAverage="0" bottom="0" percent="0" rank="0" text="" dxfId="4">
      <formula>EB.LKgr16ab&lt;EB.UJEintritt</formula>
    </cfRule>
  </conditionalFormatting>
  <conditionalFormatting sqref="L6">
    <cfRule type="expression" priority="7" aboveAverage="0" equalAverage="0" bottom="0" percent="0" rank="0" text="" dxfId="5">
      <formula>AND(OR(T.50_Vetsuisse,AND(EB.LKgr16=INDEX(T.JaNein.Bereich,1,1),EB.LKgr16ab=MAX(DATE(EB.Jahr,1,1),EB.UJEintritt))),$L$6=INDEX(T.JaNein.Bereich,1,1))</formula>
    </cfRule>
  </conditionalFormatting>
  <conditionalFormatting sqref="E5">
    <cfRule type="expression" priority="8" aboveAverage="0" equalAverage="0" bottom="0" percent="0" rank="0" text="" dxfId="6">
      <formula>$E$5="Ja"</formula>
    </cfRule>
    <cfRule type="expression" priority="9" aboveAverage="0" equalAverage="0" bottom="0" percent="0" rank="0" text="" dxfId="7">
      <formula>$E$5="Yes"</formula>
    </cfRule>
  </conditionalFormatting>
  <dataValidations count="16">
    <dataValidation allowBlank="true" error="Please choose a value from the drop-down list." errorTitle="Days off according to contract" operator="between" showDropDown="false" showErrorMessage="true" showInputMessage="true" sqref="B34" type="list">
      <formula1>T.Frei_Tage.Bereich</formula1>
      <formula2>0</formula2>
    </dataValidation>
    <dataValidation allowBlank="true" error="Please choose a value from the drop-down list." errorTitle="Project type" operator="between" showDropDown="false" showErrorMessage="true" showInputMessage="true" sqref="I31:I45" type="list">
      <formula1>T.Projektart.Bereich</formula1>
      <formula2>0</formula2>
    </dataValidation>
    <dataValidation allowBlank="true" error="Please indicaet a valid termination date of the tracking year." errorTitle="Termination Date during the Year" operator="between" prompt="If you terminate this year please indicate your termination date (e.g. 31.03.2016).&#10;&#10;LibreOffice english version: Enter the date in the format MM/DD/YYYY&#10;&#10;Mac english version: Enter the date in the format DD/MM/YYYY" promptTitle="Termination Date during the Year" showDropDown="false" showErrorMessage="true" showInputMessage="true" sqref="F6" type="date">
      <formula1>DATE(EB.Jahr,1,1)</formula1>
      <formula2>DATE(EB.Jahr,12,31)</formula2>
    </dataValidation>
    <dataValidation allowBlank="true" error="Please indicate your date of birth (e.g. 20.05.1975).&#10;&#10;The year of birth will automatically be transferred to cell &quot;year of birth&quot;." errorTitle="Date of Birth" operator="between" prompt="Indicate your date of birth (e.g. 20.05.1975)&#10;&#10;The year of birth will automatically be transferred to cell &quot;year of birth&quot;.&#10;&#10;LibreOffice english version: Enter the date in the format MM/DD/YYYY&#10;&#10;Mac english version: Enter the date in the format DD/MM/YYYY" promptTitle="Date of Birth" showDropDown="false" showErrorMessage="true" showInputMessage="true" sqref="B4" type="date">
      <formula1>2192</formula1>
      <formula2>2957003</formula2>
    </dataValidation>
    <dataValidation allowBlank="false" error="Numbers only allowed.&#10;Employee number consists of 8 digits.&#10;&#10;e.g.: 01234567, 12345678, 00012345" errorTitle="Employee Number" operator="between" prompt="Numbers only allowed.&#10;The employee number consists of 8 digits (e.g. 01234567, 12345678, 00012345)" promptTitle="Employee Number" showDropDown="false" showErrorMessage="true" showInputMessage="true" sqref="B5" type="custom">
      <formula1>AND(ISNUMBER(VALUE(B5)),LEN(B5)=8)</formula1>
      <formula2>0</formula2>
    </dataValidation>
    <dataValidation allowBlank="true" error="Please indicate a valid entry date of the tracking year." errorTitle="Entry Date during the Year" operator="between" prompt="If you entered this year please indicate your entry date (e.g. 15.03.2016).&#10;&#10;LibreOffice english version: Enter the date in the format MM/DD/YYYY&#10;&#10;Mac english version: Enter the date in the format DD/MM/YYYY" promptTitle="Entry Date during the Year" showDropDown="false" showErrorMessage="true" showInputMessage="true" sqref="B6" type="date">
      <formula1>DATE(EB.Jahr,1,1)</formula1>
      <formula2>DATE(EB.Jahr,12,31)</formula2>
    </dataValidation>
    <dataValidation allowBlank="true" error="Please choose a value from the drop-down list." errorTitle="Faculty" operator="between" showDropDown="false" showErrorMessage="true" showInputMessage="true" sqref="I4:L4" type="list">
      <formula1>T.Fakultaet.Bereich</formula1>
      <formula2>0</formula2>
    </dataValidation>
    <dataValidation allowBlank="true" error="Please choose a value from the drop-down list." errorTitle="Employee Category" operator="between" showDropDown="false" showErrorMessage="true" showInputMessage="true" sqref="I5:L5" type="list">
      <formula1>T.Personalkategorie.Bereich</formula1>
      <formula2>0</formula2>
    </dataValidation>
    <dataValidation allowBlank="true" error="Please choose a value from the drop-down list." errorTitle="Apprentice" operator="between" showDropDown="false" showErrorMessage="true" showInputMessage="true" sqref="I6" type="list">
      <formula1>T.JaNein.Bereich</formula1>
      <formula2>0</formula2>
    </dataValidation>
    <dataValidation allowBlank="true" error="Please choose a value from the drop-down list." errorTitle="Weekly Working Hours" operator="between" showDropDown="false" showErrorMessage="true" showInputMessage="true" sqref="I7" type="list">
      <formula1>T.Wochenarbeitszeit.Bereich</formula1>
      <formula2>0</formula2>
    </dataValidation>
    <dataValidation allowBlank="true" error="Please enter a number between 0 and 100." errorTitle="FTE" operator="between" showDropDown="false" showErrorMessage="true" showInputMessage="true" sqref="L7 H13:H24" type="decimal">
      <formula1>0</formula1>
      <formula2>100</formula2>
    </dataValidation>
    <dataValidation allowBlank="true" error="Please enter a number between 0 and 100." errorTitle="FTE acc. to employment contract" operator="between" showDropDown="false" showErrorMessage="true" showInputMessage="true" sqref="M31:M45" type="decimal">
      <formula1>0</formula1>
      <formula2>100</formula2>
    </dataValidation>
    <dataValidation allowBlank="true" error="Please choose a value from the drop-down list." errorTitle="Supplement on Overtime entitled" operator="between" prompt="The value &quot;Yes&quot; is not valid for&#10;&#10;- Vetsuisse employees with weekly working hours 50&#10;- Employees having a wage group &gt; 16 already on the 1st January of the year. For changes of wage group to &gt; 16 during the year, the value can be left at &quot;Yes&quot;." promptTitle="Supplement on Overtime entitled" showDropDown="false" showErrorMessage="true" showInputMessage="true" sqref="L6" type="list">
      <formula1>T.JaNein.Bereich</formula1>
      <formula2>0</formula2>
    </dataValidation>
    <dataValidation allowBlank="true" error="Please choose a value from the drop-down list." errorTitle="Wage Group &gt; 16" operator="between" showDropDown="false" showErrorMessage="true" showInputMessage="true" sqref="E5" type="list">
      <formula1>T.JaNein.Bereich</formula1>
      <formula2>0</formula2>
    </dataValidation>
    <dataValidation allowBlank="true" error="Bitte geben Sie ein gültiges Datum ein, das im Jahr der Arbeitszeittabelle liegt." errorTitle="Lohnklasse &gt; 16 ab" operator="between" prompt="If your wage group changes to &gt; 16 after the 1st January of this year, please enter the from date (e.g. 01.02.2018).&#10;&#10;LibreOffice english version: Enter the date in the format MM/DD/YYYY&#10;&#10;Mac english version: Enter the date in the format DD/MM/YYYY" promptTitle="Wage Group &gt; 16 from" showDropDown="false" showErrorMessage="true" showInputMessage="true" sqref="F5" type="date">
      <formula1>DATE(EB.Jahr,1,1)</formula1>
      <formula2>DATE(EB.Jahr,12,31)</formula2>
    </dataValidation>
    <dataValidation allowBlank="true" error="Please choose a value from the drop-down list." errorTitle="More Information" operator="between" showDropDown="false" showErrorMessage="true" showInputMessage="false" sqref="E7:F7" type="list">
      <formula1>T.WeitereAngaben.Bereich</formula1>
      <formula2>0</formula2>
    </dataValidation>
  </dataValidations>
  <printOptions headings="false" gridLines="false" gridLinesSet="true" horizontalCentered="true" verticalCentered="false"/>
  <pageMargins left="0.196527777777778" right="0.196527777777778" top="0.39375" bottom="0.393055555555556" header="0.511805555555555" footer="0.196527777777778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&amp;L&amp;"Arial,Regular"&amp;11&amp;A&amp;C&amp;"Arial,Regular"&amp;11&amp;D&amp;R&amp;"Arial,Regular"&amp;11&amp;P / &amp;N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P124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" ySplit="10" topLeftCell="B11" activePane="bottomRight" state="frozen"/>
      <selection pane="topLeft" activeCell="A1" activeCellId="0" sqref="A1"/>
      <selection pane="topRight" activeCell="B1" activeCellId="0" sqref="B1"/>
      <selection pane="bottomLeft" activeCell="A11" activeCellId="0" sqref="A11"/>
      <selection pane="bottomRight" activeCell="B13" activeCellId="0" sqref="B13"/>
    </sheetView>
  </sheetViews>
  <sheetFormatPr defaultRowHeight="13" zeroHeight="false" outlineLevelRow="1" outlineLevelCol="1"/>
  <cols>
    <col collapsed="false" customWidth="true" hidden="false" outlineLevel="0" max="1" min="1" style="132" width="24.5"/>
    <col collapsed="false" customWidth="true" hidden="false" outlineLevel="0" max="31" min="2" style="132" width="5.66"/>
    <col collapsed="false" customWidth="true" hidden="false" outlineLevel="0" max="32" min="32" style="133" width="24.5"/>
    <col collapsed="false" customWidth="true" hidden="false" outlineLevel="0" max="33" min="33" style="134" width="2.17"/>
    <col collapsed="false" customWidth="true" hidden="false" outlineLevel="0" max="35" min="34" style="132" width="8.17"/>
    <col collapsed="false" customWidth="true" hidden="true" outlineLevel="1" max="36" min="36" style="132" width="15.83"/>
    <col collapsed="false" customWidth="true" hidden="true" outlineLevel="1" max="38" min="37" style="132" width="14.33"/>
    <col collapsed="false" customWidth="true" hidden="false" outlineLevel="0" max="39" min="39" style="135" width="9.5"/>
    <col collapsed="false" customWidth="true" hidden="false" outlineLevel="0" max="41" min="40" style="132" width="8.17"/>
    <col collapsed="false" customWidth="true" hidden="false" outlineLevel="0" max="42" min="42" style="132" width="3.66"/>
    <col collapsed="false" customWidth="true" hidden="false" outlineLevel="0" max="1025" min="43" style="0" width="10.66"/>
  </cols>
  <sheetData>
    <row r="1" s="142" customFormat="true" ht="22.5" hidden="false" customHeight="true" outlineLevel="0" collapsed="false">
      <c r="A1" s="136" t="str">
        <f aca="false">INDEX(EB.Monate.Bereich,MONTH(Monat.Tag1)) &amp; " " &amp; EB.Jahr</f>
        <v>September 2018</v>
      </c>
      <c r="B1" s="137" t="str">
        <f aca="false">Eingabeblatt!B1</f>
        <v>Employee Time Sheet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6"/>
      <c r="N1" s="6"/>
      <c r="O1" s="6"/>
      <c r="P1" s="6"/>
      <c r="Q1" s="6"/>
      <c r="R1" s="138"/>
      <c r="S1" s="6"/>
      <c r="T1" s="6"/>
      <c r="U1" s="6"/>
      <c r="V1" s="139"/>
      <c r="W1" s="139"/>
      <c r="X1" s="6"/>
      <c r="Y1" s="138"/>
      <c r="Z1" s="6"/>
      <c r="AA1" s="6"/>
      <c r="AB1" s="6"/>
      <c r="AC1" s="6"/>
      <c r="AD1" s="6"/>
      <c r="AE1" s="6"/>
      <c r="AF1" s="140"/>
      <c r="AG1" s="141"/>
      <c r="AH1" s="6"/>
      <c r="AI1" s="6"/>
      <c r="AJ1" s="6"/>
      <c r="AK1" s="6"/>
      <c r="AL1" s="6"/>
      <c r="AM1" s="7"/>
      <c r="AN1" s="7" t="str">
        <f aca="false">EB.Version</f>
        <v>Version 01.18</v>
      </c>
      <c r="AO1" s="7"/>
      <c r="AP1" s="8" t="str">
        <f aca="false">EB.Sprache</f>
        <v>EN</v>
      </c>
    </row>
    <row r="2" s="148" customFormat="true" ht="15" hidden="false" customHeight="true" outlineLevel="0" collapsed="false">
      <c r="A2" s="55"/>
      <c r="B2" s="11" t="str">
        <f aca="false">Eingabeblatt!A3</f>
        <v>Name</v>
      </c>
      <c r="C2" s="11"/>
      <c r="D2" s="11"/>
      <c r="E2" s="11"/>
      <c r="F2" s="143" t="str">
        <f aca="false">IF(EB.Name="","?",EB.Name)</f>
        <v>Christopher Gwilliams</v>
      </c>
      <c r="G2" s="143"/>
      <c r="H2" s="143"/>
      <c r="I2" s="143"/>
      <c r="J2" s="143"/>
      <c r="K2" s="143"/>
      <c r="L2" s="143"/>
      <c r="M2" s="143"/>
      <c r="N2" s="143"/>
      <c r="O2" s="144"/>
      <c r="P2" s="11" t="str">
        <f aca="false">Eingabeblatt!J7</f>
        <v>Employment Level (FTE) in %</v>
      </c>
      <c r="Q2" s="11"/>
      <c r="R2" s="11"/>
      <c r="S2" s="11"/>
      <c r="T2" s="11"/>
      <c r="U2" s="11"/>
      <c r="V2" s="58" t="n">
        <f aca="false">IF(INDEX(EB.EffBG.Bereich,MONTH(Monat.Tag1))="","-     ",INDEX(EB.EffBG.Bereich,MONTH(Monat.Tag1)))</f>
        <v>100</v>
      </c>
      <c r="W2" s="145"/>
      <c r="X2" s="145"/>
      <c r="Y2" s="16"/>
      <c r="Z2" s="39"/>
      <c r="AA2" s="39"/>
      <c r="AB2" s="39"/>
      <c r="AC2" s="39"/>
      <c r="AD2" s="39"/>
      <c r="AE2" s="39"/>
      <c r="AF2" s="13"/>
      <c r="AG2" s="146"/>
      <c r="AH2" s="39"/>
      <c r="AI2" s="39"/>
      <c r="AJ2" s="39"/>
      <c r="AK2" s="39"/>
      <c r="AL2" s="39"/>
      <c r="AM2" s="147"/>
      <c r="AN2" s="39"/>
      <c r="AO2" s="39"/>
      <c r="AP2" s="39"/>
    </row>
    <row r="3" s="148" customFormat="true" ht="15" hidden="false" customHeight="true" outlineLevel="0" collapsed="false">
      <c r="A3" s="149"/>
      <c r="B3" s="11" t="str">
        <f aca="false">Eingabeblatt!H2</f>
        <v>Function</v>
      </c>
      <c r="C3" s="11"/>
      <c r="D3" s="11"/>
      <c r="E3" s="11"/>
      <c r="F3" s="150" t="str">
        <f aca="false">EB.Funktion</f>
        <v>Description of Function</v>
      </c>
      <c r="G3" s="150"/>
      <c r="H3" s="150"/>
      <c r="I3" s="150"/>
      <c r="J3" s="150"/>
      <c r="K3" s="150"/>
      <c r="L3" s="150"/>
      <c r="M3" s="150"/>
      <c r="N3" s="150"/>
      <c r="O3" s="13"/>
      <c r="P3" s="11" t="str">
        <f aca="false">Eingabeblatt!J12</f>
        <v>ø Hours per day at FTE</v>
      </c>
      <c r="Q3" s="11"/>
      <c r="R3" s="11"/>
      <c r="S3" s="11"/>
      <c r="T3" s="11"/>
      <c r="U3" s="11"/>
      <c r="V3" s="151" t="n">
        <f aca="false">IF(INDEX(EB.DurchSollTAZStd.Bereich,MONTH(Monat.Tag1))="","-     ",INDEX(EB.DurchSollTAZStd.Bereich,MONTH(Monat.Tag1)))</f>
        <v>0.35</v>
      </c>
      <c r="W3" s="152"/>
      <c r="X3" s="152"/>
      <c r="Y3" s="39"/>
      <c r="Z3" s="39"/>
      <c r="AA3" s="39"/>
      <c r="AB3" s="39"/>
      <c r="AC3" s="39"/>
      <c r="AD3" s="39"/>
      <c r="AE3" s="39"/>
      <c r="AF3" s="13"/>
      <c r="AG3" s="146"/>
      <c r="AH3" s="39"/>
      <c r="AI3" s="39"/>
      <c r="AJ3" s="39"/>
      <c r="AK3" s="39"/>
      <c r="AL3" s="39"/>
      <c r="AM3" s="147"/>
      <c r="AN3" s="39"/>
      <c r="AO3" s="39"/>
      <c r="AP3" s="39"/>
    </row>
    <row r="4" s="148" customFormat="true" ht="15" hidden="false" customHeight="true" outlineLevel="0" collapsed="false">
      <c r="A4" s="149"/>
      <c r="B4" s="11" t="str">
        <f aca="false">Eingabeblatt!H3</f>
        <v>Institute/Department</v>
      </c>
      <c r="C4" s="11"/>
      <c r="D4" s="11"/>
      <c r="E4" s="11"/>
      <c r="F4" s="150" t="str">
        <f aca="false">EB.Institut</f>
        <v>Institute/Department Name</v>
      </c>
      <c r="G4" s="150"/>
      <c r="H4" s="150"/>
      <c r="I4" s="150"/>
      <c r="J4" s="150"/>
      <c r="K4" s="150"/>
      <c r="L4" s="150"/>
      <c r="M4" s="150"/>
      <c r="N4" s="150"/>
      <c r="O4" s="13"/>
      <c r="P4" s="47" t="str">
        <f aca="true">IF(EB.ÜZZSBerechtigt=INDEX(T.JaNein.Bereich,1,1),IF(AND(OR(AND(EB.LKgr16=INDEX(T.JaNein.Bereich,1,1),EB.LKgr16ab&gt;EOMONTH(Monat.Tag1,0)),EB.LKgr16&lt;&gt;INDEX(T.JaNein.Bereich,1,1)),Monat.AZSoll.Total&gt;0),Eingabeblatt!J6,""),"")</f>
        <v/>
      </c>
      <c r="Q4" s="47"/>
      <c r="R4" s="47"/>
      <c r="S4" s="47"/>
      <c r="T4" s="47"/>
      <c r="U4" s="47"/>
      <c r="V4" s="153" t="str">
        <f aca="false">IF(P4&lt;&gt;"",EB.ÜZZSBerechtigt,"")</f>
        <v/>
      </c>
      <c r="W4" s="39"/>
      <c r="X4" s="39"/>
      <c r="Y4" s="39"/>
      <c r="Z4" s="39"/>
      <c r="AA4" s="39"/>
      <c r="AB4" s="39"/>
      <c r="AC4" s="39"/>
      <c r="AD4" s="39"/>
      <c r="AE4" s="39"/>
      <c r="AF4" s="13"/>
      <c r="AG4" s="146"/>
      <c r="AH4" s="39"/>
      <c r="AI4" s="39"/>
      <c r="AJ4" s="39"/>
      <c r="AK4" s="39"/>
      <c r="AL4" s="39"/>
      <c r="AM4" s="147"/>
      <c r="AN4" s="39"/>
      <c r="AO4" s="39"/>
      <c r="AP4" s="39"/>
    </row>
    <row r="5" s="148" customFormat="true" ht="15" hidden="false" customHeight="true" outlineLevel="0" collapsed="false">
      <c r="A5" s="149"/>
      <c r="B5" s="11" t="str">
        <f aca="false">Eingabeblatt!A5</f>
        <v>Employee Number</v>
      </c>
      <c r="C5" s="11"/>
      <c r="D5" s="11"/>
      <c r="E5" s="11"/>
      <c r="F5" s="150" t="str">
        <f aca="false">IF(EB.Personalnummer="","?",EB.Personalnummer)</f>
        <v>?</v>
      </c>
      <c r="G5" s="150"/>
      <c r="H5" s="150"/>
      <c r="I5" s="150"/>
      <c r="J5" s="150"/>
      <c r="K5" s="150"/>
      <c r="L5" s="150"/>
      <c r="M5" s="150"/>
      <c r="N5" s="150"/>
      <c r="O5" s="13"/>
      <c r="P5" s="19" t="str">
        <f aca="false">Eingabeblatt!A38</f>
        <v>Standard working hours</v>
      </c>
      <c r="Q5" s="13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13"/>
      <c r="AG5" s="146"/>
      <c r="AH5" s="39"/>
      <c r="AI5" s="39"/>
      <c r="AJ5" s="39"/>
      <c r="AK5" s="39"/>
      <c r="AL5" s="39"/>
      <c r="AM5" s="147"/>
      <c r="AN5" s="39"/>
      <c r="AO5" s="39"/>
      <c r="AP5" s="39"/>
    </row>
    <row r="6" s="148" customFormat="true" ht="15" hidden="false" customHeight="true" outlineLevel="0" collapsed="false">
      <c r="A6" s="149"/>
      <c r="B6" s="11" t="str">
        <f aca="false">Eingabeblatt!H4</f>
        <v>Faculty</v>
      </c>
      <c r="C6" s="11"/>
      <c r="D6" s="11"/>
      <c r="E6" s="11"/>
      <c r="F6" s="150" t="str">
        <f aca="false">EB.Fakultaet</f>
        <v>Select Faculty</v>
      </c>
      <c r="G6" s="150"/>
      <c r="H6" s="150"/>
      <c r="I6" s="150"/>
      <c r="J6" s="150"/>
      <c r="K6" s="150"/>
      <c r="L6" s="150"/>
      <c r="M6" s="150"/>
      <c r="N6" s="150"/>
      <c r="O6" s="13"/>
      <c r="P6" s="154" t="str">
        <f aca="false">LEFT(INDEX(EB.RAZ_Wochentage.Bereich,1),2)</f>
        <v>Mo</v>
      </c>
      <c r="Q6" s="154" t="str">
        <f aca="false">LEFT(INDEX(EB.RAZ_Wochentage.Bereich,2),2)</f>
        <v>Tu</v>
      </c>
      <c r="R6" s="154" t="str">
        <f aca="false">LEFT(INDEX(EB.RAZ_Wochentage.Bereich,3),2)</f>
        <v>We</v>
      </c>
      <c r="S6" s="154" t="str">
        <f aca="false">LEFT(INDEX(EB.RAZ_Wochentage.Bereich,4),2)</f>
        <v>Th</v>
      </c>
      <c r="T6" s="154" t="str">
        <f aca="false">LEFT(INDEX(EB.RAZ_Wochentage.Bereich,5),2)</f>
        <v>Fr</v>
      </c>
      <c r="U6" s="154" t="str">
        <f aca="false">LEFT(INDEX(EB.RAZ_Wochentage.Bereich,6),2)</f>
        <v>Sa</v>
      </c>
      <c r="V6" s="154" t="str">
        <f aca="false">LEFT(INDEX(EB.RAZ_Wochentage.Bereich,7),2)</f>
        <v>Su</v>
      </c>
      <c r="W6" s="39"/>
      <c r="X6" s="39"/>
      <c r="Y6" s="39"/>
      <c r="Z6" s="39"/>
      <c r="AA6" s="39"/>
      <c r="AB6" s="39"/>
      <c r="AC6" s="39"/>
      <c r="AD6" s="39"/>
      <c r="AE6" s="39"/>
      <c r="AF6" s="13"/>
      <c r="AG6" s="146"/>
      <c r="AH6" s="39"/>
      <c r="AI6" s="39"/>
      <c r="AJ6" s="39"/>
      <c r="AK6" s="39"/>
      <c r="AL6" s="39"/>
      <c r="AM6" s="147"/>
      <c r="AN6" s="39"/>
      <c r="AO6" s="39"/>
      <c r="AP6" s="39"/>
    </row>
    <row r="7" s="148" customFormat="true" ht="15" hidden="false" customHeight="true" outlineLevel="0" collapsed="false">
      <c r="A7" s="149"/>
      <c r="B7" s="11" t="str">
        <f aca="false">Eingabeblatt!H5</f>
        <v>Employee Category</v>
      </c>
      <c r="C7" s="11"/>
      <c r="D7" s="11"/>
      <c r="E7" s="11"/>
      <c r="F7" s="150" t="str">
        <f aca="false">EB.Personalkategorie</f>
        <v>Select Employee Category</v>
      </c>
      <c r="G7" s="150"/>
      <c r="H7" s="150"/>
      <c r="I7" s="150"/>
      <c r="J7" s="150"/>
      <c r="K7" s="150"/>
      <c r="L7" s="150"/>
      <c r="M7" s="150"/>
      <c r="N7" s="150"/>
      <c r="O7" s="13"/>
      <c r="P7" s="155" t="n">
        <f aca="false">IF(EB.Anwendung&lt;&gt;"",IF(MONTH(Monat.Tag1)=1,INDEX(EB.RAZ1_7.Bereich,1),INDEX(IF(MONTH(Monat.Tag1)=2,January!Monat.RAZ1_7.Bereich,IF(MONTH(Monat.Tag1)=3,February!Monat.RAZ1_7.Bereich,IF(MONTH(Monat.Tag1)=4,March!Monat.RAZ1_7.Bereich,IF(MONTH(Monat.Tag1)=5,April!Monat.RAZ1_7.Bereich,IF(MONTH(Monat.Tag1)=6,May!Monat.RAZ1_7.Bereich,IF(MONTH(Monat.Tag1)=7,June!Monat.RAZ1_7.Bereich,IF(MONTH(Monat.Tag1)=8,July!Monat.RAZ1_7.Bereich,IF(MONTH(Monat.Tag1)=9,August!Monat.RAZ1_7.Bereich,IF(MONTH(Monat.Tag1)=10,Monat.RAZ1_7.Bereich,IF(MONTH(Monat.Tag1)=11,October!Monat.RAZ1_7.Bereich,IF(MONTH(Monat.Tag1)=12,November!Monat.RAZ1_7.Bereich,""))))))))))),1)),"")</f>
        <v>0.35</v>
      </c>
      <c r="Q7" s="155" t="n">
        <f aca="false">IF(EB.Anwendung&lt;&gt;"",IF(MONTH(Monat.Tag1)=1,INDEX(EB.RAZ1_7.Bereich,2),INDEX(IF(MONTH(Monat.Tag1)=2,January!Monat.RAZ1_7.Bereich,IF(MONTH(Monat.Tag1)=3,February!Monat.RAZ1_7.Bereich,IF(MONTH(Monat.Tag1)=4,March!Monat.RAZ1_7.Bereich,IF(MONTH(Monat.Tag1)=5,April!Monat.RAZ1_7.Bereich,IF(MONTH(Monat.Tag1)=6,May!Monat.RAZ1_7.Bereich,IF(MONTH(Monat.Tag1)=7,June!Monat.RAZ1_7.Bereich,IF(MONTH(Monat.Tag1)=8,July!Monat.RAZ1_7.Bereich,IF(MONTH(Monat.Tag1)=9,August!Monat.RAZ1_7.Bereich,IF(MONTH(Monat.Tag1)=10,Monat.RAZ1_7.Bereich,IF(MONTH(Monat.Tag1)=11,October!Monat.RAZ1_7.Bereich,IF(MONTH(Monat.Tag1)=12,November!Monat.RAZ1_7.Bereich,""))))))))))),2)),"")</f>
        <v>0.35</v>
      </c>
      <c r="R7" s="155" t="n">
        <f aca="false">IF(EB.Anwendung&lt;&gt;"",IF(MONTH(Monat.Tag1)=1,INDEX(EB.RAZ1_7.Bereich,3),INDEX(IF(MONTH(Monat.Tag1)=2,January!Monat.RAZ1_7.Bereich,IF(MONTH(Monat.Tag1)=3,February!Monat.RAZ1_7.Bereich,IF(MONTH(Monat.Tag1)=4,March!Monat.RAZ1_7.Bereich,IF(MONTH(Monat.Tag1)=5,April!Monat.RAZ1_7.Bereich,IF(MONTH(Monat.Tag1)=6,May!Monat.RAZ1_7.Bereich,IF(MONTH(Monat.Tag1)=7,June!Monat.RAZ1_7.Bereich,IF(MONTH(Monat.Tag1)=8,July!Monat.RAZ1_7.Bereich,IF(MONTH(Monat.Tag1)=9,August!Monat.RAZ1_7.Bereich,IF(MONTH(Monat.Tag1)=10,Monat.RAZ1_7.Bereich,IF(MONTH(Monat.Tag1)=11,October!Monat.RAZ1_7.Bereich,IF(MONTH(Monat.Tag1)=12,November!Monat.RAZ1_7.Bereich,""))))))))))),3)),"")</f>
        <v>0.35</v>
      </c>
      <c r="S7" s="155" t="n">
        <f aca="false">IF(EB.Anwendung&lt;&gt;"",IF(MONTH(Monat.Tag1)=1,INDEX(EB.RAZ1_7.Bereich,4),INDEX(IF(MONTH(Monat.Tag1)=2,January!Monat.RAZ1_7.Bereich,IF(MONTH(Monat.Tag1)=3,February!Monat.RAZ1_7.Bereich,IF(MONTH(Monat.Tag1)=4,March!Monat.RAZ1_7.Bereich,IF(MONTH(Monat.Tag1)=5,April!Monat.RAZ1_7.Bereich,IF(MONTH(Monat.Tag1)=6,May!Monat.RAZ1_7.Bereich,IF(MONTH(Monat.Tag1)=7,June!Monat.RAZ1_7.Bereich,IF(MONTH(Monat.Tag1)=8,July!Monat.RAZ1_7.Bereich,IF(MONTH(Monat.Tag1)=9,August!Monat.RAZ1_7.Bereich,IF(MONTH(Monat.Tag1)=10,Monat.RAZ1_7.Bereich,IF(MONTH(Monat.Tag1)=11,October!Monat.RAZ1_7.Bereich,IF(MONTH(Monat.Tag1)=12,November!Monat.RAZ1_7.Bereich,""))))))))))),4)),"")</f>
        <v>0.35</v>
      </c>
      <c r="T7" s="155" t="n">
        <f aca="false">IF(EB.Anwendung&lt;&gt;"",IF(MONTH(Monat.Tag1)=1,INDEX(EB.RAZ1_7.Bereich,5),INDEX(IF(MONTH(Monat.Tag1)=2,January!Monat.RAZ1_7.Bereich,IF(MONTH(Monat.Tag1)=3,February!Monat.RAZ1_7.Bereich,IF(MONTH(Monat.Tag1)=4,March!Monat.RAZ1_7.Bereich,IF(MONTH(Monat.Tag1)=5,April!Monat.RAZ1_7.Bereich,IF(MONTH(Monat.Tag1)=6,May!Monat.RAZ1_7.Bereich,IF(MONTH(Monat.Tag1)=7,June!Monat.RAZ1_7.Bereich,IF(MONTH(Monat.Tag1)=8,July!Monat.RAZ1_7.Bereich,IF(MONTH(Monat.Tag1)=9,August!Monat.RAZ1_7.Bereich,IF(MONTH(Monat.Tag1)=10,Monat.RAZ1_7.Bereich,IF(MONTH(Monat.Tag1)=11,October!Monat.RAZ1_7.Bereich,IF(MONTH(Monat.Tag1)=12,November!Monat.RAZ1_7.Bereich,""))))))))))),5)),"")</f>
        <v>0.35</v>
      </c>
      <c r="U7" s="155" t="n">
        <f aca="false">IF(EB.Anwendung&lt;&gt;"",IF(MONTH(Monat.Tag1)=1,INDEX(EB.RAZ1_7.Bereich,6),INDEX(IF(MONTH(Monat.Tag1)=2,January!Monat.RAZ1_7.Bereich,IF(MONTH(Monat.Tag1)=3,February!Monat.RAZ1_7.Bereich,IF(MONTH(Monat.Tag1)=4,March!Monat.RAZ1_7.Bereich,IF(MONTH(Monat.Tag1)=5,April!Monat.RAZ1_7.Bereich,IF(MONTH(Monat.Tag1)=6,May!Monat.RAZ1_7.Bereich,IF(MONTH(Monat.Tag1)=7,June!Monat.RAZ1_7.Bereich,IF(MONTH(Monat.Tag1)=8,July!Monat.RAZ1_7.Bereich,IF(MONTH(Monat.Tag1)=9,August!Monat.RAZ1_7.Bereich,IF(MONTH(Monat.Tag1)=10,Monat.RAZ1_7.Bereich,IF(MONTH(Monat.Tag1)=11,October!Monat.RAZ1_7.Bereich,IF(MONTH(Monat.Tag1)=12,November!Monat.RAZ1_7.Bereich,""))))))))))),6)),"")</f>
        <v>0</v>
      </c>
      <c r="V7" s="155" t="n">
        <f aca="false">IF(EB.Anwendung&lt;&gt;"",IF(MONTH(Monat.Tag1)=1,INDEX(EB.RAZ1_7.Bereich,7),INDEX(IF(MONTH(Monat.Tag1)=2,January!Monat.RAZ1_7.Bereich,IF(MONTH(Monat.Tag1)=3,February!Monat.RAZ1_7.Bereich,IF(MONTH(Monat.Tag1)=4,March!Monat.RAZ1_7.Bereich,IF(MONTH(Monat.Tag1)=5,April!Monat.RAZ1_7.Bereich,IF(MONTH(Monat.Tag1)=6,May!Monat.RAZ1_7.Bereich,IF(MONTH(Monat.Tag1)=7,June!Monat.RAZ1_7.Bereich,IF(MONTH(Monat.Tag1)=8,July!Monat.RAZ1_7.Bereich,IF(MONTH(Monat.Tag1)=9,August!Monat.RAZ1_7.Bereich,IF(MONTH(Monat.Tag1)=10,Monat.RAZ1_7.Bereich,IF(MONTH(Monat.Tag1)=11,October!Monat.RAZ1_7.Bereich,IF(MONTH(Monat.Tag1)=12,November!Monat.RAZ1_7.Bereich,""))))))))))),7)),"")</f>
        <v>0</v>
      </c>
      <c r="W7" s="39"/>
      <c r="X7" s="39"/>
      <c r="Y7" s="39"/>
      <c r="Z7" s="39"/>
      <c r="AA7" s="39"/>
      <c r="AB7" s="39"/>
      <c r="AC7" s="39"/>
      <c r="AD7" s="39"/>
      <c r="AE7" s="39"/>
      <c r="AF7" s="13"/>
      <c r="AG7" s="146"/>
      <c r="AH7" s="39"/>
      <c r="AI7" s="39"/>
      <c r="AJ7" s="39"/>
      <c r="AK7" s="39"/>
      <c r="AL7" s="39"/>
      <c r="AM7" s="147"/>
      <c r="AN7" s="39"/>
      <c r="AO7" s="39"/>
      <c r="AP7" s="39"/>
    </row>
    <row r="8" s="148" customFormat="true" ht="11.25" hidden="false" customHeight="true" outlineLevel="0" collapsed="false">
      <c r="A8" s="55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13"/>
      <c r="AG8" s="146"/>
      <c r="AH8" s="39"/>
      <c r="AI8" s="39"/>
      <c r="AJ8" s="39"/>
      <c r="AK8" s="39"/>
      <c r="AL8" s="39"/>
      <c r="AM8" s="147"/>
      <c r="AN8" s="39"/>
      <c r="AO8" s="39"/>
      <c r="AP8" s="39"/>
    </row>
    <row r="9" s="148" customFormat="true" ht="15" hidden="false" customHeight="true" outlineLevel="0" collapsed="false">
      <c r="A9" s="55"/>
      <c r="B9" s="156" t="str">
        <f aca="false">INDEX(Monat.Wochentage.Bereich,1,WEEKDAY(B10,2))</f>
        <v>Sa</v>
      </c>
      <c r="C9" s="156" t="str">
        <f aca="false">INDEX(Monat.Wochentage.Bereich,1,WEEKDAY(C10,2))</f>
        <v>Su</v>
      </c>
      <c r="D9" s="156" t="str">
        <f aca="false">INDEX(Monat.Wochentage.Bereich,1,WEEKDAY(D10,2))</f>
        <v>Mo</v>
      </c>
      <c r="E9" s="156" t="str">
        <f aca="false">INDEX(Monat.Wochentage.Bereich,1,WEEKDAY(E10,2))</f>
        <v>Tu</v>
      </c>
      <c r="F9" s="156" t="str">
        <f aca="false">INDEX(Monat.Wochentage.Bereich,1,WEEKDAY(F10,2))</f>
        <v>We</v>
      </c>
      <c r="G9" s="156" t="str">
        <f aca="false">INDEX(Monat.Wochentage.Bereich,1,WEEKDAY(G10,2))</f>
        <v>Th</v>
      </c>
      <c r="H9" s="156" t="str">
        <f aca="false">INDEX(Monat.Wochentage.Bereich,1,WEEKDAY(H10,2))</f>
        <v>Fr</v>
      </c>
      <c r="I9" s="156" t="str">
        <f aca="false">INDEX(Monat.Wochentage.Bereich,1,WEEKDAY(I10,2))</f>
        <v>Sa</v>
      </c>
      <c r="J9" s="156" t="str">
        <f aca="false">INDEX(Monat.Wochentage.Bereich,1,WEEKDAY(J10,2))</f>
        <v>Su</v>
      </c>
      <c r="K9" s="156" t="str">
        <f aca="false">INDEX(Monat.Wochentage.Bereich,1,WEEKDAY(K10,2))</f>
        <v>Mo</v>
      </c>
      <c r="L9" s="156" t="str">
        <f aca="false">INDEX(Monat.Wochentage.Bereich,1,WEEKDAY(L10,2))</f>
        <v>Tu</v>
      </c>
      <c r="M9" s="156" t="str">
        <f aca="false">INDEX(Monat.Wochentage.Bereich,1,WEEKDAY(M10,2))</f>
        <v>We</v>
      </c>
      <c r="N9" s="156" t="str">
        <f aca="false">INDEX(Monat.Wochentage.Bereich,1,WEEKDAY(N10,2))</f>
        <v>Th</v>
      </c>
      <c r="O9" s="156" t="str">
        <f aca="false">INDEX(Monat.Wochentage.Bereich,1,WEEKDAY(O10,2))</f>
        <v>Fr</v>
      </c>
      <c r="P9" s="156" t="str">
        <f aca="false">INDEX(Monat.Wochentage.Bereich,1,WEEKDAY(P10,2))</f>
        <v>Sa</v>
      </c>
      <c r="Q9" s="156" t="str">
        <f aca="false">INDEX(Monat.Wochentage.Bereich,1,WEEKDAY(Q10,2))</f>
        <v>Su</v>
      </c>
      <c r="R9" s="156" t="str">
        <f aca="false">INDEX(Monat.Wochentage.Bereich,1,WEEKDAY(R10,2))</f>
        <v>Mo</v>
      </c>
      <c r="S9" s="156" t="str">
        <f aca="false">INDEX(Monat.Wochentage.Bereich,1,WEEKDAY(S10,2))</f>
        <v>Tu</v>
      </c>
      <c r="T9" s="156" t="str">
        <f aca="false">INDEX(Monat.Wochentage.Bereich,1,WEEKDAY(T10,2))</f>
        <v>We</v>
      </c>
      <c r="U9" s="156" t="str">
        <f aca="false">INDEX(Monat.Wochentage.Bereich,1,WEEKDAY(U10,2))</f>
        <v>Th</v>
      </c>
      <c r="V9" s="156" t="str">
        <f aca="false">INDEX(Monat.Wochentage.Bereich,1,WEEKDAY(V10,2))</f>
        <v>Fr</v>
      </c>
      <c r="W9" s="156" t="str">
        <f aca="false">INDEX(Monat.Wochentage.Bereich,1,WEEKDAY(W10,2))</f>
        <v>Sa</v>
      </c>
      <c r="X9" s="156" t="str">
        <f aca="false">INDEX(Monat.Wochentage.Bereich,1,WEEKDAY(X10,2))</f>
        <v>Su</v>
      </c>
      <c r="Y9" s="156" t="str">
        <f aca="false">INDEX(Monat.Wochentage.Bereich,1,WEEKDAY(Y10,2))</f>
        <v>Mo</v>
      </c>
      <c r="Z9" s="156" t="str">
        <f aca="false">INDEX(Monat.Wochentage.Bereich,1,WEEKDAY(Z10,2))</f>
        <v>Tu</v>
      </c>
      <c r="AA9" s="156" t="str">
        <f aca="false">INDEX(Monat.Wochentage.Bereich,1,WEEKDAY(AA10,2))</f>
        <v>We</v>
      </c>
      <c r="AB9" s="156" t="str">
        <f aca="false">INDEX(Monat.Wochentage.Bereich,1,WEEKDAY(AB10,2))</f>
        <v>Th</v>
      </c>
      <c r="AC9" s="156" t="str">
        <f aca="false">INDEX(Monat.Wochentage.Bereich,1,WEEKDAY(AC10,2))</f>
        <v>Fr</v>
      </c>
      <c r="AD9" s="156" t="str">
        <f aca="false">INDEX(Monat.Wochentage.Bereich,1,WEEKDAY(AD10,2))</f>
        <v>Sa</v>
      </c>
      <c r="AE9" s="156" t="str">
        <f aca="false">INDEX(Monat.Wochentage.Bereich,1,WEEKDAY(AE10,2))</f>
        <v>Su</v>
      </c>
      <c r="AF9" s="13"/>
      <c r="AG9" s="146"/>
      <c r="AH9" s="39"/>
      <c r="AI9" s="39"/>
      <c r="AJ9" s="39"/>
      <c r="AK9" s="39"/>
      <c r="AL9" s="39"/>
      <c r="AM9" s="147"/>
      <c r="AN9" s="39"/>
      <c r="AO9" s="39"/>
      <c r="AP9" s="39"/>
    </row>
    <row r="10" s="164" customFormat="true" ht="39" hidden="false" customHeight="false" outlineLevel="0" collapsed="false">
      <c r="A10" s="157" t="s">
        <v>121</v>
      </c>
      <c r="B10" s="158" t="n">
        <v>41882</v>
      </c>
      <c r="C10" s="158" t="n">
        <f aca="false">B10+1</f>
        <v>41883</v>
      </c>
      <c r="D10" s="158" t="n">
        <f aca="false">C10+1</f>
        <v>41884</v>
      </c>
      <c r="E10" s="158" t="n">
        <f aca="false">D10+1</f>
        <v>41885</v>
      </c>
      <c r="F10" s="158" t="n">
        <f aca="false">E10+1</f>
        <v>41886</v>
      </c>
      <c r="G10" s="158" t="n">
        <f aca="false">F10+1</f>
        <v>41887</v>
      </c>
      <c r="H10" s="158" t="n">
        <f aca="false">G10+1</f>
        <v>41888</v>
      </c>
      <c r="I10" s="158" t="n">
        <f aca="false">H10+1</f>
        <v>41889</v>
      </c>
      <c r="J10" s="158" t="n">
        <f aca="false">I10+1</f>
        <v>41890</v>
      </c>
      <c r="K10" s="158" t="n">
        <f aca="false">J10+1</f>
        <v>41891</v>
      </c>
      <c r="L10" s="158" t="n">
        <f aca="false">K10+1</f>
        <v>41892</v>
      </c>
      <c r="M10" s="158" t="n">
        <f aca="false">L10+1</f>
        <v>41893</v>
      </c>
      <c r="N10" s="158" t="n">
        <f aca="false">M10+1</f>
        <v>41894</v>
      </c>
      <c r="O10" s="158" t="n">
        <f aca="false">N10+1</f>
        <v>41895</v>
      </c>
      <c r="P10" s="158" t="n">
        <f aca="false">O10+1</f>
        <v>41896</v>
      </c>
      <c r="Q10" s="158" t="n">
        <f aca="false">P10+1</f>
        <v>41897</v>
      </c>
      <c r="R10" s="158" t="n">
        <f aca="false">Q10+1</f>
        <v>41898</v>
      </c>
      <c r="S10" s="158" t="n">
        <f aca="false">R10+1</f>
        <v>41899</v>
      </c>
      <c r="T10" s="158" t="n">
        <f aca="false">S10+1</f>
        <v>41900</v>
      </c>
      <c r="U10" s="158" t="n">
        <f aca="false">T10+1</f>
        <v>41901</v>
      </c>
      <c r="V10" s="158" t="n">
        <f aca="false">U10+1</f>
        <v>41902</v>
      </c>
      <c r="W10" s="158" t="n">
        <f aca="false">V10+1</f>
        <v>41903</v>
      </c>
      <c r="X10" s="158" t="n">
        <f aca="false">W10+1</f>
        <v>41904</v>
      </c>
      <c r="Y10" s="158" t="n">
        <f aca="false">X10+1</f>
        <v>41905</v>
      </c>
      <c r="Z10" s="158" t="n">
        <f aca="false">Y10+1</f>
        <v>41906</v>
      </c>
      <c r="AA10" s="158" t="n">
        <f aca="false">Z10+1</f>
        <v>41907</v>
      </c>
      <c r="AB10" s="158" t="n">
        <f aca="false">AA10+1</f>
        <v>41908</v>
      </c>
      <c r="AC10" s="158" t="n">
        <f aca="false">AB10+1</f>
        <v>41909</v>
      </c>
      <c r="AD10" s="158" t="n">
        <f aca="false">AC10+1</f>
        <v>41910</v>
      </c>
      <c r="AE10" s="158" t="n">
        <f aca="false">AD10+1</f>
        <v>41911</v>
      </c>
      <c r="AF10" s="159" t="str">
        <f aca="false">A10</f>
        <v>Day</v>
      </c>
      <c r="AG10" s="160" t="str">
        <f aca="false">"Total " &amp; INDEX(EB.Monate.Bereich,MONTH(Monat.Tag1))</f>
        <v>Total September</v>
      </c>
      <c r="AH10" s="160"/>
      <c r="AI10" s="160" t="s">
        <v>122</v>
      </c>
      <c r="AJ10" s="161" t="s">
        <v>123</v>
      </c>
      <c r="AK10" s="161" t="s">
        <v>124</v>
      </c>
      <c r="AL10" s="161" t="s">
        <v>125</v>
      </c>
      <c r="AM10" s="162" t="s">
        <v>68</v>
      </c>
      <c r="AN10" s="156" t="str">
        <f aca="true">IF(EB.Sprache="DE","Jahressaldo per" &amp; CHAR(10) &amp; "    ME       " &amp; IFERROR(TEXT(TODAY(),"[$-0007]"&amp;"TT.MM.JJ"),TEXT(TODAY(),"[$-0007]"&amp;"DD.MM.YY")), "Yearly balance by" &amp; CHAR(10) &amp; "   eom      " &amp; IFERROR(TEXT(TODAY(),"[$-0809]"&amp;"DD.MM.YY"),TEXT(TODAY(),"[$-0809]"&amp;"TT.MM.JJ")))</f>
        <v>Yearly balance by
   eom      22.05.18</v>
      </c>
      <c r="AO10" s="156"/>
      <c r="AP10" s="163"/>
    </row>
    <row r="11" s="164" customFormat="true" ht="12" hidden="true" customHeight="true" outlineLevel="0" collapsed="false">
      <c r="A11" s="157" t="s">
        <v>126</v>
      </c>
      <c r="B11" s="165" t="n">
        <f aca="true">IFERROR(OFFSET(T.Feiertage.Bereich,MATCH(B$10,T.Feiertage.Bereich,0)-1,1,1,1),1)</f>
        <v>1</v>
      </c>
      <c r="C11" s="165" t="n">
        <f aca="true">IFERROR(OFFSET(T.Feiertage.Bereich,MATCH(C$10,T.Feiertage.Bereich,0)-1,1,1,1),1)</f>
        <v>1</v>
      </c>
      <c r="D11" s="165" t="n">
        <f aca="true">IFERROR(OFFSET(T.Feiertage.Bereich,MATCH(D$10,T.Feiertage.Bereich,0)-1,1,1,1),1)</f>
        <v>1</v>
      </c>
      <c r="E11" s="166" t="n">
        <f aca="true">IFERROR(OFFSET(T.Feiertage.Bereich,MATCH(E$10,T.Feiertage.Bereich,0)-1,1,1,1),1)</f>
        <v>1</v>
      </c>
      <c r="F11" s="165" t="n">
        <f aca="true">IFERROR(OFFSET(T.Feiertage.Bereich,MATCH(F$10,T.Feiertage.Bereich,0)-1,1,1,1),1)</f>
        <v>1</v>
      </c>
      <c r="G11" s="165" t="n">
        <f aca="true">IFERROR(OFFSET(T.Feiertage.Bereich,MATCH(G$10,T.Feiertage.Bereich,0)-1,1,1,1),1)</f>
        <v>1</v>
      </c>
      <c r="H11" s="165" t="n">
        <f aca="true">IFERROR(OFFSET(T.Feiertage.Bereich,MATCH(H$10,T.Feiertage.Bereich,0)-1,1,1,1),1)</f>
        <v>1</v>
      </c>
      <c r="I11" s="165" t="n">
        <f aca="true">IFERROR(OFFSET(T.Feiertage.Bereich,MATCH(I$10,T.Feiertage.Bereich,0)-1,1,1,1),1)</f>
        <v>1</v>
      </c>
      <c r="J11" s="166" t="n">
        <f aca="true">IFERROR(OFFSET(T.Feiertage.Bereich,MATCH(J$10,T.Feiertage.Bereich,0)-1,1,1,1),1)</f>
        <v>1</v>
      </c>
      <c r="K11" s="165" t="n">
        <f aca="true">IFERROR(OFFSET(T.Feiertage.Bereich,MATCH(K$10,T.Feiertage.Bereich,0)-1,1,1,1),1)</f>
        <v>0.5</v>
      </c>
      <c r="L11" s="166" t="n">
        <f aca="true">IFERROR(OFFSET(T.Feiertage.Bereich,MATCH(L$10,T.Feiertage.Bereich,0)-1,1,1,1),1)</f>
        <v>1</v>
      </c>
      <c r="M11" s="165" t="n">
        <f aca="true">IFERROR(OFFSET(T.Feiertage.Bereich,MATCH(M$10,T.Feiertage.Bereich,0)-1,1,1,1),1)</f>
        <v>1</v>
      </c>
      <c r="N11" s="165" t="n">
        <f aca="true">IFERROR(OFFSET(T.Feiertage.Bereich,MATCH(N$10,T.Feiertage.Bereich,0)-1,1,1,1),1)</f>
        <v>1</v>
      </c>
      <c r="O11" s="165" t="n">
        <f aca="true">IFERROR(OFFSET(T.Feiertage.Bereich,MATCH(O$10,T.Feiertage.Bereich,0)-1,1,1,1),1)</f>
        <v>1</v>
      </c>
      <c r="P11" s="165" t="n">
        <f aca="true">IFERROR(OFFSET(T.Feiertage.Bereich,MATCH(P$10,T.Feiertage.Bereich,0)-1,1,1,1),1)</f>
        <v>1</v>
      </c>
      <c r="Q11" s="166" t="n">
        <f aca="true">IFERROR(OFFSET(T.Feiertage.Bereich,MATCH(Q$10,T.Feiertage.Bereich,0)-1,1,1,1),1)</f>
        <v>1</v>
      </c>
      <c r="R11" s="165" t="n">
        <f aca="true">IFERROR(OFFSET(T.Feiertage.Bereich,MATCH(R$10,T.Feiertage.Bereich,0)-1,1,1,1),1)</f>
        <v>1</v>
      </c>
      <c r="S11" s="166" t="n">
        <f aca="true">IFERROR(OFFSET(T.Feiertage.Bereich,MATCH(S$10,T.Feiertage.Bereich,0)-1,1,1,1),1)</f>
        <v>1</v>
      </c>
      <c r="T11" s="166" t="n">
        <f aca="true">IFERROR(OFFSET(T.Feiertage.Bereich,MATCH(T$10,T.Feiertage.Bereich,0)-1,1,1,1),1)</f>
        <v>1</v>
      </c>
      <c r="U11" s="165" t="n">
        <f aca="true">IFERROR(OFFSET(T.Feiertage.Bereich,MATCH(U$10,T.Feiertage.Bereich,0)-1,1,1,1),1)</f>
        <v>1</v>
      </c>
      <c r="V11" s="165" t="n">
        <f aca="true">IFERROR(OFFSET(T.Feiertage.Bereich,MATCH(V$10,T.Feiertage.Bereich,0)-1,1,1,1),1)</f>
        <v>1</v>
      </c>
      <c r="W11" s="165" t="n">
        <f aca="true">IFERROR(OFFSET(T.Feiertage.Bereich,MATCH(W$10,T.Feiertage.Bereich,0)-1,1,1,1),1)</f>
        <v>1</v>
      </c>
      <c r="X11" s="166" t="n">
        <f aca="true">IFERROR(OFFSET(T.Feiertage.Bereich,MATCH(X$10,T.Feiertage.Bereich,0)-1,1,1,1),1)</f>
        <v>1</v>
      </c>
      <c r="Y11" s="165" t="n">
        <f aca="true">IFERROR(OFFSET(T.Feiertage.Bereich,MATCH(Y$10,T.Feiertage.Bereich,0)-1,1,1,1),1)</f>
        <v>1</v>
      </c>
      <c r="Z11" s="167" t="n">
        <f aca="true">IFERROR(OFFSET(T.Feiertage.Bereich,MATCH(Z$10,T.Feiertage.Bereich,0)-1,1,1,1),1)</f>
        <v>1</v>
      </c>
      <c r="AA11" s="165" t="n">
        <f aca="true">IFERROR(OFFSET(T.Feiertage.Bereich,MATCH(AA$10,T.Feiertage.Bereich,0)-1,1,1,1),1)</f>
        <v>1</v>
      </c>
      <c r="AB11" s="165" t="n">
        <f aca="true">IFERROR(OFFSET(T.Feiertage.Bereich,MATCH(AB$10,T.Feiertage.Bereich,0)-1,1,1,1),1)</f>
        <v>1</v>
      </c>
      <c r="AC11" s="165" t="n">
        <f aca="true">IFERROR(OFFSET(T.Feiertage.Bereich,MATCH(AC$10,T.Feiertage.Bereich,0)-1,1,1,1),1)</f>
        <v>1</v>
      </c>
      <c r="AD11" s="165" t="n">
        <f aca="true">IFERROR(OFFSET(T.Feiertage.Bereich,MATCH(AD$10,T.Feiertage.Bereich,0)-1,1,1,1),1)</f>
        <v>1</v>
      </c>
      <c r="AE11" s="166" t="n">
        <f aca="true">IFERROR(OFFSET(T.Feiertage.Bereich,MATCH(AE$10,T.Feiertage.Bereich,0)-1,1,1,1),1)</f>
        <v>1</v>
      </c>
      <c r="AF11" s="168"/>
      <c r="AG11" s="146"/>
      <c r="AH11" s="169"/>
      <c r="AI11" s="170"/>
      <c r="AJ11" s="171"/>
      <c r="AK11" s="172"/>
      <c r="AL11" s="172"/>
      <c r="AM11" s="171"/>
      <c r="AN11" s="172"/>
      <c r="AO11" s="172"/>
      <c r="AP11" s="163"/>
    </row>
    <row r="12" s="164" customFormat="true" ht="12" hidden="true" customHeight="true" outlineLevel="0" collapsed="false">
      <c r="A12" s="157" t="s">
        <v>127</v>
      </c>
      <c r="B12" s="173" t="n">
        <f aca="false">IF(OR(AND(ISNUMBER(EB.UJEintritt),EB.UJEintritt&gt;=B$10+1),AND(ISNUMBER(EB.UJAustritt),EB.UJAustritt&lt;=B$10-1)),0,1)</f>
        <v>1</v>
      </c>
      <c r="C12" s="173" t="n">
        <f aca="false">IF(OR(AND(ISNUMBER(EB.UJEintritt),EB.UJEintritt&gt;=C$10+1),AND(ISNUMBER(EB.UJAustritt),EB.UJAustritt&lt;=C$10-1)),0,1)</f>
        <v>1</v>
      </c>
      <c r="D12" s="173" t="n">
        <f aca="false">IF(OR(AND(ISNUMBER(EB.UJEintritt),EB.UJEintritt&gt;=D$10+1),AND(ISNUMBER(EB.UJAustritt),EB.UJAustritt&lt;=D$10-1)),0,1)</f>
        <v>1</v>
      </c>
      <c r="E12" s="156" t="n">
        <f aca="false">IF(OR(AND(ISNUMBER(EB.UJEintritt),EB.UJEintritt&gt;=E$10+1),AND(ISNUMBER(EB.UJAustritt),EB.UJAustritt&lt;=E$10-1)),0,1)</f>
        <v>1</v>
      </c>
      <c r="F12" s="173" t="n">
        <f aca="false">IF(OR(AND(ISNUMBER(EB.UJEintritt),EB.UJEintritt&gt;=F$10+1),AND(ISNUMBER(EB.UJAustritt),EB.UJAustritt&lt;=F$10-1)),0,1)</f>
        <v>1</v>
      </c>
      <c r="G12" s="173" t="n">
        <f aca="false">IF(OR(AND(ISNUMBER(EB.UJEintritt),EB.UJEintritt&gt;=G$10+1),AND(ISNUMBER(EB.UJAustritt),EB.UJAustritt&lt;=G$10-1)),0,1)</f>
        <v>1</v>
      </c>
      <c r="H12" s="173" t="n">
        <f aca="false">IF(OR(AND(ISNUMBER(EB.UJEintritt),EB.UJEintritt&gt;=H$10+1),AND(ISNUMBER(EB.UJAustritt),EB.UJAustritt&lt;=H$10-1)),0,1)</f>
        <v>1</v>
      </c>
      <c r="I12" s="173" t="n">
        <f aca="false">IF(OR(AND(ISNUMBER(EB.UJEintritt),EB.UJEintritt&gt;=I$10+1),AND(ISNUMBER(EB.UJAustritt),EB.UJAustritt&lt;=I$10-1)),0,1)</f>
        <v>1</v>
      </c>
      <c r="J12" s="156" t="n">
        <f aca="false">IF(OR(AND(ISNUMBER(EB.UJEintritt),EB.UJEintritt&gt;=J$10+1),AND(ISNUMBER(EB.UJAustritt),EB.UJAustritt&lt;=J$10-1)),0,1)</f>
        <v>1</v>
      </c>
      <c r="K12" s="173" t="n">
        <f aca="false">IF(OR(AND(ISNUMBER(EB.UJEintritt),EB.UJEintritt&gt;=K$10+1),AND(ISNUMBER(EB.UJAustritt),EB.UJAustritt&lt;=K$10-1)),0,1)</f>
        <v>1</v>
      </c>
      <c r="L12" s="156" t="n">
        <f aca="false">IF(OR(AND(ISNUMBER(EB.UJEintritt),EB.UJEintritt&gt;=L$10+1),AND(ISNUMBER(EB.UJAustritt),EB.UJAustritt&lt;=L$10-1)),0,1)</f>
        <v>1</v>
      </c>
      <c r="M12" s="173" t="n">
        <f aca="false">IF(OR(AND(ISNUMBER(EB.UJEintritt),EB.UJEintritt&gt;=M$10+1),AND(ISNUMBER(EB.UJAustritt),EB.UJAustritt&lt;=M$10-1)),0,1)</f>
        <v>1</v>
      </c>
      <c r="N12" s="173" t="n">
        <f aca="false">IF(OR(AND(ISNUMBER(EB.UJEintritt),EB.UJEintritt&gt;=N$10+1),AND(ISNUMBER(EB.UJAustritt),EB.UJAustritt&lt;=N$10-1)),0,1)</f>
        <v>1</v>
      </c>
      <c r="O12" s="173" t="n">
        <f aca="false">IF(OR(AND(ISNUMBER(EB.UJEintritt),EB.UJEintritt&gt;=O$10+1),AND(ISNUMBER(EB.UJAustritt),EB.UJAustritt&lt;=O$10-1)),0,1)</f>
        <v>1</v>
      </c>
      <c r="P12" s="173" t="n">
        <f aca="false">IF(OR(AND(ISNUMBER(EB.UJEintritt),EB.UJEintritt&gt;=P$10+1),AND(ISNUMBER(EB.UJAustritt),EB.UJAustritt&lt;=P$10-1)),0,1)</f>
        <v>1</v>
      </c>
      <c r="Q12" s="156" t="n">
        <f aca="false">IF(OR(AND(ISNUMBER(EB.UJEintritt),EB.UJEintritt&gt;=Q$10+1),AND(ISNUMBER(EB.UJAustritt),EB.UJAustritt&lt;=Q$10-1)),0,1)</f>
        <v>1</v>
      </c>
      <c r="R12" s="173" t="n">
        <f aca="false">IF(OR(AND(ISNUMBER(EB.UJEintritt),EB.UJEintritt&gt;=R$10+1),AND(ISNUMBER(EB.UJAustritt),EB.UJAustritt&lt;=R$10-1)),0,1)</f>
        <v>1</v>
      </c>
      <c r="S12" s="156" t="n">
        <f aca="false">IF(OR(AND(ISNUMBER(EB.UJEintritt),EB.UJEintritt&gt;=S$10+1),AND(ISNUMBER(EB.UJAustritt),EB.UJAustritt&lt;=S$10-1)),0,1)</f>
        <v>1</v>
      </c>
      <c r="T12" s="156" t="n">
        <f aca="false">IF(OR(AND(ISNUMBER(EB.UJEintritt),EB.UJEintritt&gt;=T$10+1),AND(ISNUMBER(EB.UJAustritt),EB.UJAustritt&lt;=T$10-1)),0,1)</f>
        <v>1</v>
      </c>
      <c r="U12" s="173" t="n">
        <f aca="false">IF(OR(AND(ISNUMBER(EB.UJEintritt),EB.UJEintritt&gt;=U$10+1),AND(ISNUMBER(EB.UJAustritt),EB.UJAustritt&lt;=U$10-1)),0,1)</f>
        <v>1</v>
      </c>
      <c r="V12" s="173" t="n">
        <f aca="false">IF(OR(AND(ISNUMBER(EB.UJEintritt),EB.UJEintritt&gt;=V$10+1),AND(ISNUMBER(EB.UJAustritt),EB.UJAustritt&lt;=V$10-1)),0,1)</f>
        <v>1</v>
      </c>
      <c r="W12" s="173" t="n">
        <f aca="false">IF(OR(AND(ISNUMBER(EB.UJEintritt),EB.UJEintritt&gt;=W$10+1),AND(ISNUMBER(EB.UJAustritt),EB.UJAustritt&lt;=W$10-1)),0,1)</f>
        <v>1</v>
      </c>
      <c r="X12" s="156" t="n">
        <f aca="false">IF(OR(AND(ISNUMBER(EB.UJEintritt),EB.UJEintritt&gt;=X$10+1),AND(ISNUMBER(EB.UJAustritt),EB.UJAustritt&lt;=X$10-1)),0,1)</f>
        <v>1</v>
      </c>
      <c r="Y12" s="173" t="n">
        <f aca="false">IF(OR(AND(ISNUMBER(EB.UJEintritt),EB.UJEintritt&gt;=Y$10+1),AND(ISNUMBER(EB.UJAustritt),EB.UJAustritt&lt;=Y$10-1)),0,1)</f>
        <v>1</v>
      </c>
      <c r="Z12" s="174" t="n">
        <f aca="false">IF(OR(AND(ISNUMBER(EB.UJEintritt),EB.UJEintritt&gt;=Z$10+1),AND(ISNUMBER(EB.UJAustritt),EB.UJAustritt&lt;=Z$10-1)),0,1)</f>
        <v>1</v>
      </c>
      <c r="AA12" s="173" t="n">
        <f aca="false">IF(OR(AND(ISNUMBER(EB.UJEintritt),EB.UJEintritt&gt;=AA$10+1),AND(ISNUMBER(EB.UJAustritt),EB.UJAustritt&lt;=AA$10-1)),0,1)</f>
        <v>1</v>
      </c>
      <c r="AB12" s="173" t="n">
        <f aca="false">IF(OR(AND(ISNUMBER(EB.UJEintritt),EB.UJEintritt&gt;=AB$10+1),AND(ISNUMBER(EB.UJAustritt),EB.UJAustritt&lt;=AB$10-1)),0,1)</f>
        <v>1</v>
      </c>
      <c r="AC12" s="173" t="n">
        <f aca="false">IF(OR(AND(ISNUMBER(EB.UJEintritt),EB.UJEintritt&gt;=AC$10+1),AND(ISNUMBER(EB.UJAustritt),EB.UJAustritt&lt;=AC$10-1)),0,1)</f>
        <v>1</v>
      </c>
      <c r="AD12" s="173" t="n">
        <f aca="false">IF(OR(AND(ISNUMBER(EB.UJEintritt),EB.UJEintritt&gt;=AD$10+1),AND(ISNUMBER(EB.UJAustritt),EB.UJAustritt&lt;=AD$10-1)),0,1)</f>
        <v>1</v>
      </c>
      <c r="AE12" s="156" t="n">
        <f aca="false">IF(OR(AND(ISNUMBER(EB.UJEintritt),EB.UJEintritt&gt;=AE$10+1),AND(ISNUMBER(EB.UJAustritt),EB.UJAustritt&lt;=AE$10-1)),0,1)</f>
        <v>1</v>
      </c>
      <c r="AF12" s="168"/>
      <c r="AG12" s="146"/>
      <c r="AH12" s="169"/>
      <c r="AI12" s="170"/>
      <c r="AJ12" s="171"/>
      <c r="AK12" s="172"/>
      <c r="AL12" s="172"/>
      <c r="AM12" s="171"/>
      <c r="AN12" s="172"/>
      <c r="AO12" s="172"/>
      <c r="AP12" s="163"/>
    </row>
    <row r="13" s="148" customFormat="true" ht="15" hidden="false" customHeight="true" outlineLevel="0" collapsed="false">
      <c r="A13" s="175" t="s">
        <v>128</v>
      </c>
      <c r="B13" s="176"/>
      <c r="C13" s="176"/>
      <c r="D13" s="176"/>
      <c r="E13" s="177"/>
      <c r="F13" s="176"/>
      <c r="G13" s="176"/>
      <c r="H13" s="176"/>
      <c r="I13" s="176"/>
      <c r="J13" s="177"/>
      <c r="K13" s="176"/>
      <c r="L13" s="177"/>
      <c r="M13" s="176"/>
      <c r="N13" s="176"/>
      <c r="O13" s="176"/>
      <c r="P13" s="176"/>
      <c r="Q13" s="177"/>
      <c r="R13" s="176"/>
      <c r="S13" s="177"/>
      <c r="T13" s="177"/>
      <c r="U13" s="176"/>
      <c r="V13" s="176"/>
      <c r="W13" s="176"/>
      <c r="X13" s="177"/>
      <c r="Y13" s="176"/>
      <c r="Z13" s="178"/>
      <c r="AA13" s="176"/>
      <c r="AB13" s="176"/>
      <c r="AC13" s="176"/>
      <c r="AD13" s="176"/>
      <c r="AE13" s="177"/>
      <c r="AF13" s="168" t="str">
        <f aca="false">A13</f>
        <v>in</v>
      </c>
      <c r="AG13" s="146"/>
      <c r="AH13" s="169"/>
      <c r="AI13" s="170"/>
      <c r="AJ13" s="171"/>
      <c r="AK13" s="172"/>
      <c r="AL13" s="172"/>
      <c r="AM13" s="171"/>
      <c r="AN13" s="172"/>
      <c r="AO13" s="172"/>
      <c r="AP13" s="39"/>
    </row>
    <row r="14" s="148" customFormat="true" ht="15" hidden="false" customHeight="true" outlineLevel="0" collapsed="false">
      <c r="A14" s="175" t="s">
        <v>129</v>
      </c>
      <c r="B14" s="176"/>
      <c r="C14" s="176"/>
      <c r="D14" s="176"/>
      <c r="E14" s="177"/>
      <c r="F14" s="176"/>
      <c r="G14" s="176"/>
      <c r="H14" s="176"/>
      <c r="I14" s="176"/>
      <c r="J14" s="177"/>
      <c r="K14" s="176"/>
      <c r="L14" s="177"/>
      <c r="M14" s="176"/>
      <c r="N14" s="176"/>
      <c r="O14" s="176"/>
      <c r="P14" s="176"/>
      <c r="Q14" s="177"/>
      <c r="R14" s="176"/>
      <c r="S14" s="177"/>
      <c r="T14" s="177"/>
      <c r="U14" s="176"/>
      <c r="V14" s="176"/>
      <c r="W14" s="176"/>
      <c r="X14" s="177"/>
      <c r="Y14" s="176"/>
      <c r="Z14" s="178"/>
      <c r="AA14" s="176"/>
      <c r="AB14" s="176"/>
      <c r="AC14" s="176"/>
      <c r="AD14" s="176"/>
      <c r="AE14" s="177"/>
      <c r="AF14" s="168" t="str">
        <f aca="false">A14</f>
        <v>out</v>
      </c>
      <c r="AG14" s="146"/>
      <c r="AH14" s="169"/>
      <c r="AI14" s="170"/>
      <c r="AJ14" s="171"/>
      <c r="AK14" s="172"/>
      <c r="AL14" s="172"/>
      <c r="AM14" s="171"/>
      <c r="AN14" s="172"/>
      <c r="AO14" s="172"/>
      <c r="AP14" s="39"/>
    </row>
    <row r="15" s="148" customFormat="true" ht="15" hidden="false" customHeight="true" outlineLevel="0" collapsed="false">
      <c r="A15" s="175" t="s">
        <v>128</v>
      </c>
      <c r="B15" s="176"/>
      <c r="C15" s="176"/>
      <c r="D15" s="176"/>
      <c r="E15" s="177"/>
      <c r="F15" s="176"/>
      <c r="G15" s="176"/>
      <c r="H15" s="176"/>
      <c r="I15" s="176"/>
      <c r="J15" s="177"/>
      <c r="K15" s="176"/>
      <c r="L15" s="177"/>
      <c r="M15" s="176"/>
      <c r="N15" s="176"/>
      <c r="O15" s="176"/>
      <c r="P15" s="176"/>
      <c r="Q15" s="177"/>
      <c r="R15" s="176"/>
      <c r="S15" s="177"/>
      <c r="T15" s="177"/>
      <c r="U15" s="176"/>
      <c r="V15" s="176"/>
      <c r="W15" s="176"/>
      <c r="X15" s="177"/>
      <c r="Y15" s="176"/>
      <c r="Z15" s="178"/>
      <c r="AA15" s="176"/>
      <c r="AB15" s="176"/>
      <c r="AC15" s="176"/>
      <c r="AD15" s="176"/>
      <c r="AE15" s="177"/>
      <c r="AF15" s="168" t="str">
        <f aca="false">A15</f>
        <v>in</v>
      </c>
      <c r="AG15" s="146"/>
      <c r="AH15" s="169"/>
      <c r="AI15" s="170"/>
      <c r="AJ15" s="171"/>
      <c r="AK15" s="172"/>
      <c r="AL15" s="172"/>
      <c r="AM15" s="171"/>
      <c r="AN15" s="172"/>
      <c r="AO15" s="172"/>
      <c r="AP15" s="39"/>
    </row>
    <row r="16" s="148" customFormat="true" ht="15" hidden="false" customHeight="true" outlineLevel="0" collapsed="false">
      <c r="A16" s="175" t="s">
        <v>129</v>
      </c>
      <c r="B16" s="176"/>
      <c r="C16" s="176"/>
      <c r="D16" s="176"/>
      <c r="E16" s="177"/>
      <c r="F16" s="176"/>
      <c r="G16" s="176"/>
      <c r="H16" s="176"/>
      <c r="I16" s="176"/>
      <c r="J16" s="177"/>
      <c r="K16" s="176"/>
      <c r="L16" s="177"/>
      <c r="M16" s="176"/>
      <c r="N16" s="176"/>
      <c r="O16" s="176"/>
      <c r="P16" s="176"/>
      <c r="Q16" s="177"/>
      <c r="R16" s="176"/>
      <c r="S16" s="177"/>
      <c r="T16" s="177"/>
      <c r="U16" s="176"/>
      <c r="V16" s="176"/>
      <c r="W16" s="176"/>
      <c r="X16" s="177"/>
      <c r="Y16" s="176"/>
      <c r="Z16" s="178"/>
      <c r="AA16" s="176"/>
      <c r="AB16" s="176"/>
      <c r="AC16" s="176"/>
      <c r="AD16" s="176"/>
      <c r="AE16" s="177"/>
      <c r="AF16" s="168" t="str">
        <f aca="false">A16</f>
        <v>out</v>
      </c>
      <c r="AG16" s="146"/>
      <c r="AH16" s="179"/>
      <c r="AI16" s="180"/>
      <c r="AJ16" s="172"/>
      <c r="AK16" s="172"/>
      <c r="AL16" s="172"/>
      <c r="AM16" s="171"/>
      <c r="AN16" s="172"/>
      <c r="AO16" s="172"/>
      <c r="AP16" s="39"/>
    </row>
    <row r="17" s="148" customFormat="true" ht="15" hidden="false" customHeight="true" outlineLevel="0" collapsed="false">
      <c r="A17" s="175" t="s">
        <v>128</v>
      </c>
      <c r="B17" s="176"/>
      <c r="C17" s="176"/>
      <c r="D17" s="176"/>
      <c r="E17" s="177"/>
      <c r="F17" s="176"/>
      <c r="G17" s="176"/>
      <c r="H17" s="176"/>
      <c r="I17" s="176"/>
      <c r="J17" s="177"/>
      <c r="K17" s="176"/>
      <c r="L17" s="177"/>
      <c r="M17" s="176"/>
      <c r="N17" s="176"/>
      <c r="O17" s="176"/>
      <c r="P17" s="176"/>
      <c r="Q17" s="177"/>
      <c r="R17" s="176"/>
      <c r="S17" s="177"/>
      <c r="T17" s="177"/>
      <c r="U17" s="176"/>
      <c r="V17" s="176"/>
      <c r="W17" s="176"/>
      <c r="X17" s="177"/>
      <c r="Y17" s="176"/>
      <c r="Z17" s="178"/>
      <c r="AA17" s="176"/>
      <c r="AB17" s="176"/>
      <c r="AC17" s="176"/>
      <c r="AD17" s="176"/>
      <c r="AE17" s="177"/>
      <c r="AF17" s="168" t="str">
        <f aca="false">A17</f>
        <v>in</v>
      </c>
      <c r="AG17" s="146"/>
      <c r="AH17" s="179"/>
      <c r="AI17" s="180"/>
      <c r="AJ17" s="172"/>
      <c r="AK17" s="172"/>
      <c r="AL17" s="172"/>
      <c r="AM17" s="171"/>
      <c r="AN17" s="172"/>
      <c r="AO17" s="172"/>
      <c r="AP17" s="39"/>
    </row>
    <row r="18" s="148" customFormat="true" ht="15" hidden="false" customHeight="true" outlineLevel="0" collapsed="false">
      <c r="A18" s="175" t="s">
        <v>129</v>
      </c>
      <c r="B18" s="176"/>
      <c r="C18" s="176"/>
      <c r="D18" s="176"/>
      <c r="E18" s="177"/>
      <c r="F18" s="176"/>
      <c r="G18" s="176"/>
      <c r="H18" s="176"/>
      <c r="I18" s="176"/>
      <c r="J18" s="177"/>
      <c r="K18" s="176"/>
      <c r="L18" s="177"/>
      <c r="M18" s="176"/>
      <c r="N18" s="176"/>
      <c r="O18" s="176"/>
      <c r="P18" s="176"/>
      <c r="Q18" s="177"/>
      <c r="R18" s="176"/>
      <c r="S18" s="177"/>
      <c r="T18" s="177"/>
      <c r="U18" s="176"/>
      <c r="V18" s="176"/>
      <c r="W18" s="176"/>
      <c r="X18" s="177"/>
      <c r="Y18" s="176"/>
      <c r="Z18" s="178"/>
      <c r="AA18" s="176"/>
      <c r="AB18" s="176"/>
      <c r="AC18" s="176"/>
      <c r="AD18" s="176"/>
      <c r="AE18" s="177"/>
      <c r="AF18" s="168" t="str">
        <f aca="false">A18</f>
        <v>out</v>
      </c>
      <c r="AG18" s="146"/>
      <c r="AH18" s="179"/>
      <c r="AI18" s="180"/>
      <c r="AJ18" s="172"/>
      <c r="AK18" s="172"/>
      <c r="AL18" s="172"/>
      <c r="AM18" s="171"/>
      <c r="AN18" s="172"/>
      <c r="AO18" s="172"/>
      <c r="AP18" s="39"/>
    </row>
    <row r="19" s="148" customFormat="true" ht="15" hidden="true" customHeight="true" outlineLevel="1" collapsed="false">
      <c r="A19" s="175" t="s">
        <v>128</v>
      </c>
      <c r="B19" s="176"/>
      <c r="C19" s="176"/>
      <c r="D19" s="176"/>
      <c r="E19" s="177"/>
      <c r="F19" s="176"/>
      <c r="G19" s="176"/>
      <c r="H19" s="176"/>
      <c r="I19" s="176"/>
      <c r="J19" s="177"/>
      <c r="K19" s="176"/>
      <c r="L19" s="177"/>
      <c r="M19" s="176"/>
      <c r="N19" s="176"/>
      <c r="O19" s="176"/>
      <c r="P19" s="176"/>
      <c r="Q19" s="177"/>
      <c r="R19" s="176"/>
      <c r="S19" s="177"/>
      <c r="T19" s="177"/>
      <c r="U19" s="176"/>
      <c r="V19" s="176"/>
      <c r="W19" s="176"/>
      <c r="X19" s="177"/>
      <c r="Y19" s="176"/>
      <c r="Z19" s="178"/>
      <c r="AA19" s="176"/>
      <c r="AB19" s="176"/>
      <c r="AC19" s="176"/>
      <c r="AD19" s="176"/>
      <c r="AE19" s="177"/>
      <c r="AF19" s="168" t="str">
        <f aca="false">A19</f>
        <v>in</v>
      </c>
      <c r="AG19" s="146"/>
      <c r="AH19" s="179"/>
      <c r="AI19" s="180"/>
      <c r="AJ19" s="172"/>
      <c r="AK19" s="172"/>
      <c r="AL19" s="172"/>
      <c r="AM19" s="171"/>
      <c r="AN19" s="172"/>
      <c r="AO19" s="172"/>
      <c r="AP19" s="39"/>
    </row>
    <row r="20" s="148" customFormat="true" ht="15" hidden="true" customHeight="true" outlineLevel="1" collapsed="false">
      <c r="A20" s="175" t="s">
        <v>129</v>
      </c>
      <c r="B20" s="176"/>
      <c r="C20" s="176"/>
      <c r="D20" s="176"/>
      <c r="E20" s="177"/>
      <c r="F20" s="176"/>
      <c r="G20" s="176"/>
      <c r="H20" s="176"/>
      <c r="I20" s="176"/>
      <c r="J20" s="177"/>
      <c r="K20" s="176"/>
      <c r="L20" s="177"/>
      <c r="M20" s="176"/>
      <c r="N20" s="176"/>
      <c r="O20" s="176"/>
      <c r="P20" s="176"/>
      <c r="Q20" s="177"/>
      <c r="R20" s="176"/>
      <c r="S20" s="177"/>
      <c r="T20" s="177"/>
      <c r="U20" s="176"/>
      <c r="V20" s="176"/>
      <c r="W20" s="176"/>
      <c r="X20" s="177"/>
      <c r="Y20" s="176"/>
      <c r="Z20" s="178"/>
      <c r="AA20" s="176"/>
      <c r="AB20" s="176"/>
      <c r="AC20" s="176"/>
      <c r="AD20" s="176"/>
      <c r="AE20" s="177"/>
      <c r="AF20" s="168" t="str">
        <f aca="false">A20</f>
        <v>out</v>
      </c>
      <c r="AG20" s="146"/>
      <c r="AH20" s="179"/>
      <c r="AI20" s="180"/>
      <c r="AJ20" s="172"/>
      <c r="AK20" s="172"/>
      <c r="AL20" s="172"/>
      <c r="AM20" s="171"/>
      <c r="AN20" s="172"/>
      <c r="AO20" s="172"/>
      <c r="AP20" s="39"/>
    </row>
    <row r="21" s="148" customFormat="true" ht="15" hidden="true" customHeight="true" outlineLevel="1" collapsed="false">
      <c r="A21" s="175" t="s">
        <v>128</v>
      </c>
      <c r="B21" s="176"/>
      <c r="C21" s="176"/>
      <c r="D21" s="176"/>
      <c r="E21" s="177"/>
      <c r="F21" s="176"/>
      <c r="G21" s="176"/>
      <c r="H21" s="176"/>
      <c r="I21" s="176"/>
      <c r="J21" s="177"/>
      <c r="K21" s="176"/>
      <c r="L21" s="177"/>
      <c r="M21" s="176"/>
      <c r="N21" s="176"/>
      <c r="O21" s="176"/>
      <c r="P21" s="176"/>
      <c r="Q21" s="177"/>
      <c r="R21" s="176"/>
      <c r="S21" s="177"/>
      <c r="T21" s="177"/>
      <c r="U21" s="176"/>
      <c r="V21" s="176"/>
      <c r="W21" s="176"/>
      <c r="X21" s="177"/>
      <c r="Y21" s="176"/>
      <c r="Z21" s="178"/>
      <c r="AA21" s="176"/>
      <c r="AB21" s="176"/>
      <c r="AC21" s="176"/>
      <c r="AD21" s="176"/>
      <c r="AE21" s="177"/>
      <c r="AF21" s="168" t="str">
        <f aca="false">A21</f>
        <v>in</v>
      </c>
      <c r="AG21" s="146"/>
      <c r="AH21" s="179"/>
      <c r="AI21" s="180"/>
      <c r="AJ21" s="172"/>
      <c r="AK21" s="172"/>
      <c r="AL21" s="172"/>
      <c r="AM21" s="171"/>
      <c r="AN21" s="172"/>
      <c r="AO21" s="172"/>
      <c r="AP21" s="39"/>
    </row>
    <row r="22" s="148" customFormat="true" ht="15" hidden="true" customHeight="true" outlineLevel="1" collapsed="false">
      <c r="A22" s="175" t="s">
        <v>129</v>
      </c>
      <c r="B22" s="176"/>
      <c r="C22" s="176"/>
      <c r="D22" s="176"/>
      <c r="E22" s="177"/>
      <c r="F22" s="176"/>
      <c r="G22" s="176"/>
      <c r="H22" s="176"/>
      <c r="I22" s="176"/>
      <c r="J22" s="177"/>
      <c r="K22" s="176"/>
      <c r="L22" s="177"/>
      <c r="M22" s="176"/>
      <c r="N22" s="176"/>
      <c r="O22" s="176"/>
      <c r="P22" s="176"/>
      <c r="Q22" s="177"/>
      <c r="R22" s="176"/>
      <c r="S22" s="177"/>
      <c r="T22" s="177"/>
      <c r="U22" s="176"/>
      <c r="V22" s="176"/>
      <c r="W22" s="176"/>
      <c r="X22" s="177"/>
      <c r="Y22" s="176"/>
      <c r="Z22" s="178"/>
      <c r="AA22" s="176"/>
      <c r="AB22" s="176"/>
      <c r="AC22" s="176"/>
      <c r="AD22" s="176"/>
      <c r="AE22" s="177"/>
      <c r="AF22" s="168" t="str">
        <f aca="false">A22</f>
        <v>out</v>
      </c>
      <c r="AG22" s="146"/>
      <c r="AH22" s="179"/>
      <c r="AI22" s="180"/>
      <c r="AJ22" s="172"/>
      <c r="AK22" s="172"/>
      <c r="AL22" s="172"/>
      <c r="AM22" s="171"/>
      <c r="AN22" s="172"/>
      <c r="AO22" s="172"/>
      <c r="AP22" s="39"/>
    </row>
    <row r="23" s="148" customFormat="true" ht="15" hidden="false" customHeight="true" outlineLevel="0" collapsed="false">
      <c r="A23" s="181" t="s">
        <v>130</v>
      </c>
      <c r="B23" s="182" t="n">
        <f aca="false">ROUND((B14-B13)+(B16-B15)+(B18-B17)+(B20-B19)+(B22-B21),9)</f>
        <v>0</v>
      </c>
      <c r="C23" s="182" t="n">
        <f aca="false">ROUND((C14-C13)+(C16-C15)+(C18-C17)+(C20-C19)+(C22-C21),9)</f>
        <v>0</v>
      </c>
      <c r="D23" s="182" t="n">
        <f aca="false">ROUND((D14-D13)+(D16-D15)+(D18-D17)+(D20-D19)+(D22-D21),9)</f>
        <v>0</v>
      </c>
      <c r="E23" s="182" t="n">
        <f aca="false">ROUND((E14-E13)+(E16-E15)+(E18-E17)+(E20-E19)+(E22-E21),9)</f>
        <v>0</v>
      </c>
      <c r="F23" s="182" t="n">
        <f aca="false">ROUND((F14-F13)+(F16-F15)+(F18-F17)+(F20-F19)+(F22-F21),9)</f>
        <v>0</v>
      </c>
      <c r="G23" s="182" t="n">
        <f aca="false">ROUND((G14-G13)+(G16-G15)+(G18-G17)+(G20-G19)+(G22-G21),9)</f>
        <v>0</v>
      </c>
      <c r="H23" s="182" t="n">
        <f aca="false">ROUND((H14-H13)+(H16-H15)+(H18-H17)+(H20-H19)+(H22-H21),9)</f>
        <v>0</v>
      </c>
      <c r="I23" s="182" t="n">
        <f aca="false">ROUND((I14-I13)+(I16-I15)+(I18-I17)+(I20-I19)+(I22-I21),9)</f>
        <v>0</v>
      </c>
      <c r="J23" s="182" t="n">
        <f aca="false">ROUND((J14-J13)+(J16-J15)+(J18-J17)+(J20-J19)+(J22-J21),9)</f>
        <v>0</v>
      </c>
      <c r="K23" s="182" t="n">
        <f aca="false">ROUND((K14-K13)+(K16-K15)+(K18-K17)+(K20-K19)+(K22-K21),9)</f>
        <v>0</v>
      </c>
      <c r="L23" s="182" t="n">
        <f aca="false">ROUND((L14-L13)+(L16-L15)+(L18-L17)+(L20-L19)+(L22-L21),9)</f>
        <v>0</v>
      </c>
      <c r="M23" s="182" t="n">
        <f aca="false">ROUND((M14-M13)+(M16-M15)+(M18-M17)+(M20-M19)+(M22-M21),9)</f>
        <v>0</v>
      </c>
      <c r="N23" s="182" t="n">
        <f aca="false">ROUND((N14-N13)+(N16-N15)+(N18-N17)+(N20-N19)+(N22-N21),9)</f>
        <v>0</v>
      </c>
      <c r="O23" s="182" t="n">
        <f aca="false">ROUND((O14-O13)+(O16-O15)+(O18-O17)+(O20-O19)+(O22-O21),9)</f>
        <v>0</v>
      </c>
      <c r="P23" s="182" t="n">
        <f aca="false">ROUND((P14-P13)+(P16-P15)+(P18-P17)+(P20-P19)+(P22-P21),9)</f>
        <v>0</v>
      </c>
      <c r="Q23" s="182" t="n">
        <f aca="false">ROUND((Q14-Q13)+(Q16-Q15)+(Q18-Q17)+(Q20-Q19)+(Q22-Q21),9)</f>
        <v>0</v>
      </c>
      <c r="R23" s="182" t="n">
        <f aca="false">ROUND((R14-R13)+(R16-R15)+(R18-R17)+(R20-R19)+(R22-R21),9)</f>
        <v>0</v>
      </c>
      <c r="S23" s="182" t="n">
        <f aca="false">ROUND((S14-S13)+(S16-S15)+(S18-S17)+(S20-S19)+(S22-S21),9)</f>
        <v>0</v>
      </c>
      <c r="T23" s="182" t="n">
        <f aca="false">ROUND((T14-T13)+(T16-T15)+(T18-T17)+(T20-T19)+(T22-T21),9)</f>
        <v>0</v>
      </c>
      <c r="U23" s="182" t="n">
        <f aca="false">ROUND((U14-U13)+(U16-U15)+(U18-U17)+(U20-U19)+(U22-U21),9)</f>
        <v>0</v>
      </c>
      <c r="V23" s="182" t="n">
        <f aca="false">ROUND((V14-V13)+(V16-V15)+(V18-V17)+(V20-V19)+(V22-V21),9)</f>
        <v>0</v>
      </c>
      <c r="W23" s="182" t="n">
        <f aca="false">ROUND((W14-W13)+(W16-W15)+(W18-W17)+(W20-W19)+(W22-W21),9)</f>
        <v>0</v>
      </c>
      <c r="X23" s="182" t="n">
        <f aca="false">ROUND((X14-X13)+(X16-X15)+(X18-X17)+(X20-X19)+(X22-X21),9)</f>
        <v>0</v>
      </c>
      <c r="Y23" s="182" t="n">
        <f aca="false">ROUND((Y14-Y13)+(Y16-Y15)+(Y18-Y17)+(Y20-Y19)+(Y22-Y21),9)</f>
        <v>0</v>
      </c>
      <c r="Z23" s="182" t="n">
        <f aca="false">ROUND((Z14-Z13)+(Z16-Z15)+(Z18-Z17)+(Z20-Z19)+(Z22-Z21),9)</f>
        <v>0</v>
      </c>
      <c r="AA23" s="182" t="n">
        <f aca="false">ROUND((AA14-AA13)+(AA16-AA15)+(AA18-AA17)+(AA20-AA19)+(AA22-AA21),9)</f>
        <v>0</v>
      </c>
      <c r="AB23" s="182" t="n">
        <f aca="false">ROUND((AB14-AB13)+(AB16-AB15)+(AB18-AB17)+(AB20-AB19)+(AB22-AB21),9)</f>
        <v>0</v>
      </c>
      <c r="AC23" s="182" t="n">
        <f aca="false">ROUND((AC14-AC13)+(AC16-AC15)+(AC18-AC17)+(AC20-AC19)+(AC22-AC21),9)</f>
        <v>0</v>
      </c>
      <c r="AD23" s="182" t="n">
        <f aca="false">ROUND((AD14-AD13)+(AD16-AD15)+(AD18-AD17)+(AD20-AD19)+(AD22-AD21),9)</f>
        <v>0</v>
      </c>
      <c r="AE23" s="182" t="n">
        <f aca="false">ROUND((AE14-AE13)+(AE16-AE15)+(AE18-AE17)+(AE20-AE19)+(AE22-AE21),9)</f>
        <v>0</v>
      </c>
      <c r="AF23" s="183" t="str">
        <f aca="false">A23</f>
        <v>Total in/out</v>
      </c>
      <c r="AG23" s="184"/>
      <c r="AH23" s="185" t="n">
        <f aca="false">SUM(B23:AE23)</f>
        <v>0</v>
      </c>
      <c r="AI23" s="180"/>
      <c r="AJ23" s="172"/>
      <c r="AK23" s="172"/>
      <c r="AL23" s="172"/>
      <c r="AM23" s="171"/>
      <c r="AN23" s="172"/>
      <c r="AO23" s="172"/>
      <c r="AP23" s="39"/>
    </row>
    <row r="24" s="148" customFormat="true" ht="3.75" hidden="true" customHeight="true" outlineLevel="1" collapsed="false">
      <c r="A24" s="186"/>
      <c r="B24" s="187"/>
      <c r="C24" s="187"/>
      <c r="D24" s="187"/>
      <c r="E24" s="187"/>
      <c r="F24" s="187"/>
      <c r="G24" s="187"/>
      <c r="H24" s="187"/>
      <c r="I24" s="187"/>
      <c r="J24" s="187"/>
      <c r="K24" s="187"/>
      <c r="L24" s="187"/>
      <c r="M24" s="187"/>
      <c r="N24" s="187"/>
      <c r="O24" s="187"/>
      <c r="P24" s="187"/>
      <c r="Q24" s="187"/>
      <c r="R24" s="187"/>
      <c r="S24" s="187"/>
      <c r="T24" s="187"/>
      <c r="U24" s="187"/>
      <c r="V24" s="187"/>
      <c r="W24" s="187"/>
      <c r="X24" s="187"/>
      <c r="Y24" s="187"/>
      <c r="Z24" s="187"/>
      <c r="AA24" s="187"/>
      <c r="AB24" s="187"/>
      <c r="AC24" s="187"/>
      <c r="AD24" s="187"/>
      <c r="AE24" s="187"/>
      <c r="AF24" s="168"/>
      <c r="AG24" s="146"/>
      <c r="AH24" s="179"/>
      <c r="AI24" s="180"/>
      <c r="AJ24" s="172"/>
      <c r="AK24" s="172"/>
      <c r="AL24" s="172"/>
      <c r="AM24" s="171"/>
      <c r="AN24" s="172"/>
      <c r="AO24" s="172"/>
      <c r="AP24" s="39"/>
    </row>
    <row r="25" s="148" customFormat="true" ht="15" hidden="true" customHeight="true" outlineLevel="1" collapsed="false">
      <c r="A25" s="175" t="s">
        <v>131</v>
      </c>
      <c r="B25" s="176"/>
      <c r="C25" s="176"/>
      <c r="D25" s="176"/>
      <c r="E25" s="189"/>
      <c r="F25" s="176"/>
      <c r="G25" s="176"/>
      <c r="H25" s="176"/>
      <c r="I25" s="176"/>
      <c r="J25" s="176"/>
      <c r="K25" s="176"/>
      <c r="L25" s="176"/>
      <c r="M25" s="176"/>
      <c r="N25" s="176"/>
      <c r="O25" s="176"/>
      <c r="P25" s="176"/>
      <c r="Q25" s="176"/>
      <c r="R25" s="176"/>
      <c r="S25" s="176"/>
      <c r="T25" s="176"/>
      <c r="U25" s="176"/>
      <c r="V25" s="176"/>
      <c r="W25" s="176"/>
      <c r="X25" s="176"/>
      <c r="Y25" s="176"/>
      <c r="Z25" s="190"/>
      <c r="AA25" s="176"/>
      <c r="AB25" s="176"/>
      <c r="AC25" s="176"/>
      <c r="AD25" s="176"/>
      <c r="AE25" s="176"/>
      <c r="AF25" s="168" t="str">
        <f aca="false">A25</f>
        <v>paid break in</v>
      </c>
      <c r="AG25" s="146"/>
      <c r="AH25" s="179"/>
      <c r="AI25" s="180"/>
      <c r="AJ25" s="172"/>
      <c r="AK25" s="172"/>
      <c r="AL25" s="172"/>
      <c r="AM25" s="171"/>
      <c r="AN25" s="172"/>
      <c r="AO25" s="172"/>
      <c r="AP25" s="39"/>
    </row>
    <row r="26" s="148" customFormat="true" ht="15" hidden="true" customHeight="true" outlineLevel="1" collapsed="false">
      <c r="A26" s="175" t="s">
        <v>132</v>
      </c>
      <c r="B26" s="176"/>
      <c r="C26" s="176"/>
      <c r="D26" s="176"/>
      <c r="E26" s="176"/>
      <c r="F26" s="176"/>
      <c r="G26" s="176"/>
      <c r="H26" s="176"/>
      <c r="I26" s="176"/>
      <c r="J26" s="176"/>
      <c r="K26" s="176"/>
      <c r="L26" s="176"/>
      <c r="M26" s="176"/>
      <c r="N26" s="176"/>
      <c r="O26" s="176"/>
      <c r="P26" s="176"/>
      <c r="Q26" s="176"/>
      <c r="R26" s="176"/>
      <c r="S26" s="176"/>
      <c r="T26" s="176"/>
      <c r="U26" s="176"/>
      <c r="V26" s="176"/>
      <c r="W26" s="176"/>
      <c r="X26" s="176"/>
      <c r="Y26" s="176"/>
      <c r="Z26" s="190"/>
      <c r="AA26" s="176"/>
      <c r="AB26" s="176"/>
      <c r="AC26" s="176"/>
      <c r="AD26" s="176"/>
      <c r="AE26" s="176"/>
      <c r="AF26" s="168" t="str">
        <f aca="false">A26</f>
        <v>paid break out</v>
      </c>
      <c r="AG26" s="146"/>
      <c r="AH26" s="179"/>
      <c r="AI26" s="180"/>
      <c r="AJ26" s="172"/>
      <c r="AK26" s="172"/>
      <c r="AL26" s="172"/>
      <c r="AM26" s="171"/>
      <c r="AN26" s="172"/>
      <c r="AO26" s="172"/>
      <c r="AP26" s="39"/>
    </row>
    <row r="27" s="148" customFormat="true" ht="15" hidden="true" customHeight="true" outlineLevel="1" collapsed="false">
      <c r="A27" s="175" t="s">
        <v>131</v>
      </c>
      <c r="B27" s="176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90"/>
      <c r="AA27" s="176"/>
      <c r="AB27" s="176"/>
      <c r="AC27" s="176"/>
      <c r="AD27" s="176"/>
      <c r="AE27" s="176"/>
      <c r="AF27" s="168" t="str">
        <f aca="false">A27</f>
        <v>paid break in</v>
      </c>
      <c r="AG27" s="146"/>
      <c r="AH27" s="179"/>
      <c r="AI27" s="180"/>
      <c r="AJ27" s="172"/>
      <c r="AK27" s="172"/>
      <c r="AL27" s="172"/>
      <c r="AM27" s="171"/>
      <c r="AN27" s="172"/>
      <c r="AO27" s="172"/>
      <c r="AP27" s="39"/>
    </row>
    <row r="28" s="148" customFormat="true" ht="15" hidden="true" customHeight="true" outlineLevel="1" collapsed="false">
      <c r="A28" s="175" t="s">
        <v>132</v>
      </c>
      <c r="B28" s="176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90"/>
      <c r="AA28" s="176"/>
      <c r="AB28" s="176"/>
      <c r="AC28" s="176"/>
      <c r="AD28" s="176"/>
      <c r="AE28" s="176"/>
      <c r="AF28" s="168" t="str">
        <f aca="false">A28</f>
        <v>paid break out</v>
      </c>
      <c r="AG28" s="146"/>
      <c r="AH28" s="179"/>
      <c r="AI28" s="180"/>
      <c r="AJ28" s="172"/>
      <c r="AK28" s="172"/>
      <c r="AL28" s="172"/>
      <c r="AM28" s="171"/>
      <c r="AN28" s="172"/>
      <c r="AO28" s="172"/>
      <c r="AP28" s="39"/>
    </row>
    <row r="29" s="148" customFormat="true" ht="15" hidden="true" customHeight="true" outlineLevel="1" collapsed="false">
      <c r="A29" s="175" t="s">
        <v>131</v>
      </c>
      <c r="B29" s="176"/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90"/>
      <c r="AA29" s="176"/>
      <c r="AB29" s="176"/>
      <c r="AC29" s="176"/>
      <c r="AD29" s="176"/>
      <c r="AE29" s="176"/>
      <c r="AF29" s="168" t="str">
        <f aca="false">A29</f>
        <v>paid break in</v>
      </c>
      <c r="AG29" s="146"/>
      <c r="AH29" s="179"/>
      <c r="AI29" s="180"/>
      <c r="AJ29" s="172"/>
      <c r="AK29" s="172"/>
      <c r="AL29" s="172"/>
      <c r="AM29" s="171"/>
      <c r="AN29" s="172"/>
      <c r="AO29" s="172"/>
      <c r="AP29" s="39"/>
    </row>
    <row r="30" s="148" customFormat="true" ht="15" hidden="true" customHeight="true" outlineLevel="1" collapsed="false">
      <c r="A30" s="175" t="s">
        <v>132</v>
      </c>
      <c r="B30" s="176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90"/>
      <c r="AA30" s="176"/>
      <c r="AB30" s="176"/>
      <c r="AC30" s="176"/>
      <c r="AD30" s="176"/>
      <c r="AE30" s="176"/>
      <c r="AF30" s="168" t="str">
        <f aca="false">A30</f>
        <v>paid break out</v>
      </c>
      <c r="AG30" s="146"/>
      <c r="AH30" s="179"/>
      <c r="AI30" s="180"/>
      <c r="AJ30" s="172"/>
      <c r="AK30" s="172"/>
      <c r="AL30" s="172"/>
      <c r="AM30" s="171"/>
      <c r="AN30" s="172"/>
      <c r="AO30" s="172"/>
      <c r="AP30" s="39"/>
    </row>
    <row r="31" s="148" customFormat="true" ht="3.75" hidden="true" customHeight="true" outlineLevel="1" collapsed="false">
      <c r="A31" s="186"/>
      <c r="B31" s="191"/>
      <c r="C31" s="191"/>
      <c r="D31" s="191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  <c r="AA31" s="191"/>
      <c r="AB31" s="191"/>
      <c r="AC31" s="191"/>
      <c r="AD31" s="191"/>
      <c r="AE31" s="191"/>
      <c r="AF31" s="168"/>
      <c r="AG31" s="146"/>
      <c r="AH31" s="179"/>
      <c r="AI31" s="180"/>
      <c r="AJ31" s="172"/>
      <c r="AK31" s="172"/>
      <c r="AL31" s="172"/>
      <c r="AM31" s="171"/>
      <c r="AN31" s="172"/>
      <c r="AO31" s="172"/>
      <c r="AP31" s="39"/>
    </row>
    <row r="32" s="148" customFormat="true" ht="15" hidden="true" customHeight="true" outlineLevel="1" collapsed="false">
      <c r="A32" s="181" t="s">
        <v>133</v>
      </c>
      <c r="B32" s="193" t="n">
        <f aca="false">ROUND(IF(MAX(0,B15-B14)&lt;1/24/60*180,MAX(0,B15-B14),0)+IF(MAX(0,B17-B16)&lt;1/24/60*180,MAX(0,B17-B16),0)+IF(MAX(0,B19-B18)&lt;1/24/60*180,MAX(0,B19-B18),0)+IF(MAX(0,B21-B20)&lt;1/24/60*180,MAX(0,B21-B20))+MAX(0,B26-B25)+MAX(0,B28-B27)+MAX(0,B30-B29),9)</f>
        <v>0</v>
      </c>
      <c r="C32" s="193" t="n">
        <f aca="false">ROUND(IF(MAX(0,C15-C14)&lt;1/24/60*180,MAX(0,C15-C14),0)+IF(MAX(0,C17-C16)&lt;1/24/60*180,MAX(0,C17-C16),0)+IF(MAX(0,C19-C18)&lt;1/24/60*180,MAX(0,C19-C18),0)+IF(MAX(0,C21-C20)&lt;1/24/60*180,MAX(0,C21-C20))+MAX(0,C26-C25)+MAX(0,C28-C27)+MAX(0,C30-C29),9)</f>
        <v>0</v>
      </c>
      <c r="D32" s="193" t="n">
        <f aca="false">ROUND(IF(MAX(0,D15-D14)&lt;1/24/60*180,MAX(0,D15-D14),0)+IF(MAX(0,D17-D16)&lt;1/24/60*180,MAX(0,D17-D16),0)+IF(MAX(0,D19-D18)&lt;1/24/60*180,MAX(0,D19-D18),0)+IF(MAX(0,D21-D20)&lt;1/24/60*180,MAX(0,D21-D20))+MAX(0,D26-D25)+MAX(0,D28-D27)+MAX(0,D30-D29),9)</f>
        <v>0</v>
      </c>
      <c r="E32" s="193" t="n">
        <f aca="false">ROUND(IF(MAX(0,E15-E14)&lt;1/24/60*180,MAX(0,E15-E14),0)+IF(MAX(0,E17-E16)&lt;1/24/60*180,MAX(0,E17-E16),0)+IF(MAX(0,E19-E18)&lt;1/24/60*180,MAX(0,E19-E18),0)+IF(MAX(0,E21-E20)&lt;1/24/60*180,MAX(0,E21-E20))+MAX(0,E26-E25)+MAX(0,E28-E27)+MAX(0,E30-E29),9)</f>
        <v>0</v>
      </c>
      <c r="F32" s="193" t="n">
        <f aca="false">ROUND(IF(MAX(0,F15-F14)&lt;1/24/60*180,MAX(0,F15-F14),0)+IF(MAX(0,F17-F16)&lt;1/24/60*180,MAX(0,F17-F16),0)+IF(MAX(0,F19-F18)&lt;1/24/60*180,MAX(0,F19-F18),0)+IF(MAX(0,F21-F20)&lt;1/24/60*180,MAX(0,F21-F20))+MAX(0,F26-F25)+MAX(0,F28-F27)+MAX(0,F30-F29),9)</f>
        <v>0</v>
      </c>
      <c r="G32" s="193" t="n">
        <f aca="false">ROUND(IF(MAX(0,G15-G14)&lt;1/24/60*180,MAX(0,G15-G14),0)+IF(MAX(0,G17-G16)&lt;1/24/60*180,MAX(0,G17-G16),0)+IF(MAX(0,G19-G18)&lt;1/24/60*180,MAX(0,G19-G18),0)+IF(MAX(0,G21-G20)&lt;1/24/60*180,MAX(0,G21-G20))+MAX(0,G26-G25)+MAX(0,G28-G27)+MAX(0,G30-G29),9)</f>
        <v>0</v>
      </c>
      <c r="H32" s="193" t="n">
        <f aca="false">ROUND(IF(MAX(0,H15-H14)&lt;1/24/60*180,MAX(0,H15-H14),0)+IF(MAX(0,H17-H16)&lt;1/24/60*180,MAX(0,H17-H16),0)+IF(MAX(0,H19-H18)&lt;1/24/60*180,MAX(0,H19-H18),0)+IF(MAX(0,H21-H20)&lt;1/24/60*180,MAX(0,H21-H20))+MAX(0,H26-H25)+MAX(0,H28-H27)+MAX(0,H30-H29),9)</f>
        <v>0</v>
      </c>
      <c r="I32" s="193" t="n">
        <f aca="false">ROUND(IF(MAX(0,I15-I14)&lt;1/24/60*180,MAX(0,I15-I14),0)+IF(MAX(0,I17-I16)&lt;1/24/60*180,MAX(0,I17-I16),0)+IF(MAX(0,I19-I18)&lt;1/24/60*180,MAX(0,I19-I18),0)+IF(MAX(0,I21-I20)&lt;1/24/60*180,MAX(0,I21-I20))+MAX(0,I26-I25)+MAX(0,I28-I27)+MAX(0,I30-I29),9)</f>
        <v>0</v>
      </c>
      <c r="J32" s="193" t="n">
        <f aca="false">ROUND(IF(MAX(0,J15-J14)&lt;1/24/60*180,MAX(0,J15-J14),0)+IF(MAX(0,J17-J16)&lt;1/24/60*180,MAX(0,J17-J16),0)+IF(MAX(0,J19-J18)&lt;1/24/60*180,MAX(0,J19-J18),0)+IF(MAX(0,J21-J20)&lt;1/24/60*180,MAX(0,J21-J20))+MAX(0,J26-J25)+MAX(0,J28-J27)+MAX(0,J30-J29),9)</f>
        <v>0</v>
      </c>
      <c r="K32" s="193" t="n">
        <f aca="false">ROUND(IF(MAX(0,K15-K14)&lt;1/24/60*180,MAX(0,K15-K14),0)+IF(MAX(0,K17-K16)&lt;1/24/60*180,MAX(0,K17-K16),0)+IF(MAX(0,K19-K18)&lt;1/24/60*180,MAX(0,K19-K18),0)+IF(MAX(0,K21-K20)&lt;1/24/60*180,MAX(0,K21-K20))+MAX(0,K26-K25)+MAX(0,K28-K27)+MAX(0,K30-K29),9)</f>
        <v>0</v>
      </c>
      <c r="L32" s="193" t="n">
        <f aca="false">ROUND(IF(MAX(0,L15-L14)&lt;1/24/60*180,MAX(0,L15-L14),0)+IF(MAX(0,L17-L16)&lt;1/24/60*180,MAX(0,L17-L16),0)+IF(MAX(0,L19-L18)&lt;1/24/60*180,MAX(0,L19-L18),0)+IF(MAX(0,L21-L20)&lt;1/24/60*180,MAX(0,L21-L20))+MAX(0,L26-L25)+MAX(0,L28-L27)+MAX(0,L30-L29),9)</f>
        <v>0</v>
      </c>
      <c r="M32" s="193" t="n">
        <f aca="false">ROUND(IF(MAX(0,M15-M14)&lt;1/24/60*180,MAX(0,M15-M14),0)+IF(MAX(0,M17-M16)&lt;1/24/60*180,MAX(0,M17-M16),0)+IF(MAX(0,M19-M18)&lt;1/24/60*180,MAX(0,M19-M18),0)+IF(MAX(0,M21-M20)&lt;1/24/60*180,MAX(0,M21-M20))+MAX(0,M26-M25)+MAX(0,M28-M27)+MAX(0,M30-M29),9)</f>
        <v>0</v>
      </c>
      <c r="N32" s="193" t="n">
        <f aca="false">ROUND(IF(MAX(0,N15-N14)&lt;1/24/60*180,MAX(0,N15-N14),0)+IF(MAX(0,N17-N16)&lt;1/24/60*180,MAX(0,N17-N16),0)+IF(MAX(0,N19-N18)&lt;1/24/60*180,MAX(0,N19-N18),0)+IF(MAX(0,N21-N20)&lt;1/24/60*180,MAX(0,N21-N20))+MAX(0,N26-N25)+MAX(0,N28-N27)+MAX(0,N30-N29),9)</f>
        <v>0</v>
      </c>
      <c r="O32" s="193" t="n">
        <f aca="false">ROUND(IF(MAX(0,O15-O14)&lt;1/24/60*180,MAX(0,O15-O14),0)+IF(MAX(0,O17-O16)&lt;1/24/60*180,MAX(0,O17-O16),0)+IF(MAX(0,O19-O18)&lt;1/24/60*180,MAX(0,O19-O18),0)+IF(MAX(0,O21-O20)&lt;1/24/60*180,MAX(0,O21-O20))+MAX(0,O26-O25)+MAX(0,O28-O27)+MAX(0,O30-O29),9)</f>
        <v>0</v>
      </c>
      <c r="P32" s="193" t="n">
        <f aca="false">ROUND(IF(MAX(0,P15-P14)&lt;1/24/60*180,MAX(0,P15-P14),0)+IF(MAX(0,P17-P16)&lt;1/24/60*180,MAX(0,P17-P16),0)+IF(MAX(0,P19-P18)&lt;1/24/60*180,MAX(0,P19-P18),0)+IF(MAX(0,P21-P20)&lt;1/24/60*180,MAX(0,P21-P20))+MAX(0,P26-P25)+MAX(0,P28-P27)+MAX(0,P30-P29),9)</f>
        <v>0</v>
      </c>
      <c r="Q32" s="193" t="n">
        <f aca="false">ROUND(IF(MAX(0,Q15-Q14)&lt;1/24/60*180,MAX(0,Q15-Q14),0)+IF(MAX(0,Q17-Q16)&lt;1/24/60*180,MAX(0,Q17-Q16),0)+IF(MAX(0,Q19-Q18)&lt;1/24/60*180,MAX(0,Q19-Q18),0)+IF(MAX(0,Q21-Q20)&lt;1/24/60*180,MAX(0,Q21-Q20))+MAX(0,Q26-Q25)+MAX(0,Q28-Q27)+MAX(0,Q30-Q29),9)</f>
        <v>0</v>
      </c>
      <c r="R32" s="193" t="n">
        <f aca="false">ROUND(IF(MAX(0,R15-R14)&lt;1/24/60*180,MAX(0,R15-R14),0)+IF(MAX(0,R17-R16)&lt;1/24/60*180,MAX(0,R17-R16),0)+IF(MAX(0,R19-R18)&lt;1/24/60*180,MAX(0,R19-R18),0)+IF(MAX(0,R21-R20)&lt;1/24/60*180,MAX(0,R21-R20))+MAX(0,R26-R25)+MAX(0,R28-R27)+MAX(0,R30-R29),9)</f>
        <v>0</v>
      </c>
      <c r="S32" s="193" t="n">
        <f aca="false">ROUND(IF(MAX(0,S15-S14)&lt;1/24/60*180,MAX(0,S15-S14),0)+IF(MAX(0,S17-S16)&lt;1/24/60*180,MAX(0,S17-S16),0)+IF(MAX(0,S19-S18)&lt;1/24/60*180,MAX(0,S19-S18),0)+IF(MAX(0,S21-S20)&lt;1/24/60*180,MAX(0,S21-S20))+MAX(0,S26-S25)+MAX(0,S28-S27)+MAX(0,S30-S29),9)</f>
        <v>0</v>
      </c>
      <c r="T32" s="193" t="n">
        <f aca="false">ROUND(IF(MAX(0,T15-T14)&lt;1/24/60*180,MAX(0,T15-T14),0)+IF(MAX(0,T17-T16)&lt;1/24/60*180,MAX(0,T17-T16),0)+IF(MAX(0,T19-T18)&lt;1/24/60*180,MAX(0,T19-T18),0)+IF(MAX(0,T21-T20)&lt;1/24/60*180,MAX(0,T21-T20))+MAX(0,T26-T25)+MAX(0,T28-T27)+MAX(0,T30-T29),9)</f>
        <v>0</v>
      </c>
      <c r="U32" s="193" t="n">
        <f aca="false">ROUND(IF(MAX(0,U15-U14)&lt;1/24/60*180,MAX(0,U15-U14),0)+IF(MAX(0,U17-U16)&lt;1/24/60*180,MAX(0,U17-U16),0)+IF(MAX(0,U19-U18)&lt;1/24/60*180,MAX(0,U19-U18),0)+IF(MAX(0,U21-U20)&lt;1/24/60*180,MAX(0,U21-U20))+MAX(0,U26-U25)+MAX(0,U28-U27)+MAX(0,U30-U29),9)</f>
        <v>0</v>
      </c>
      <c r="V32" s="193" t="n">
        <f aca="false">ROUND(IF(MAX(0,V15-V14)&lt;1/24/60*180,MAX(0,V15-V14),0)+IF(MAX(0,V17-V16)&lt;1/24/60*180,MAX(0,V17-V16),0)+IF(MAX(0,V19-V18)&lt;1/24/60*180,MAX(0,V19-V18),0)+IF(MAX(0,V21-V20)&lt;1/24/60*180,MAX(0,V21-V20))+MAX(0,V26-V25)+MAX(0,V28-V27)+MAX(0,V30-V29),9)</f>
        <v>0</v>
      </c>
      <c r="W32" s="193" t="n">
        <f aca="false">ROUND(IF(MAX(0,W15-W14)&lt;1/24/60*180,MAX(0,W15-W14),0)+IF(MAX(0,W17-W16)&lt;1/24/60*180,MAX(0,W17-W16),0)+IF(MAX(0,W19-W18)&lt;1/24/60*180,MAX(0,W19-W18),0)+IF(MAX(0,W21-W20)&lt;1/24/60*180,MAX(0,W21-W20))+MAX(0,W26-W25)+MAX(0,W28-W27)+MAX(0,W30-W29),9)</f>
        <v>0</v>
      </c>
      <c r="X32" s="193" t="n">
        <f aca="false">ROUND(IF(MAX(0,X15-X14)&lt;1/24/60*180,MAX(0,X15-X14),0)+IF(MAX(0,X17-X16)&lt;1/24/60*180,MAX(0,X17-X16),0)+IF(MAX(0,X19-X18)&lt;1/24/60*180,MAX(0,X19-X18),0)+IF(MAX(0,X21-X20)&lt;1/24/60*180,MAX(0,X21-X20))+MAX(0,X26-X25)+MAX(0,X28-X27)+MAX(0,X30-X29),9)</f>
        <v>0</v>
      </c>
      <c r="Y32" s="193" t="n">
        <f aca="false">ROUND(IF(MAX(0,Y15-Y14)&lt;1/24/60*180,MAX(0,Y15-Y14),0)+IF(MAX(0,Y17-Y16)&lt;1/24/60*180,MAX(0,Y17-Y16),0)+IF(MAX(0,Y19-Y18)&lt;1/24/60*180,MAX(0,Y19-Y18),0)+IF(MAX(0,Y21-Y20)&lt;1/24/60*180,MAX(0,Y21-Y20))+MAX(0,Y26-Y25)+MAX(0,Y28-Y27)+MAX(0,Y30-Y29),9)</f>
        <v>0</v>
      </c>
      <c r="Z32" s="193" t="n">
        <f aca="false">ROUND(IF(MAX(0,Z15-Z14)&lt;1/24/60*180,MAX(0,Z15-Z14),0)+IF(MAX(0,Z17-Z16)&lt;1/24/60*180,MAX(0,Z17-Z16),0)+IF(MAX(0,Z19-Z18)&lt;1/24/60*180,MAX(0,Z19-Z18),0)+IF(MAX(0,Z21-Z20)&lt;1/24/60*180,MAX(0,Z21-Z20))+MAX(0,Z26-Z25)+MAX(0,Z28-Z27)+MAX(0,Z30-Z29),9)</f>
        <v>0</v>
      </c>
      <c r="AA32" s="193" t="n">
        <f aca="false">ROUND(IF(MAX(0,AA15-AA14)&lt;1/24/60*180,MAX(0,AA15-AA14),0)+IF(MAX(0,AA17-AA16)&lt;1/24/60*180,MAX(0,AA17-AA16),0)+IF(MAX(0,AA19-AA18)&lt;1/24/60*180,MAX(0,AA19-AA18),0)+IF(MAX(0,AA21-AA20)&lt;1/24/60*180,MAX(0,AA21-AA20))+MAX(0,AA26-AA25)+MAX(0,AA28-AA27)+MAX(0,AA30-AA29),9)</f>
        <v>0</v>
      </c>
      <c r="AB32" s="193" t="n">
        <f aca="false">ROUND(IF(MAX(0,AB15-AB14)&lt;1/24/60*180,MAX(0,AB15-AB14),0)+IF(MAX(0,AB17-AB16)&lt;1/24/60*180,MAX(0,AB17-AB16),0)+IF(MAX(0,AB19-AB18)&lt;1/24/60*180,MAX(0,AB19-AB18),0)+IF(MAX(0,AB21-AB20)&lt;1/24/60*180,MAX(0,AB21-AB20))+MAX(0,AB26-AB25)+MAX(0,AB28-AB27)+MAX(0,AB30-AB29),9)</f>
        <v>0</v>
      </c>
      <c r="AC32" s="193" t="n">
        <f aca="false">ROUND(IF(MAX(0,AC15-AC14)&lt;1/24/60*180,MAX(0,AC15-AC14),0)+IF(MAX(0,AC17-AC16)&lt;1/24/60*180,MAX(0,AC17-AC16),0)+IF(MAX(0,AC19-AC18)&lt;1/24/60*180,MAX(0,AC19-AC18),0)+IF(MAX(0,AC21-AC20)&lt;1/24/60*180,MAX(0,AC21-AC20))+MAX(0,AC26-AC25)+MAX(0,AC28-AC27)+MAX(0,AC30-AC29),9)</f>
        <v>0</v>
      </c>
      <c r="AD32" s="193" t="n">
        <f aca="false">ROUND(IF(MAX(0,AD15-AD14)&lt;1/24/60*180,MAX(0,AD15-AD14),0)+IF(MAX(0,AD17-AD16)&lt;1/24/60*180,MAX(0,AD17-AD16),0)+IF(MAX(0,AD19-AD18)&lt;1/24/60*180,MAX(0,AD19-AD18),0)+IF(MAX(0,AD21-AD20)&lt;1/24/60*180,MAX(0,AD21-AD20))+MAX(0,AD26-AD25)+MAX(0,AD28-AD27)+MAX(0,AD30-AD29),9)</f>
        <v>0</v>
      </c>
      <c r="AE32" s="193" t="n">
        <f aca="false">ROUND(IF(MAX(0,AE15-AE14)&lt;1/24/60*180,MAX(0,AE15-AE14),0)+IF(MAX(0,AE17-AE16)&lt;1/24/60*180,MAX(0,AE17-AE16),0)+IF(MAX(0,AE19-AE18)&lt;1/24/60*180,MAX(0,AE19-AE18),0)+IF(MAX(0,AE21-AE20)&lt;1/24/60*180,MAX(0,AE21-AE20))+MAX(0,AE26-AE25)+MAX(0,AE28-AE27)+MAX(0,AE30-AE29),9)</f>
        <v>0</v>
      </c>
      <c r="AF32" s="183" t="str">
        <f aca="false">A32</f>
        <v>Total breaks (in out/paid)</v>
      </c>
      <c r="AG32" s="184"/>
      <c r="AH32" s="185" t="n">
        <f aca="false">SUM(B32:AE32)</f>
        <v>0</v>
      </c>
      <c r="AI32" s="180"/>
      <c r="AJ32" s="172"/>
      <c r="AK32" s="172"/>
      <c r="AL32" s="172"/>
      <c r="AM32" s="171"/>
      <c r="AN32" s="172"/>
      <c r="AO32" s="172"/>
      <c r="AP32" s="39"/>
    </row>
    <row r="33" s="148" customFormat="true" ht="3.75" hidden="false" customHeight="true" outlineLevel="0" collapsed="false">
      <c r="A33" s="186"/>
      <c r="B33" s="194"/>
      <c r="C33" s="194"/>
      <c r="D33" s="194"/>
      <c r="E33" s="194"/>
      <c r="F33" s="194"/>
      <c r="G33" s="194"/>
      <c r="H33" s="194"/>
      <c r="I33" s="194"/>
      <c r="J33" s="194"/>
      <c r="K33" s="194"/>
      <c r="L33" s="194"/>
      <c r="M33" s="194"/>
      <c r="N33" s="194"/>
      <c r="O33" s="194"/>
      <c r="P33" s="194"/>
      <c r="Q33" s="194"/>
      <c r="R33" s="194"/>
      <c r="S33" s="194"/>
      <c r="T33" s="194"/>
      <c r="U33" s="194"/>
      <c r="V33" s="194"/>
      <c r="W33" s="194"/>
      <c r="X33" s="194"/>
      <c r="Y33" s="194"/>
      <c r="Z33" s="194"/>
      <c r="AA33" s="194"/>
      <c r="AB33" s="194"/>
      <c r="AC33" s="194"/>
      <c r="AD33" s="194"/>
      <c r="AE33" s="194"/>
      <c r="AF33" s="168"/>
      <c r="AG33" s="146"/>
      <c r="AH33" s="179"/>
      <c r="AI33" s="180"/>
      <c r="AJ33" s="172"/>
      <c r="AK33" s="172"/>
      <c r="AL33" s="172"/>
      <c r="AM33" s="171"/>
      <c r="AN33" s="172"/>
      <c r="AO33" s="172"/>
      <c r="AP33" s="39"/>
    </row>
    <row r="34" s="148" customFormat="true" ht="15" hidden="false" customHeight="true" outlineLevel="1" collapsed="false">
      <c r="A34" s="175" t="s">
        <v>134</v>
      </c>
      <c r="B34" s="196" t="str">
        <f aca="true">IF(EB.Anwendung&lt;&gt;"",IF(EB.Wochenarbeitszeit=50/24,INDEX(T.Pikett.Bereich,1),IF(DAY(B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Monat.Pikett,IF(MONTH(Monat.Tag1)=11,October!Monat.Pikett,IF(MONTH(Monat.Tag1)=12,November!Monat.Pikett,"")))))))))))),IF(A34="B",INDEX(T.Pikett.Bereich,4),IF(A34="E",INDEX(T.Pikett.Bereich,1),A34)))),"")</f>
        <v>No</v>
      </c>
      <c r="C34" s="196" t="str">
        <f aca="true">IF(EB.Anwendung&lt;&gt;"",IF(EB.Wochenarbeitszeit=50/24,INDEX(T.Pikett.Bereich,1),IF(DAY(C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Monat.Pikett,IF(MONTH(Monat.Tag1)=11,October!Monat.Pikett,IF(MONTH(Monat.Tag1)=12,November!Monat.Pikett,"")))))))))))),IF(B34="B",INDEX(T.Pikett.Bereich,4),IF(B34="E",INDEX(T.Pikett.Bereich,1),B34)))),"")</f>
        <v>No</v>
      </c>
      <c r="D34" s="196" t="str">
        <f aca="true">IF(EB.Anwendung&lt;&gt;"",IF(EB.Wochenarbeitszeit=50/24,INDEX(T.Pikett.Bereich,1),IF(DAY(D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Monat.Pikett,IF(MONTH(Monat.Tag1)=11,October!Monat.Pikett,IF(MONTH(Monat.Tag1)=12,November!Monat.Pikett,"")))))))))))),IF(C34="B",INDEX(T.Pikett.Bereich,4),IF(C34="E",INDEX(T.Pikett.Bereich,1),C34)))),"")</f>
        <v>No</v>
      </c>
      <c r="E34" s="196" t="str">
        <f aca="true">IF(EB.Anwendung&lt;&gt;"",IF(EB.Wochenarbeitszeit=50/24,INDEX(T.Pikett.Bereich,1),IF(DAY(E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Monat.Pikett,IF(MONTH(Monat.Tag1)=11,October!Monat.Pikett,IF(MONTH(Monat.Tag1)=12,November!Monat.Pikett,"")))))))))))),IF(D34="B",INDEX(T.Pikett.Bereich,4),IF(D34="E",INDEX(T.Pikett.Bereich,1),D34)))),"")</f>
        <v>No</v>
      </c>
      <c r="F34" s="196" t="str">
        <f aca="true">IF(EB.Anwendung&lt;&gt;"",IF(EB.Wochenarbeitszeit=50/24,INDEX(T.Pikett.Bereich,1),IF(DAY(F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Monat.Pikett,IF(MONTH(Monat.Tag1)=11,October!Monat.Pikett,IF(MONTH(Monat.Tag1)=12,November!Monat.Pikett,"")))))))))))),IF(E34="B",INDEX(T.Pikett.Bereich,4),IF(E34="E",INDEX(T.Pikett.Bereich,1),E34)))),"")</f>
        <v>No</v>
      </c>
      <c r="G34" s="196" t="str">
        <f aca="true">IF(EB.Anwendung&lt;&gt;"",IF(EB.Wochenarbeitszeit=50/24,INDEX(T.Pikett.Bereich,1),IF(DAY(G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Monat.Pikett,IF(MONTH(Monat.Tag1)=11,October!Monat.Pikett,IF(MONTH(Monat.Tag1)=12,November!Monat.Pikett,"")))))))))))),IF(F34="B",INDEX(T.Pikett.Bereich,4),IF(F34="E",INDEX(T.Pikett.Bereich,1),F34)))),"")</f>
        <v>No</v>
      </c>
      <c r="H34" s="196" t="str">
        <f aca="true">IF(EB.Anwendung&lt;&gt;"",IF(EB.Wochenarbeitszeit=50/24,INDEX(T.Pikett.Bereich,1),IF(DAY(H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Monat.Pikett,IF(MONTH(Monat.Tag1)=11,October!Monat.Pikett,IF(MONTH(Monat.Tag1)=12,November!Monat.Pikett,"")))))))))))),IF(G34="B",INDEX(T.Pikett.Bereich,4),IF(G34="E",INDEX(T.Pikett.Bereich,1),G34)))),"")</f>
        <v>No</v>
      </c>
      <c r="I34" s="196" t="str">
        <f aca="true">IF(EB.Anwendung&lt;&gt;"",IF(EB.Wochenarbeitszeit=50/24,INDEX(T.Pikett.Bereich,1),IF(DAY(I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Monat.Pikett,IF(MONTH(Monat.Tag1)=11,October!Monat.Pikett,IF(MONTH(Monat.Tag1)=12,November!Monat.Pikett,"")))))))))))),IF(H34="B",INDEX(T.Pikett.Bereich,4),IF(H34="E",INDEX(T.Pikett.Bereich,1),H34)))),"")</f>
        <v>No</v>
      </c>
      <c r="J34" s="196" t="str">
        <f aca="true">IF(EB.Anwendung&lt;&gt;"",IF(EB.Wochenarbeitszeit=50/24,INDEX(T.Pikett.Bereich,1),IF(DAY(J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Monat.Pikett,IF(MONTH(Monat.Tag1)=11,October!Monat.Pikett,IF(MONTH(Monat.Tag1)=12,November!Monat.Pikett,"")))))))))))),IF(I34="B",INDEX(T.Pikett.Bereich,4),IF(I34="E",INDEX(T.Pikett.Bereich,1),I34)))),"")</f>
        <v>No</v>
      </c>
      <c r="K34" s="196" t="str">
        <f aca="true">IF(EB.Anwendung&lt;&gt;"",IF(EB.Wochenarbeitszeit=50/24,INDEX(T.Pikett.Bereich,1),IF(DAY(K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Monat.Pikett,IF(MONTH(Monat.Tag1)=11,October!Monat.Pikett,IF(MONTH(Monat.Tag1)=12,November!Monat.Pikett,"")))))))))))),IF(J34="B",INDEX(T.Pikett.Bereich,4),IF(J34="E",INDEX(T.Pikett.Bereich,1),J34)))),"")</f>
        <v>No</v>
      </c>
      <c r="L34" s="196" t="str">
        <f aca="true">IF(EB.Anwendung&lt;&gt;"",IF(EB.Wochenarbeitszeit=50/24,INDEX(T.Pikett.Bereich,1),IF(DAY(L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Monat.Pikett,IF(MONTH(Monat.Tag1)=11,October!Monat.Pikett,IF(MONTH(Monat.Tag1)=12,November!Monat.Pikett,"")))))))))))),IF(K34="B",INDEX(T.Pikett.Bereich,4),IF(K34="E",INDEX(T.Pikett.Bereich,1),K34)))),"")</f>
        <v>No</v>
      </c>
      <c r="M34" s="196" t="str">
        <f aca="true">IF(EB.Anwendung&lt;&gt;"",IF(EB.Wochenarbeitszeit=50/24,INDEX(T.Pikett.Bereich,1),IF(DAY(M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Monat.Pikett,IF(MONTH(Monat.Tag1)=11,October!Monat.Pikett,IF(MONTH(Monat.Tag1)=12,November!Monat.Pikett,"")))))))))))),IF(L34="B",INDEX(T.Pikett.Bereich,4),IF(L34="E",INDEX(T.Pikett.Bereich,1),L34)))),"")</f>
        <v>No</v>
      </c>
      <c r="N34" s="196" t="str">
        <f aca="true">IF(EB.Anwendung&lt;&gt;"",IF(EB.Wochenarbeitszeit=50/24,INDEX(T.Pikett.Bereich,1),IF(DAY(N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Monat.Pikett,IF(MONTH(Monat.Tag1)=11,October!Monat.Pikett,IF(MONTH(Monat.Tag1)=12,November!Monat.Pikett,"")))))))))))),IF(M34="B",INDEX(T.Pikett.Bereich,4),IF(M34="E",INDEX(T.Pikett.Bereich,1),M34)))),"")</f>
        <v>No</v>
      </c>
      <c r="O34" s="196" t="str">
        <f aca="true">IF(EB.Anwendung&lt;&gt;"",IF(EB.Wochenarbeitszeit=50/24,INDEX(T.Pikett.Bereich,1),IF(DAY(O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Monat.Pikett,IF(MONTH(Monat.Tag1)=11,October!Monat.Pikett,IF(MONTH(Monat.Tag1)=12,November!Monat.Pikett,"")))))))))))),IF(N34="B",INDEX(T.Pikett.Bereich,4),IF(N34="E",INDEX(T.Pikett.Bereich,1),N34)))),"")</f>
        <v>No</v>
      </c>
      <c r="P34" s="196" t="str">
        <f aca="true">IF(EB.Anwendung&lt;&gt;"",IF(EB.Wochenarbeitszeit=50/24,INDEX(T.Pikett.Bereich,1),IF(DAY(P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Monat.Pikett,IF(MONTH(Monat.Tag1)=11,October!Monat.Pikett,IF(MONTH(Monat.Tag1)=12,November!Monat.Pikett,"")))))))))))),IF(O34="B",INDEX(T.Pikett.Bereich,4),IF(O34="E",INDEX(T.Pikett.Bereich,1),O34)))),"")</f>
        <v>No</v>
      </c>
      <c r="Q34" s="196" t="str">
        <f aca="true">IF(EB.Anwendung&lt;&gt;"",IF(EB.Wochenarbeitszeit=50/24,INDEX(T.Pikett.Bereich,1),IF(DAY(Q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Monat.Pikett,IF(MONTH(Monat.Tag1)=11,October!Monat.Pikett,IF(MONTH(Monat.Tag1)=12,November!Monat.Pikett,"")))))))))))),IF(P34="B",INDEX(T.Pikett.Bereich,4),IF(P34="E",INDEX(T.Pikett.Bereich,1),P34)))),"")</f>
        <v>No</v>
      </c>
      <c r="R34" s="196" t="str">
        <f aca="true">IF(EB.Anwendung&lt;&gt;"",IF(EB.Wochenarbeitszeit=50/24,INDEX(T.Pikett.Bereich,1),IF(DAY(R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Monat.Pikett,IF(MONTH(Monat.Tag1)=11,October!Monat.Pikett,IF(MONTH(Monat.Tag1)=12,November!Monat.Pikett,"")))))))))))),IF(Q34="B",INDEX(T.Pikett.Bereich,4),IF(Q34="E",INDEX(T.Pikett.Bereich,1),Q34)))),"")</f>
        <v>No</v>
      </c>
      <c r="S34" s="196" t="str">
        <f aca="true">IF(EB.Anwendung&lt;&gt;"",IF(EB.Wochenarbeitszeit=50/24,INDEX(T.Pikett.Bereich,1),IF(DAY(S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Monat.Pikett,IF(MONTH(Monat.Tag1)=11,October!Monat.Pikett,IF(MONTH(Monat.Tag1)=12,November!Monat.Pikett,"")))))))))))),IF(R34="B",INDEX(T.Pikett.Bereich,4),IF(R34="E",INDEX(T.Pikett.Bereich,1),R34)))),"")</f>
        <v>No</v>
      </c>
      <c r="T34" s="196" t="str">
        <f aca="true">IF(EB.Anwendung&lt;&gt;"",IF(EB.Wochenarbeitszeit=50/24,INDEX(T.Pikett.Bereich,1),IF(DAY(T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Monat.Pikett,IF(MONTH(Monat.Tag1)=11,October!Monat.Pikett,IF(MONTH(Monat.Tag1)=12,November!Monat.Pikett,"")))))))))))),IF(S34="B",INDEX(T.Pikett.Bereich,4),IF(S34="E",INDEX(T.Pikett.Bereich,1),S34)))),"")</f>
        <v>No</v>
      </c>
      <c r="U34" s="196" t="str">
        <f aca="true">IF(EB.Anwendung&lt;&gt;"",IF(EB.Wochenarbeitszeit=50/24,INDEX(T.Pikett.Bereich,1),IF(DAY(U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Monat.Pikett,IF(MONTH(Monat.Tag1)=11,October!Monat.Pikett,IF(MONTH(Monat.Tag1)=12,November!Monat.Pikett,"")))))))))))),IF(T34="B",INDEX(T.Pikett.Bereich,4),IF(T34="E",INDEX(T.Pikett.Bereich,1),T34)))),"")</f>
        <v>No</v>
      </c>
      <c r="V34" s="196" t="str">
        <f aca="true">IF(EB.Anwendung&lt;&gt;"",IF(EB.Wochenarbeitszeit=50/24,INDEX(T.Pikett.Bereich,1),IF(DAY(V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Monat.Pikett,IF(MONTH(Monat.Tag1)=11,October!Monat.Pikett,IF(MONTH(Monat.Tag1)=12,November!Monat.Pikett,"")))))))))))),IF(U34="B",INDEX(T.Pikett.Bereich,4),IF(U34="E",INDEX(T.Pikett.Bereich,1),U34)))),"")</f>
        <v>No</v>
      </c>
      <c r="W34" s="196" t="str">
        <f aca="true">IF(EB.Anwendung&lt;&gt;"",IF(EB.Wochenarbeitszeit=50/24,INDEX(T.Pikett.Bereich,1),IF(DAY(W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Monat.Pikett,IF(MONTH(Monat.Tag1)=11,October!Monat.Pikett,IF(MONTH(Monat.Tag1)=12,November!Monat.Pikett,"")))))))))))),IF(V34="B",INDEX(T.Pikett.Bereich,4),IF(V34="E",INDEX(T.Pikett.Bereich,1),V34)))),"")</f>
        <v>No</v>
      </c>
      <c r="X34" s="196" t="str">
        <f aca="true">IF(EB.Anwendung&lt;&gt;"",IF(EB.Wochenarbeitszeit=50/24,INDEX(T.Pikett.Bereich,1),IF(DAY(X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Monat.Pikett,IF(MONTH(Monat.Tag1)=11,October!Monat.Pikett,IF(MONTH(Monat.Tag1)=12,November!Monat.Pikett,"")))))))))))),IF(W34="B",INDEX(T.Pikett.Bereich,4),IF(W34="E",INDEX(T.Pikett.Bereich,1),W34)))),"")</f>
        <v>No</v>
      </c>
      <c r="Y34" s="196" t="str">
        <f aca="true">IF(EB.Anwendung&lt;&gt;"",IF(EB.Wochenarbeitszeit=50/24,INDEX(T.Pikett.Bereich,1),IF(DAY(Y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Monat.Pikett,IF(MONTH(Monat.Tag1)=11,October!Monat.Pikett,IF(MONTH(Monat.Tag1)=12,November!Monat.Pikett,"")))))))))))),IF(X34="B",INDEX(T.Pikett.Bereich,4),IF(X34="E",INDEX(T.Pikett.Bereich,1),X34)))),"")</f>
        <v>No</v>
      </c>
      <c r="Z34" s="196" t="str">
        <f aca="true">IF(EB.Anwendung&lt;&gt;"",IF(EB.Wochenarbeitszeit=50/24,INDEX(T.Pikett.Bereich,1),IF(DAY(Z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Monat.Pikett,IF(MONTH(Monat.Tag1)=11,October!Monat.Pikett,IF(MONTH(Monat.Tag1)=12,November!Monat.Pikett,"")))))))))))),IF(Y34="B",INDEX(T.Pikett.Bereich,4),IF(Y34="E",INDEX(T.Pikett.Bereich,1),Y34)))),"")</f>
        <v>No</v>
      </c>
      <c r="AA34" s="196" t="str">
        <f aca="true">IF(EB.Anwendung&lt;&gt;"",IF(EB.Wochenarbeitszeit=50/24,INDEX(T.Pikett.Bereich,1),IF(DAY(AA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Monat.Pikett,IF(MONTH(Monat.Tag1)=11,October!Monat.Pikett,IF(MONTH(Monat.Tag1)=12,November!Monat.Pikett,"")))))))))))),IF(Z34="B",INDEX(T.Pikett.Bereich,4),IF(Z34="E",INDEX(T.Pikett.Bereich,1),Z34)))),"")</f>
        <v>No</v>
      </c>
      <c r="AB34" s="196" t="str">
        <f aca="true">IF(EB.Anwendung&lt;&gt;"",IF(EB.Wochenarbeitszeit=50/24,INDEX(T.Pikett.Bereich,1),IF(DAY(AB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Monat.Pikett,IF(MONTH(Monat.Tag1)=11,October!Monat.Pikett,IF(MONTH(Monat.Tag1)=12,November!Monat.Pikett,"")))))))))))),IF(AA34="B",INDEX(T.Pikett.Bereich,4),IF(AA34="E",INDEX(T.Pikett.Bereich,1),AA34)))),"")</f>
        <v>No</v>
      </c>
      <c r="AC34" s="196" t="str">
        <f aca="true">IF(EB.Anwendung&lt;&gt;"",IF(EB.Wochenarbeitszeit=50/24,INDEX(T.Pikett.Bereich,1),IF(DAY(AC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Monat.Pikett,IF(MONTH(Monat.Tag1)=11,October!Monat.Pikett,IF(MONTH(Monat.Tag1)=12,November!Monat.Pikett,"")))))))))))),IF(AB34="B",INDEX(T.Pikett.Bereich,4),IF(AB34="E",INDEX(T.Pikett.Bereich,1),AB34)))),"")</f>
        <v>No</v>
      </c>
      <c r="AD34" s="196" t="str">
        <f aca="true">IF(EB.Anwendung&lt;&gt;"",IF(EB.Wochenarbeitszeit=50/24,INDEX(T.Pikett.Bereich,1),IF(DAY(AD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Monat.Pikett,IF(MONTH(Monat.Tag1)=11,October!Monat.Pikett,IF(MONTH(Monat.Tag1)=12,November!Monat.Pikett,"")))))))))))),IF(AC34="B",INDEX(T.Pikett.Bereich,4),IF(AC34="E",INDEX(T.Pikett.Bereich,1),AC34)))),"")</f>
        <v>No</v>
      </c>
      <c r="AE34" s="196" t="str">
        <f aca="true">IF(EB.Anwendung&lt;&gt;"",IF(EB.Wochenarbeitszeit=50/24,INDEX(T.Pikett.Bereich,1),IF(DAY(AE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Monat.Pikett,IF(MONTH(Monat.Tag1)=11,October!Monat.Pikett,IF(MONTH(Monat.Tag1)=12,November!Monat.Pikett,"")))))))))))),IF(AD34="B",INDEX(T.Pikett.Bereich,4),IF(AD34="E",INDEX(T.Pikett.Bereich,1),AD34)))),"")</f>
        <v>No</v>
      </c>
      <c r="AF34" s="183" t="str">
        <f aca="true">IF(OFFSET(B34,0,DAY(EOMONTH(Monat.Tag1,0))-1,1,1)="B",INDEX(T.Pikett.Bereich,4),IF(OFFSET(B34,0,DAY(EOMONTH(Monat.Tag1,0))-1,1,1)="E",INDEX(T.Pikett.Bereich,1),OFFSET(B34,0,DAY(EOMONTH(Monat.Tag1,0))-1,1,1)))</f>
        <v>No</v>
      </c>
      <c r="AG34" s="197"/>
      <c r="AH34" s="192"/>
      <c r="AI34" s="198" t="str">
        <f aca="true">IF(T.50_Vetsuisse,IFERROR(SUMPRODUCT((B34:AE34=INDEX(T.Pikett.Bereich,4))*((B49:AE49)&lt;1/24*5)),0) &amp; " / " &amp; IFERROR(SUMPRODUCT((B34:AE34=INDEX(T.Pikett.Bereich,4))*((B49:AE49)&gt;=1/24*5)),0) &amp; " / " &amp; IFERROR(SUMPRODUCT((B34:AE34=INDEX(T.Pikett.Bereich,4))*((B49:AE49)&lt;1/24*5)),0) + IFERROR(SUMPRODUCT((B34:AE34=INDEX(T.Pikett.Bereich,4))*((B49:AE49)&gt;=1/24*5)),0), IFERROR(SUMPRODUCT((B34:AE34=INDEX(T.Pikett.Bereich,4))*(WEEKDAY(B10:AE10,2)&lt;6)*(B11:AE11&lt;&gt;0)),0) &amp; " / " &amp; IFERROR(SUMPRODUCT((B34:AE34=INDEX(T.Pikett.Bereich,4))*(WEEKDAY(B10:AE10,2)&gt;5)*(B11:AE11&lt;&gt;0))+SUMPRODUCT((B34:AE34=INDEX(T.Pikett.Bereich,4))*(B11:AE11=0)),0) &amp; " / " &amp; IFERROR(SUMPRODUCT((B34:AE34=INDEX(T.Pikett.Bereich,4))*(WEEKDAY(B10:AE10,2)&lt;6)*(B11:AE11&lt;&gt;0)),0) + IFERROR(SUMPRODUCT((B34:AE34=INDEX(T.Pikett.Bereich,4))*(WEEKDAY(B10:AE10,2)&gt;5)*(B11:AE11&lt;&gt;0))+SUMPRODUCT((B34:AE34=INDEX(T.Pikett.Bereich,4))*(B11:AE11=0)),0))</f>
        <v>0 / 0 / 0</v>
      </c>
      <c r="AJ34" s="172"/>
      <c r="AK34" s="172"/>
      <c r="AL34" s="172"/>
      <c r="AM34" s="171"/>
      <c r="AN34" s="172"/>
      <c r="AO34" s="172"/>
      <c r="AP34" s="39"/>
    </row>
    <row r="35" s="148" customFormat="true" ht="15" hidden="false" customHeight="true" outlineLevel="1" collapsed="false">
      <c r="A35" s="175" t="s">
        <v>128</v>
      </c>
      <c r="B35" s="176"/>
      <c r="C35" s="176"/>
      <c r="D35" s="176"/>
      <c r="E35" s="177"/>
      <c r="F35" s="176"/>
      <c r="G35" s="176"/>
      <c r="H35" s="176"/>
      <c r="I35" s="176"/>
      <c r="J35" s="177"/>
      <c r="K35" s="176"/>
      <c r="L35" s="177"/>
      <c r="M35" s="176"/>
      <c r="N35" s="176"/>
      <c r="O35" s="176"/>
      <c r="P35" s="176"/>
      <c r="Q35" s="177"/>
      <c r="R35" s="176"/>
      <c r="S35" s="177"/>
      <c r="T35" s="177"/>
      <c r="U35" s="176"/>
      <c r="V35" s="176"/>
      <c r="W35" s="176"/>
      <c r="X35" s="177"/>
      <c r="Y35" s="176"/>
      <c r="Z35" s="178"/>
      <c r="AA35" s="176"/>
      <c r="AB35" s="176"/>
      <c r="AC35" s="176"/>
      <c r="AD35" s="176"/>
      <c r="AE35" s="177"/>
      <c r="AF35" s="168" t="str">
        <f aca="false">A35</f>
        <v>in</v>
      </c>
      <c r="AG35" s="146"/>
      <c r="AH35" s="179"/>
      <c r="AI35" s="180"/>
      <c r="AJ35" s="172"/>
      <c r="AK35" s="172"/>
      <c r="AL35" s="172"/>
      <c r="AM35" s="171"/>
      <c r="AN35" s="172"/>
      <c r="AO35" s="172"/>
      <c r="AP35" s="39"/>
    </row>
    <row r="36" s="148" customFormat="true" ht="15" hidden="false" customHeight="true" outlineLevel="1" collapsed="false">
      <c r="A36" s="175" t="s">
        <v>129</v>
      </c>
      <c r="B36" s="176"/>
      <c r="C36" s="176"/>
      <c r="D36" s="176"/>
      <c r="E36" s="177"/>
      <c r="F36" s="176"/>
      <c r="G36" s="176"/>
      <c r="H36" s="176"/>
      <c r="I36" s="176"/>
      <c r="J36" s="177"/>
      <c r="K36" s="176"/>
      <c r="L36" s="177"/>
      <c r="M36" s="176"/>
      <c r="N36" s="176"/>
      <c r="O36" s="176"/>
      <c r="P36" s="176"/>
      <c r="Q36" s="177"/>
      <c r="R36" s="176"/>
      <c r="S36" s="177"/>
      <c r="T36" s="177"/>
      <c r="U36" s="176"/>
      <c r="V36" s="176"/>
      <c r="W36" s="176"/>
      <c r="X36" s="177"/>
      <c r="Y36" s="176"/>
      <c r="Z36" s="178"/>
      <c r="AA36" s="176"/>
      <c r="AB36" s="176"/>
      <c r="AC36" s="176"/>
      <c r="AD36" s="176"/>
      <c r="AE36" s="177"/>
      <c r="AF36" s="168" t="str">
        <f aca="false">A36</f>
        <v>out</v>
      </c>
      <c r="AG36" s="146"/>
      <c r="AH36" s="179"/>
      <c r="AI36" s="180"/>
      <c r="AJ36" s="172"/>
      <c r="AK36" s="172"/>
      <c r="AL36" s="172"/>
      <c r="AM36" s="171"/>
      <c r="AN36" s="172"/>
      <c r="AO36" s="172"/>
      <c r="AP36" s="39"/>
    </row>
    <row r="37" s="148" customFormat="true" ht="15" hidden="false" customHeight="true" outlineLevel="1" collapsed="false">
      <c r="A37" s="175" t="s">
        <v>128</v>
      </c>
      <c r="B37" s="176"/>
      <c r="C37" s="176"/>
      <c r="D37" s="176"/>
      <c r="E37" s="177"/>
      <c r="F37" s="176"/>
      <c r="G37" s="176"/>
      <c r="H37" s="176"/>
      <c r="I37" s="176"/>
      <c r="J37" s="177"/>
      <c r="K37" s="176"/>
      <c r="L37" s="177"/>
      <c r="M37" s="176"/>
      <c r="N37" s="176"/>
      <c r="O37" s="176"/>
      <c r="P37" s="176"/>
      <c r="Q37" s="177"/>
      <c r="R37" s="176"/>
      <c r="S37" s="177"/>
      <c r="T37" s="177"/>
      <c r="U37" s="176"/>
      <c r="V37" s="176"/>
      <c r="W37" s="176"/>
      <c r="X37" s="177"/>
      <c r="Y37" s="176"/>
      <c r="Z37" s="178"/>
      <c r="AA37" s="176"/>
      <c r="AB37" s="176"/>
      <c r="AC37" s="176"/>
      <c r="AD37" s="176"/>
      <c r="AE37" s="177"/>
      <c r="AF37" s="168" t="str">
        <f aca="false">A37</f>
        <v>in</v>
      </c>
      <c r="AG37" s="146"/>
      <c r="AH37" s="179"/>
      <c r="AI37" s="180"/>
      <c r="AJ37" s="172"/>
      <c r="AK37" s="172"/>
      <c r="AL37" s="172"/>
      <c r="AM37" s="171"/>
      <c r="AN37" s="172"/>
      <c r="AO37" s="172"/>
      <c r="AP37" s="39"/>
    </row>
    <row r="38" s="148" customFormat="true" ht="15" hidden="false" customHeight="true" outlineLevel="1" collapsed="false">
      <c r="A38" s="175" t="s">
        <v>129</v>
      </c>
      <c r="B38" s="176"/>
      <c r="C38" s="176"/>
      <c r="D38" s="176"/>
      <c r="E38" s="177"/>
      <c r="F38" s="176"/>
      <c r="G38" s="176"/>
      <c r="H38" s="176"/>
      <c r="I38" s="176"/>
      <c r="J38" s="177"/>
      <c r="K38" s="176"/>
      <c r="L38" s="177"/>
      <c r="M38" s="176"/>
      <c r="N38" s="176"/>
      <c r="O38" s="176"/>
      <c r="P38" s="176"/>
      <c r="Q38" s="177"/>
      <c r="R38" s="176"/>
      <c r="S38" s="177"/>
      <c r="T38" s="177"/>
      <c r="U38" s="176"/>
      <c r="V38" s="176"/>
      <c r="W38" s="176"/>
      <c r="X38" s="177"/>
      <c r="Y38" s="176"/>
      <c r="Z38" s="178"/>
      <c r="AA38" s="176"/>
      <c r="AB38" s="176"/>
      <c r="AC38" s="176"/>
      <c r="AD38" s="176"/>
      <c r="AE38" s="177"/>
      <c r="AF38" s="168" t="str">
        <f aca="false">A38</f>
        <v>out</v>
      </c>
      <c r="AG38" s="146"/>
      <c r="AH38" s="179"/>
      <c r="AI38" s="180"/>
      <c r="AJ38" s="172"/>
      <c r="AK38" s="172"/>
      <c r="AL38" s="172"/>
      <c r="AM38" s="171"/>
      <c r="AN38" s="172"/>
      <c r="AO38" s="172"/>
      <c r="AP38" s="39"/>
    </row>
    <row r="39" s="148" customFormat="true" ht="15" hidden="false" customHeight="true" outlineLevel="1" collapsed="false">
      <c r="A39" s="175" t="s">
        <v>128</v>
      </c>
      <c r="B39" s="176"/>
      <c r="C39" s="176"/>
      <c r="D39" s="176"/>
      <c r="E39" s="177"/>
      <c r="F39" s="176"/>
      <c r="G39" s="176"/>
      <c r="H39" s="176"/>
      <c r="I39" s="176"/>
      <c r="J39" s="177"/>
      <c r="K39" s="176"/>
      <c r="L39" s="177"/>
      <c r="M39" s="176"/>
      <c r="N39" s="176"/>
      <c r="O39" s="176"/>
      <c r="P39" s="176"/>
      <c r="Q39" s="177"/>
      <c r="R39" s="176"/>
      <c r="S39" s="177"/>
      <c r="T39" s="177"/>
      <c r="U39" s="176"/>
      <c r="V39" s="176"/>
      <c r="W39" s="176"/>
      <c r="X39" s="177"/>
      <c r="Y39" s="176"/>
      <c r="Z39" s="178"/>
      <c r="AA39" s="176"/>
      <c r="AB39" s="176"/>
      <c r="AC39" s="176"/>
      <c r="AD39" s="176"/>
      <c r="AE39" s="177"/>
      <c r="AF39" s="168" t="str">
        <f aca="false">A39</f>
        <v>in</v>
      </c>
      <c r="AG39" s="146"/>
      <c r="AH39" s="179"/>
      <c r="AI39" s="180"/>
      <c r="AJ39" s="172"/>
      <c r="AK39" s="172"/>
      <c r="AL39" s="172"/>
      <c r="AM39" s="171"/>
      <c r="AN39" s="172"/>
      <c r="AO39" s="172"/>
      <c r="AP39" s="39"/>
    </row>
    <row r="40" s="148" customFormat="true" ht="15" hidden="false" customHeight="true" outlineLevel="1" collapsed="false">
      <c r="A40" s="175" t="s">
        <v>129</v>
      </c>
      <c r="B40" s="176"/>
      <c r="C40" s="176"/>
      <c r="D40" s="176"/>
      <c r="E40" s="177"/>
      <c r="F40" s="176"/>
      <c r="G40" s="176"/>
      <c r="H40" s="176"/>
      <c r="I40" s="176"/>
      <c r="J40" s="177"/>
      <c r="K40" s="176"/>
      <c r="L40" s="177"/>
      <c r="M40" s="176"/>
      <c r="N40" s="176"/>
      <c r="O40" s="176"/>
      <c r="P40" s="176"/>
      <c r="Q40" s="177"/>
      <c r="R40" s="176"/>
      <c r="S40" s="177"/>
      <c r="T40" s="177"/>
      <c r="U40" s="176"/>
      <c r="V40" s="176"/>
      <c r="W40" s="176"/>
      <c r="X40" s="177"/>
      <c r="Y40" s="176"/>
      <c r="Z40" s="178"/>
      <c r="AA40" s="176"/>
      <c r="AB40" s="176"/>
      <c r="AC40" s="176"/>
      <c r="AD40" s="176"/>
      <c r="AE40" s="177"/>
      <c r="AF40" s="168" t="str">
        <f aca="false">A40</f>
        <v>out</v>
      </c>
      <c r="AG40" s="146"/>
      <c r="AH40" s="179"/>
      <c r="AI40" s="180"/>
      <c r="AJ40" s="172"/>
      <c r="AK40" s="172"/>
      <c r="AL40" s="172"/>
      <c r="AM40" s="171"/>
      <c r="AN40" s="172"/>
      <c r="AO40" s="172"/>
      <c r="AP40" s="39"/>
    </row>
    <row r="41" s="148" customFormat="true" ht="15" hidden="true" customHeight="true" outlineLevel="1" collapsed="false">
      <c r="A41" s="175" t="s">
        <v>128</v>
      </c>
      <c r="B41" s="176"/>
      <c r="C41" s="176"/>
      <c r="D41" s="176"/>
      <c r="E41" s="177"/>
      <c r="F41" s="176"/>
      <c r="G41" s="176"/>
      <c r="H41" s="176"/>
      <c r="I41" s="176"/>
      <c r="J41" s="177"/>
      <c r="K41" s="176"/>
      <c r="L41" s="177"/>
      <c r="M41" s="176"/>
      <c r="N41" s="176"/>
      <c r="O41" s="176"/>
      <c r="P41" s="176"/>
      <c r="Q41" s="177"/>
      <c r="R41" s="176"/>
      <c r="S41" s="177"/>
      <c r="T41" s="177"/>
      <c r="U41" s="176"/>
      <c r="V41" s="176"/>
      <c r="W41" s="176"/>
      <c r="X41" s="177"/>
      <c r="Y41" s="176"/>
      <c r="Z41" s="178"/>
      <c r="AA41" s="176"/>
      <c r="AB41" s="176"/>
      <c r="AC41" s="176"/>
      <c r="AD41" s="176"/>
      <c r="AE41" s="177"/>
      <c r="AF41" s="168" t="str">
        <f aca="false">A41</f>
        <v>in</v>
      </c>
      <c r="AG41" s="146"/>
      <c r="AH41" s="179"/>
      <c r="AI41" s="180"/>
      <c r="AJ41" s="172"/>
      <c r="AK41" s="172"/>
      <c r="AL41" s="172"/>
      <c r="AM41" s="171"/>
      <c r="AN41" s="172"/>
      <c r="AO41" s="172"/>
      <c r="AP41" s="39"/>
    </row>
    <row r="42" s="148" customFormat="true" ht="15" hidden="true" customHeight="true" outlineLevel="1" collapsed="false">
      <c r="A42" s="175" t="s">
        <v>129</v>
      </c>
      <c r="B42" s="176"/>
      <c r="C42" s="176"/>
      <c r="D42" s="176"/>
      <c r="E42" s="177"/>
      <c r="F42" s="176"/>
      <c r="G42" s="176"/>
      <c r="H42" s="176"/>
      <c r="I42" s="176"/>
      <c r="J42" s="177"/>
      <c r="K42" s="176"/>
      <c r="L42" s="177"/>
      <c r="M42" s="176"/>
      <c r="N42" s="176"/>
      <c r="O42" s="176"/>
      <c r="P42" s="176"/>
      <c r="Q42" s="177"/>
      <c r="R42" s="176"/>
      <c r="S42" s="177"/>
      <c r="T42" s="177"/>
      <c r="U42" s="176"/>
      <c r="V42" s="176"/>
      <c r="W42" s="176"/>
      <c r="X42" s="177"/>
      <c r="Y42" s="176"/>
      <c r="Z42" s="178"/>
      <c r="AA42" s="176"/>
      <c r="AB42" s="176"/>
      <c r="AC42" s="176"/>
      <c r="AD42" s="176"/>
      <c r="AE42" s="177"/>
      <c r="AF42" s="168" t="str">
        <f aca="false">A42</f>
        <v>out</v>
      </c>
      <c r="AG42" s="146"/>
      <c r="AH42" s="179"/>
      <c r="AI42" s="180"/>
      <c r="AJ42" s="172"/>
      <c r="AK42" s="172"/>
      <c r="AL42" s="172"/>
      <c r="AM42" s="171"/>
      <c r="AN42" s="172"/>
      <c r="AO42" s="172"/>
      <c r="AP42" s="39"/>
    </row>
    <row r="43" s="148" customFormat="true" ht="15" hidden="true" customHeight="true" outlineLevel="1" collapsed="false">
      <c r="A43" s="175" t="s">
        <v>128</v>
      </c>
      <c r="B43" s="176"/>
      <c r="C43" s="176"/>
      <c r="D43" s="176"/>
      <c r="E43" s="177"/>
      <c r="F43" s="176"/>
      <c r="G43" s="176"/>
      <c r="H43" s="176"/>
      <c r="I43" s="176"/>
      <c r="J43" s="177"/>
      <c r="K43" s="176"/>
      <c r="L43" s="177"/>
      <c r="M43" s="176"/>
      <c r="N43" s="176"/>
      <c r="O43" s="176"/>
      <c r="P43" s="176"/>
      <c r="Q43" s="177"/>
      <c r="R43" s="176"/>
      <c r="S43" s="177"/>
      <c r="T43" s="177"/>
      <c r="U43" s="176"/>
      <c r="V43" s="176"/>
      <c r="W43" s="176"/>
      <c r="X43" s="177"/>
      <c r="Y43" s="176"/>
      <c r="Z43" s="178"/>
      <c r="AA43" s="176"/>
      <c r="AB43" s="176"/>
      <c r="AC43" s="176"/>
      <c r="AD43" s="176"/>
      <c r="AE43" s="177"/>
      <c r="AF43" s="168" t="str">
        <f aca="false">A43</f>
        <v>in</v>
      </c>
      <c r="AG43" s="146"/>
      <c r="AH43" s="179"/>
      <c r="AI43" s="180"/>
      <c r="AJ43" s="172"/>
      <c r="AK43" s="172"/>
      <c r="AL43" s="172"/>
      <c r="AM43" s="171"/>
      <c r="AN43" s="172"/>
      <c r="AO43" s="172"/>
      <c r="AP43" s="39"/>
    </row>
    <row r="44" s="148" customFormat="true" ht="15" hidden="true" customHeight="true" outlineLevel="1" collapsed="false">
      <c r="A44" s="175" t="s">
        <v>129</v>
      </c>
      <c r="B44" s="176"/>
      <c r="C44" s="176"/>
      <c r="D44" s="176"/>
      <c r="E44" s="177"/>
      <c r="F44" s="176"/>
      <c r="G44" s="176"/>
      <c r="H44" s="176"/>
      <c r="I44" s="176"/>
      <c r="J44" s="177"/>
      <c r="K44" s="176"/>
      <c r="L44" s="177"/>
      <c r="M44" s="176"/>
      <c r="N44" s="176"/>
      <c r="O44" s="176"/>
      <c r="P44" s="176"/>
      <c r="Q44" s="177"/>
      <c r="R44" s="176"/>
      <c r="S44" s="177"/>
      <c r="T44" s="177"/>
      <c r="U44" s="176"/>
      <c r="V44" s="176"/>
      <c r="W44" s="176"/>
      <c r="X44" s="177"/>
      <c r="Y44" s="176"/>
      <c r="Z44" s="178"/>
      <c r="AA44" s="176"/>
      <c r="AB44" s="176"/>
      <c r="AC44" s="176"/>
      <c r="AD44" s="176"/>
      <c r="AE44" s="177"/>
      <c r="AF44" s="168" t="str">
        <f aca="false">A44</f>
        <v>out</v>
      </c>
      <c r="AG44" s="146"/>
      <c r="AH44" s="179"/>
      <c r="AI44" s="180"/>
      <c r="AJ44" s="172"/>
      <c r="AK44" s="172"/>
      <c r="AL44" s="172"/>
      <c r="AM44" s="171"/>
      <c r="AN44" s="172"/>
      <c r="AO44" s="172"/>
      <c r="AP44" s="39"/>
    </row>
    <row r="45" s="148" customFormat="true" ht="15" hidden="false" customHeight="true" outlineLevel="1" collapsed="false">
      <c r="A45" s="181" t="s">
        <v>135</v>
      </c>
      <c r="B45" s="182" t="n">
        <f aca="false">ROUND((B36-B35)+(B38-B37)+(B40-B39)+(B42-B41)+(B44-B43),9)</f>
        <v>0</v>
      </c>
      <c r="C45" s="182" t="n">
        <f aca="false">ROUND((C36-C35)+(C38-C37)+(C40-C39)+(C42-C41)+(C44-C43),9)</f>
        <v>0</v>
      </c>
      <c r="D45" s="182" t="n">
        <f aca="false">ROUND((D36-D35)+(D38-D37)+(D40-D39)+(D42-D41)+(D44-D43),9)</f>
        <v>0</v>
      </c>
      <c r="E45" s="182" t="n">
        <f aca="false">ROUND((E36-E35)+(E38-E37)+(E40-E39)+(E42-E41)+(E44-E43),9)</f>
        <v>0</v>
      </c>
      <c r="F45" s="182" t="n">
        <f aca="false">ROUND((F36-F35)+(F38-F37)+(F40-F39)+(F42-F41)+(F44-F43),9)</f>
        <v>0</v>
      </c>
      <c r="G45" s="182" t="n">
        <f aca="false">ROUND((G36-G35)+(G38-G37)+(G40-G39)+(G42-G41)+(G44-G43),9)</f>
        <v>0</v>
      </c>
      <c r="H45" s="182" t="n">
        <f aca="false">ROUND((H36-H35)+(H38-H37)+(H40-H39)+(H42-H41)+(H44-H43),9)</f>
        <v>0</v>
      </c>
      <c r="I45" s="182" t="n">
        <f aca="false">ROUND((I36-I35)+(I38-I37)+(I40-I39)+(I42-I41)+(I44-I43),9)</f>
        <v>0</v>
      </c>
      <c r="J45" s="182" t="n">
        <f aca="false">ROUND((J36-J35)+(J38-J37)+(J40-J39)+(J42-J41)+(J44-J43),9)</f>
        <v>0</v>
      </c>
      <c r="K45" s="182" t="n">
        <f aca="false">ROUND((K36-K35)+(K38-K37)+(K40-K39)+(K42-K41)+(K44-K43),9)</f>
        <v>0</v>
      </c>
      <c r="L45" s="182" t="n">
        <f aca="false">ROUND((L36-L35)+(L38-L37)+(L40-L39)+(L42-L41)+(L44-L43),9)</f>
        <v>0</v>
      </c>
      <c r="M45" s="182" t="n">
        <f aca="false">ROUND((M36-M35)+(M38-M37)+(M40-M39)+(M42-M41)+(M44-M43),9)</f>
        <v>0</v>
      </c>
      <c r="N45" s="182" t="n">
        <f aca="false">ROUND((N36-N35)+(N38-N37)+(N40-N39)+(N42-N41)+(N44-N43),9)</f>
        <v>0</v>
      </c>
      <c r="O45" s="182" t="n">
        <f aca="false">ROUND((O36-O35)+(O38-O37)+(O40-O39)+(O42-O41)+(O44-O43),9)</f>
        <v>0</v>
      </c>
      <c r="P45" s="182" t="n">
        <f aca="false">ROUND((P36-P35)+(P38-P37)+(P40-P39)+(P42-P41)+(P44-P43),9)</f>
        <v>0</v>
      </c>
      <c r="Q45" s="182" t="n">
        <f aca="false">ROUND((Q36-Q35)+(Q38-Q37)+(Q40-Q39)+(Q42-Q41)+(Q44-Q43),9)</f>
        <v>0</v>
      </c>
      <c r="R45" s="182" t="n">
        <f aca="false">ROUND((R36-R35)+(R38-R37)+(R40-R39)+(R42-R41)+(R44-R43),9)</f>
        <v>0</v>
      </c>
      <c r="S45" s="182" t="n">
        <f aca="false">ROUND((S36-S35)+(S38-S37)+(S40-S39)+(S42-S41)+(S44-S43),9)</f>
        <v>0</v>
      </c>
      <c r="T45" s="182" t="n">
        <f aca="false">ROUND((T36-T35)+(T38-T37)+(T40-T39)+(T42-T41)+(T44-T43),9)</f>
        <v>0</v>
      </c>
      <c r="U45" s="182" t="n">
        <f aca="false">ROUND((U36-U35)+(U38-U37)+(U40-U39)+(U42-U41)+(U44-U43),9)</f>
        <v>0</v>
      </c>
      <c r="V45" s="182" t="n">
        <f aca="false">ROUND((V36-V35)+(V38-V37)+(V40-V39)+(V42-V41)+(V44-V43),9)</f>
        <v>0</v>
      </c>
      <c r="W45" s="182" t="n">
        <f aca="false">ROUND((W36-W35)+(W38-W37)+(W40-W39)+(W42-W41)+(W44-W43),9)</f>
        <v>0</v>
      </c>
      <c r="X45" s="182" t="n">
        <f aca="false">ROUND((X36-X35)+(X38-X37)+(X40-X39)+(X42-X41)+(X44-X43),9)</f>
        <v>0</v>
      </c>
      <c r="Y45" s="182" t="n">
        <f aca="false">ROUND((Y36-Y35)+(Y38-Y37)+(Y40-Y39)+(Y42-Y41)+(Y44-Y43),9)</f>
        <v>0</v>
      </c>
      <c r="Z45" s="182" t="n">
        <f aca="false">ROUND((Z36-Z35)+(Z38-Z37)+(Z40-Z39)+(Z42-Z41)+(Z44-Z43),9)</f>
        <v>0</v>
      </c>
      <c r="AA45" s="182" t="n">
        <f aca="false">ROUND((AA36-AA35)+(AA38-AA37)+(AA40-AA39)+(AA42-AA41)+(AA44-AA43),9)</f>
        <v>0</v>
      </c>
      <c r="AB45" s="182" t="n">
        <f aca="false">ROUND((AB36-AB35)+(AB38-AB37)+(AB40-AB39)+(AB42-AB41)+(AB44-AB43),9)</f>
        <v>0</v>
      </c>
      <c r="AC45" s="182" t="n">
        <f aca="false">ROUND((AC36-AC35)+(AC38-AC37)+(AC40-AC39)+(AC42-AC41)+(AC44-AC43),9)</f>
        <v>0</v>
      </c>
      <c r="AD45" s="182" t="n">
        <f aca="false">ROUND((AD36-AD35)+(AD38-AD37)+(AD40-AD39)+(AD42-AD41)+(AD44-AD43),9)</f>
        <v>0</v>
      </c>
      <c r="AE45" s="182" t="n">
        <f aca="false">ROUND((AE36-AE35)+(AE38-AE37)+(AE40-AE39)+(AE42-AE41)+(AE44-AE43),9)</f>
        <v>0</v>
      </c>
      <c r="AF45" s="183" t="str">
        <f aca="false">A45</f>
        <v>Total on call standby in/out</v>
      </c>
      <c r="AG45" s="184"/>
      <c r="AH45" s="185" t="n">
        <f aca="false">SUM(B45:AE45)</f>
        <v>0</v>
      </c>
      <c r="AI45" s="180"/>
      <c r="AJ45" s="172"/>
      <c r="AK45" s="172"/>
      <c r="AL45" s="172"/>
      <c r="AM45" s="171"/>
      <c r="AN45" s="172"/>
      <c r="AO45" s="172"/>
      <c r="AP45" s="39"/>
    </row>
    <row r="46" s="148" customFormat="true" ht="3.75" hidden="false" customHeight="true" outlineLevel="0" collapsed="false">
      <c r="A46" s="186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168"/>
      <c r="AG46" s="146"/>
      <c r="AH46" s="179"/>
      <c r="AI46" s="180"/>
      <c r="AJ46" s="172"/>
      <c r="AK46" s="172"/>
      <c r="AL46" s="172"/>
      <c r="AM46" s="171"/>
      <c r="AN46" s="172"/>
      <c r="AO46" s="172"/>
      <c r="AP46" s="39"/>
    </row>
    <row r="47" s="148" customFormat="true" ht="16.5" hidden="true" customHeight="true" outlineLevel="1" collapsed="false">
      <c r="A47" s="181" t="s">
        <v>136</v>
      </c>
      <c r="B47" s="182" t="n">
        <f aca="false">IF(B45&gt;0,ROUND(B45- IF(B35&lt;T.PikettVetsuissebis,MIN(T.PikettVetsuissebis-B35,B36-B35)+IF(B37&lt;T.PikettVetsuissebis,MIN(T.PikettVetsuissebis-B37,B38-B37)+IF(B39&lt;T.PikettVetsuissebis,MIN(T.PikettVetsuissebis-B39,B40-B39)+IF(B41&lt;T.PikettVetsuissebis,MIN(T.PikettVetsuissebis-B41,B42-B41)+IF(B43&lt;T.PikettVetsuissebis,MIN(T.PikettVetsuissebis-B43,B44-B43),0),0),0),0),0),9),0)</f>
        <v>0</v>
      </c>
      <c r="C47" s="182" t="n">
        <f aca="false">IF(C45&gt;0,ROUND(C45- IF(C35&lt;T.PikettVetsuissebis,MIN(T.PikettVetsuissebis-C35,C36-C35)+IF(C37&lt;T.PikettVetsuissebis,MIN(T.PikettVetsuissebis-C37,C38-C37)+IF(C39&lt;T.PikettVetsuissebis,MIN(T.PikettVetsuissebis-C39,C40-C39)+IF(C41&lt;T.PikettVetsuissebis,MIN(T.PikettVetsuissebis-C41,C42-C41)+IF(C43&lt;T.PikettVetsuissebis,MIN(T.PikettVetsuissebis-C43,C44-C43),0),0),0),0),0),9),0)</f>
        <v>0</v>
      </c>
      <c r="D47" s="182" t="n">
        <f aca="false">IF(D45&gt;0,ROUND(D45- IF(D35&lt;T.PikettVetsuissebis,MIN(T.PikettVetsuissebis-D35,D36-D35)+IF(D37&lt;T.PikettVetsuissebis,MIN(T.PikettVetsuissebis-D37,D38-D37)+IF(D39&lt;T.PikettVetsuissebis,MIN(T.PikettVetsuissebis-D39,D40-D39)+IF(D41&lt;T.PikettVetsuissebis,MIN(T.PikettVetsuissebis-D41,D42-D41)+IF(D43&lt;T.PikettVetsuissebis,MIN(T.PikettVetsuissebis-D43,D44-D43),0),0),0),0),0),9),0)</f>
        <v>0</v>
      </c>
      <c r="E47" s="182" t="n">
        <f aca="false">IF(E45&gt;0,ROUND(E45- IF(E35&lt;T.PikettVetsuissebis,MIN(T.PikettVetsuissebis-E35,E36-E35)+IF(E37&lt;T.PikettVetsuissebis,MIN(T.PikettVetsuissebis-E37,E38-E37)+IF(E39&lt;T.PikettVetsuissebis,MIN(T.PikettVetsuissebis-E39,E40-E39)+IF(E41&lt;T.PikettVetsuissebis,MIN(T.PikettVetsuissebis-E41,E42-E41)+IF(E43&lt;T.PikettVetsuissebis,MIN(T.PikettVetsuissebis-E43,E44-E43),0),0),0),0),0),9),0)</f>
        <v>0</v>
      </c>
      <c r="F47" s="182" t="n">
        <f aca="false">IF(F45&gt;0,ROUND(F45- IF(F35&lt;T.PikettVetsuissebis,MIN(T.PikettVetsuissebis-F35,F36-F35)+IF(F37&lt;T.PikettVetsuissebis,MIN(T.PikettVetsuissebis-F37,F38-F37)+IF(F39&lt;T.PikettVetsuissebis,MIN(T.PikettVetsuissebis-F39,F40-F39)+IF(F41&lt;T.PikettVetsuissebis,MIN(T.PikettVetsuissebis-F41,F42-F41)+IF(F43&lt;T.PikettVetsuissebis,MIN(T.PikettVetsuissebis-F43,F44-F43),0),0),0),0),0),9),0)</f>
        <v>0</v>
      </c>
      <c r="G47" s="182" t="n">
        <f aca="false">IF(G45&gt;0,ROUND(G45- IF(G35&lt;T.PikettVetsuissebis,MIN(T.PikettVetsuissebis-G35,G36-G35)+IF(G37&lt;T.PikettVetsuissebis,MIN(T.PikettVetsuissebis-G37,G38-G37)+IF(G39&lt;T.PikettVetsuissebis,MIN(T.PikettVetsuissebis-G39,G40-G39)+IF(G41&lt;T.PikettVetsuissebis,MIN(T.PikettVetsuissebis-G41,G42-G41)+IF(G43&lt;T.PikettVetsuissebis,MIN(T.PikettVetsuissebis-G43,G44-G43),0),0),0),0),0),9),0)</f>
        <v>0</v>
      </c>
      <c r="H47" s="182" t="n">
        <f aca="false">IF(H45&gt;0,ROUND(H45- IF(H35&lt;T.PikettVetsuissebis,MIN(T.PikettVetsuissebis-H35,H36-H35)+IF(H37&lt;T.PikettVetsuissebis,MIN(T.PikettVetsuissebis-H37,H38-H37)+IF(H39&lt;T.PikettVetsuissebis,MIN(T.PikettVetsuissebis-H39,H40-H39)+IF(H41&lt;T.PikettVetsuissebis,MIN(T.PikettVetsuissebis-H41,H42-H41)+IF(H43&lt;T.PikettVetsuissebis,MIN(T.PikettVetsuissebis-H43,H44-H43),0),0),0),0),0),9),0)</f>
        <v>0</v>
      </c>
      <c r="I47" s="182" t="n">
        <f aca="false">IF(I45&gt;0,ROUND(I45- IF(I35&lt;T.PikettVetsuissebis,MIN(T.PikettVetsuissebis-I35,I36-I35)+IF(I37&lt;T.PikettVetsuissebis,MIN(T.PikettVetsuissebis-I37,I38-I37)+IF(I39&lt;T.PikettVetsuissebis,MIN(T.PikettVetsuissebis-I39,I40-I39)+IF(I41&lt;T.PikettVetsuissebis,MIN(T.PikettVetsuissebis-I41,I42-I41)+IF(I43&lt;T.PikettVetsuissebis,MIN(T.PikettVetsuissebis-I43,I44-I43),0),0),0),0),0),9),0)</f>
        <v>0</v>
      </c>
      <c r="J47" s="182" t="n">
        <f aca="false">IF(J45&gt;0,ROUND(J45- IF(J35&lt;T.PikettVetsuissebis,MIN(T.PikettVetsuissebis-J35,J36-J35)+IF(J37&lt;T.PikettVetsuissebis,MIN(T.PikettVetsuissebis-J37,J38-J37)+IF(J39&lt;T.PikettVetsuissebis,MIN(T.PikettVetsuissebis-J39,J40-J39)+IF(J41&lt;T.PikettVetsuissebis,MIN(T.PikettVetsuissebis-J41,J42-J41)+IF(J43&lt;T.PikettVetsuissebis,MIN(T.PikettVetsuissebis-J43,J44-J43),0),0),0),0),0),9),0)</f>
        <v>0</v>
      </c>
      <c r="K47" s="182" t="n">
        <f aca="false">IF(K45&gt;0,ROUND(K45- IF(K35&lt;T.PikettVetsuissebis,MIN(T.PikettVetsuissebis-K35,K36-K35)+IF(K37&lt;T.PikettVetsuissebis,MIN(T.PikettVetsuissebis-K37,K38-K37)+IF(K39&lt;T.PikettVetsuissebis,MIN(T.PikettVetsuissebis-K39,K40-K39)+IF(K41&lt;T.PikettVetsuissebis,MIN(T.PikettVetsuissebis-K41,K42-K41)+IF(K43&lt;T.PikettVetsuissebis,MIN(T.PikettVetsuissebis-K43,K44-K43),0),0),0),0),0),9),0)</f>
        <v>0</v>
      </c>
      <c r="L47" s="182" t="n">
        <f aca="false">IF(L45&gt;0,ROUND(L45- IF(L35&lt;T.PikettVetsuissebis,MIN(T.PikettVetsuissebis-L35,L36-L35)+IF(L37&lt;T.PikettVetsuissebis,MIN(T.PikettVetsuissebis-L37,L38-L37)+IF(L39&lt;T.PikettVetsuissebis,MIN(T.PikettVetsuissebis-L39,L40-L39)+IF(L41&lt;T.PikettVetsuissebis,MIN(T.PikettVetsuissebis-L41,L42-L41)+IF(L43&lt;T.PikettVetsuissebis,MIN(T.PikettVetsuissebis-L43,L44-L43),0),0),0),0),0),9),0)</f>
        <v>0</v>
      </c>
      <c r="M47" s="182" t="n">
        <f aca="false">IF(M45&gt;0,ROUND(M45- IF(M35&lt;T.PikettVetsuissebis,MIN(T.PikettVetsuissebis-M35,M36-M35)+IF(M37&lt;T.PikettVetsuissebis,MIN(T.PikettVetsuissebis-M37,M38-M37)+IF(M39&lt;T.PikettVetsuissebis,MIN(T.PikettVetsuissebis-M39,M40-M39)+IF(M41&lt;T.PikettVetsuissebis,MIN(T.PikettVetsuissebis-M41,M42-M41)+IF(M43&lt;T.PikettVetsuissebis,MIN(T.PikettVetsuissebis-M43,M44-M43),0),0),0),0),0),9),0)</f>
        <v>0</v>
      </c>
      <c r="N47" s="182" t="n">
        <f aca="false">IF(N45&gt;0,ROUND(N45- IF(N35&lt;T.PikettVetsuissebis,MIN(T.PikettVetsuissebis-N35,N36-N35)+IF(N37&lt;T.PikettVetsuissebis,MIN(T.PikettVetsuissebis-N37,N38-N37)+IF(N39&lt;T.PikettVetsuissebis,MIN(T.PikettVetsuissebis-N39,N40-N39)+IF(N41&lt;T.PikettVetsuissebis,MIN(T.PikettVetsuissebis-N41,N42-N41)+IF(N43&lt;T.PikettVetsuissebis,MIN(T.PikettVetsuissebis-N43,N44-N43),0),0),0),0),0),9),0)</f>
        <v>0</v>
      </c>
      <c r="O47" s="182" t="n">
        <f aca="false">IF(O45&gt;0,ROUND(O45- IF(O35&lt;T.PikettVetsuissebis,MIN(T.PikettVetsuissebis-O35,O36-O35)+IF(O37&lt;T.PikettVetsuissebis,MIN(T.PikettVetsuissebis-O37,O38-O37)+IF(O39&lt;T.PikettVetsuissebis,MIN(T.PikettVetsuissebis-O39,O40-O39)+IF(O41&lt;T.PikettVetsuissebis,MIN(T.PikettVetsuissebis-O41,O42-O41)+IF(O43&lt;T.PikettVetsuissebis,MIN(T.PikettVetsuissebis-O43,O44-O43),0),0),0),0),0),9),0)</f>
        <v>0</v>
      </c>
      <c r="P47" s="182" t="n">
        <f aca="false">IF(P45&gt;0,ROUND(P45- IF(P35&lt;T.PikettVetsuissebis,MIN(T.PikettVetsuissebis-P35,P36-P35)+IF(P37&lt;T.PikettVetsuissebis,MIN(T.PikettVetsuissebis-P37,P38-P37)+IF(P39&lt;T.PikettVetsuissebis,MIN(T.PikettVetsuissebis-P39,P40-P39)+IF(P41&lt;T.PikettVetsuissebis,MIN(T.PikettVetsuissebis-P41,P42-P41)+IF(P43&lt;T.PikettVetsuissebis,MIN(T.PikettVetsuissebis-P43,P44-P43),0),0),0),0),0),9),0)</f>
        <v>0</v>
      </c>
      <c r="Q47" s="182" t="n">
        <f aca="false">IF(Q45&gt;0,ROUND(Q45- IF(Q35&lt;T.PikettVetsuissebis,MIN(T.PikettVetsuissebis-Q35,Q36-Q35)+IF(Q37&lt;T.PikettVetsuissebis,MIN(T.PikettVetsuissebis-Q37,Q38-Q37)+IF(Q39&lt;T.PikettVetsuissebis,MIN(T.PikettVetsuissebis-Q39,Q40-Q39)+IF(Q41&lt;T.PikettVetsuissebis,MIN(T.PikettVetsuissebis-Q41,Q42-Q41)+IF(Q43&lt;T.PikettVetsuissebis,MIN(T.PikettVetsuissebis-Q43,Q44-Q43),0),0),0),0),0),9),0)</f>
        <v>0</v>
      </c>
      <c r="R47" s="182" t="n">
        <f aca="false">IF(R45&gt;0,ROUND(R45- IF(R35&lt;T.PikettVetsuissebis,MIN(T.PikettVetsuissebis-R35,R36-R35)+IF(R37&lt;T.PikettVetsuissebis,MIN(T.PikettVetsuissebis-R37,R38-R37)+IF(R39&lt;T.PikettVetsuissebis,MIN(T.PikettVetsuissebis-R39,R40-R39)+IF(R41&lt;T.PikettVetsuissebis,MIN(T.PikettVetsuissebis-R41,R42-R41)+IF(R43&lt;T.PikettVetsuissebis,MIN(T.PikettVetsuissebis-R43,R44-R43),0),0),0),0),0),9),0)</f>
        <v>0</v>
      </c>
      <c r="S47" s="182" t="n">
        <f aca="false">IF(S45&gt;0,ROUND(S45- IF(S35&lt;T.PikettVetsuissebis,MIN(T.PikettVetsuissebis-S35,S36-S35)+IF(S37&lt;T.PikettVetsuissebis,MIN(T.PikettVetsuissebis-S37,S38-S37)+IF(S39&lt;T.PikettVetsuissebis,MIN(T.PikettVetsuissebis-S39,S40-S39)+IF(S41&lt;T.PikettVetsuissebis,MIN(T.PikettVetsuissebis-S41,S42-S41)+IF(S43&lt;T.PikettVetsuissebis,MIN(T.PikettVetsuissebis-S43,S44-S43),0),0),0),0),0),9),0)</f>
        <v>0</v>
      </c>
      <c r="T47" s="182" t="n">
        <f aca="false">IF(T45&gt;0,ROUND(T45- IF(T35&lt;T.PikettVetsuissebis,MIN(T.PikettVetsuissebis-T35,T36-T35)+IF(T37&lt;T.PikettVetsuissebis,MIN(T.PikettVetsuissebis-T37,T38-T37)+IF(T39&lt;T.PikettVetsuissebis,MIN(T.PikettVetsuissebis-T39,T40-T39)+IF(T41&lt;T.PikettVetsuissebis,MIN(T.PikettVetsuissebis-T41,T42-T41)+IF(T43&lt;T.PikettVetsuissebis,MIN(T.PikettVetsuissebis-T43,T44-T43),0),0),0),0),0),9),0)</f>
        <v>0</v>
      </c>
      <c r="U47" s="182" t="n">
        <f aca="false">IF(U45&gt;0,ROUND(U45- IF(U35&lt;T.PikettVetsuissebis,MIN(T.PikettVetsuissebis-U35,U36-U35)+IF(U37&lt;T.PikettVetsuissebis,MIN(T.PikettVetsuissebis-U37,U38-U37)+IF(U39&lt;T.PikettVetsuissebis,MIN(T.PikettVetsuissebis-U39,U40-U39)+IF(U41&lt;T.PikettVetsuissebis,MIN(T.PikettVetsuissebis-U41,U42-U41)+IF(U43&lt;T.PikettVetsuissebis,MIN(T.PikettVetsuissebis-U43,U44-U43),0),0),0),0),0),9),0)</f>
        <v>0</v>
      </c>
      <c r="V47" s="182" t="n">
        <f aca="false">IF(V45&gt;0,ROUND(V45- IF(V35&lt;T.PikettVetsuissebis,MIN(T.PikettVetsuissebis-V35,V36-V35)+IF(V37&lt;T.PikettVetsuissebis,MIN(T.PikettVetsuissebis-V37,V38-V37)+IF(V39&lt;T.PikettVetsuissebis,MIN(T.PikettVetsuissebis-V39,V40-V39)+IF(V41&lt;T.PikettVetsuissebis,MIN(T.PikettVetsuissebis-V41,V42-V41)+IF(V43&lt;T.PikettVetsuissebis,MIN(T.PikettVetsuissebis-V43,V44-V43),0),0),0),0),0),9),0)</f>
        <v>0</v>
      </c>
      <c r="W47" s="182" t="n">
        <f aca="false">IF(W45&gt;0,ROUND(W45- IF(W35&lt;T.PikettVetsuissebis,MIN(T.PikettVetsuissebis-W35,W36-W35)+IF(W37&lt;T.PikettVetsuissebis,MIN(T.PikettVetsuissebis-W37,W38-W37)+IF(W39&lt;T.PikettVetsuissebis,MIN(T.PikettVetsuissebis-W39,W40-W39)+IF(W41&lt;T.PikettVetsuissebis,MIN(T.PikettVetsuissebis-W41,W42-W41)+IF(W43&lt;T.PikettVetsuissebis,MIN(T.PikettVetsuissebis-W43,W44-W43),0),0),0),0),0),9),0)</f>
        <v>0</v>
      </c>
      <c r="X47" s="182" t="n">
        <f aca="false">IF(X45&gt;0,ROUND(X45- IF(X35&lt;T.PikettVetsuissebis,MIN(T.PikettVetsuissebis-X35,X36-X35)+IF(X37&lt;T.PikettVetsuissebis,MIN(T.PikettVetsuissebis-X37,X38-X37)+IF(X39&lt;T.PikettVetsuissebis,MIN(T.PikettVetsuissebis-X39,X40-X39)+IF(X41&lt;T.PikettVetsuissebis,MIN(T.PikettVetsuissebis-X41,X42-X41)+IF(X43&lt;T.PikettVetsuissebis,MIN(T.PikettVetsuissebis-X43,X44-X43),0),0),0),0),0),9),0)</f>
        <v>0</v>
      </c>
      <c r="Y47" s="182" t="n">
        <f aca="false">IF(Y45&gt;0,ROUND(Y45- IF(Y35&lt;T.PikettVetsuissebis,MIN(T.PikettVetsuissebis-Y35,Y36-Y35)+IF(Y37&lt;T.PikettVetsuissebis,MIN(T.PikettVetsuissebis-Y37,Y38-Y37)+IF(Y39&lt;T.PikettVetsuissebis,MIN(T.PikettVetsuissebis-Y39,Y40-Y39)+IF(Y41&lt;T.PikettVetsuissebis,MIN(T.PikettVetsuissebis-Y41,Y42-Y41)+IF(Y43&lt;T.PikettVetsuissebis,MIN(T.PikettVetsuissebis-Y43,Y44-Y43),0),0),0),0),0),9),0)</f>
        <v>0</v>
      </c>
      <c r="Z47" s="182" t="n">
        <f aca="false">IF(Z45&gt;0,ROUND(Z45- IF(Z35&lt;T.PikettVetsuissebis,MIN(T.PikettVetsuissebis-Z35,Z36-Z35)+IF(Z37&lt;T.PikettVetsuissebis,MIN(T.PikettVetsuissebis-Z37,Z38-Z37)+IF(Z39&lt;T.PikettVetsuissebis,MIN(T.PikettVetsuissebis-Z39,Z40-Z39)+IF(Z41&lt;T.PikettVetsuissebis,MIN(T.PikettVetsuissebis-Z41,Z42-Z41)+IF(Z43&lt;T.PikettVetsuissebis,MIN(T.PikettVetsuissebis-Z43,Z44-Z43),0),0),0),0),0),9),0)</f>
        <v>0</v>
      </c>
      <c r="AA47" s="182" t="n">
        <f aca="false">IF(AA45&gt;0,ROUND(AA45- IF(AA35&lt;T.PikettVetsuissebis,MIN(T.PikettVetsuissebis-AA35,AA36-AA35)+IF(AA37&lt;T.PikettVetsuissebis,MIN(T.PikettVetsuissebis-AA37,AA38-AA37)+IF(AA39&lt;T.PikettVetsuissebis,MIN(T.PikettVetsuissebis-AA39,AA40-AA39)+IF(AA41&lt;T.PikettVetsuissebis,MIN(T.PikettVetsuissebis-AA41,AA42-AA41)+IF(AA43&lt;T.PikettVetsuissebis,MIN(T.PikettVetsuissebis-AA43,AA44-AA43),0),0),0),0),0),9),0)</f>
        <v>0</v>
      </c>
      <c r="AB47" s="182" t="n">
        <f aca="false">IF(AB45&gt;0,ROUND(AB45- IF(AB35&lt;T.PikettVetsuissebis,MIN(T.PikettVetsuissebis-AB35,AB36-AB35)+IF(AB37&lt;T.PikettVetsuissebis,MIN(T.PikettVetsuissebis-AB37,AB38-AB37)+IF(AB39&lt;T.PikettVetsuissebis,MIN(T.PikettVetsuissebis-AB39,AB40-AB39)+IF(AB41&lt;T.PikettVetsuissebis,MIN(T.PikettVetsuissebis-AB41,AB42-AB41)+IF(AB43&lt;T.PikettVetsuissebis,MIN(T.PikettVetsuissebis-AB43,AB44-AB43),0),0),0),0),0),9),0)</f>
        <v>0</v>
      </c>
      <c r="AC47" s="182" t="n">
        <f aca="false">IF(AC45&gt;0,ROUND(AC45- IF(AC35&lt;T.PikettVetsuissebis,MIN(T.PikettVetsuissebis-AC35,AC36-AC35)+IF(AC37&lt;T.PikettVetsuissebis,MIN(T.PikettVetsuissebis-AC37,AC38-AC37)+IF(AC39&lt;T.PikettVetsuissebis,MIN(T.PikettVetsuissebis-AC39,AC40-AC39)+IF(AC41&lt;T.PikettVetsuissebis,MIN(T.PikettVetsuissebis-AC41,AC42-AC41)+IF(AC43&lt;T.PikettVetsuissebis,MIN(T.PikettVetsuissebis-AC43,AC44-AC43),0),0),0),0),0),9),0)</f>
        <v>0</v>
      </c>
      <c r="AD47" s="182" t="n">
        <f aca="false">IF(AD45&gt;0,ROUND(AD45- IF(AD35&lt;T.PikettVetsuissebis,MIN(T.PikettVetsuissebis-AD35,AD36-AD35)+IF(AD37&lt;T.PikettVetsuissebis,MIN(T.PikettVetsuissebis-AD37,AD38-AD37)+IF(AD39&lt;T.PikettVetsuissebis,MIN(T.PikettVetsuissebis-AD39,AD40-AD39)+IF(AD41&lt;T.PikettVetsuissebis,MIN(T.PikettVetsuissebis-AD41,AD42-AD41)+IF(AD43&lt;T.PikettVetsuissebis,MIN(T.PikettVetsuissebis-AD43,AD44-AD43),0),0),0),0),0),9),0)</f>
        <v>0</v>
      </c>
      <c r="AE47" s="182" t="n">
        <f aca="false">IF(AE45&gt;0,ROUND(AE45- IF(AE35&lt;T.PikettVetsuissebis,MIN(T.PikettVetsuissebis-AE35,AE36-AE35)+IF(AE37&lt;T.PikettVetsuissebis,MIN(T.PikettVetsuissebis-AE37,AE38-AE37)+IF(AE39&lt;T.PikettVetsuissebis,MIN(T.PikettVetsuissebis-AE39,AE40-AE39)+IF(AE41&lt;T.PikettVetsuissebis,MIN(T.PikettVetsuissebis-AE41,AE42-AE41)+IF(AE43&lt;T.PikettVetsuissebis,MIN(T.PikettVetsuissebis-AE43,AE44-AE43),0),0),0),0),0),9),0)</f>
        <v>0</v>
      </c>
      <c r="AF47" s="183" t="str">
        <f aca="false">A47</f>
        <v>Total on call hours today</v>
      </c>
      <c r="AG47" s="146"/>
      <c r="AH47" s="179"/>
      <c r="AI47" s="180"/>
      <c r="AJ47" s="172"/>
      <c r="AK47" s="172"/>
      <c r="AL47" s="172"/>
      <c r="AM47" s="171"/>
      <c r="AN47" s="172"/>
      <c r="AO47" s="172"/>
      <c r="AP47" s="39"/>
    </row>
    <row r="48" s="148" customFormat="true" ht="16.5" hidden="true" customHeight="true" outlineLevel="1" collapsed="false">
      <c r="A48" s="181" t="s">
        <v>137</v>
      </c>
      <c r="B48" s="193" t="n">
        <f aca="false">B45-B47</f>
        <v>0</v>
      </c>
      <c r="C48" s="193" t="n">
        <f aca="false">C45-C47</f>
        <v>0</v>
      </c>
      <c r="D48" s="193" t="n">
        <f aca="false">D45-D47</f>
        <v>0</v>
      </c>
      <c r="E48" s="193" t="n">
        <f aca="false">E45-E47</f>
        <v>0</v>
      </c>
      <c r="F48" s="193" t="n">
        <f aca="false">F45-F47</f>
        <v>0</v>
      </c>
      <c r="G48" s="193" t="n">
        <f aca="false">G45-G47</f>
        <v>0</v>
      </c>
      <c r="H48" s="193" t="n">
        <f aca="false">H45-H47</f>
        <v>0</v>
      </c>
      <c r="I48" s="193" t="n">
        <f aca="false">I45-I47</f>
        <v>0</v>
      </c>
      <c r="J48" s="193" t="n">
        <f aca="false">J45-J47</f>
        <v>0</v>
      </c>
      <c r="K48" s="193" t="n">
        <f aca="false">K45-K47</f>
        <v>0</v>
      </c>
      <c r="L48" s="193" t="n">
        <f aca="false">L45-L47</f>
        <v>0</v>
      </c>
      <c r="M48" s="193" t="n">
        <f aca="false">M45-M47</f>
        <v>0</v>
      </c>
      <c r="N48" s="193" t="n">
        <f aca="false">N45-N47</f>
        <v>0</v>
      </c>
      <c r="O48" s="193" t="n">
        <f aca="false">O45-O47</f>
        <v>0</v>
      </c>
      <c r="P48" s="193" t="n">
        <f aca="false">P45-P47</f>
        <v>0</v>
      </c>
      <c r="Q48" s="193" t="n">
        <f aca="false">Q45-Q47</f>
        <v>0</v>
      </c>
      <c r="R48" s="193" t="n">
        <f aca="false">R45-R47</f>
        <v>0</v>
      </c>
      <c r="S48" s="193" t="n">
        <f aca="false">S45-S47</f>
        <v>0</v>
      </c>
      <c r="T48" s="193" t="n">
        <f aca="false">T45-T47</f>
        <v>0</v>
      </c>
      <c r="U48" s="193" t="n">
        <f aca="false">U45-U47</f>
        <v>0</v>
      </c>
      <c r="V48" s="193" t="n">
        <f aca="false">V45-V47</f>
        <v>0</v>
      </c>
      <c r="W48" s="193" t="n">
        <f aca="false">W45-W47</f>
        <v>0</v>
      </c>
      <c r="X48" s="193" t="n">
        <f aca="false">X45-X47</f>
        <v>0</v>
      </c>
      <c r="Y48" s="193" t="n">
        <f aca="false">Y45-Y47</f>
        <v>0</v>
      </c>
      <c r="Z48" s="193" t="n">
        <f aca="false">Z45-Z47</f>
        <v>0</v>
      </c>
      <c r="AA48" s="193" t="n">
        <f aca="false">AA45-AA47</f>
        <v>0</v>
      </c>
      <c r="AB48" s="193" t="n">
        <f aca="false">AB45-AB47</f>
        <v>0</v>
      </c>
      <c r="AC48" s="193" t="n">
        <f aca="false">AC45-AC47</f>
        <v>0</v>
      </c>
      <c r="AD48" s="193" t="n">
        <f aca="false">AD45-AD47</f>
        <v>0</v>
      </c>
      <c r="AE48" s="193" t="n">
        <f aca="false">AE45-AE47</f>
        <v>0</v>
      </c>
      <c r="AF48" s="183" t="str">
        <f aca="false">A48</f>
        <v>Total on call hours yesterday</v>
      </c>
      <c r="AG48" s="146"/>
      <c r="AH48" s="179"/>
      <c r="AI48" s="180"/>
      <c r="AJ48" s="172"/>
      <c r="AK48" s="172"/>
      <c r="AL48" s="199" t="n">
        <f aca="false">IF(EB.Anwendung&lt;&gt;"",IF(MONTH(Monat.Tag1)=12,0,IF(MONTH(Monat.Tag1)=1,February!Monat.PikettgesternTag1,IF(MONTH(Monat.Tag1)=2,March!Monat.PikettgesternTag1,IF(MONTH(Monat.Tag1)=3,April!Monat.PikettgesternTag1,IF(MONTH(Monat.Tag1)=4,May!Monat.PikettgesternTag1,IF(MONTH(Monat.Tag1)=5,June!Monat.PikettgesternTag1,IF(MONTH(Monat.Tag1)=6,July!Monat.PikettgesternTag1,IF(MONTH(Monat.Tag1)=7,August!Monat.PikettgesternTag1,IF(MONTH(Monat.Tag1)=8,Monat.PikettgesternTag1,IF(MONTH(Monat.Tag1)=9,October!Monat.PikettgesternTag1,IF(MONTH(Monat.Tag1)=10,November!Monat.PikettgesternTag1,IF(MONTH(Monat.Tag1)=11,December!Monat.PikettgesternTag1,"")))))))))))),"")</f>
        <v>0</v>
      </c>
      <c r="AM48" s="171"/>
      <c r="AN48" s="172"/>
      <c r="AO48" s="172"/>
      <c r="AP48" s="39"/>
    </row>
    <row r="49" s="148" customFormat="true" ht="16.5" hidden="true" customHeight="true" outlineLevel="1" collapsed="false">
      <c r="A49" s="181" t="s">
        <v>138</v>
      </c>
      <c r="B49" s="182" t="n">
        <f aca="false">B47+IF(B$10=EOMONTH(B$10,0),$AL48,C48)</f>
        <v>0</v>
      </c>
      <c r="C49" s="182" t="n">
        <f aca="false">C47+IF(C$10=EOMONTH(C$10,0),$AL48,D48)</f>
        <v>0</v>
      </c>
      <c r="D49" s="182" t="n">
        <f aca="false">D47+IF(D$10=EOMONTH(D$10,0),$AL48,E48)</f>
        <v>0</v>
      </c>
      <c r="E49" s="182" t="n">
        <f aca="false">E47+IF(E$10=EOMONTH(E$10,0),$AL48,F48)</f>
        <v>0</v>
      </c>
      <c r="F49" s="182" t="n">
        <f aca="false">F47+IF(F$10=EOMONTH(F$10,0),$AL48,G48)</f>
        <v>0</v>
      </c>
      <c r="G49" s="182" t="n">
        <f aca="false">G47+IF(G$10=EOMONTH(G$10,0),$AL48,H48)</f>
        <v>0</v>
      </c>
      <c r="H49" s="182" t="n">
        <f aca="false">H47+IF(H$10=EOMONTH(H$10,0),$AL48,I48)</f>
        <v>0</v>
      </c>
      <c r="I49" s="182" t="n">
        <f aca="false">I47+IF(I$10=EOMONTH(I$10,0),$AL48,J48)</f>
        <v>0</v>
      </c>
      <c r="J49" s="182" t="n">
        <f aca="false">J47+IF(J$10=EOMONTH(J$10,0),$AL48,K48)</f>
        <v>0</v>
      </c>
      <c r="K49" s="182" t="n">
        <f aca="false">K47+IF(K$10=EOMONTH(K$10,0),$AL48,L48)</f>
        <v>0</v>
      </c>
      <c r="L49" s="182" t="n">
        <f aca="false">L47+IF(L$10=EOMONTH(L$10,0),$AL48,M48)</f>
        <v>0</v>
      </c>
      <c r="M49" s="182" t="n">
        <f aca="false">M47+IF(M$10=EOMONTH(M$10,0),$AL48,N48)</f>
        <v>0</v>
      </c>
      <c r="N49" s="182" t="n">
        <f aca="false">N47+IF(N$10=EOMONTH(N$10,0),$AL48,O48)</f>
        <v>0</v>
      </c>
      <c r="O49" s="182" t="n">
        <f aca="false">O47+IF(O$10=EOMONTH(O$10,0),$AL48,P48)</f>
        <v>0</v>
      </c>
      <c r="P49" s="182" t="n">
        <f aca="false">P47+IF(P$10=EOMONTH(P$10,0),$AL48,Q48)</f>
        <v>0</v>
      </c>
      <c r="Q49" s="182" t="n">
        <f aca="false">Q47+IF(Q$10=EOMONTH(Q$10,0),$AL48,R48)</f>
        <v>0</v>
      </c>
      <c r="R49" s="182" t="n">
        <f aca="false">R47+IF(R$10=EOMONTH(R$10,0),$AL48,S48)</f>
        <v>0</v>
      </c>
      <c r="S49" s="182" t="n">
        <f aca="false">S47+IF(S$10=EOMONTH(S$10,0),$AL48,T48)</f>
        <v>0</v>
      </c>
      <c r="T49" s="182" t="n">
        <f aca="false">T47+IF(T$10=EOMONTH(T$10,0),$AL48,U48)</f>
        <v>0</v>
      </c>
      <c r="U49" s="182" t="n">
        <f aca="false">U47+IF(U$10=EOMONTH(U$10,0),$AL48,V48)</f>
        <v>0</v>
      </c>
      <c r="V49" s="182" t="n">
        <f aca="false">V47+IF(V$10=EOMONTH(V$10,0),$AL48,W48)</f>
        <v>0</v>
      </c>
      <c r="W49" s="182" t="n">
        <f aca="false">W47+IF(W$10=EOMONTH(W$10,0),$AL48,X48)</f>
        <v>0</v>
      </c>
      <c r="X49" s="182" t="n">
        <f aca="false">X47+IF(X$10=EOMONTH(X$10,0),$AL48,Y48)</f>
        <v>0</v>
      </c>
      <c r="Y49" s="182" t="n">
        <f aca="false">Y47+IF(Y$10=EOMONTH(Y$10,0),$AL48,Z48)</f>
        <v>0</v>
      </c>
      <c r="Z49" s="182" t="n">
        <f aca="false">Z47+IF(Z$10=EOMONTH(Z$10,0),$AL48,AA48)</f>
        <v>0</v>
      </c>
      <c r="AA49" s="182" t="n">
        <f aca="false">AA47+IF(AA$10=EOMONTH(AA$10,0),$AL48,AB48)</f>
        <v>0</v>
      </c>
      <c r="AB49" s="182" t="n">
        <f aca="false">AB47+IF(AB$10=EOMONTH(AB$10,0),$AL48,AC48)</f>
        <v>0</v>
      </c>
      <c r="AC49" s="182" t="n">
        <f aca="false">AC47+IF(AC$10=EOMONTH(AC$10,0),$AL48,AD48)</f>
        <v>0</v>
      </c>
      <c r="AD49" s="182" t="n">
        <f aca="false">AD47+IF(AD$10=EOMONTH(AD$10,0),$AL48,AE48)</f>
        <v>0</v>
      </c>
      <c r="AE49" s="182" t="n">
        <f aca="false">AE47+IF(AE$10=EOMONTH(AE$10,0),$AL48,#REF!)</f>
        <v>0</v>
      </c>
      <c r="AF49" s="183" t="str">
        <f aca="false">A49</f>
        <v>Total on call standby hours</v>
      </c>
      <c r="AG49" s="184"/>
      <c r="AH49" s="185" t="n">
        <f aca="false">SUM(B49:AE49)</f>
        <v>0</v>
      </c>
      <c r="AI49" s="180"/>
      <c r="AJ49" s="172"/>
      <c r="AK49" s="172"/>
      <c r="AL49" s="172"/>
      <c r="AM49" s="171"/>
      <c r="AN49" s="172"/>
      <c r="AO49" s="172"/>
      <c r="AP49" s="39"/>
    </row>
    <row r="50" s="148" customFormat="true" ht="3.75" hidden="false" customHeight="true" outlineLevel="0" collapsed="false">
      <c r="A50" s="200"/>
      <c r="B50" s="187"/>
      <c r="C50" s="187"/>
      <c r="D50" s="187"/>
      <c r="E50" s="187"/>
      <c r="F50" s="187"/>
      <c r="G50" s="187"/>
      <c r="H50" s="187"/>
      <c r="I50" s="187"/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87"/>
      <c r="U50" s="187"/>
      <c r="V50" s="187"/>
      <c r="W50" s="187"/>
      <c r="X50" s="187"/>
      <c r="Y50" s="187"/>
      <c r="Z50" s="187"/>
      <c r="AA50" s="187"/>
      <c r="AB50" s="187"/>
      <c r="AC50" s="187"/>
      <c r="AD50" s="187"/>
      <c r="AE50" s="187"/>
      <c r="AF50" s="201"/>
      <c r="AG50" s="202"/>
      <c r="AH50" s="188"/>
      <c r="AI50" s="180"/>
      <c r="AJ50" s="172"/>
      <c r="AK50" s="172"/>
      <c r="AL50" s="172"/>
      <c r="AM50" s="171"/>
      <c r="AN50" s="172"/>
      <c r="AO50" s="172"/>
      <c r="AP50" s="39"/>
    </row>
    <row r="51" s="148" customFormat="true" ht="15" hidden="false" customHeight="true" outlineLevel="0" collapsed="false">
      <c r="A51" s="181" t="s">
        <v>139</v>
      </c>
      <c r="B51" s="203" t="n">
        <f aca="false">ROUND(B23+B45+B84+SUM(B86:B95)+IF(T.50_Vetsuisse,B71,0),9)</f>
        <v>0</v>
      </c>
      <c r="C51" s="203" t="n">
        <f aca="false">ROUND(C23+C45+C84+SUM(C86:C95)+IF(T.50_Vetsuisse,C71,0),9)</f>
        <v>0</v>
      </c>
      <c r="D51" s="203" t="n">
        <f aca="false">ROUND(D23+D45+D84+SUM(D86:D95)+IF(T.50_Vetsuisse,D71,0),9)</f>
        <v>0</v>
      </c>
      <c r="E51" s="204" t="n">
        <f aca="false">ROUND(E23+E45+E84+SUM(E86:E95)+IF(T.50_Vetsuisse,E71,0),9)</f>
        <v>0</v>
      </c>
      <c r="F51" s="203" t="n">
        <f aca="false">ROUND(F23+F45+F84+SUM(F86:F95)+IF(T.50_Vetsuisse,F71,0),9)</f>
        <v>0</v>
      </c>
      <c r="G51" s="203" t="n">
        <f aca="false">ROUND(G23+G45+G84+SUM(G86:G95)+IF(T.50_Vetsuisse,G71,0),9)</f>
        <v>0</v>
      </c>
      <c r="H51" s="203" t="n">
        <f aca="false">ROUND(H23+H45+H84+SUM(H86:H95)+IF(T.50_Vetsuisse,H71,0),9)</f>
        <v>0</v>
      </c>
      <c r="I51" s="203" t="n">
        <f aca="false">ROUND(I23+I45+I84+SUM(I86:I95)+IF(T.50_Vetsuisse,I71,0),9)</f>
        <v>0</v>
      </c>
      <c r="J51" s="205" t="n">
        <f aca="false">ROUND(J23+J45+J84+SUM(J86:J95)+IF(T.50_Vetsuisse,J71,0),9)</f>
        <v>0</v>
      </c>
      <c r="K51" s="203" t="n">
        <f aca="false">ROUND(K23+K45+K84+SUM(K86:K95)+IF(T.50_Vetsuisse,K71,0),9)</f>
        <v>0</v>
      </c>
      <c r="L51" s="205" t="n">
        <f aca="false">ROUND(L23+L45+L84+SUM(L86:L95)+IF(T.50_Vetsuisse,L71,0),9)</f>
        <v>0</v>
      </c>
      <c r="M51" s="203" t="n">
        <f aca="false">ROUND(M23+M45+M84+SUM(M86:M95)+IF(T.50_Vetsuisse,M71,0),9)</f>
        <v>0</v>
      </c>
      <c r="N51" s="203" t="n">
        <f aca="false">ROUND(N23+N45+N84+SUM(N86:N95)+IF(T.50_Vetsuisse,N71,0),9)</f>
        <v>0</v>
      </c>
      <c r="O51" s="203" t="n">
        <f aca="false">ROUND(O23+O45+O84+SUM(O86:O95)+IF(T.50_Vetsuisse,O71,0),9)</f>
        <v>0</v>
      </c>
      <c r="P51" s="203" t="n">
        <f aca="false">ROUND(P23+P45+P84+SUM(P86:P95)+IF(T.50_Vetsuisse,P71,0),9)</f>
        <v>0</v>
      </c>
      <c r="Q51" s="205" t="n">
        <f aca="false">ROUND(Q23+Q45+Q84+SUM(Q86:Q95)+IF(T.50_Vetsuisse,Q71,0),9)</f>
        <v>0</v>
      </c>
      <c r="R51" s="203" t="n">
        <f aca="false">ROUND(R23+R45+R84+SUM(R86:R95)+IF(T.50_Vetsuisse,R71,0),9)</f>
        <v>0</v>
      </c>
      <c r="S51" s="205" t="n">
        <f aca="false">ROUND(S23+S45+S84+SUM(S86:S95)+IF(T.50_Vetsuisse,S71,0),9)</f>
        <v>0</v>
      </c>
      <c r="T51" s="205" t="n">
        <f aca="false">ROUND(T23+T45+T84+SUM(T86:T95)+IF(T.50_Vetsuisse,T71,0),9)</f>
        <v>0</v>
      </c>
      <c r="U51" s="203" t="n">
        <f aca="false">ROUND(U23+U45+U84+SUM(U86:U95)+IF(T.50_Vetsuisse,U71,0),9)</f>
        <v>0</v>
      </c>
      <c r="V51" s="203" t="n">
        <f aca="false">ROUND(V23+V45+V84+SUM(V86:V95)+IF(T.50_Vetsuisse,V71,0),9)</f>
        <v>0</v>
      </c>
      <c r="W51" s="203" t="n">
        <f aca="false">ROUND(W23+W45+W84+SUM(W86:W95)+IF(T.50_Vetsuisse,W71,0),9)</f>
        <v>0</v>
      </c>
      <c r="X51" s="205" t="n">
        <f aca="false">ROUND(X23+X45+X84+SUM(X86:X95)+IF(T.50_Vetsuisse,X71,0),9)</f>
        <v>0</v>
      </c>
      <c r="Y51" s="203" t="n">
        <f aca="false">ROUND(Y23+Y45+Y84+SUM(Y86:Y95)+IF(T.50_Vetsuisse,Y71,0),9)</f>
        <v>0</v>
      </c>
      <c r="Z51" s="206" t="n">
        <f aca="false">ROUND(Z23+Z45+Z84+SUM(Z86:Z95)+IF(T.50_Vetsuisse,Z71,0),9)</f>
        <v>0</v>
      </c>
      <c r="AA51" s="203" t="n">
        <f aca="false">ROUND(AA23+AA45+AA84+SUM(AA86:AA95)+IF(T.50_Vetsuisse,AA71,0),9)</f>
        <v>0</v>
      </c>
      <c r="AB51" s="203" t="n">
        <f aca="false">ROUND(AB23+AB45+AB84+SUM(AB86:AB95)+IF(T.50_Vetsuisse,AB71,0),9)</f>
        <v>0</v>
      </c>
      <c r="AC51" s="203" t="n">
        <f aca="false">ROUND(AC23+AC45+AC84+SUM(AC86:AC95)+IF(T.50_Vetsuisse,AC71,0),9)</f>
        <v>0</v>
      </c>
      <c r="AD51" s="203" t="n">
        <f aca="false">ROUND(AD23+AD45+AD84+SUM(AD86:AD95)+IF(T.50_Vetsuisse,AD71,0),9)</f>
        <v>0</v>
      </c>
      <c r="AE51" s="205" t="n">
        <f aca="false">ROUND(AE23+AE45+AE84+SUM(AE86:AE95)+IF(T.50_Vetsuisse,AE71,0),9)</f>
        <v>0</v>
      </c>
      <c r="AF51" s="183" t="str">
        <f aca="false">A51</f>
        <v>Actual hours worked</v>
      </c>
      <c r="AG51" s="184"/>
      <c r="AH51" s="207" t="n">
        <f aca="false">SUM(B51:AE51)</f>
        <v>0</v>
      </c>
      <c r="AI51" s="180"/>
      <c r="AJ51" s="172"/>
      <c r="AK51" s="172"/>
      <c r="AL51" s="172"/>
      <c r="AM51" s="208" t="n">
        <f aca="true">IF(WEEKDAY(EOMONTH(Monat.Tag1,0),2)=7,0,MAX(0,SUM(OFFSET(B51,0,DAY(EOMONTH(Monat.Tag1,0))-WEEKDAY(EOMONTH(Monat.Tag1,0),2),1,WEEKDAY(EOMONTH(Monat.Tag1,0),2)))))</f>
        <v>0</v>
      </c>
      <c r="AN51" s="172"/>
      <c r="AO51" s="172"/>
      <c r="AP51" s="39"/>
    </row>
    <row r="52" s="148" customFormat="true" ht="15" hidden="false" customHeight="true" outlineLevel="1" collapsed="false">
      <c r="A52" s="175" t="s">
        <v>140</v>
      </c>
      <c r="B52" s="209" t="n">
        <f aca="false">IF(B$12=0,0,ROUND(INDEX(Monat.RAZ1_7.Bereich,WEEKDAY(B$10,2))*B$11,9))</f>
        <v>0</v>
      </c>
      <c r="C52" s="209" t="n">
        <f aca="false">IF(C$12=0,0,ROUND(INDEX(Monat.RAZ1_7.Bereich,WEEKDAY(C$10,2))*C$11,9))</f>
        <v>0</v>
      </c>
      <c r="D52" s="210" t="n">
        <f aca="false">IF(D$12=0,0,ROUND(INDEX(Monat.RAZ1_7.Bereich,WEEKDAY(D$10,2))*D$11,9))</f>
        <v>0.35</v>
      </c>
      <c r="E52" s="209" t="n">
        <f aca="false">IF(E$12=0,0,ROUND(INDEX(Monat.RAZ1_7.Bereich,WEEKDAY(E$10,2))*E$11,9))</f>
        <v>0.35</v>
      </c>
      <c r="F52" s="210" t="n">
        <f aca="false">IF(F$12=0,0,ROUND(INDEX(Monat.RAZ1_7.Bereich,WEEKDAY(F$10,2))*F$11,9))</f>
        <v>0.35</v>
      </c>
      <c r="G52" s="210" t="n">
        <f aca="false">IF(G$12=0,0,ROUND(INDEX(Monat.RAZ1_7.Bereich,WEEKDAY(G$10,2))*G$11,9))</f>
        <v>0.35</v>
      </c>
      <c r="H52" s="210" t="n">
        <f aca="false">IF(H$12=0,0,ROUND(INDEX(Monat.RAZ1_7.Bereich,WEEKDAY(H$10,2))*H$11,9))</f>
        <v>0.35</v>
      </c>
      <c r="I52" s="210" t="n">
        <f aca="false">IF(I$12=0,0,ROUND(INDEX(Monat.RAZ1_7.Bereich,WEEKDAY(I$10,2))*I$11,9))</f>
        <v>0</v>
      </c>
      <c r="J52" s="209" t="n">
        <f aca="false">IF(J$12=0,0,ROUND(INDEX(Monat.RAZ1_7.Bereich,WEEKDAY(J$10,2))*J$11,9))</f>
        <v>0</v>
      </c>
      <c r="K52" s="210" t="n">
        <f aca="false">IF(K$12=0,0,ROUND(INDEX(Monat.RAZ1_7.Bereich,WEEKDAY(K$10,2))*K$11,9))</f>
        <v>0.175</v>
      </c>
      <c r="L52" s="209" t="n">
        <f aca="false">IF(L$12=0,0,ROUND(INDEX(Monat.RAZ1_7.Bereich,WEEKDAY(L$10,2))*L$11,9))</f>
        <v>0.35</v>
      </c>
      <c r="M52" s="210" t="n">
        <f aca="false">IF(M$12=0,0,ROUND(INDEX(Monat.RAZ1_7.Bereich,WEEKDAY(M$10,2))*M$11,9))</f>
        <v>0.35</v>
      </c>
      <c r="N52" s="210" t="n">
        <f aca="false">IF(N$12=0,0,ROUND(INDEX(Monat.RAZ1_7.Bereich,WEEKDAY(N$10,2))*N$11,9))</f>
        <v>0.35</v>
      </c>
      <c r="O52" s="210" t="n">
        <f aca="false">IF(O$12=0,0,ROUND(INDEX(Monat.RAZ1_7.Bereich,WEEKDAY(O$10,2))*O$11,9))</f>
        <v>0.35</v>
      </c>
      <c r="P52" s="210" t="n">
        <f aca="false">IF(P$12=0,0,ROUND(INDEX(Monat.RAZ1_7.Bereich,WEEKDAY(P$10,2))*P$11,9))</f>
        <v>0</v>
      </c>
      <c r="Q52" s="209" t="n">
        <f aca="false">IF(Q$12=0,0,ROUND(INDEX(Monat.RAZ1_7.Bereich,WEEKDAY(Q$10,2))*Q$11,9))</f>
        <v>0</v>
      </c>
      <c r="R52" s="210" t="n">
        <f aca="false">IF(R$12=0,0,ROUND(INDEX(Monat.RAZ1_7.Bereich,WEEKDAY(R$10,2))*R$11,9))</f>
        <v>0.35</v>
      </c>
      <c r="S52" s="209" t="n">
        <f aca="false">IF(S$12=0,0,ROUND(INDEX(Monat.RAZ1_7.Bereich,WEEKDAY(S$10,2))*S$11,9))</f>
        <v>0.35</v>
      </c>
      <c r="T52" s="209" t="n">
        <f aca="false">IF(T$12=0,0,ROUND(INDEX(Monat.RAZ1_7.Bereich,WEEKDAY(T$10,2))*T$11,9))</f>
        <v>0.35</v>
      </c>
      <c r="U52" s="210" t="n">
        <f aca="false">IF(U$12=0,0,ROUND(INDEX(Monat.RAZ1_7.Bereich,WEEKDAY(U$10,2))*U$11,9))</f>
        <v>0.35</v>
      </c>
      <c r="V52" s="210" t="n">
        <f aca="false">IF(V$12=0,0,ROUND(INDEX(Monat.RAZ1_7.Bereich,WEEKDAY(V$10,2))*V$11,9))</f>
        <v>0.35</v>
      </c>
      <c r="W52" s="210" t="n">
        <f aca="false">IF(W$12=0,0,ROUND(INDEX(Monat.RAZ1_7.Bereich,WEEKDAY(W$10,2))*W$11,9))</f>
        <v>0</v>
      </c>
      <c r="X52" s="209" t="n">
        <f aca="false">IF(X$12=0,0,ROUND(INDEX(Monat.RAZ1_7.Bereich,WEEKDAY(X$10,2))*X$11,9))</f>
        <v>0</v>
      </c>
      <c r="Y52" s="210" t="n">
        <f aca="false">IF(Y$12=0,0,ROUND(INDEX(Monat.RAZ1_7.Bereich,WEEKDAY(Y$10,2))*Y$11,9))</f>
        <v>0.35</v>
      </c>
      <c r="Z52" s="211" t="n">
        <f aca="false">IF(Z$12=0,0,ROUND(INDEX(Monat.RAZ1_7.Bereich,WEEKDAY(Z$10,2))*Z$11,9))</f>
        <v>0.35</v>
      </c>
      <c r="AA52" s="210" t="n">
        <f aca="false">IF(AA$12=0,0,ROUND(INDEX(Monat.RAZ1_7.Bereich,WEEKDAY(AA$10,2))*AA$11,9))</f>
        <v>0.35</v>
      </c>
      <c r="AB52" s="210" t="n">
        <f aca="false">IF(AB$12=0,0,ROUND(INDEX(Monat.RAZ1_7.Bereich,WEEKDAY(AB$10,2))*AB$11,9))</f>
        <v>0.35</v>
      </c>
      <c r="AC52" s="210" t="n">
        <f aca="false">IF(AC$12=0,0,ROUND(INDEX(Monat.RAZ1_7.Bereich,WEEKDAY(AC$10,2))*AC$11,9))</f>
        <v>0.35</v>
      </c>
      <c r="AD52" s="210" t="n">
        <f aca="false">IF(AD$12=0,0,ROUND(INDEX(Monat.RAZ1_7.Bereich,WEEKDAY(AD$10,2))*AD$11,9))</f>
        <v>0</v>
      </c>
      <c r="AE52" s="209" t="n">
        <f aca="false">IF(AE$12=0,0,ROUND(INDEX(Monat.RAZ1_7.Bereich,WEEKDAY(AE$10,2))*AE$11,9))</f>
        <v>0</v>
      </c>
      <c r="AF52" s="212" t="str">
        <f aca="false">A52</f>
        <v>Standardized hours (Info)</v>
      </c>
      <c r="AG52" s="184"/>
      <c r="AH52" s="179"/>
      <c r="AI52" s="180"/>
      <c r="AJ52" s="172"/>
      <c r="AK52" s="172"/>
      <c r="AL52" s="172"/>
      <c r="AM52" s="171"/>
      <c r="AN52" s="172"/>
      <c r="AO52" s="172"/>
      <c r="AP52" s="39"/>
    </row>
    <row r="53" s="148" customFormat="true" ht="15" hidden="false" customHeight="true" outlineLevel="0" collapsed="false">
      <c r="A53" s="175" t="s">
        <v>141</v>
      </c>
      <c r="B53" s="213" t="n">
        <f aca="false">IF(B$12=0,0,ROUND(INDEX(EB.AZSOLLTag100.Bereich,MATCH(INDEX(EB.Monate.Bereich,MONTH(Monat.Tag1)),EB.Monate.Bereich,0))*B$11*IF(WEEKDAY(B$10,2)&gt;5,0,1)*$V$2/100,9))</f>
        <v>0</v>
      </c>
      <c r="C53" s="213" t="n">
        <f aca="false">IF(C$12=0,0,ROUND(INDEX(EB.AZSOLLTag100.Bereich,MATCH(INDEX(EB.Monate.Bereich,MONTH(Monat.Tag1)),EB.Monate.Bereich,0))*C$11*IF(WEEKDAY(C$10,2)&gt;5,0,1)*$V$2/100,9))</f>
        <v>0</v>
      </c>
      <c r="D53" s="213" t="n">
        <f aca="false">IF(D$12=0,0,ROUND(INDEX(EB.AZSOLLTag100.Bereich,MATCH(INDEX(EB.Monate.Bereich,MONTH(Monat.Tag1)),EB.Monate.Bereich,0))*D$11*IF(WEEKDAY(D$10,2)&gt;5,0,1)*$V$2/100,9))</f>
        <v>0.35</v>
      </c>
      <c r="E53" s="213" t="n">
        <f aca="false">IF(E$12=0,0,ROUND(INDEX(EB.AZSOLLTag100.Bereich,MATCH(INDEX(EB.Monate.Bereich,MONTH(Monat.Tag1)),EB.Monate.Bereich,0))*E$11*IF(WEEKDAY(E$10,2)&gt;5,0,1)*$V$2/100,9))</f>
        <v>0.35</v>
      </c>
      <c r="F53" s="213" t="n">
        <f aca="false">IF(F$12=0,0,ROUND(INDEX(EB.AZSOLLTag100.Bereich,MATCH(INDEX(EB.Monate.Bereich,MONTH(Monat.Tag1)),EB.Monate.Bereich,0))*F$11*IF(WEEKDAY(F$10,2)&gt;5,0,1)*$V$2/100,9))</f>
        <v>0.35</v>
      </c>
      <c r="G53" s="213" t="n">
        <f aca="false">IF(G$12=0,0,ROUND(INDEX(EB.AZSOLLTag100.Bereich,MATCH(INDEX(EB.Monate.Bereich,MONTH(Monat.Tag1)),EB.Monate.Bereich,0))*G$11*IF(WEEKDAY(G$10,2)&gt;5,0,1)*$V$2/100,9))</f>
        <v>0.35</v>
      </c>
      <c r="H53" s="213" t="n">
        <f aca="false">IF(H$12=0,0,ROUND(INDEX(EB.AZSOLLTag100.Bereich,MATCH(INDEX(EB.Monate.Bereich,MONTH(Monat.Tag1)),EB.Monate.Bereich,0))*H$11*IF(WEEKDAY(H$10,2)&gt;5,0,1)*$V$2/100,9))</f>
        <v>0.35</v>
      </c>
      <c r="I53" s="213" t="n">
        <f aca="false">IF(I$12=0,0,ROUND(INDEX(EB.AZSOLLTag100.Bereich,MATCH(INDEX(EB.Monate.Bereich,MONTH(Monat.Tag1)),EB.Monate.Bereich,0))*I$11*IF(WEEKDAY(I$10,2)&gt;5,0,1)*$V$2/100,9))</f>
        <v>0</v>
      </c>
      <c r="J53" s="213" t="n">
        <f aca="false">IF(J$12=0,0,ROUND(INDEX(EB.AZSOLLTag100.Bereich,MATCH(INDEX(EB.Monate.Bereich,MONTH(Monat.Tag1)),EB.Monate.Bereich,0))*J$11*IF(WEEKDAY(J$10,2)&gt;5,0,1)*$V$2/100,9))</f>
        <v>0</v>
      </c>
      <c r="K53" s="213" t="n">
        <f aca="false">IF(K$12=0,0,ROUND(INDEX(EB.AZSOLLTag100.Bereich,MATCH(INDEX(EB.Monate.Bereich,MONTH(Monat.Tag1)),EB.Monate.Bereich,0))*K$11*IF(WEEKDAY(K$10,2)&gt;5,0,1)*$V$2/100,9))</f>
        <v>0.175</v>
      </c>
      <c r="L53" s="213" t="n">
        <f aca="false">IF(L$12=0,0,ROUND(INDEX(EB.AZSOLLTag100.Bereich,MATCH(INDEX(EB.Monate.Bereich,MONTH(Monat.Tag1)),EB.Monate.Bereich,0))*L$11*IF(WEEKDAY(L$10,2)&gt;5,0,1)*$V$2/100,9))</f>
        <v>0.35</v>
      </c>
      <c r="M53" s="213" t="n">
        <f aca="false">IF(M$12=0,0,ROUND(INDEX(EB.AZSOLLTag100.Bereich,MATCH(INDEX(EB.Monate.Bereich,MONTH(Monat.Tag1)),EB.Monate.Bereich,0))*M$11*IF(WEEKDAY(M$10,2)&gt;5,0,1)*$V$2/100,9))</f>
        <v>0.35</v>
      </c>
      <c r="N53" s="213" t="n">
        <f aca="false">IF(N$12=0,0,ROUND(INDEX(EB.AZSOLLTag100.Bereich,MATCH(INDEX(EB.Monate.Bereich,MONTH(Monat.Tag1)),EB.Monate.Bereich,0))*N$11*IF(WEEKDAY(N$10,2)&gt;5,0,1)*$V$2/100,9))</f>
        <v>0.35</v>
      </c>
      <c r="O53" s="213" t="n">
        <f aca="false">IF(O$12=0,0,ROUND(INDEX(EB.AZSOLLTag100.Bereich,MATCH(INDEX(EB.Monate.Bereich,MONTH(Monat.Tag1)),EB.Monate.Bereich,0))*O$11*IF(WEEKDAY(O$10,2)&gt;5,0,1)*$V$2/100,9))</f>
        <v>0.35</v>
      </c>
      <c r="P53" s="213" t="n">
        <f aca="false">IF(P$12=0,0,ROUND(INDEX(EB.AZSOLLTag100.Bereich,MATCH(INDEX(EB.Monate.Bereich,MONTH(Monat.Tag1)),EB.Monate.Bereich,0))*P$11*IF(WEEKDAY(P$10,2)&gt;5,0,1)*$V$2/100,9))</f>
        <v>0</v>
      </c>
      <c r="Q53" s="213" t="n">
        <f aca="false">IF(Q$12=0,0,ROUND(INDEX(EB.AZSOLLTag100.Bereich,MATCH(INDEX(EB.Monate.Bereich,MONTH(Monat.Tag1)),EB.Monate.Bereich,0))*Q$11*IF(WEEKDAY(Q$10,2)&gt;5,0,1)*$V$2/100,9))</f>
        <v>0</v>
      </c>
      <c r="R53" s="213" t="n">
        <f aca="false">IF(R$12=0,0,ROUND(INDEX(EB.AZSOLLTag100.Bereich,MATCH(INDEX(EB.Monate.Bereich,MONTH(Monat.Tag1)),EB.Monate.Bereich,0))*R$11*IF(WEEKDAY(R$10,2)&gt;5,0,1)*$V$2/100,9))</f>
        <v>0.35</v>
      </c>
      <c r="S53" s="213" t="n">
        <f aca="false">IF(S$12=0,0,ROUND(INDEX(EB.AZSOLLTag100.Bereich,MATCH(INDEX(EB.Monate.Bereich,MONTH(Monat.Tag1)),EB.Monate.Bereich,0))*S$11*IF(WEEKDAY(S$10,2)&gt;5,0,1)*$V$2/100,9))</f>
        <v>0.35</v>
      </c>
      <c r="T53" s="213" t="n">
        <f aca="false">IF(T$12=0,0,ROUND(INDEX(EB.AZSOLLTag100.Bereich,MATCH(INDEX(EB.Monate.Bereich,MONTH(Monat.Tag1)),EB.Monate.Bereich,0))*T$11*IF(WEEKDAY(T$10,2)&gt;5,0,1)*$V$2/100,9))</f>
        <v>0.35</v>
      </c>
      <c r="U53" s="213" t="n">
        <f aca="false">IF(U$12=0,0,ROUND(INDEX(EB.AZSOLLTag100.Bereich,MATCH(INDEX(EB.Monate.Bereich,MONTH(Monat.Tag1)),EB.Monate.Bereich,0))*U$11*IF(WEEKDAY(U$10,2)&gt;5,0,1)*$V$2/100,9))</f>
        <v>0.35</v>
      </c>
      <c r="V53" s="213" t="n">
        <f aca="false">IF(V$12=0,0,ROUND(INDEX(EB.AZSOLLTag100.Bereich,MATCH(INDEX(EB.Monate.Bereich,MONTH(Monat.Tag1)),EB.Monate.Bereich,0))*V$11*IF(WEEKDAY(V$10,2)&gt;5,0,1)*$V$2/100,9))</f>
        <v>0.35</v>
      </c>
      <c r="W53" s="213" t="n">
        <f aca="false">IF(W$12=0,0,ROUND(INDEX(EB.AZSOLLTag100.Bereich,MATCH(INDEX(EB.Monate.Bereich,MONTH(Monat.Tag1)),EB.Monate.Bereich,0))*W$11*IF(WEEKDAY(W$10,2)&gt;5,0,1)*$V$2/100,9))</f>
        <v>0</v>
      </c>
      <c r="X53" s="213" t="n">
        <f aca="false">IF(X$12=0,0,ROUND(INDEX(EB.AZSOLLTag100.Bereich,MATCH(INDEX(EB.Monate.Bereich,MONTH(Monat.Tag1)),EB.Monate.Bereich,0))*X$11*IF(WEEKDAY(X$10,2)&gt;5,0,1)*$V$2/100,9))</f>
        <v>0</v>
      </c>
      <c r="Y53" s="213" t="n">
        <f aca="false">IF(Y$12=0,0,ROUND(INDEX(EB.AZSOLLTag100.Bereich,MATCH(INDEX(EB.Monate.Bereich,MONTH(Monat.Tag1)),EB.Monate.Bereich,0))*Y$11*IF(WEEKDAY(Y$10,2)&gt;5,0,1)*$V$2/100,9))</f>
        <v>0.35</v>
      </c>
      <c r="Z53" s="213" t="n">
        <f aca="false">IF(Z$12=0,0,ROUND(INDEX(EB.AZSOLLTag100.Bereich,MATCH(INDEX(EB.Monate.Bereich,MONTH(Monat.Tag1)),EB.Monate.Bereich,0))*Z$11*IF(WEEKDAY(Z$10,2)&gt;5,0,1)*$V$2/100,9))</f>
        <v>0.35</v>
      </c>
      <c r="AA53" s="213" t="n">
        <f aca="false">IF(AA$12=0,0,ROUND(INDEX(EB.AZSOLLTag100.Bereich,MATCH(INDEX(EB.Monate.Bereich,MONTH(Monat.Tag1)),EB.Monate.Bereich,0))*AA$11*IF(WEEKDAY(AA$10,2)&gt;5,0,1)*$V$2/100,9))</f>
        <v>0.35</v>
      </c>
      <c r="AB53" s="213" t="n">
        <f aca="false">IF(AB$12=0,0,ROUND(INDEX(EB.AZSOLLTag100.Bereich,MATCH(INDEX(EB.Monate.Bereich,MONTH(Monat.Tag1)),EB.Monate.Bereich,0))*AB$11*IF(WEEKDAY(AB$10,2)&gt;5,0,1)*$V$2/100,9))</f>
        <v>0.35</v>
      </c>
      <c r="AC53" s="213" t="n">
        <f aca="false">IF(AC$12=0,0,ROUND(INDEX(EB.AZSOLLTag100.Bereich,MATCH(INDEX(EB.Monate.Bereich,MONTH(Monat.Tag1)),EB.Monate.Bereich,0))*AC$11*IF(WEEKDAY(AC$10,2)&gt;5,0,1)*$V$2/100,9))</f>
        <v>0.35</v>
      </c>
      <c r="AD53" s="213" t="n">
        <f aca="false">IF(AD$12=0,0,ROUND(INDEX(EB.AZSOLLTag100.Bereich,MATCH(INDEX(EB.Monate.Bereich,MONTH(Monat.Tag1)),EB.Monate.Bereich,0))*AD$11*IF(WEEKDAY(AD$10,2)&gt;5,0,1)*$V$2/100,9))</f>
        <v>0</v>
      </c>
      <c r="AE53" s="213" t="n">
        <f aca="false">IF(AE$12=0,0,ROUND(INDEX(EB.AZSOLLTag100.Bereich,MATCH(INDEX(EB.Monate.Bereich,MONTH(Monat.Tag1)),EB.Monate.Bereich,0))*AE$11*IF(WEEKDAY(AE$10,2)&gt;5,0,1)*$V$2/100,9))</f>
        <v>0</v>
      </c>
      <c r="AF53" s="168" t="str">
        <f aca="false">A53</f>
        <v>Req. hours of work FTE</v>
      </c>
      <c r="AG53" s="184"/>
      <c r="AH53" s="207" t="n">
        <f aca="false">SUM(B53:AE53)</f>
        <v>6.825</v>
      </c>
      <c r="AI53" s="180"/>
      <c r="AJ53" s="172"/>
      <c r="AK53" s="172"/>
      <c r="AL53" s="172"/>
      <c r="AM53" s="171"/>
      <c r="AN53" s="172"/>
      <c r="AO53" s="172"/>
      <c r="AP53" s="39"/>
    </row>
    <row r="54" s="148" customFormat="true" ht="15" hidden="true" customHeight="true" outlineLevel="1" collapsed="false">
      <c r="A54" s="175" t="s">
        <v>142</v>
      </c>
      <c r="B54" s="213" t="n">
        <f aca="false">ROUND(INDEX(EB.AZSOLLTag100.Bereich,MATCH(INDEX(EB.Monate.Bereich,MONTH(Monat.Tag1)),EB.Monate.Bereich,0))*B$11*IF(WEEKDAY(B$10,2)&gt;5,0,1),9)</f>
        <v>0</v>
      </c>
      <c r="C54" s="213" t="n">
        <f aca="false">ROUND(INDEX(EB.AZSOLLTag100.Bereich,MATCH(INDEX(EB.Monate.Bereich,MONTH(Monat.Tag1)),EB.Monate.Bereich,0))*C$11*IF(WEEKDAY(C$10,2)&gt;5,0,1),9)</f>
        <v>0</v>
      </c>
      <c r="D54" s="214" t="n">
        <f aca="false">ROUND(INDEX(EB.AZSOLLTag100.Bereich,MATCH(INDEX(EB.Monate.Bereich,MONTH(Monat.Tag1)),EB.Monate.Bereich,0))*D$11*IF(WEEKDAY(D$10,2)&gt;5,0,1),9)</f>
        <v>0.35</v>
      </c>
      <c r="E54" s="213" t="n">
        <f aca="false">ROUND(INDEX(EB.AZSOLLTag100.Bereich,MATCH(INDEX(EB.Monate.Bereich,MONTH(Monat.Tag1)),EB.Monate.Bereich,0))*E$11*IF(WEEKDAY(E$10,2)&gt;5,0,1),9)</f>
        <v>0.35</v>
      </c>
      <c r="F54" s="214" t="n">
        <f aca="false">ROUND(INDEX(EB.AZSOLLTag100.Bereich,MATCH(INDEX(EB.Monate.Bereich,MONTH(Monat.Tag1)),EB.Monate.Bereich,0))*F$11*IF(WEEKDAY(F$10,2)&gt;5,0,1),9)</f>
        <v>0.35</v>
      </c>
      <c r="G54" s="214" t="n">
        <f aca="false">ROUND(INDEX(EB.AZSOLLTag100.Bereich,MATCH(INDEX(EB.Monate.Bereich,MONTH(Monat.Tag1)),EB.Monate.Bereich,0))*G$11*IF(WEEKDAY(G$10,2)&gt;5,0,1),9)</f>
        <v>0.35</v>
      </c>
      <c r="H54" s="214" t="n">
        <f aca="false">ROUND(INDEX(EB.AZSOLLTag100.Bereich,MATCH(INDEX(EB.Monate.Bereich,MONTH(Monat.Tag1)),EB.Monate.Bereich,0))*H$11*IF(WEEKDAY(H$10,2)&gt;5,0,1),9)</f>
        <v>0.35</v>
      </c>
      <c r="I54" s="214" t="n">
        <f aca="false">ROUND(INDEX(EB.AZSOLLTag100.Bereich,MATCH(INDEX(EB.Monate.Bereich,MONTH(Monat.Tag1)),EB.Monate.Bereich,0))*I$11*IF(WEEKDAY(I$10,2)&gt;5,0,1),9)</f>
        <v>0</v>
      </c>
      <c r="J54" s="213" t="n">
        <f aca="false">ROUND(INDEX(EB.AZSOLLTag100.Bereich,MATCH(INDEX(EB.Monate.Bereich,MONTH(Monat.Tag1)),EB.Monate.Bereich,0))*J$11*IF(WEEKDAY(J$10,2)&gt;5,0,1),9)</f>
        <v>0</v>
      </c>
      <c r="K54" s="214" t="n">
        <f aca="false">ROUND(INDEX(EB.AZSOLLTag100.Bereich,MATCH(INDEX(EB.Monate.Bereich,MONTH(Monat.Tag1)),EB.Monate.Bereich,0))*K$11*IF(WEEKDAY(K$10,2)&gt;5,0,1),9)</f>
        <v>0.175</v>
      </c>
      <c r="L54" s="213" t="n">
        <f aca="false">ROUND(INDEX(EB.AZSOLLTag100.Bereich,MATCH(INDEX(EB.Monate.Bereich,MONTH(Monat.Tag1)),EB.Monate.Bereich,0))*L$11*IF(WEEKDAY(L$10,2)&gt;5,0,1),9)</f>
        <v>0.35</v>
      </c>
      <c r="M54" s="214" t="n">
        <f aca="false">ROUND(INDEX(EB.AZSOLLTag100.Bereich,MATCH(INDEX(EB.Monate.Bereich,MONTH(Monat.Tag1)),EB.Monate.Bereich,0))*M$11*IF(WEEKDAY(M$10,2)&gt;5,0,1),9)</f>
        <v>0.35</v>
      </c>
      <c r="N54" s="214" t="n">
        <f aca="false">ROUND(INDEX(EB.AZSOLLTag100.Bereich,MATCH(INDEX(EB.Monate.Bereich,MONTH(Monat.Tag1)),EB.Monate.Bereich,0))*N$11*IF(WEEKDAY(N$10,2)&gt;5,0,1),9)</f>
        <v>0.35</v>
      </c>
      <c r="O54" s="214" t="n">
        <f aca="false">ROUND(INDEX(EB.AZSOLLTag100.Bereich,MATCH(INDEX(EB.Monate.Bereich,MONTH(Monat.Tag1)),EB.Monate.Bereich,0))*O$11*IF(WEEKDAY(O$10,2)&gt;5,0,1),9)</f>
        <v>0.35</v>
      </c>
      <c r="P54" s="214" t="n">
        <f aca="false">ROUND(INDEX(EB.AZSOLLTag100.Bereich,MATCH(INDEX(EB.Monate.Bereich,MONTH(Monat.Tag1)),EB.Monate.Bereich,0))*P$11*IF(WEEKDAY(P$10,2)&gt;5,0,1),9)</f>
        <v>0</v>
      </c>
      <c r="Q54" s="213" t="n">
        <f aca="false">ROUND(INDEX(EB.AZSOLLTag100.Bereich,MATCH(INDEX(EB.Monate.Bereich,MONTH(Monat.Tag1)),EB.Monate.Bereich,0))*Q$11*IF(WEEKDAY(Q$10,2)&gt;5,0,1),9)</f>
        <v>0</v>
      </c>
      <c r="R54" s="214" t="n">
        <f aca="false">ROUND(INDEX(EB.AZSOLLTag100.Bereich,MATCH(INDEX(EB.Monate.Bereich,MONTH(Monat.Tag1)),EB.Monate.Bereich,0))*R$11*IF(WEEKDAY(R$10,2)&gt;5,0,1),9)</f>
        <v>0.35</v>
      </c>
      <c r="S54" s="213" t="n">
        <f aca="false">ROUND(INDEX(EB.AZSOLLTag100.Bereich,MATCH(INDEX(EB.Monate.Bereich,MONTH(Monat.Tag1)),EB.Monate.Bereich,0))*S$11*IF(WEEKDAY(S$10,2)&gt;5,0,1),9)</f>
        <v>0.35</v>
      </c>
      <c r="T54" s="213" t="n">
        <f aca="false">ROUND(INDEX(EB.AZSOLLTag100.Bereich,MATCH(INDEX(EB.Monate.Bereich,MONTH(Monat.Tag1)),EB.Monate.Bereich,0))*T$11*IF(WEEKDAY(T$10,2)&gt;5,0,1),9)</f>
        <v>0.35</v>
      </c>
      <c r="U54" s="214" t="n">
        <f aca="false">ROUND(INDEX(EB.AZSOLLTag100.Bereich,MATCH(INDEX(EB.Monate.Bereich,MONTH(Monat.Tag1)),EB.Monate.Bereich,0))*U$11*IF(WEEKDAY(U$10,2)&gt;5,0,1),9)</f>
        <v>0.35</v>
      </c>
      <c r="V54" s="214" t="n">
        <f aca="false">ROUND(INDEX(EB.AZSOLLTag100.Bereich,MATCH(INDEX(EB.Monate.Bereich,MONTH(Monat.Tag1)),EB.Monate.Bereich,0))*V$11*IF(WEEKDAY(V$10,2)&gt;5,0,1),9)</f>
        <v>0.35</v>
      </c>
      <c r="W54" s="214" t="n">
        <f aca="false">ROUND(INDEX(EB.AZSOLLTag100.Bereich,MATCH(INDEX(EB.Monate.Bereich,MONTH(Monat.Tag1)),EB.Monate.Bereich,0))*W$11*IF(WEEKDAY(W$10,2)&gt;5,0,1),9)</f>
        <v>0</v>
      </c>
      <c r="X54" s="213" t="n">
        <f aca="false">ROUND(INDEX(EB.AZSOLLTag100.Bereich,MATCH(INDEX(EB.Monate.Bereich,MONTH(Monat.Tag1)),EB.Monate.Bereich,0))*X$11*IF(WEEKDAY(X$10,2)&gt;5,0,1),9)</f>
        <v>0</v>
      </c>
      <c r="Y54" s="214" t="n">
        <f aca="false">ROUND(INDEX(EB.AZSOLLTag100.Bereich,MATCH(INDEX(EB.Monate.Bereich,MONTH(Monat.Tag1)),EB.Monate.Bereich,0))*Y$11*IF(WEEKDAY(Y$10,2)&gt;5,0,1),9)</f>
        <v>0.35</v>
      </c>
      <c r="Z54" s="215" t="n">
        <f aca="false">ROUND(INDEX(EB.AZSOLLTag100.Bereich,MATCH(INDEX(EB.Monate.Bereich,MONTH(Monat.Tag1)),EB.Monate.Bereich,0))*Z$11*IF(WEEKDAY(Z$10,2)&gt;5,0,1),9)</f>
        <v>0.35</v>
      </c>
      <c r="AA54" s="214" t="n">
        <f aca="false">ROUND(INDEX(EB.AZSOLLTag100.Bereich,MATCH(INDEX(EB.Monate.Bereich,MONTH(Monat.Tag1)),EB.Monate.Bereich,0))*AA$11*IF(WEEKDAY(AA$10,2)&gt;5,0,1),9)</f>
        <v>0.35</v>
      </c>
      <c r="AB54" s="214" t="n">
        <f aca="false">ROUND(INDEX(EB.AZSOLLTag100.Bereich,MATCH(INDEX(EB.Monate.Bereich,MONTH(Monat.Tag1)),EB.Monate.Bereich,0))*AB$11*IF(WEEKDAY(AB$10,2)&gt;5,0,1),9)</f>
        <v>0.35</v>
      </c>
      <c r="AC54" s="214" t="n">
        <f aca="false">ROUND(INDEX(EB.AZSOLLTag100.Bereich,MATCH(INDEX(EB.Monate.Bereich,MONTH(Monat.Tag1)),EB.Monate.Bereich,0))*AC$11*IF(WEEKDAY(AC$10,2)&gt;5,0,1),9)</f>
        <v>0.35</v>
      </c>
      <c r="AD54" s="214" t="n">
        <f aca="false">ROUND(INDEX(EB.AZSOLLTag100.Bereich,MATCH(INDEX(EB.Monate.Bereich,MONTH(Monat.Tag1)),EB.Monate.Bereich,0))*AD$11*IF(WEEKDAY(AD$10,2)&gt;5,0,1),9)</f>
        <v>0</v>
      </c>
      <c r="AE54" s="213" t="n">
        <f aca="false">ROUND(INDEX(EB.AZSOLLTag100.Bereich,MATCH(INDEX(EB.Monate.Bereich,MONTH(Monat.Tag1)),EB.Monate.Bereich,0))*AE$11*IF(WEEKDAY(AE$10,2)&gt;5,0,1),9)</f>
        <v>0</v>
      </c>
      <c r="AF54" s="168" t="str">
        <f aca="false">A54</f>
        <v>Req. hours of work 100%</v>
      </c>
      <c r="AG54" s="184"/>
      <c r="AH54" s="207" t="n">
        <f aca="false">SUM(B54:AE54)</f>
        <v>6.825</v>
      </c>
      <c r="AI54" s="180"/>
      <c r="AJ54" s="172"/>
      <c r="AK54" s="172"/>
      <c r="AL54" s="172"/>
      <c r="AM54" s="171"/>
      <c r="AN54" s="172"/>
      <c r="AO54" s="172"/>
      <c r="AP54" s="39"/>
    </row>
    <row r="55" s="148" customFormat="true" ht="15" hidden="false" customHeight="true" outlineLevel="0" collapsed="false">
      <c r="A55" s="175" t="s">
        <v>143</v>
      </c>
      <c r="B55" s="203" t="n">
        <f aca="false">ROUND(B51-B53,9)</f>
        <v>0</v>
      </c>
      <c r="C55" s="203" t="n">
        <f aca="false">ROUND(C51-C53,9)</f>
        <v>0</v>
      </c>
      <c r="D55" s="203" t="n">
        <f aca="false">ROUND(D51-D53,9)</f>
        <v>-0.35</v>
      </c>
      <c r="E55" s="205" t="n">
        <f aca="false">ROUND(E51-E53,9)</f>
        <v>-0.35</v>
      </c>
      <c r="F55" s="203" t="n">
        <f aca="false">ROUND(F51-F53,9)</f>
        <v>-0.35</v>
      </c>
      <c r="G55" s="203" t="n">
        <f aca="false">ROUND(G51-G53,9)</f>
        <v>-0.35</v>
      </c>
      <c r="H55" s="203" t="n">
        <f aca="false">ROUND(H51-H53,9)</f>
        <v>-0.35</v>
      </c>
      <c r="I55" s="203" t="n">
        <f aca="false">ROUND(I51-I53,9)</f>
        <v>0</v>
      </c>
      <c r="J55" s="205" t="n">
        <f aca="false">ROUND(J51-J53,9)</f>
        <v>0</v>
      </c>
      <c r="K55" s="203" t="n">
        <f aca="false">ROUND(K51-K53,9)</f>
        <v>-0.175</v>
      </c>
      <c r="L55" s="205" t="n">
        <f aca="false">ROUND(L51-L53,9)</f>
        <v>-0.35</v>
      </c>
      <c r="M55" s="203" t="n">
        <f aca="false">ROUND(M51-M53,9)</f>
        <v>-0.35</v>
      </c>
      <c r="N55" s="203" t="n">
        <f aca="false">ROUND(N51-N53,9)</f>
        <v>-0.35</v>
      </c>
      <c r="O55" s="203" t="n">
        <f aca="false">ROUND(O51-O53,9)</f>
        <v>-0.35</v>
      </c>
      <c r="P55" s="203" t="n">
        <f aca="false">ROUND(P51-P53,9)</f>
        <v>0</v>
      </c>
      <c r="Q55" s="205" t="n">
        <f aca="false">ROUND(Q51-Q53,9)</f>
        <v>0</v>
      </c>
      <c r="R55" s="203" t="n">
        <f aca="false">ROUND(R51-R53,9)</f>
        <v>-0.35</v>
      </c>
      <c r="S55" s="205" t="n">
        <f aca="false">ROUND(S51-S53,9)</f>
        <v>-0.35</v>
      </c>
      <c r="T55" s="205" t="n">
        <f aca="false">ROUND(T51-T53,9)</f>
        <v>-0.35</v>
      </c>
      <c r="U55" s="203" t="n">
        <f aca="false">ROUND(U51-U53,9)</f>
        <v>-0.35</v>
      </c>
      <c r="V55" s="203" t="n">
        <f aca="false">ROUND(V51-V53,9)</f>
        <v>-0.35</v>
      </c>
      <c r="W55" s="203" t="n">
        <f aca="false">ROUND(W51-W53,9)</f>
        <v>0</v>
      </c>
      <c r="X55" s="205" t="n">
        <f aca="false">ROUND(X51-X53,9)</f>
        <v>0</v>
      </c>
      <c r="Y55" s="203" t="n">
        <f aca="false">ROUND(Y51-Y53,9)</f>
        <v>-0.35</v>
      </c>
      <c r="Z55" s="206" t="n">
        <f aca="false">ROUND(Z51-Z53,9)</f>
        <v>-0.35</v>
      </c>
      <c r="AA55" s="203" t="n">
        <f aca="false">ROUND(AA51-AA53,9)</f>
        <v>-0.35</v>
      </c>
      <c r="AB55" s="203" t="n">
        <f aca="false">ROUND(AB51-AB53,9)</f>
        <v>-0.35</v>
      </c>
      <c r="AC55" s="203" t="n">
        <f aca="false">ROUND(AC51-AC53,9)</f>
        <v>-0.35</v>
      </c>
      <c r="AD55" s="203" t="n">
        <f aca="false">ROUND(AD51-AD53,9)</f>
        <v>0</v>
      </c>
      <c r="AE55" s="205" t="n">
        <f aca="false">ROUND(AE51-AE53,9)</f>
        <v>0</v>
      </c>
      <c r="AF55" s="168" t="str">
        <f aca="false">A55</f>
        <v>+/- required/actual hours daily</v>
      </c>
      <c r="AG55" s="184"/>
      <c r="AH55" s="207" t="n">
        <f aca="false">SUM(B55:AE55)</f>
        <v>-6.825</v>
      </c>
      <c r="AI55" s="180"/>
      <c r="AJ55" s="172"/>
      <c r="AK55" s="216" t="n">
        <f aca="false">IF(EB.Anwendung&lt;&gt;"",IF(MONTH(Monat.Tag1)=1,0,IF(MONTH(Monat.Tag1)=2,January!Monat.Soll_Ist_UeVM,IF(MONTH(Monat.Tag1)=3,February!Monat.Soll_Ist_UeVM,IF(MONTH(Monat.Tag1)=4,March!Monat.Soll_Ist_UeVM,IF(MONTH(Monat.Tag1)=5,April!Monat.Soll_Ist_UeVM,IF(MONTH(Monat.Tag1)=6,May!Monat.Soll_Ist_UeVM,IF(MONTH(Monat.Tag1)=7,June!Monat.Soll_Ist_UeVM,IF(MONTH(Monat.Tag1)=8,July!Monat.Soll_Ist_UeVM,IF(MONTH(Monat.Tag1)=9,August!Monat.Soll_Ist_UeVM,IF(MONTH(Monat.Tag1)=10,Monat.Soll_Ist_UeVM,IF(MONTH(Monat.Tag1)=11,October!Monat.Soll_Ist_UeVM,IF(MONTH(Monat.Tag1)=12,November!Monat.Soll_Ist_UeVM,"")))))))))))),"")</f>
        <v>-7.7</v>
      </c>
      <c r="AL55" s="172"/>
      <c r="AM55" s="217" t="n">
        <f aca="false">IF(AG57="+",(AH55+AH57),(AH55-AH57))</f>
        <v>-6.825</v>
      </c>
      <c r="AN55" s="217" t="n">
        <f aca="true">SUM(OFFSET(J.AZSaldo.Total,-12,0,MONTH(Monat.Tag1),1))</f>
        <v>-32.793055555</v>
      </c>
      <c r="AO55" s="217" t="n">
        <f aca="false">J.AZSaldo.Total</f>
        <v>-54.918055555</v>
      </c>
      <c r="AP55" s="39"/>
    </row>
    <row r="56" s="148" customFormat="true" ht="15" hidden="false" customHeight="true" outlineLevel="0" collapsed="false">
      <c r="A56" s="175" t="s">
        <v>144</v>
      </c>
      <c r="B56" s="218" t="n">
        <f aca="true">IF(EB.Anwendung&lt;&gt;"",IF(DAY(B$10)=1,IF(MONTH(Monat.Tag1)=1,ROUND(EB.ÜVMMS,9),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Monat.MMS.UeVM,IF(MONTH(Monat.Tag1)=11,October!Monat.MMS.UeVM,IF(MONTH(Monat.Tag1)=12,November!Monat.MMS.UeVM,""))))))))))))+IF(B$10&gt;TODAY(),0,B55), IF(B$10&gt;TODAY(),A56,A56+B55)),"")</f>
        <v>-0.768055555</v>
      </c>
      <c r="C56" s="218" t="n">
        <f aca="true">IF(EB.Anwendung&lt;&gt;"",IF(DAY(C$10)=1,IF(MONTH(Monat.Tag1)=1,ROUND(EB.ÜVMMS,9),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Monat.MMS.UeVM,IF(MONTH(Monat.Tag1)=11,October!Monat.MMS.UeVM,IF(MONTH(Monat.Tag1)=12,November!Monat.MMS.UeVM,""))))))))))))+IF(C$10&gt;TODAY(),0,C55), IF(C$10&gt;TODAY(),B56,B56+C55)),"")</f>
        <v>-0.768055555</v>
      </c>
      <c r="D56" s="218" t="n">
        <f aca="true">IF(EB.Anwendung&lt;&gt;"",IF(DAY(D$10)=1,IF(MONTH(Monat.Tag1)=1,ROUND(EB.ÜVMMS,9),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Monat.MMS.UeVM,IF(MONTH(Monat.Tag1)=11,October!Monat.MMS.UeVM,IF(MONTH(Monat.Tag1)=12,November!Monat.MMS.UeVM,""))))))))))))+IF(D$10&gt;TODAY(),0,D55), IF(D$10&gt;TODAY(),C56,C56+D55)),"")</f>
        <v>-0.768055555</v>
      </c>
      <c r="E56" s="218" t="n">
        <f aca="true">IF(EB.Anwendung&lt;&gt;"",IF(DAY(E$10)=1,IF(MONTH(Monat.Tag1)=1,ROUND(EB.ÜVMMS,9),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Monat.MMS.UeVM,IF(MONTH(Monat.Tag1)=11,October!Monat.MMS.UeVM,IF(MONTH(Monat.Tag1)=12,November!Monat.MMS.UeVM,""))))))))))))+IF(E$10&gt;TODAY(),0,E55), IF(E$10&gt;TODAY(),D56,D56+E55)),"")</f>
        <v>-0.768055555</v>
      </c>
      <c r="F56" s="218" t="n">
        <f aca="true">IF(EB.Anwendung&lt;&gt;"",IF(DAY(F$10)=1,IF(MONTH(Monat.Tag1)=1,ROUND(EB.ÜVMMS,9),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Monat.MMS.UeVM,IF(MONTH(Monat.Tag1)=11,October!Monat.MMS.UeVM,IF(MONTH(Monat.Tag1)=12,November!Monat.MMS.UeVM,""))))))))))))+IF(F$10&gt;TODAY(),0,F55), IF(F$10&gt;TODAY(),E56,E56+F55)),"")</f>
        <v>-0.768055555</v>
      </c>
      <c r="G56" s="218" t="n">
        <f aca="true">IF(EB.Anwendung&lt;&gt;"",IF(DAY(G$10)=1,IF(MONTH(Monat.Tag1)=1,ROUND(EB.ÜVMMS,9),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Monat.MMS.UeVM,IF(MONTH(Monat.Tag1)=11,October!Monat.MMS.UeVM,IF(MONTH(Monat.Tag1)=12,November!Monat.MMS.UeVM,""))))))))))))+IF(G$10&gt;TODAY(),0,G55), IF(G$10&gt;TODAY(),F56,F56+G55)),"")</f>
        <v>-0.768055555</v>
      </c>
      <c r="H56" s="218" t="n">
        <f aca="true">IF(EB.Anwendung&lt;&gt;"",IF(DAY(H$10)=1,IF(MONTH(Monat.Tag1)=1,ROUND(EB.ÜVMMS,9),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Monat.MMS.UeVM,IF(MONTH(Monat.Tag1)=11,October!Monat.MMS.UeVM,IF(MONTH(Monat.Tag1)=12,November!Monat.MMS.UeVM,""))))))))))))+IF(H$10&gt;TODAY(),0,H55), IF(H$10&gt;TODAY(),G56,G56+H55)),"")</f>
        <v>-0.768055555</v>
      </c>
      <c r="I56" s="218" t="n">
        <f aca="true">IF(EB.Anwendung&lt;&gt;"",IF(DAY(I$10)=1,IF(MONTH(Monat.Tag1)=1,ROUND(EB.ÜVMMS,9),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Monat.MMS.UeVM,IF(MONTH(Monat.Tag1)=11,October!Monat.MMS.UeVM,IF(MONTH(Monat.Tag1)=12,November!Monat.MMS.UeVM,""))))))))))))+IF(I$10&gt;TODAY(),0,I55), IF(I$10&gt;TODAY(),H56,H56+I55)),"")</f>
        <v>-0.768055555</v>
      </c>
      <c r="J56" s="218" t="n">
        <f aca="true">IF(EB.Anwendung&lt;&gt;"",IF(DAY(J$10)=1,IF(MONTH(Monat.Tag1)=1,ROUND(EB.ÜVMMS,9),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Monat.MMS.UeVM,IF(MONTH(Monat.Tag1)=11,October!Monat.MMS.UeVM,IF(MONTH(Monat.Tag1)=12,November!Monat.MMS.UeVM,""))))))))))))+IF(J$10&gt;TODAY(),0,J55), IF(J$10&gt;TODAY(),I56,I56+J55)),"")</f>
        <v>-0.768055555</v>
      </c>
      <c r="K56" s="218" t="n">
        <f aca="true">IF(EB.Anwendung&lt;&gt;"",IF(DAY(K$10)=1,IF(MONTH(Monat.Tag1)=1,ROUND(EB.ÜVMMS,9),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Monat.MMS.UeVM,IF(MONTH(Monat.Tag1)=11,October!Monat.MMS.UeVM,IF(MONTH(Monat.Tag1)=12,November!Monat.MMS.UeVM,""))))))))))))+IF(K$10&gt;TODAY(),0,K55), IF(K$10&gt;TODAY(),J56,J56+K55)),"")</f>
        <v>-0.768055555</v>
      </c>
      <c r="L56" s="218" t="n">
        <f aca="true">IF(EB.Anwendung&lt;&gt;"",IF(DAY(L$10)=1,IF(MONTH(Monat.Tag1)=1,ROUND(EB.ÜVMMS,9),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Monat.MMS.UeVM,IF(MONTH(Monat.Tag1)=11,October!Monat.MMS.UeVM,IF(MONTH(Monat.Tag1)=12,November!Monat.MMS.UeVM,""))))))))))))+IF(L$10&gt;TODAY(),0,L55), IF(L$10&gt;TODAY(),K56,K56+L55)),"")</f>
        <v>-0.768055555</v>
      </c>
      <c r="M56" s="218" t="n">
        <f aca="true">IF(EB.Anwendung&lt;&gt;"",IF(DAY(M$10)=1,IF(MONTH(Monat.Tag1)=1,ROUND(EB.ÜVMMS,9),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Monat.MMS.UeVM,IF(MONTH(Monat.Tag1)=11,October!Monat.MMS.UeVM,IF(MONTH(Monat.Tag1)=12,November!Monat.MMS.UeVM,""))))))))))))+IF(M$10&gt;TODAY(),0,M55), IF(M$10&gt;TODAY(),L56,L56+M55)),"")</f>
        <v>-0.768055555</v>
      </c>
      <c r="N56" s="218" t="n">
        <f aca="true">IF(EB.Anwendung&lt;&gt;"",IF(DAY(N$10)=1,IF(MONTH(Monat.Tag1)=1,ROUND(EB.ÜVMMS,9),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Monat.MMS.UeVM,IF(MONTH(Monat.Tag1)=11,October!Monat.MMS.UeVM,IF(MONTH(Monat.Tag1)=12,November!Monat.MMS.UeVM,""))))))))))))+IF(N$10&gt;TODAY(),0,N55), IF(N$10&gt;TODAY(),M56,M56+N55)),"")</f>
        <v>-0.768055555</v>
      </c>
      <c r="O56" s="218" t="n">
        <f aca="true">IF(EB.Anwendung&lt;&gt;"",IF(DAY(O$10)=1,IF(MONTH(Monat.Tag1)=1,ROUND(EB.ÜVMMS,9),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Monat.MMS.UeVM,IF(MONTH(Monat.Tag1)=11,October!Monat.MMS.UeVM,IF(MONTH(Monat.Tag1)=12,November!Monat.MMS.UeVM,""))))))))))))+IF(O$10&gt;TODAY(),0,O55), IF(O$10&gt;TODAY(),N56,N56+O55)),"")</f>
        <v>-0.768055555</v>
      </c>
      <c r="P56" s="218" t="n">
        <f aca="true">IF(EB.Anwendung&lt;&gt;"",IF(DAY(P$10)=1,IF(MONTH(Monat.Tag1)=1,ROUND(EB.ÜVMMS,9),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Monat.MMS.UeVM,IF(MONTH(Monat.Tag1)=11,October!Monat.MMS.UeVM,IF(MONTH(Monat.Tag1)=12,November!Monat.MMS.UeVM,""))))))))))))+IF(P$10&gt;TODAY(),0,P55), IF(P$10&gt;TODAY(),O56,O56+P55)),"")</f>
        <v>-0.768055555</v>
      </c>
      <c r="Q56" s="218" t="n">
        <f aca="true">IF(EB.Anwendung&lt;&gt;"",IF(DAY(Q$10)=1,IF(MONTH(Monat.Tag1)=1,ROUND(EB.ÜVMMS,9),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Monat.MMS.UeVM,IF(MONTH(Monat.Tag1)=11,October!Monat.MMS.UeVM,IF(MONTH(Monat.Tag1)=12,November!Monat.MMS.UeVM,""))))))))))))+IF(Q$10&gt;TODAY(),0,Q55), IF(Q$10&gt;TODAY(),P56,P56+Q55)),"")</f>
        <v>-0.768055555</v>
      </c>
      <c r="R56" s="218" t="n">
        <f aca="true">IF(EB.Anwendung&lt;&gt;"",IF(DAY(R$10)=1,IF(MONTH(Monat.Tag1)=1,ROUND(EB.ÜVMMS,9),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Monat.MMS.UeVM,IF(MONTH(Monat.Tag1)=11,October!Monat.MMS.UeVM,IF(MONTH(Monat.Tag1)=12,November!Monat.MMS.UeVM,""))))))))))))+IF(R$10&gt;TODAY(),0,R55), IF(R$10&gt;TODAY(),Q56,Q56+R55)),"")</f>
        <v>-0.768055555</v>
      </c>
      <c r="S56" s="218" t="n">
        <f aca="true">IF(EB.Anwendung&lt;&gt;"",IF(DAY(S$10)=1,IF(MONTH(Monat.Tag1)=1,ROUND(EB.ÜVMMS,9),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Monat.MMS.UeVM,IF(MONTH(Monat.Tag1)=11,October!Monat.MMS.UeVM,IF(MONTH(Monat.Tag1)=12,November!Monat.MMS.UeVM,""))))))))))))+IF(S$10&gt;TODAY(),0,S55), IF(S$10&gt;TODAY(),R56,R56+S55)),"")</f>
        <v>-0.768055555</v>
      </c>
      <c r="T56" s="218" t="n">
        <f aca="true">IF(EB.Anwendung&lt;&gt;"",IF(DAY(T$10)=1,IF(MONTH(Monat.Tag1)=1,ROUND(EB.ÜVMMS,9),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Monat.MMS.UeVM,IF(MONTH(Monat.Tag1)=11,October!Monat.MMS.UeVM,IF(MONTH(Monat.Tag1)=12,November!Monat.MMS.UeVM,""))))))))))))+IF(T$10&gt;TODAY(),0,T55), IF(T$10&gt;TODAY(),S56,S56+T55)),"")</f>
        <v>-0.768055555</v>
      </c>
      <c r="U56" s="218" t="n">
        <f aca="true">IF(EB.Anwendung&lt;&gt;"",IF(DAY(U$10)=1,IF(MONTH(Monat.Tag1)=1,ROUND(EB.ÜVMMS,9),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Monat.MMS.UeVM,IF(MONTH(Monat.Tag1)=11,October!Monat.MMS.UeVM,IF(MONTH(Monat.Tag1)=12,November!Monat.MMS.UeVM,""))))))))))))+IF(U$10&gt;TODAY(),0,U55), IF(U$10&gt;TODAY(),T56,T56+U55)),"")</f>
        <v>-0.768055555</v>
      </c>
      <c r="V56" s="218" t="n">
        <f aca="true">IF(EB.Anwendung&lt;&gt;"",IF(DAY(V$10)=1,IF(MONTH(Monat.Tag1)=1,ROUND(EB.ÜVMMS,9),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Monat.MMS.UeVM,IF(MONTH(Monat.Tag1)=11,October!Monat.MMS.UeVM,IF(MONTH(Monat.Tag1)=12,November!Monat.MMS.UeVM,""))))))))))))+IF(V$10&gt;TODAY(),0,V55), IF(V$10&gt;TODAY(),U56,U56+V55)),"")</f>
        <v>-0.768055555</v>
      </c>
      <c r="W56" s="218" t="n">
        <f aca="true">IF(EB.Anwendung&lt;&gt;"",IF(DAY(W$10)=1,IF(MONTH(Monat.Tag1)=1,ROUND(EB.ÜVMMS,9),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Monat.MMS.UeVM,IF(MONTH(Monat.Tag1)=11,October!Monat.MMS.UeVM,IF(MONTH(Monat.Tag1)=12,November!Monat.MMS.UeVM,""))))))))))))+IF(W$10&gt;TODAY(),0,W55), IF(W$10&gt;TODAY(),V56,V56+W55)),"")</f>
        <v>-0.768055555</v>
      </c>
      <c r="X56" s="218" t="n">
        <f aca="true">IF(EB.Anwendung&lt;&gt;"",IF(DAY(X$10)=1,IF(MONTH(Monat.Tag1)=1,ROUND(EB.ÜVMMS,9),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Monat.MMS.UeVM,IF(MONTH(Monat.Tag1)=11,October!Monat.MMS.UeVM,IF(MONTH(Monat.Tag1)=12,November!Monat.MMS.UeVM,""))))))))))))+IF(X$10&gt;TODAY(),0,X55), IF(X$10&gt;TODAY(),W56,W56+X55)),"")</f>
        <v>-0.768055555</v>
      </c>
      <c r="Y56" s="218" t="n">
        <f aca="true">IF(EB.Anwendung&lt;&gt;"",IF(DAY(Y$10)=1,IF(MONTH(Monat.Tag1)=1,ROUND(EB.ÜVMMS,9),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Monat.MMS.UeVM,IF(MONTH(Monat.Tag1)=11,October!Monat.MMS.UeVM,IF(MONTH(Monat.Tag1)=12,November!Monat.MMS.UeVM,""))))))))))))+IF(Y$10&gt;TODAY(),0,Y55), IF(Y$10&gt;TODAY(),X56,X56+Y55)),"")</f>
        <v>-0.768055555</v>
      </c>
      <c r="Z56" s="218" t="n">
        <f aca="true">IF(EB.Anwendung&lt;&gt;"",IF(DAY(Z$10)=1,IF(MONTH(Monat.Tag1)=1,ROUND(EB.ÜVMMS,9),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Monat.MMS.UeVM,IF(MONTH(Monat.Tag1)=11,October!Monat.MMS.UeVM,IF(MONTH(Monat.Tag1)=12,November!Monat.MMS.UeVM,""))))))))))))+IF(Z$10&gt;TODAY(),0,Z55), IF(Z$10&gt;TODAY(),Y56,Y56+Z55)),"")</f>
        <v>-0.768055555</v>
      </c>
      <c r="AA56" s="218" t="n">
        <f aca="true">IF(EB.Anwendung&lt;&gt;"",IF(DAY(AA$10)=1,IF(MONTH(Monat.Tag1)=1,ROUND(EB.ÜVMMS,9),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Monat.MMS.UeVM,IF(MONTH(Monat.Tag1)=11,October!Monat.MMS.UeVM,IF(MONTH(Monat.Tag1)=12,November!Monat.MMS.UeVM,""))))))))))))+IF(AA$10&gt;TODAY(),0,AA55), IF(AA$10&gt;TODAY(),Z56,Z56+AA55)),"")</f>
        <v>-0.768055555</v>
      </c>
      <c r="AB56" s="218" t="n">
        <f aca="true">IF(EB.Anwendung&lt;&gt;"",IF(DAY(AB$10)=1,IF(MONTH(Monat.Tag1)=1,ROUND(EB.ÜVMMS,9),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Monat.MMS.UeVM,IF(MONTH(Monat.Tag1)=11,October!Monat.MMS.UeVM,IF(MONTH(Monat.Tag1)=12,November!Monat.MMS.UeVM,""))))))))))))+IF(AB$10&gt;TODAY(),0,AB55), IF(AB$10&gt;TODAY(),AA56,AA56+AB55)),"")</f>
        <v>-0.768055555</v>
      </c>
      <c r="AC56" s="218" t="n">
        <f aca="true">IF(EB.Anwendung&lt;&gt;"",IF(DAY(AC$10)=1,IF(MONTH(Monat.Tag1)=1,ROUND(EB.ÜVMMS,9),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Monat.MMS.UeVM,IF(MONTH(Monat.Tag1)=11,October!Monat.MMS.UeVM,IF(MONTH(Monat.Tag1)=12,November!Monat.MMS.UeVM,""))))))))))))+IF(AC$10&gt;TODAY(),0,AC55), IF(AC$10&gt;TODAY(),AB56,AB56+AC55)),"")</f>
        <v>-0.768055555</v>
      </c>
      <c r="AD56" s="218" t="n">
        <f aca="true">IF(EB.Anwendung&lt;&gt;"",IF(DAY(AD$10)=1,IF(MONTH(Monat.Tag1)=1,ROUND(EB.ÜVMMS,9),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Monat.MMS.UeVM,IF(MONTH(Monat.Tag1)=11,October!Monat.MMS.UeVM,IF(MONTH(Monat.Tag1)=12,November!Monat.MMS.UeVM,""))))))))))))+IF(AD$10&gt;TODAY(),0,AD55), IF(AD$10&gt;TODAY(),AC56,AC56+AD55)),"")</f>
        <v>-0.768055555</v>
      </c>
      <c r="AE56" s="218" t="n">
        <f aca="true">IF(EB.Anwendung&lt;&gt;"",IF(DAY(AE$10)=1,IF(MONTH(Monat.Tag1)=1,ROUND(EB.ÜVMMS,9),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Monat.MMS.UeVM,IF(MONTH(Monat.Tag1)=11,October!Monat.MMS.UeVM,IF(MONTH(Monat.Tag1)=12,November!Monat.MMS.UeVM,""))))))))))))+IF(AE$10&gt;TODAY(),0,AE55), IF(AE$10&gt;TODAY(),AD56,AD56+AE55)),"")</f>
        <v>-0.768055555</v>
      </c>
      <c r="AF56" s="168" t="str">
        <f aca="false">A56</f>
        <v>current extra/minus hours</v>
      </c>
      <c r="AG56" s="184"/>
      <c r="AH56" s="207" t="n">
        <f aca="true">OFFSET(B56,0,DAY(EOMONTH(Monat.Tag1,0))-1,1,1)</f>
        <v>-0.768055555</v>
      </c>
      <c r="AI56" s="180"/>
      <c r="AJ56" s="172"/>
      <c r="AK56" s="172"/>
      <c r="AL56" s="172"/>
      <c r="AM56" s="171"/>
      <c r="AN56" s="172"/>
      <c r="AO56" s="172"/>
      <c r="AP56" s="39"/>
    </row>
    <row r="57" s="231" customFormat="true" ht="15" hidden="false" customHeight="true" outlineLevel="1" collapsed="false">
      <c r="A57" s="219"/>
      <c r="B57" s="220"/>
      <c r="C57" s="220"/>
      <c r="D57" s="220"/>
      <c r="E57" s="152"/>
      <c r="F57" s="220"/>
      <c r="G57" s="220"/>
      <c r="H57" s="221"/>
      <c r="I57" s="220"/>
      <c r="J57" s="222"/>
      <c r="K57" s="220"/>
      <c r="L57" s="223"/>
      <c r="M57" s="220"/>
      <c r="N57" s="220"/>
      <c r="O57" s="221"/>
      <c r="P57" s="220"/>
      <c r="Q57" s="152"/>
      <c r="R57" s="220"/>
      <c r="S57" s="223"/>
      <c r="T57" s="220"/>
      <c r="U57" s="220"/>
      <c r="V57" s="221"/>
      <c r="W57" s="220"/>
      <c r="X57" s="224"/>
      <c r="Y57" s="220"/>
      <c r="Z57" s="152"/>
      <c r="AA57" s="220"/>
      <c r="AB57" s="220"/>
      <c r="AC57" s="221"/>
      <c r="AD57" s="220"/>
      <c r="AE57" s="152"/>
      <c r="AF57" s="175" t="s">
        <v>145</v>
      </c>
      <c r="AG57" s="226" t="s">
        <v>146</v>
      </c>
      <c r="AH57" s="227"/>
      <c r="AI57" s="228"/>
      <c r="AJ57" s="229"/>
      <c r="AK57" s="172"/>
      <c r="AL57" s="172"/>
      <c r="AM57" s="171"/>
      <c r="AN57" s="230"/>
      <c r="AO57" s="230"/>
      <c r="AP57" s="96"/>
    </row>
    <row r="58" s="236" customFormat="true" ht="15" hidden="false" customHeight="true" outlineLevel="0" collapsed="false">
      <c r="A58" s="232"/>
      <c r="B58" s="223"/>
      <c r="C58" s="223"/>
      <c r="D58" s="223"/>
      <c r="E58" s="152"/>
      <c r="F58" s="223"/>
      <c r="G58" s="223"/>
      <c r="H58" s="223"/>
      <c r="I58" s="223"/>
      <c r="J58" s="152"/>
      <c r="K58" s="223"/>
      <c r="L58" s="223"/>
      <c r="M58" s="223"/>
      <c r="N58" s="223"/>
      <c r="O58" s="223"/>
      <c r="P58" s="223"/>
      <c r="Q58" s="152"/>
      <c r="R58" s="223"/>
      <c r="S58" s="223"/>
      <c r="T58" s="223"/>
      <c r="U58" s="223"/>
      <c r="V58" s="223"/>
      <c r="W58" s="223"/>
      <c r="X58" s="224"/>
      <c r="Y58" s="223"/>
      <c r="Z58" s="152"/>
      <c r="AA58" s="223"/>
      <c r="AB58" s="223"/>
      <c r="AC58" s="223"/>
      <c r="AD58" s="223"/>
      <c r="AE58" s="152"/>
      <c r="AF58" s="234" t="s">
        <v>147</v>
      </c>
      <c r="AG58" s="184"/>
      <c r="AH58" s="207" t="n">
        <f aca="false">IF(AG57="+",(Monat.ZUeZ.Total+AH57),(Monat.ZUeZ.Total-AH57))</f>
        <v>-0.768055555</v>
      </c>
      <c r="AI58" s="33"/>
      <c r="AJ58" s="235"/>
      <c r="AK58" s="216" t="n">
        <f aca="false">IF(EB.Anwendung&lt;&gt;"",IF(MONTH(Monat.Tag1)=1,EB.MMS,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Monat.MMS.UeVM,IF(MONTH(Monat.Tag1)=11,October!Monat.MMS.UeVM,IF(MONTH(Monat.Tag1)=12,November!Monat.MMS.UeVM,"")))))))))))),"")</f>
        <v>-0.768055555</v>
      </c>
      <c r="AL58" s="172"/>
      <c r="AM58" s="217" t="n">
        <f aca="false">AH58</f>
        <v>-0.768055555</v>
      </c>
      <c r="AN58" s="172"/>
      <c r="AO58" s="172"/>
      <c r="AP58" s="51"/>
    </row>
    <row r="59" s="148" customFormat="true" ht="11.25" hidden="false" customHeight="true" outlineLevel="0" collapsed="false">
      <c r="A59" s="186"/>
      <c r="B59" s="187"/>
      <c r="C59" s="187"/>
      <c r="D59" s="187"/>
      <c r="E59" s="187"/>
      <c r="F59" s="187"/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  <c r="U59" s="187"/>
      <c r="V59" s="187"/>
      <c r="W59" s="187"/>
      <c r="X59" s="187"/>
      <c r="Y59" s="187"/>
      <c r="Z59" s="187"/>
      <c r="AA59" s="187"/>
      <c r="AB59" s="187"/>
      <c r="AC59" s="187"/>
      <c r="AD59" s="187"/>
      <c r="AE59" s="187"/>
      <c r="AF59" s="168"/>
      <c r="AG59" s="146"/>
      <c r="AH59" s="179"/>
      <c r="AI59" s="180"/>
      <c r="AJ59" s="172"/>
      <c r="AK59" s="172"/>
      <c r="AL59" s="172"/>
      <c r="AM59" s="171"/>
      <c r="AN59" s="172"/>
      <c r="AO59" s="172"/>
      <c r="AP59" s="39"/>
    </row>
    <row r="60" s="148" customFormat="true" ht="15" hidden="false" customHeight="true" outlineLevel="0" collapsed="false">
      <c r="A60" s="175" t="s">
        <v>148</v>
      </c>
      <c r="B60" s="237" t="str">
        <f aca="true">IF(EB.Wochenarbeitszeit=50/24,IF(T.50_Vetsuisse,IF(WEEKDAY(B$10,2)=7,MAX(0,SUM(OFFSET(B51,0,-MIN(6,DAY(B$10)-1),1,MIN(7,DAY(B$10))))+IF(AND(MONTH(Monat.Tag1)&lt;&gt;1,DAY(B$10)&lt;7),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Monat.AZIstWRestUeVM,IF(MONTH(Monat.Tag1)=11,October!Monat.AZIstWRestUeVM,IF(MONTH(Monat.Tag1)=12,November!Monat.AZIstWRestUeVM,""))))))))))),0) -1/24*50),""),""),IF(B45=0,"",B45))</f>
        <v/>
      </c>
      <c r="C60" s="237" t="str">
        <f aca="true">IF(EB.Wochenarbeitszeit=50/24,IF(T.50_Vetsuisse,IF(WEEKDAY(C$10,2)=7,MAX(0,SUM(OFFSET(C51,0,-MIN(6,DAY(C$10)-1),1,MIN(7,DAY(C$10))))+IF(AND(MONTH(Monat.Tag1)&lt;&gt;1,DAY(C$10)&lt;7),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Monat.AZIstWRestUeVM,IF(MONTH(Monat.Tag1)=11,October!Monat.AZIstWRestUeVM,IF(MONTH(Monat.Tag1)=12,November!Monat.AZIstWRestUeVM,""))))))))))),0) -1/24*50),""),""),IF(C45=0,"",C45))</f>
        <v/>
      </c>
      <c r="D60" s="237" t="str">
        <f aca="true">IF(EB.Wochenarbeitszeit=50/24,IF(T.50_Vetsuisse,IF(WEEKDAY(D$10,2)=7,MAX(0,SUM(OFFSET(D51,0,-MIN(6,DAY(D$10)-1),1,MIN(7,DAY(D$10))))+IF(AND(MONTH(Monat.Tag1)&lt;&gt;1,DAY(D$10)&lt;7),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Monat.AZIstWRestUeVM,IF(MONTH(Monat.Tag1)=11,October!Monat.AZIstWRestUeVM,IF(MONTH(Monat.Tag1)=12,November!Monat.AZIstWRestUeVM,""))))))))))),0) -1/24*50),""),""),IF(D45=0,"",D45))</f>
        <v/>
      </c>
      <c r="E60" s="238" t="str">
        <f aca="true">IF(EB.Wochenarbeitszeit=50/24,IF(T.50_Vetsuisse,IF(WEEKDAY(E$10,2)=7,MAX(0,SUM(OFFSET(E51,0,-MIN(6,DAY(E$10)-1),1,MIN(7,DAY(E$10))))+IF(AND(MONTH(Monat.Tag1)&lt;&gt;1,DAY(E$10)&lt;7),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Monat.AZIstWRestUeVM,IF(MONTH(Monat.Tag1)=11,October!Monat.AZIstWRestUeVM,IF(MONTH(Monat.Tag1)=12,November!Monat.AZIstWRestUeVM,""))))))))))),0) -1/24*50),""),""),IF(E45=0,"",E45))</f>
        <v/>
      </c>
      <c r="F60" s="237" t="str">
        <f aca="true">IF(EB.Wochenarbeitszeit=50/24,IF(T.50_Vetsuisse,IF(WEEKDAY(F$10,2)=7,MAX(0,SUM(OFFSET(F51,0,-MIN(6,DAY(F$10)-1),1,MIN(7,DAY(F$10))))+IF(AND(MONTH(Monat.Tag1)&lt;&gt;1,DAY(F$10)&lt;7),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Monat.AZIstWRestUeVM,IF(MONTH(Monat.Tag1)=11,October!Monat.AZIstWRestUeVM,IF(MONTH(Monat.Tag1)=12,November!Monat.AZIstWRestUeVM,""))))))))))),0) -1/24*50),""),""),IF(F45=0,"",F45))</f>
        <v/>
      </c>
      <c r="G60" s="237" t="str">
        <f aca="true">IF(EB.Wochenarbeitszeit=50/24,IF(T.50_Vetsuisse,IF(WEEKDAY(G$10,2)=7,MAX(0,SUM(OFFSET(G51,0,-MIN(6,DAY(G$10)-1),1,MIN(7,DAY(G$10))))+IF(AND(MONTH(Monat.Tag1)&lt;&gt;1,DAY(G$10)&lt;7),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Monat.AZIstWRestUeVM,IF(MONTH(Monat.Tag1)=11,October!Monat.AZIstWRestUeVM,IF(MONTH(Monat.Tag1)=12,November!Monat.AZIstWRestUeVM,""))))))))))),0) -1/24*50),""),""),IF(G45=0,"",G45))</f>
        <v/>
      </c>
      <c r="H60" s="237" t="str">
        <f aca="true">IF(EB.Wochenarbeitszeit=50/24,IF(T.50_Vetsuisse,IF(WEEKDAY(H$10,2)=7,MAX(0,SUM(OFFSET(H51,0,-MIN(6,DAY(H$10)-1),1,MIN(7,DAY(H$10))))+IF(AND(MONTH(Monat.Tag1)&lt;&gt;1,DAY(H$10)&lt;7),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Monat.AZIstWRestUeVM,IF(MONTH(Monat.Tag1)=11,October!Monat.AZIstWRestUeVM,IF(MONTH(Monat.Tag1)=12,November!Monat.AZIstWRestUeVM,""))))))))))),0) -1/24*50),""),""),IF(H45=0,"",H45))</f>
        <v/>
      </c>
      <c r="I60" s="237" t="str">
        <f aca="true">IF(EB.Wochenarbeitszeit=50/24,IF(T.50_Vetsuisse,IF(WEEKDAY(I$10,2)=7,MAX(0,SUM(OFFSET(I51,0,-MIN(6,DAY(I$10)-1),1,MIN(7,DAY(I$10))))+IF(AND(MONTH(Monat.Tag1)&lt;&gt;1,DAY(I$10)&lt;7),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Monat.AZIstWRestUeVM,IF(MONTH(Monat.Tag1)=11,October!Monat.AZIstWRestUeVM,IF(MONTH(Monat.Tag1)=12,November!Monat.AZIstWRestUeVM,""))))))))))),0) -1/24*50),""),""),IF(I45=0,"",I45))</f>
        <v/>
      </c>
      <c r="J60" s="238" t="str">
        <f aca="true">IF(EB.Wochenarbeitszeit=50/24,IF(T.50_Vetsuisse,IF(WEEKDAY(J$10,2)=7,MAX(0,SUM(OFFSET(J51,0,-MIN(6,DAY(J$10)-1),1,MIN(7,DAY(J$10))))+IF(AND(MONTH(Monat.Tag1)&lt;&gt;1,DAY(J$10)&lt;7),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Monat.AZIstWRestUeVM,IF(MONTH(Monat.Tag1)=11,October!Monat.AZIstWRestUeVM,IF(MONTH(Monat.Tag1)=12,November!Monat.AZIstWRestUeVM,""))))))))))),0) -1/24*50),""),""),IF(J45=0,"",J45))</f>
        <v/>
      </c>
      <c r="K60" s="237" t="str">
        <f aca="true">IF(EB.Wochenarbeitszeit=50/24,IF(T.50_Vetsuisse,IF(WEEKDAY(K$10,2)=7,MAX(0,SUM(OFFSET(K51,0,-MIN(6,DAY(K$10)-1),1,MIN(7,DAY(K$10))))+IF(AND(MONTH(Monat.Tag1)&lt;&gt;1,DAY(K$10)&lt;7),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Monat.AZIstWRestUeVM,IF(MONTH(Monat.Tag1)=11,October!Monat.AZIstWRestUeVM,IF(MONTH(Monat.Tag1)=12,November!Monat.AZIstWRestUeVM,""))))))))))),0) -1/24*50),""),""),IF(K45=0,"",K45))</f>
        <v/>
      </c>
      <c r="L60" s="238" t="str">
        <f aca="true">IF(EB.Wochenarbeitszeit=50/24,IF(T.50_Vetsuisse,IF(WEEKDAY(L$10,2)=7,MAX(0,SUM(OFFSET(L51,0,-MIN(6,DAY(L$10)-1),1,MIN(7,DAY(L$10))))+IF(AND(MONTH(Monat.Tag1)&lt;&gt;1,DAY(L$10)&lt;7),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Monat.AZIstWRestUeVM,IF(MONTH(Monat.Tag1)=11,October!Monat.AZIstWRestUeVM,IF(MONTH(Monat.Tag1)=12,November!Monat.AZIstWRestUeVM,""))))))))))),0) -1/24*50),""),""),IF(L45=0,"",L45))</f>
        <v/>
      </c>
      <c r="M60" s="237" t="str">
        <f aca="true">IF(EB.Wochenarbeitszeit=50/24,IF(T.50_Vetsuisse,IF(WEEKDAY(M$10,2)=7,MAX(0,SUM(OFFSET(M51,0,-MIN(6,DAY(M$10)-1),1,MIN(7,DAY(M$10))))+IF(AND(MONTH(Monat.Tag1)&lt;&gt;1,DAY(M$10)&lt;7),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Monat.AZIstWRestUeVM,IF(MONTH(Monat.Tag1)=11,October!Monat.AZIstWRestUeVM,IF(MONTH(Monat.Tag1)=12,November!Monat.AZIstWRestUeVM,""))))))))))),0) -1/24*50),""),""),IF(M45=0,"",M45))</f>
        <v/>
      </c>
      <c r="N60" s="237" t="str">
        <f aca="true">IF(EB.Wochenarbeitszeit=50/24,IF(T.50_Vetsuisse,IF(WEEKDAY(N$10,2)=7,MAX(0,SUM(OFFSET(N51,0,-MIN(6,DAY(N$10)-1),1,MIN(7,DAY(N$10))))+IF(AND(MONTH(Monat.Tag1)&lt;&gt;1,DAY(N$10)&lt;7),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Monat.AZIstWRestUeVM,IF(MONTH(Monat.Tag1)=11,October!Monat.AZIstWRestUeVM,IF(MONTH(Monat.Tag1)=12,November!Monat.AZIstWRestUeVM,""))))))))))),0) -1/24*50),""),""),IF(N45=0,"",N45))</f>
        <v/>
      </c>
      <c r="O60" s="237" t="str">
        <f aca="true">IF(EB.Wochenarbeitszeit=50/24,IF(T.50_Vetsuisse,IF(WEEKDAY(O$10,2)=7,MAX(0,SUM(OFFSET(O51,0,-MIN(6,DAY(O$10)-1),1,MIN(7,DAY(O$10))))+IF(AND(MONTH(Monat.Tag1)&lt;&gt;1,DAY(O$10)&lt;7),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Monat.AZIstWRestUeVM,IF(MONTH(Monat.Tag1)=11,October!Monat.AZIstWRestUeVM,IF(MONTH(Monat.Tag1)=12,November!Monat.AZIstWRestUeVM,""))))))))))),0) -1/24*50),""),""),IF(O45=0,"",O45))</f>
        <v/>
      </c>
      <c r="P60" s="237" t="str">
        <f aca="true">IF(EB.Wochenarbeitszeit=50/24,IF(T.50_Vetsuisse,IF(WEEKDAY(P$10,2)=7,MAX(0,SUM(OFFSET(P51,0,-MIN(6,DAY(P$10)-1),1,MIN(7,DAY(P$10))))+IF(AND(MONTH(Monat.Tag1)&lt;&gt;1,DAY(P$10)&lt;7),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Monat.AZIstWRestUeVM,IF(MONTH(Monat.Tag1)=11,October!Monat.AZIstWRestUeVM,IF(MONTH(Monat.Tag1)=12,November!Monat.AZIstWRestUeVM,""))))))))))),0) -1/24*50),""),""),IF(P45=0,"",P45))</f>
        <v/>
      </c>
      <c r="Q60" s="238" t="str">
        <f aca="true">IF(EB.Wochenarbeitszeit=50/24,IF(T.50_Vetsuisse,IF(WEEKDAY(Q$10,2)=7,MAX(0,SUM(OFFSET(Q51,0,-MIN(6,DAY(Q$10)-1),1,MIN(7,DAY(Q$10))))+IF(AND(MONTH(Monat.Tag1)&lt;&gt;1,DAY(Q$10)&lt;7),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Monat.AZIstWRestUeVM,IF(MONTH(Monat.Tag1)=11,October!Monat.AZIstWRestUeVM,IF(MONTH(Monat.Tag1)=12,November!Monat.AZIstWRestUeVM,""))))))))))),0) -1/24*50),""),""),IF(Q45=0,"",Q45))</f>
        <v/>
      </c>
      <c r="R60" s="237" t="str">
        <f aca="true">IF(EB.Wochenarbeitszeit=50/24,IF(T.50_Vetsuisse,IF(WEEKDAY(R$10,2)=7,MAX(0,SUM(OFFSET(R51,0,-MIN(6,DAY(R$10)-1),1,MIN(7,DAY(R$10))))+IF(AND(MONTH(Monat.Tag1)&lt;&gt;1,DAY(R$10)&lt;7),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Monat.AZIstWRestUeVM,IF(MONTH(Monat.Tag1)=11,October!Monat.AZIstWRestUeVM,IF(MONTH(Monat.Tag1)=12,November!Monat.AZIstWRestUeVM,""))))))))))),0) -1/24*50),""),""),IF(R45=0,"",R45))</f>
        <v/>
      </c>
      <c r="S60" s="238" t="str">
        <f aca="true">IF(EB.Wochenarbeitszeit=50/24,IF(T.50_Vetsuisse,IF(WEEKDAY(S$10,2)=7,MAX(0,SUM(OFFSET(S51,0,-MIN(6,DAY(S$10)-1),1,MIN(7,DAY(S$10))))+IF(AND(MONTH(Monat.Tag1)&lt;&gt;1,DAY(S$10)&lt;7),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Monat.AZIstWRestUeVM,IF(MONTH(Monat.Tag1)=11,October!Monat.AZIstWRestUeVM,IF(MONTH(Monat.Tag1)=12,November!Monat.AZIstWRestUeVM,""))))))))))),0) -1/24*50),""),""),IF(S45=0,"",S45))</f>
        <v/>
      </c>
      <c r="T60" s="238" t="str">
        <f aca="true">IF(EB.Wochenarbeitszeit=50/24,IF(T.50_Vetsuisse,IF(WEEKDAY(T$10,2)=7,MAX(0,SUM(OFFSET(T51,0,-MIN(6,DAY(T$10)-1),1,MIN(7,DAY(T$10))))+IF(AND(MONTH(Monat.Tag1)&lt;&gt;1,DAY(T$10)&lt;7),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Monat.AZIstWRestUeVM,IF(MONTH(Monat.Tag1)=11,October!Monat.AZIstWRestUeVM,IF(MONTH(Monat.Tag1)=12,November!Monat.AZIstWRestUeVM,""))))))))))),0) -1/24*50),""),""),IF(T45=0,"",T45))</f>
        <v/>
      </c>
      <c r="U60" s="237" t="str">
        <f aca="true">IF(EB.Wochenarbeitszeit=50/24,IF(T.50_Vetsuisse,IF(WEEKDAY(U$10,2)=7,MAX(0,SUM(OFFSET(U51,0,-MIN(6,DAY(U$10)-1),1,MIN(7,DAY(U$10))))+IF(AND(MONTH(Monat.Tag1)&lt;&gt;1,DAY(U$10)&lt;7),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Monat.AZIstWRestUeVM,IF(MONTH(Monat.Tag1)=11,October!Monat.AZIstWRestUeVM,IF(MONTH(Monat.Tag1)=12,November!Monat.AZIstWRestUeVM,""))))))))))),0) -1/24*50),""),""),IF(U45=0,"",U45))</f>
        <v/>
      </c>
      <c r="V60" s="237" t="str">
        <f aca="true">IF(EB.Wochenarbeitszeit=50/24,IF(T.50_Vetsuisse,IF(WEEKDAY(V$10,2)=7,MAX(0,SUM(OFFSET(V51,0,-MIN(6,DAY(V$10)-1),1,MIN(7,DAY(V$10))))+IF(AND(MONTH(Monat.Tag1)&lt;&gt;1,DAY(V$10)&lt;7),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Monat.AZIstWRestUeVM,IF(MONTH(Monat.Tag1)=11,October!Monat.AZIstWRestUeVM,IF(MONTH(Monat.Tag1)=12,November!Monat.AZIstWRestUeVM,""))))))))))),0) -1/24*50),""),""),IF(V45=0,"",V45))</f>
        <v/>
      </c>
      <c r="W60" s="237" t="str">
        <f aca="true">IF(EB.Wochenarbeitszeit=50/24,IF(T.50_Vetsuisse,IF(WEEKDAY(W$10,2)=7,MAX(0,SUM(OFFSET(W51,0,-MIN(6,DAY(W$10)-1),1,MIN(7,DAY(W$10))))+IF(AND(MONTH(Monat.Tag1)&lt;&gt;1,DAY(W$10)&lt;7),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Monat.AZIstWRestUeVM,IF(MONTH(Monat.Tag1)=11,October!Monat.AZIstWRestUeVM,IF(MONTH(Monat.Tag1)=12,November!Monat.AZIstWRestUeVM,""))))))))))),0) -1/24*50),""),""),IF(W45=0,"",W45))</f>
        <v/>
      </c>
      <c r="X60" s="238" t="str">
        <f aca="true">IF(EB.Wochenarbeitszeit=50/24,IF(T.50_Vetsuisse,IF(WEEKDAY(X$10,2)=7,MAX(0,SUM(OFFSET(X51,0,-MIN(6,DAY(X$10)-1),1,MIN(7,DAY(X$10))))+IF(AND(MONTH(Monat.Tag1)&lt;&gt;1,DAY(X$10)&lt;7),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Monat.AZIstWRestUeVM,IF(MONTH(Monat.Tag1)=11,October!Monat.AZIstWRestUeVM,IF(MONTH(Monat.Tag1)=12,November!Monat.AZIstWRestUeVM,""))))))))))),0) -1/24*50),""),""),IF(X45=0,"",X45))</f>
        <v/>
      </c>
      <c r="Y60" s="237" t="str">
        <f aca="true">IF(EB.Wochenarbeitszeit=50/24,IF(T.50_Vetsuisse,IF(WEEKDAY(Y$10,2)=7,MAX(0,SUM(OFFSET(Y51,0,-MIN(6,DAY(Y$10)-1),1,MIN(7,DAY(Y$10))))+IF(AND(MONTH(Monat.Tag1)&lt;&gt;1,DAY(Y$10)&lt;7),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Monat.AZIstWRestUeVM,IF(MONTH(Monat.Tag1)=11,October!Monat.AZIstWRestUeVM,IF(MONTH(Monat.Tag1)=12,November!Monat.AZIstWRestUeVM,""))))))))))),0) -1/24*50),""),""),IF(Y45=0,"",Y45))</f>
        <v/>
      </c>
      <c r="Z60" s="239" t="str">
        <f aca="true">IF(EB.Wochenarbeitszeit=50/24,IF(T.50_Vetsuisse,IF(WEEKDAY(Z$10,2)=7,MAX(0,SUM(OFFSET(Z51,0,-MIN(6,DAY(Z$10)-1),1,MIN(7,DAY(Z$10))))+IF(AND(MONTH(Monat.Tag1)&lt;&gt;1,DAY(Z$10)&lt;7),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Monat.AZIstWRestUeVM,IF(MONTH(Monat.Tag1)=11,October!Monat.AZIstWRestUeVM,IF(MONTH(Monat.Tag1)=12,November!Monat.AZIstWRestUeVM,""))))))))))),0) -1/24*50),""),""),IF(Z45=0,"",Z45))</f>
        <v/>
      </c>
      <c r="AA60" s="237" t="str">
        <f aca="true">IF(EB.Wochenarbeitszeit=50/24,IF(T.50_Vetsuisse,IF(WEEKDAY(AA$10,2)=7,MAX(0,SUM(OFFSET(AA51,0,-MIN(6,DAY(AA$10)-1),1,MIN(7,DAY(AA$10))))+IF(AND(MONTH(Monat.Tag1)&lt;&gt;1,DAY(AA$10)&lt;7),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Monat.AZIstWRestUeVM,IF(MONTH(Monat.Tag1)=11,October!Monat.AZIstWRestUeVM,IF(MONTH(Monat.Tag1)=12,November!Monat.AZIstWRestUeVM,""))))))))))),0) -1/24*50),""),""),IF(AA45=0,"",AA45))</f>
        <v/>
      </c>
      <c r="AB60" s="237" t="str">
        <f aca="true">IF(EB.Wochenarbeitszeit=50/24,IF(T.50_Vetsuisse,IF(WEEKDAY(AB$10,2)=7,MAX(0,SUM(OFFSET(AB51,0,-MIN(6,DAY(AB$10)-1),1,MIN(7,DAY(AB$10))))+IF(AND(MONTH(Monat.Tag1)&lt;&gt;1,DAY(AB$10)&lt;7),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Monat.AZIstWRestUeVM,IF(MONTH(Monat.Tag1)=11,October!Monat.AZIstWRestUeVM,IF(MONTH(Monat.Tag1)=12,November!Monat.AZIstWRestUeVM,""))))))))))),0) -1/24*50),""),""),IF(AB45=0,"",AB45))</f>
        <v/>
      </c>
      <c r="AC60" s="237" t="str">
        <f aca="true">IF(EB.Wochenarbeitszeit=50/24,IF(T.50_Vetsuisse,IF(WEEKDAY(AC$10,2)=7,MAX(0,SUM(OFFSET(AC51,0,-MIN(6,DAY(AC$10)-1),1,MIN(7,DAY(AC$10))))+IF(AND(MONTH(Monat.Tag1)&lt;&gt;1,DAY(AC$10)&lt;7),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Monat.AZIstWRestUeVM,IF(MONTH(Monat.Tag1)=11,October!Monat.AZIstWRestUeVM,IF(MONTH(Monat.Tag1)=12,November!Monat.AZIstWRestUeVM,""))))))))))),0) -1/24*50),""),""),IF(AC45=0,"",AC45))</f>
        <v/>
      </c>
      <c r="AD60" s="237" t="str">
        <f aca="true">IF(EB.Wochenarbeitszeit=50/24,IF(T.50_Vetsuisse,IF(WEEKDAY(AD$10,2)=7,MAX(0,SUM(OFFSET(AD51,0,-MIN(6,DAY(AD$10)-1),1,MIN(7,DAY(AD$10))))+IF(AND(MONTH(Monat.Tag1)&lt;&gt;1,DAY(AD$10)&lt;7),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Monat.AZIstWRestUeVM,IF(MONTH(Monat.Tag1)=11,October!Monat.AZIstWRestUeVM,IF(MONTH(Monat.Tag1)=12,November!Monat.AZIstWRestUeVM,""))))))))))),0) -1/24*50),""),""),IF(AD45=0,"",AD45))</f>
        <v/>
      </c>
      <c r="AE60" s="238" t="str">
        <f aca="true">IF(EB.Wochenarbeitszeit=50/24,IF(T.50_Vetsuisse,IF(WEEKDAY(AE$10,2)=7,MAX(0,SUM(OFFSET(AE51,0,-MIN(6,DAY(AE$10)-1),1,MIN(7,DAY(AE$10))))+IF(AND(MONTH(Monat.Tag1)&lt;&gt;1,DAY(AE$10)&lt;7),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Monat.AZIstWRestUeVM,IF(MONTH(Monat.Tag1)=11,October!Monat.AZIstWRestUeVM,IF(MONTH(Monat.Tag1)=12,November!Monat.AZIstWRestUeVM,""))))))))))),0) -1/24*50),""),""),IF(AE45=0,"",AE45))</f>
        <v/>
      </c>
      <c r="AF60" s="168" t="str">
        <f aca="false">A60</f>
        <v>Ordered overtime</v>
      </c>
      <c r="AG60" s="184"/>
      <c r="AH60" s="207" t="n">
        <f aca="false">SUM(B60:AE60)</f>
        <v>0</v>
      </c>
      <c r="AI60" s="180"/>
      <c r="AJ60" s="172"/>
      <c r="AK60" s="216" t="n">
        <f aca="false">IF(EB.Anwendung&lt;&gt;"",IF(MONTH(Monat.Tag1)=1,0,IF(MONTH(Monat.Tag1)=2,January!Monat.AnUeZUeVM,IF(MONTH(Monat.Tag1)=3,February!Monat.AnUeZUeVM,IF(MONTH(Monat.Tag1)=4,March!Monat.AnUeZUeVM,IF(MONTH(Monat.Tag1)=5,April!Monat.AnUeZUeVM,IF(MONTH(Monat.Tag1)=6,May!Monat.AnUeZUeVM,IF(MONTH(Monat.Tag1)=7,June!Monat.AnUeZUeVM,IF(MONTH(Monat.Tag1)=8,July!Monat.AnUeZUeVM,IF(MONTH(Monat.Tag1)=9,August!Monat.AnUeZUeVM,IF(MONTH(Monat.Tag1)=10,Monat.AnUeZUeVM,IF(MONTH(Monat.Tag1)=11,October!Monat.AnUeZUeVM,IF(MONTH(Monat.Tag1)=12,November!Monat.AnUeZUeVM,"")))))))))))),"")</f>
        <v>0</v>
      </c>
      <c r="AL60" s="172"/>
      <c r="AM60" s="217" t="n">
        <f aca="false">AH60+AK60</f>
        <v>0</v>
      </c>
      <c r="AN60" s="217" t="n">
        <f aca="true">SUM(OFFSET(Jahr.AngÜZ,-12,0,MONTH(Monat.Tag1),1))</f>
        <v>0</v>
      </c>
      <c r="AO60" s="217" t="n">
        <f aca="false">Jahr.AngÜZ</f>
        <v>0</v>
      </c>
      <c r="AP60" s="39"/>
    </row>
    <row r="61" s="148" customFormat="true" ht="15" hidden="false" customHeight="true" outlineLevel="0" collapsed="false">
      <c r="A61" s="175" t="s">
        <v>149</v>
      </c>
      <c r="B61" s="177"/>
      <c r="C61" s="177"/>
      <c r="D61" s="177"/>
      <c r="E61" s="177"/>
      <c r="F61" s="177"/>
      <c r="G61" s="177"/>
      <c r="H61" s="177"/>
      <c r="I61" s="177"/>
      <c r="J61" s="177"/>
      <c r="K61" s="177"/>
      <c r="L61" s="177"/>
      <c r="M61" s="177"/>
      <c r="N61" s="177"/>
      <c r="O61" s="177"/>
      <c r="P61" s="177"/>
      <c r="Q61" s="177"/>
      <c r="R61" s="177"/>
      <c r="S61" s="177"/>
      <c r="T61" s="177"/>
      <c r="U61" s="177"/>
      <c r="V61" s="177"/>
      <c r="W61" s="177"/>
      <c r="X61" s="177"/>
      <c r="Y61" s="177"/>
      <c r="Z61" s="178"/>
      <c r="AA61" s="177"/>
      <c r="AB61" s="177"/>
      <c r="AC61" s="177"/>
      <c r="AD61" s="177"/>
      <c r="AE61" s="177"/>
      <c r="AF61" s="168" t="str">
        <f aca="false">A61</f>
        <v>Compensation overtime</v>
      </c>
      <c r="AG61" s="184"/>
      <c r="AH61" s="207" t="n">
        <f aca="false">SUM(B61:AE61)</f>
        <v>0</v>
      </c>
      <c r="AI61" s="180"/>
      <c r="AJ61" s="172"/>
      <c r="AK61" s="172"/>
      <c r="AL61" s="172"/>
      <c r="AM61" s="171"/>
      <c r="AN61" s="172"/>
      <c r="AO61" s="172"/>
      <c r="AP61" s="39"/>
    </row>
    <row r="62" s="231" customFormat="true" ht="15" hidden="true" customHeight="true" outlineLevel="1" collapsed="false">
      <c r="A62" s="219"/>
      <c r="B62" s="224"/>
      <c r="C62" s="224"/>
      <c r="D62" s="224"/>
      <c r="E62" s="152"/>
      <c r="F62" s="224"/>
      <c r="G62" s="224"/>
      <c r="H62" s="224"/>
      <c r="I62" s="224"/>
      <c r="J62" s="222"/>
      <c r="K62" s="224"/>
      <c r="L62" s="223"/>
      <c r="M62" s="224"/>
      <c r="N62" s="224"/>
      <c r="O62" s="224"/>
      <c r="P62" s="224"/>
      <c r="Q62" s="152"/>
      <c r="R62" s="224"/>
      <c r="S62" s="223"/>
      <c r="T62" s="224"/>
      <c r="U62" s="224"/>
      <c r="V62" s="224"/>
      <c r="W62" s="224"/>
      <c r="X62" s="224"/>
      <c r="Y62" s="224"/>
      <c r="Z62" s="152"/>
      <c r="AA62" s="224"/>
      <c r="AB62" s="224"/>
      <c r="AC62" s="224"/>
      <c r="AD62" s="224"/>
      <c r="AE62" s="152"/>
      <c r="AF62" s="241" t="s">
        <v>150</v>
      </c>
      <c r="AG62" s="242"/>
      <c r="AH62" s="207" t="n">
        <f aca="false">Monat.AnUeZ.Total-Monat.KomUeZ.Total</f>
        <v>0</v>
      </c>
      <c r="AI62" s="180"/>
      <c r="AJ62" s="230"/>
      <c r="AK62" s="230"/>
      <c r="AL62" s="172"/>
      <c r="AM62" s="230"/>
      <c r="AN62" s="230"/>
      <c r="AO62" s="230"/>
      <c r="AP62" s="96"/>
    </row>
    <row r="63" s="148" customFormat="true" ht="15" hidden="false" customHeight="true" outlineLevel="0" collapsed="false">
      <c r="A63" s="186"/>
      <c r="B63" s="152"/>
      <c r="C63" s="152"/>
      <c r="D63" s="152"/>
      <c r="E63" s="152"/>
      <c r="F63" s="152"/>
      <c r="G63" s="152"/>
      <c r="H63" s="152"/>
      <c r="I63" s="152"/>
      <c r="J63" s="152"/>
      <c r="K63" s="152"/>
      <c r="L63" s="223"/>
      <c r="M63" s="152"/>
      <c r="N63" s="152"/>
      <c r="O63" s="152"/>
      <c r="P63" s="152"/>
      <c r="Q63" s="152"/>
      <c r="R63" s="152"/>
      <c r="S63" s="223"/>
      <c r="T63" s="152"/>
      <c r="U63" s="152"/>
      <c r="V63" s="152"/>
      <c r="W63" s="152"/>
      <c r="X63" s="224"/>
      <c r="Y63" s="152"/>
      <c r="Z63" s="152"/>
      <c r="AA63" s="152"/>
      <c r="AB63" s="152"/>
      <c r="AC63" s="152"/>
      <c r="AD63" s="152"/>
      <c r="AE63" s="152"/>
      <c r="AF63" s="175" t="s">
        <v>151</v>
      </c>
      <c r="AG63" s="184"/>
      <c r="AH63" s="207" t="n">
        <f aca="true">IF(T.50_Vetsuisse,0,IF(AND(AH62&gt;0,Monat.ÜZZSBerechtigt=INDEX(T.JaNein.Bereich,1,1)),(AH62*0.25),0))</f>
        <v>0</v>
      </c>
      <c r="AI63" s="180"/>
      <c r="AJ63" s="172"/>
      <c r="AK63" s="230"/>
      <c r="AL63" s="172"/>
      <c r="AM63" s="230"/>
      <c r="AN63" s="230"/>
      <c r="AO63" s="230"/>
      <c r="AP63" s="39"/>
    </row>
    <row r="64" s="148" customFormat="true" ht="15" hidden="true" customHeight="true" outlineLevel="1" collapsed="false">
      <c r="A64" s="186"/>
      <c r="B64" s="152"/>
      <c r="C64" s="152"/>
      <c r="D64" s="152"/>
      <c r="E64" s="152"/>
      <c r="F64" s="152"/>
      <c r="G64" s="152"/>
      <c r="H64" s="152"/>
      <c r="I64" s="152"/>
      <c r="J64" s="152"/>
      <c r="K64" s="152"/>
      <c r="L64" s="223"/>
      <c r="M64" s="152"/>
      <c r="N64" s="152"/>
      <c r="O64" s="152"/>
      <c r="P64" s="152"/>
      <c r="Q64" s="152"/>
      <c r="R64" s="152"/>
      <c r="S64" s="223"/>
      <c r="T64" s="152"/>
      <c r="U64" s="152"/>
      <c r="V64" s="152"/>
      <c r="W64" s="152"/>
      <c r="X64" s="224"/>
      <c r="Y64" s="152"/>
      <c r="Z64" s="152"/>
      <c r="AA64" s="152"/>
      <c r="AB64" s="152"/>
      <c r="AC64" s="152"/>
      <c r="AD64" s="152"/>
      <c r="AE64" s="152"/>
      <c r="AF64" s="175" t="s">
        <v>152</v>
      </c>
      <c r="AG64" s="244" t="s">
        <v>146</v>
      </c>
      <c r="AH64" s="245"/>
      <c r="AI64" s="246"/>
      <c r="AJ64" s="172"/>
      <c r="AK64" s="230"/>
      <c r="AL64" s="172"/>
      <c r="AM64" s="230"/>
      <c r="AN64" s="230"/>
      <c r="AO64" s="230"/>
      <c r="AP64" s="39"/>
    </row>
    <row r="65" s="231" customFormat="true" ht="15" hidden="false" customHeight="true" outlineLevel="0" collapsed="false">
      <c r="A65" s="219"/>
      <c r="B65" s="224"/>
      <c r="C65" s="224"/>
      <c r="D65" s="224"/>
      <c r="E65" s="152"/>
      <c r="F65" s="224"/>
      <c r="G65" s="224"/>
      <c r="H65" s="224"/>
      <c r="I65" s="224"/>
      <c r="J65" s="152"/>
      <c r="K65" s="224"/>
      <c r="L65" s="223"/>
      <c r="M65" s="224"/>
      <c r="N65" s="224"/>
      <c r="O65" s="224"/>
      <c r="P65" s="224"/>
      <c r="Q65" s="152"/>
      <c r="R65" s="224"/>
      <c r="S65" s="223"/>
      <c r="T65" s="224"/>
      <c r="U65" s="224"/>
      <c r="V65" s="224"/>
      <c r="W65" s="224"/>
      <c r="X65" s="224"/>
      <c r="Y65" s="224"/>
      <c r="Z65" s="152"/>
      <c r="AA65" s="224"/>
      <c r="AB65" s="224"/>
      <c r="AC65" s="224"/>
      <c r="AD65" s="224"/>
      <c r="AE65" s="152"/>
      <c r="AF65" s="234" t="s">
        <v>153</v>
      </c>
      <c r="AG65" s="242"/>
      <c r="AH65" s="207" t="n">
        <f aca="false">IF(AG64="+",(AH62+AH63+AH64),(AH62+AH63-AH64))</f>
        <v>0</v>
      </c>
      <c r="AI65" s="33"/>
      <c r="AJ65" s="247"/>
      <c r="AK65" s="216" t="n">
        <f aca="false">IF(EB.Anwendung&lt;&gt;"",IF(MONTH(Monat.Tag1)=1,EB.UeZ,IF(MONTH(Monat.Tag1)=2,January!Monat.UeZUeVM,IF(MONTH(Monat.Tag1)=3,February!Monat.UeZUeVM,IF(MONTH(Monat.Tag1)=4,March!Monat.UeZUeVM,IF(MONTH(Monat.Tag1)=5,April!Monat.UeZUeVM,IF(MONTH(Monat.Tag1)=6,May!Monat.UeZUeVM,IF(MONTH(Monat.Tag1)=7,June!Monat.UeZUeVM,IF(MONTH(Monat.Tag1)=8,July!Monat.UeZUeVM,IF(MONTH(Monat.Tag1)=9,August!Monat.UeZUeVM,IF(MONTH(Monat.Tag1)=10,Monat.UeZUeVM,IF(MONTH(Monat.Tag1)=11,October!Monat.UeZUeVM,IF(MONTH(Monat.Tag1)=12,November!Monat.UeZUeVM,"")))))))))))),"")</f>
        <v>0</v>
      </c>
      <c r="AL65" s="172"/>
      <c r="AM65" s="217" t="n">
        <f aca="false">AH65+AK65</f>
        <v>0</v>
      </c>
      <c r="AN65" s="217" t="n">
        <f aca="true">SUM(OFFSET(J.UeZ.Total,-12,0,MONTH(Monat.Tag1),1))</f>
        <v>0</v>
      </c>
      <c r="AO65" s="217" t="n">
        <f aca="false">J.UeZ.Total</f>
        <v>0</v>
      </c>
      <c r="AP65" s="96"/>
    </row>
    <row r="66" s="148" customFormat="true" ht="11.25" hidden="false" customHeight="true" outlineLevel="1" collapsed="false">
      <c r="A66" s="186"/>
      <c r="B66" s="57"/>
      <c r="C66" s="57"/>
      <c r="D66" s="57"/>
      <c r="E66" s="152"/>
      <c r="F66" s="57"/>
      <c r="G66" s="57"/>
      <c r="H66" s="57"/>
      <c r="I66" s="57"/>
      <c r="J66" s="152"/>
      <c r="K66" s="57"/>
      <c r="L66" s="223"/>
      <c r="M66" s="57"/>
      <c r="N66" s="57"/>
      <c r="O66" s="57"/>
      <c r="P66" s="57"/>
      <c r="Q66" s="152"/>
      <c r="R66" s="57"/>
      <c r="S66" s="223"/>
      <c r="T66" s="57"/>
      <c r="U66" s="57"/>
      <c r="V66" s="57"/>
      <c r="W66" s="57"/>
      <c r="X66" s="224"/>
      <c r="Y66" s="57"/>
      <c r="Z66" s="152"/>
      <c r="AA66" s="57"/>
      <c r="AB66" s="57"/>
      <c r="AC66" s="57"/>
      <c r="AD66" s="57"/>
      <c r="AE66" s="152"/>
      <c r="AF66" s="175"/>
      <c r="AG66" s="146"/>
      <c r="AH66" s="179"/>
      <c r="AI66" s="180"/>
      <c r="AJ66" s="172"/>
      <c r="AK66" s="172"/>
      <c r="AL66" s="172"/>
      <c r="AM66" s="171"/>
      <c r="AN66" s="172"/>
      <c r="AO66" s="172"/>
      <c r="AP66" s="39"/>
    </row>
    <row r="67" s="148" customFormat="true" ht="15" hidden="false" customHeight="true" outlineLevel="1" collapsed="false">
      <c r="A67" s="175" t="s">
        <v>154</v>
      </c>
      <c r="B67" s="177"/>
      <c r="C67" s="177"/>
      <c r="D67" s="177"/>
      <c r="E67" s="177"/>
      <c r="F67" s="177"/>
      <c r="G67" s="177"/>
      <c r="H67" s="177"/>
      <c r="I67" s="177"/>
      <c r="J67" s="177"/>
      <c r="K67" s="177"/>
      <c r="L67" s="177"/>
      <c r="M67" s="177"/>
      <c r="N67" s="177"/>
      <c r="O67" s="177"/>
      <c r="P67" s="177"/>
      <c r="Q67" s="177"/>
      <c r="R67" s="177"/>
      <c r="S67" s="177"/>
      <c r="T67" s="177"/>
      <c r="U67" s="177"/>
      <c r="V67" s="177"/>
      <c r="W67" s="177"/>
      <c r="X67" s="177"/>
      <c r="Y67" s="177"/>
      <c r="Z67" s="178"/>
      <c r="AA67" s="177"/>
      <c r="AB67" s="177"/>
      <c r="AC67" s="177"/>
      <c r="AD67" s="177"/>
      <c r="AE67" s="177"/>
      <c r="AF67" s="168" t="str">
        <f aca="false">A67</f>
        <v>Compensation working hours</v>
      </c>
      <c r="AG67" s="184"/>
      <c r="AH67" s="207" t="n">
        <f aca="false">SUM(B67:AE67)</f>
        <v>0</v>
      </c>
      <c r="AI67" s="33"/>
      <c r="AJ67" s="216" t="n">
        <f aca="true">OFFSET(EB.MKAStd.Knoten,MONTH(Monat.Tag1),0,1,1)</f>
        <v>0.4375</v>
      </c>
      <c r="AK67" s="248" t="n">
        <f aca="false">IF(EB.Anwendung&lt;&gt;"",IF(MONTH(Monat.Tag1)=1,0,IF(MONTH(Monat.Tag1)=2,January!Monat.KomUeVM,IF(MONTH(Monat.Tag1)=3,February!Monat.KomUeVM,IF(MONTH(Monat.Tag1)=4,March!Monat.KomUeVM,IF(MONTH(Monat.Tag1)=5,April!Monat.KomUeVM,IF(MONTH(Monat.Tag1)=6,May!Monat.KomUeVM,IF(MONTH(Monat.Tag1)=7,June!Monat.KomUeVM,IF(MONTH(Monat.Tag1)=8,July!Monat.KomUeVM,IF(MONTH(Monat.Tag1)=9,August!Monat.KomUeVM,IF(MONTH(Monat.Tag1)=10,Monat.KomUeVM,IF(MONTH(Monat.Tag1)=11,October!Monat.KomUeVM,IF(MONTH(Monat.Tag1)=12,November!Monat.KomUeVM,"")))))))))))),"")</f>
        <v>2.1875</v>
      </c>
      <c r="AL67" s="172"/>
      <c r="AM67" s="217" t="n">
        <f aca="false">AJ67+AK67-Monat.KomAZ.Total</f>
        <v>2.625</v>
      </c>
      <c r="AN67" s="217" t="n">
        <f aca="true">Jahresabrechnung!P12-SUM(OFFSET(Jahresabrechnung!P15,0,0,MONTH(Monat.Tag1),1))</f>
        <v>3.9375</v>
      </c>
      <c r="AO67" s="217" t="n">
        <f aca="false">Jahresabrechnung!P28</f>
        <v>3.9375</v>
      </c>
      <c r="AP67" s="39"/>
    </row>
    <row r="68" s="148" customFormat="true" ht="11.25" hidden="false" customHeight="true" outlineLevel="0" collapsed="false">
      <c r="A68" s="186"/>
      <c r="B68" s="187"/>
      <c r="C68" s="187"/>
      <c r="D68" s="187"/>
      <c r="E68" s="187"/>
      <c r="F68" s="187"/>
      <c r="G68" s="187"/>
      <c r="H68" s="187"/>
      <c r="I68" s="187"/>
      <c r="J68" s="187"/>
      <c r="K68" s="187"/>
      <c r="L68" s="187"/>
      <c r="M68" s="187"/>
      <c r="N68" s="187"/>
      <c r="O68" s="187"/>
      <c r="P68" s="187"/>
      <c r="Q68" s="187"/>
      <c r="R68" s="187"/>
      <c r="S68" s="187"/>
      <c r="T68" s="187"/>
      <c r="U68" s="187"/>
      <c r="V68" s="187"/>
      <c r="W68" s="187"/>
      <c r="X68" s="187"/>
      <c r="Y68" s="187"/>
      <c r="Z68" s="187"/>
      <c r="AA68" s="187"/>
      <c r="AB68" s="187"/>
      <c r="AC68" s="187"/>
      <c r="AD68" s="187"/>
      <c r="AE68" s="187"/>
      <c r="AF68" s="168"/>
      <c r="AG68" s="146"/>
      <c r="AH68" s="179"/>
      <c r="AI68" s="180"/>
      <c r="AJ68" s="172"/>
      <c r="AK68" s="172"/>
      <c r="AL68" s="172"/>
      <c r="AM68" s="171"/>
      <c r="AN68" s="172"/>
      <c r="AO68" s="172"/>
      <c r="AP68" s="39"/>
    </row>
    <row r="69" s="148" customFormat="true" ht="15" hidden="true" customHeight="true" outlineLevel="0" collapsed="false">
      <c r="A69" s="175" t="s">
        <v>155</v>
      </c>
      <c r="B69" s="249" t="n">
        <f aca="true">IF(AND(T.50_Vetsuisse,B72=INDEX(T.JaNein.Bereich,1,1),B73&gt;0,MOD(IFERROR(MATCH(1,B13:B22,0),1),2)=0),1, IF(AND(T.ServiceCenterIrchel,B72=INDEX(T.JaNein.Bereich,1,1),B77&gt;0),1, IF(AND(T.50_Vetsuisse=0,T.ServiceCenterIrchel=0,B77&gt;0),1,0)))</f>
        <v>0</v>
      </c>
      <c r="C69" s="249" t="n">
        <f aca="true">IF(AND(T.50_Vetsuisse,C72=INDEX(T.JaNein.Bereich,1,1),C73&gt;0,MOD(IFERROR(MATCH(1,C13:C22,0),1),2)=0),1, IF(AND(T.ServiceCenterIrchel,C72=INDEX(T.JaNein.Bereich,1,1),C77&gt;0),1, IF(AND(T.50_Vetsuisse=0,T.ServiceCenterIrchel=0,C77&gt;0),1,0)))</f>
        <v>0</v>
      </c>
      <c r="D69" s="249" t="n">
        <f aca="true">IF(AND(T.50_Vetsuisse,D72=INDEX(T.JaNein.Bereich,1,1),D73&gt;0,MOD(IFERROR(MATCH(1,D13:D22,0),1),2)=0),1, IF(AND(T.ServiceCenterIrchel,D72=INDEX(T.JaNein.Bereich,1,1),D77&gt;0),1, IF(AND(T.50_Vetsuisse=0,T.ServiceCenterIrchel=0,D77&gt;0),1,0)))</f>
        <v>0</v>
      </c>
      <c r="E69" s="249" t="n">
        <f aca="true">IF(AND(T.50_Vetsuisse,E72=INDEX(T.JaNein.Bereich,1,1),E73&gt;0,MOD(IFERROR(MATCH(1,E13:E22,0),1),2)=0),1, IF(AND(T.ServiceCenterIrchel,E72=INDEX(T.JaNein.Bereich,1,1),E77&gt;0),1, IF(AND(T.50_Vetsuisse=0,T.ServiceCenterIrchel=0,E77&gt;0),1,0)))</f>
        <v>0</v>
      </c>
      <c r="F69" s="249" t="n">
        <f aca="true">IF(AND(T.50_Vetsuisse,F72=INDEX(T.JaNein.Bereich,1,1),F73&gt;0,MOD(IFERROR(MATCH(1,F13:F22,0),1),2)=0),1, IF(AND(T.ServiceCenterIrchel,F72=INDEX(T.JaNein.Bereich,1,1),F77&gt;0),1, IF(AND(T.50_Vetsuisse=0,T.ServiceCenterIrchel=0,F77&gt;0),1,0)))</f>
        <v>0</v>
      </c>
      <c r="G69" s="249" t="n">
        <f aca="true">IF(AND(T.50_Vetsuisse,G72=INDEX(T.JaNein.Bereich,1,1),G73&gt;0,MOD(IFERROR(MATCH(1,G13:G22,0),1),2)=0),1, IF(AND(T.ServiceCenterIrchel,G72=INDEX(T.JaNein.Bereich,1,1),G77&gt;0),1, IF(AND(T.50_Vetsuisse=0,T.ServiceCenterIrchel=0,G77&gt;0),1,0)))</f>
        <v>0</v>
      </c>
      <c r="H69" s="249" t="n">
        <f aca="true">IF(AND(T.50_Vetsuisse,H72=INDEX(T.JaNein.Bereich,1,1),H73&gt;0,MOD(IFERROR(MATCH(1,H13:H22,0),1),2)=0),1, IF(AND(T.ServiceCenterIrchel,H72=INDEX(T.JaNein.Bereich,1,1),H77&gt;0),1, IF(AND(T.50_Vetsuisse=0,T.ServiceCenterIrchel=0,H77&gt;0),1,0)))</f>
        <v>0</v>
      </c>
      <c r="I69" s="249" t="n">
        <f aca="true">IF(AND(T.50_Vetsuisse,I72=INDEX(T.JaNein.Bereich,1,1),I73&gt;0,MOD(IFERROR(MATCH(1,I13:I22,0),1),2)=0),1, IF(AND(T.ServiceCenterIrchel,I72=INDEX(T.JaNein.Bereich,1,1),I77&gt;0),1, IF(AND(T.50_Vetsuisse=0,T.ServiceCenterIrchel=0,I77&gt;0),1,0)))</f>
        <v>0</v>
      </c>
      <c r="J69" s="249" t="n">
        <f aca="true">IF(AND(T.50_Vetsuisse,J72=INDEX(T.JaNein.Bereich,1,1),J73&gt;0,MOD(IFERROR(MATCH(1,J13:J22,0),1),2)=0),1, IF(AND(T.ServiceCenterIrchel,J72=INDEX(T.JaNein.Bereich,1,1),J77&gt;0),1, IF(AND(T.50_Vetsuisse=0,T.ServiceCenterIrchel=0,J77&gt;0),1,0)))</f>
        <v>0</v>
      </c>
      <c r="K69" s="249" t="n">
        <f aca="true">IF(AND(T.50_Vetsuisse,K72=INDEX(T.JaNein.Bereich,1,1),K73&gt;0,MOD(IFERROR(MATCH(1,K13:K22,0),1),2)=0),1, IF(AND(T.ServiceCenterIrchel,K72=INDEX(T.JaNein.Bereich,1,1),K77&gt;0),1, IF(AND(T.50_Vetsuisse=0,T.ServiceCenterIrchel=0,K77&gt;0),1,0)))</f>
        <v>0</v>
      </c>
      <c r="L69" s="249" t="n">
        <f aca="true">IF(AND(T.50_Vetsuisse,L72=INDEX(T.JaNein.Bereich,1,1),L73&gt;0,MOD(IFERROR(MATCH(1,L13:L22,0),1),2)=0),1, IF(AND(T.ServiceCenterIrchel,L72=INDEX(T.JaNein.Bereich,1,1),L77&gt;0),1, IF(AND(T.50_Vetsuisse=0,T.ServiceCenterIrchel=0,L77&gt;0),1,0)))</f>
        <v>0</v>
      </c>
      <c r="M69" s="249" t="n">
        <f aca="true">IF(AND(T.50_Vetsuisse,M72=INDEX(T.JaNein.Bereich,1,1),M73&gt;0,MOD(IFERROR(MATCH(1,M13:M22,0),1),2)=0),1, IF(AND(T.ServiceCenterIrchel,M72=INDEX(T.JaNein.Bereich,1,1),M77&gt;0),1, IF(AND(T.50_Vetsuisse=0,T.ServiceCenterIrchel=0,M77&gt;0),1,0)))</f>
        <v>0</v>
      </c>
      <c r="N69" s="249" t="n">
        <f aca="true">IF(AND(T.50_Vetsuisse,N72=INDEX(T.JaNein.Bereich,1,1),N73&gt;0,MOD(IFERROR(MATCH(1,N13:N22,0),1),2)=0),1, IF(AND(T.ServiceCenterIrchel,N72=INDEX(T.JaNein.Bereich,1,1),N77&gt;0),1, IF(AND(T.50_Vetsuisse=0,T.ServiceCenterIrchel=0,N77&gt;0),1,0)))</f>
        <v>0</v>
      </c>
      <c r="O69" s="249" t="n">
        <f aca="true">IF(AND(T.50_Vetsuisse,O72=INDEX(T.JaNein.Bereich,1,1),O73&gt;0,MOD(IFERROR(MATCH(1,O13:O22,0),1),2)=0),1, IF(AND(T.ServiceCenterIrchel,O72=INDEX(T.JaNein.Bereich,1,1),O77&gt;0),1, IF(AND(T.50_Vetsuisse=0,T.ServiceCenterIrchel=0,O77&gt;0),1,0)))</f>
        <v>0</v>
      </c>
      <c r="P69" s="249" t="n">
        <f aca="true">IF(AND(T.50_Vetsuisse,P72=INDEX(T.JaNein.Bereich,1,1),P73&gt;0,MOD(IFERROR(MATCH(1,P13:P22,0),1),2)=0),1, IF(AND(T.ServiceCenterIrchel,P72=INDEX(T.JaNein.Bereich,1,1),P77&gt;0),1, IF(AND(T.50_Vetsuisse=0,T.ServiceCenterIrchel=0,P77&gt;0),1,0)))</f>
        <v>0</v>
      </c>
      <c r="Q69" s="249" t="n">
        <f aca="true">IF(AND(T.50_Vetsuisse,Q72=INDEX(T.JaNein.Bereich,1,1),Q73&gt;0,MOD(IFERROR(MATCH(1,Q13:Q22,0),1),2)=0),1, IF(AND(T.ServiceCenterIrchel,Q72=INDEX(T.JaNein.Bereich,1,1),Q77&gt;0),1, IF(AND(T.50_Vetsuisse=0,T.ServiceCenterIrchel=0,Q77&gt;0),1,0)))</f>
        <v>0</v>
      </c>
      <c r="R69" s="249" t="n">
        <f aca="true">IF(AND(T.50_Vetsuisse,R72=INDEX(T.JaNein.Bereich,1,1),R73&gt;0,MOD(IFERROR(MATCH(1,R13:R22,0),1),2)=0),1, IF(AND(T.ServiceCenterIrchel,R72=INDEX(T.JaNein.Bereich,1,1),R77&gt;0),1, IF(AND(T.50_Vetsuisse=0,T.ServiceCenterIrchel=0,R77&gt;0),1,0)))</f>
        <v>0</v>
      </c>
      <c r="S69" s="249" t="n">
        <f aca="true">IF(AND(T.50_Vetsuisse,S72=INDEX(T.JaNein.Bereich,1,1),S73&gt;0,MOD(IFERROR(MATCH(1,S13:S22,0),1),2)=0),1, IF(AND(T.ServiceCenterIrchel,S72=INDEX(T.JaNein.Bereich,1,1),S77&gt;0),1, IF(AND(T.50_Vetsuisse=0,T.ServiceCenterIrchel=0,S77&gt;0),1,0)))</f>
        <v>0</v>
      </c>
      <c r="T69" s="249" t="n">
        <f aca="true">IF(AND(T.50_Vetsuisse,T72=INDEX(T.JaNein.Bereich,1,1),T73&gt;0,MOD(IFERROR(MATCH(1,T13:T22,0),1),2)=0),1, IF(AND(T.ServiceCenterIrchel,T72=INDEX(T.JaNein.Bereich,1,1),T77&gt;0),1, IF(AND(T.50_Vetsuisse=0,T.ServiceCenterIrchel=0,T77&gt;0),1,0)))</f>
        <v>0</v>
      </c>
      <c r="U69" s="249" t="n">
        <f aca="true">IF(AND(T.50_Vetsuisse,U72=INDEX(T.JaNein.Bereich,1,1),U73&gt;0,MOD(IFERROR(MATCH(1,U13:U22,0),1),2)=0),1, IF(AND(T.ServiceCenterIrchel,U72=INDEX(T.JaNein.Bereich,1,1),U77&gt;0),1, IF(AND(T.50_Vetsuisse=0,T.ServiceCenterIrchel=0,U77&gt;0),1,0)))</f>
        <v>0</v>
      </c>
      <c r="V69" s="249" t="n">
        <f aca="true">IF(AND(T.50_Vetsuisse,V72=INDEX(T.JaNein.Bereich,1,1),V73&gt;0,MOD(IFERROR(MATCH(1,V13:V22,0),1),2)=0),1, IF(AND(T.ServiceCenterIrchel,V72=INDEX(T.JaNein.Bereich,1,1),V77&gt;0),1, IF(AND(T.50_Vetsuisse=0,T.ServiceCenterIrchel=0,V77&gt;0),1,0)))</f>
        <v>0</v>
      </c>
      <c r="W69" s="249" t="n">
        <f aca="true">IF(AND(T.50_Vetsuisse,W72=INDEX(T.JaNein.Bereich,1,1),W73&gt;0,MOD(IFERROR(MATCH(1,W13:W22,0),1),2)=0),1, IF(AND(T.ServiceCenterIrchel,W72=INDEX(T.JaNein.Bereich,1,1),W77&gt;0),1, IF(AND(T.50_Vetsuisse=0,T.ServiceCenterIrchel=0,W77&gt;0),1,0)))</f>
        <v>0</v>
      </c>
      <c r="X69" s="249" t="n">
        <f aca="true">IF(AND(T.50_Vetsuisse,X72=INDEX(T.JaNein.Bereich,1,1),X73&gt;0,MOD(IFERROR(MATCH(1,X13:X22,0),1),2)=0),1, IF(AND(T.ServiceCenterIrchel,X72=INDEX(T.JaNein.Bereich,1,1),X77&gt;0),1, IF(AND(T.50_Vetsuisse=0,T.ServiceCenterIrchel=0,X77&gt;0),1,0)))</f>
        <v>0</v>
      </c>
      <c r="Y69" s="249" t="n">
        <f aca="true">IF(AND(T.50_Vetsuisse,Y72=INDEX(T.JaNein.Bereich,1,1),Y73&gt;0,MOD(IFERROR(MATCH(1,Y13:Y22,0),1),2)=0),1, IF(AND(T.ServiceCenterIrchel,Y72=INDEX(T.JaNein.Bereich,1,1),Y77&gt;0),1, IF(AND(T.50_Vetsuisse=0,T.ServiceCenterIrchel=0,Y77&gt;0),1,0)))</f>
        <v>0</v>
      </c>
      <c r="Z69" s="249" t="n">
        <f aca="true">IF(AND(T.50_Vetsuisse,Z72=INDEX(T.JaNein.Bereich,1,1),Z73&gt;0,MOD(IFERROR(MATCH(1,Z13:Z22,0),1),2)=0),1, IF(AND(T.ServiceCenterIrchel,Z72=INDEX(T.JaNein.Bereich,1,1),Z77&gt;0),1, IF(AND(T.50_Vetsuisse=0,T.ServiceCenterIrchel=0,Z77&gt;0),1,0)))</f>
        <v>0</v>
      </c>
      <c r="AA69" s="249" t="n">
        <f aca="true">IF(AND(T.50_Vetsuisse,AA72=INDEX(T.JaNein.Bereich,1,1),AA73&gt;0,MOD(IFERROR(MATCH(1,AA13:AA22,0),1),2)=0),1, IF(AND(T.ServiceCenterIrchel,AA72=INDEX(T.JaNein.Bereich,1,1),AA77&gt;0),1, IF(AND(T.50_Vetsuisse=0,T.ServiceCenterIrchel=0,AA77&gt;0),1,0)))</f>
        <v>0</v>
      </c>
      <c r="AB69" s="249" t="n">
        <f aca="true">IF(AND(T.50_Vetsuisse,AB72=INDEX(T.JaNein.Bereich,1,1),AB73&gt;0,MOD(IFERROR(MATCH(1,AB13:AB22,0),1),2)=0),1, IF(AND(T.ServiceCenterIrchel,AB72=INDEX(T.JaNein.Bereich,1,1),AB77&gt;0),1, IF(AND(T.50_Vetsuisse=0,T.ServiceCenterIrchel=0,AB77&gt;0),1,0)))</f>
        <v>0</v>
      </c>
      <c r="AC69" s="249" t="n">
        <f aca="true">IF(AND(T.50_Vetsuisse,AC72=INDEX(T.JaNein.Bereich,1,1),AC73&gt;0,MOD(IFERROR(MATCH(1,AC13:AC22,0),1),2)=0),1, IF(AND(T.ServiceCenterIrchel,AC72=INDEX(T.JaNein.Bereich,1,1),AC77&gt;0),1, IF(AND(T.50_Vetsuisse=0,T.ServiceCenterIrchel=0,AC77&gt;0),1,0)))</f>
        <v>0</v>
      </c>
      <c r="AD69" s="249" t="n">
        <f aca="true">IF(AND(T.50_Vetsuisse,AD72=INDEX(T.JaNein.Bereich,1,1),AD73&gt;0,MOD(IFERROR(MATCH(1,AD13:AD22,0),1),2)=0),1, IF(AND(T.ServiceCenterIrchel,AD72=INDEX(T.JaNein.Bereich,1,1),AD77&gt;0),1, IF(AND(T.50_Vetsuisse=0,T.ServiceCenterIrchel=0,AD77&gt;0),1,0)))</f>
        <v>0</v>
      </c>
      <c r="AE69" s="249" t="n">
        <f aca="true">IF(AND(T.50_Vetsuisse,AE72=INDEX(T.JaNein.Bereich,1,1),AE73&gt;0,MOD(IFERROR(MATCH(1,AE13:AE22,0),1),2)=0),1, IF(AND(T.ServiceCenterIrchel,AE72=INDEX(T.JaNein.Bereich,1,1),AE77&gt;0),1, IF(AND(T.50_Vetsuisse=0,T.ServiceCenterIrchel=0,AE77&gt;0),1,0)))</f>
        <v>0</v>
      </c>
      <c r="AF69" s="168" t="str">
        <f aca="false">A69</f>
        <v>Counter night shift</v>
      </c>
      <c r="AG69" s="250"/>
      <c r="AH69" s="251" t="n">
        <f aca="false">SUM(B69:AE69)</f>
        <v>0</v>
      </c>
      <c r="AI69" s="33"/>
      <c r="AJ69" s="192"/>
      <c r="AK69" s="252" t="n">
        <f aca="false">IF(EB.Anwendung&lt;&gt;"",IF(MONTH(Monat.Tag1)=1,0,IF(MONTH(Monat.Tag1)=2,January!Monat.ZählerNDUe,IF(MONTH(Monat.Tag1)=3,February!Monat.ZählerNDUe,IF(MONTH(Monat.Tag1)=4,March!Monat.ZählerNDUe,IF(MONTH(Monat.Tag1)=5,April!Monat.ZählerNDUe,IF(MONTH(Monat.Tag1)=6,May!Monat.ZählerNDUe,IF(MONTH(Monat.Tag1)=7,June!Monat.ZählerNDUe,IF(MONTH(Monat.Tag1)=8,July!Monat.ZählerNDUe,IF(MONTH(Monat.Tag1)=9,August!Monat.ZählerNDUe,IF(MONTH(Monat.Tag1)=10,Monat.ZählerNDUe,IF(MONTH(Monat.Tag1)=11,October!Monat.ZählerNDUe,IF(MONTH(Monat.Tag1)=12,November!Monat.ZählerNDUe,"")))))))))))),"")</f>
        <v>0</v>
      </c>
      <c r="AL69" s="172"/>
      <c r="AM69" s="253" t="n">
        <f aca="false">AK69+AH69</f>
        <v>0</v>
      </c>
      <c r="AN69" s="171"/>
      <c r="AO69" s="171"/>
      <c r="AP69" s="39"/>
    </row>
    <row r="70" s="148" customFormat="true" ht="15" hidden="true" customHeight="true" outlineLevel="0" collapsed="false">
      <c r="A70" s="175" t="s">
        <v>156</v>
      </c>
      <c r="B70" s="249" t="n">
        <f aca="false">IF(DAY(B$10)=1,$AK$69,A70)+B69</f>
        <v>0</v>
      </c>
      <c r="C70" s="249" t="n">
        <f aca="false">IF(DAY(C$10)=1,$AK$69,B70)+C69</f>
        <v>0</v>
      </c>
      <c r="D70" s="249" t="n">
        <f aca="false">IF(DAY(D$10)=1,$AK$69,C70)+D69</f>
        <v>0</v>
      </c>
      <c r="E70" s="249" t="n">
        <f aca="false">IF(DAY(E$10)=1,$AK$69,D70)+E69</f>
        <v>0</v>
      </c>
      <c r="F70" s="249" t="n">
        <f aca="false">IF(DAY(F$10)=1,$AK$69,E70)+F69</f>
        <v>0</v>
      </c>
      <c r="G70" s="249" t="n">
        <f aca="false">IF(DAY(G$10)=1,$AK$69,F70)+G69</f>
        <v>0</v>
      </c>
      <c r="H70" s="249" t="n">
        <f aca="false">IF(DAY(H$10)=1,$AK$69,G70)+H69</f>
        <v>0</v>
      </c>
      <c r="I70" s="249" t="n">
        <f aca="false">IF(DAY(I$10)=1,$AK$69,H70)+I69</f>
        <v>0</v>
      </c>
      <c r="J70" s="249" t="n">
        <f aca="false">IF(DAY(J$10)=1,$AK$69,I70)+J69</f>
        <v>0</v>
      </c>
      <c r="K70" s="249" t="n">
        <f aca="false">IF(DAY(K$10)=1,$AK$69,J70)+K69</f>
        <v>0</v>
      </c>
      <c r="L70" s="249" t="n">
        <f aca="false">IF(DAY(L$10)=1,$AK$69,K70)+L69</f>
        <v>0</v>
      </c>
      <c r="M70" s="249" t="n">
        <f aca="false">IF(DAY(M$10)=1,$AK$69,L70)+M69</f>
        <v>0</v>
      </c>
      <c r="N70" s="249" t="n">
        <f aca="false">IF(DAY(N$10)=1,$AK$69,M70)+N69</f>
        <v>0</v>
      </c>
      <c r="O70" s="249" t="n">
        <f aca="false">IF(DAY(O$10)=1,$AK$69,N70)+O69</f>
        <v>0</v>
      </c>
      <c r="P70" s="249" t="n">
        <f aca="false">IF(DAY(P$10)=1,$AK$69,O70)+P69</f>
        <v>0</v>
      </c>
      <c r="Q70" s="249" t="n">
        <f aca="false">IF(DAY(Q$10)=1,$AK$69,P70)+Q69</f>
        <v>0</v>
      </c>
      <c r="R70" s="249" t="n">
        <f aca="false">IF(DAY(R$10)=1,$AK$69,Q70)+R69</f>
        <v>0</v>
      </c>
      <c r="S70" s="249" t="n">
        <f aca="false">IF(DAY(S$10)=1,$AK$69,R70)+S69</f>
        <v>0</v>
      </c>
      <c r="T70" s="249" t="n">
        <f aca="false">IF(DAY(T$10)=1,$AK$69,S70)+T69</f>
        <v>0</v>
      </c>
      <c r="U70" s="249" t="n">
        <f aca="false">IF(DAY(U$10)=1,$AK$69,T70)+U69</f>
        <v>0</v>
      </c>
      <c r="V70" s="249" t="n">
        <f aca="false">IF(DAY(V$10)=1,$AK$69,U70)+V69</f>
        <v>0</v>
      </c>
      <c r="W70" s="249" t="n">
        <f aca="false">IF(DAY(W$10)=1,$AK$69,V70)+W69</f>
        <v>0</v>
      </c>
      <c r="X70" s="249" t="n">
        <f aca="false">IF(DAY(X$10)=1,$AK$69,W70)+X69</f>
        <v>0</v>
      </c>
      <c r="Y70" s="249" t="n">
        <f aca="false">IF(DAY(Y$10)=1,$AK$69,X70)+Y69</f>
        <v>0</v>
      </c>
      <c r="Z70" s="249" t="n">
        <f aca="false">IF(DAY(Z$10)=1,$AK$69,Y70)+Z69</f>
        <v>0</v>
      </c>
      <c r="AA70" s="249" t="n">
        <f aca="false">IF(DAY(AA$10)=1,$AK$69,Z70)+AA69</f>
        <v>0</v>
      </c>
      <c r="AB70" s="249" t="n">
        <f aca="false">IF(DAY(AB$10)=1,$AK$69,AA70)+AB69</f>
        <v>0</v>
      </c>
      <c r="AC70" s="249" t="n">
        <f aca="false">IF(DAY(AC$10)=1,$AK$69,AB70)+AC69</f>
        <v>0</v>
      </c>
      <c r="AD70" s="249" t="n">
        <f aca="false">IF(DAY(AD$10)=1,$AK$69,AC70)+AD69</f>
        <v>0</v>
      </c>
      <c r="AE70" s="249" t="n">
        <f aca="false">IF(DAY(AE$10)=1,$AK$69,AD70)+AE69</f>
        <v>0</v>
      </c>
      <c r="AF70" s="168" t="str">
        <f aca="false">A70</f>
        <v>Balance counter night shift</v>
      </c>
      <c r="AG70" s="197"/>
      <c r="AH70" s="192"/>
      <c r="AI70" s="27"/>
      <c r="AJ70" s="235"/>
      <c r="AK70" s="235"/>
      <c r="AL70" s="172"/>
      <c r="AM70" s="254"/>
      <c r="AN70" s="171"/>
      <c r="AO70" s="171"/>
      <c r="AP70" s="39"/>
    </row>
    <row r="71" s="148" customFormat="true" ht="15" hidden="true" customHeight="true" outlineLevel="1" collapsed="false">
      <c r="A71" s="175" t="s">
        <v>157</v>
      </c>
      <c r="B71" s="176"/>
      <c r="C71" s="176"/>
      <c r="D71" s="176"/>
      <c r="E71" s="177"/>
      <c r="F71" s="176"/>
      <c r="G71" s="176"/>
      <c r="H71" s="176"/>
      <c r="I71" s="176"/>
      <c r="J71" s="177"/>
      <c r="K71" s="176"/>
      <c r="L71" s="177"/>
      <c r="M71" s="176"/>
      <c r="N71" s="176"/>
      <c r="O71" s="176"/>
      <c r="P71" s="176"/>
      <c r="Q71" s="177"/>
      <c r="R71" s="176"/>
      <c r="S71" s="177"/>
      <c r="T71" s="177"/>
      <c r="U71" s="176"/>
      <c r="V71" s="176"/>
      <c r="W71" s="176"/>
      <c r="X71" s="177"/>
      <c r="Y71" s="176"/>
      <c r="Z71" s="178"/>
      <c r="AA71" s="176"/>
      <c r="AB71" s="176"/>
      <c r="AC71" s="176"/>
      <c r="AD71" s="176"/>
      <c r="AE71" s="177"/>
      <c r="AF71" s="168" t="str">
        <f aca="false">A71</f>
        <v>Compensation TS night shift</v>
      </c>
      <c r="AG71" s="184"/>
      <c r="AH71" s="207" t="n">
        <f aca="false">SUM(B71:AE71)</f>
        <v>0</v>
      </c>
      <c r="AI71" s="33"/>
      <c r="AJ71" s="235"/>
      <c r="AK71" s="216" t="n">
        <f aca="false">IF(EB.Anwendung&lt;&gt;"",IF(MONTH(Monat.Tag1)=1,0,IF(MONTH(Monat.Tag1)=2,January!Monat.KompZZSNDUeVM,IF(MONTH(Monat.Tag1)=3,February!Monat.KompZZSNDUeVM,IF(MONTH(Monat.Tag1)=4,March!Monat.KompZZSNDUeVM,IF(MONTH(Monat.Tag1)=5,April!Monat.KompZZSNDUeVM,IF(MONTH(Monat.Tag1)=6,May!Monat.KompZZSNDUeVM,IF(MONTH(Monat.Tag1)=7,June!Monat.KompZZSNDUeVM,IF(MONTH(Monat.Tag1)=8,July!Monat.KompZZSNDUeVM,IF(MONTH(Monat.Tag1)=9,August!Monat.KompZZSNDUeVM,IF(MONTH(Monat.Tag1)=10,Monat.KompZZSNDUeVM,IF(MONTH(Monat.Tag1)=11,October!Monat.KompZZSNDUeVM,IF(MONTH(Monat.Tag1)=12,November!Monat.KompZZSNDUeVM,"")))))))))))),"")</f>
        <v>0</v>
      </c>
      <c r="AL71" s="172"/>
      <c r="AM71" s="217" t="n">
        <f aca="false">AH71+AK71</f>
        <v>0</v>
      </c>
      <c r="AN71" s="217" t="n">
        <f aca="true">SUM(OFFSET(Jahr.KompZZSND,-12,0,MONTH(Monat.Tag1),1))</f>
        <v>0</v>
      </c>
      <c r="AO71" s="217" t="n">
        <f aca="false">Jahr.KompZZSND</f>
        <v>0</v>
      </c>
      <c r="AP71" s="39"/>
    </row>
    <row r="72" s="148" customFormat="true" ht="15" hidden="true" customHeight="true" outlineLevel="1" collapsed="false">
      <c r="A72" s="175" t="s">
        <v>158</v>
      </c>
      <c r="B72" s="255"/>
      <c r="C72" s="255"/>
      <c r="D72" s="255"/>
      <c r="E72" s="255"/>
      <c r="F72" s="255"/>
      <c r="G72" s="255"/>
      <c r="H72" s="255"/>
      <c r="I72" s="255"/>
      <c r="J72" s="255"/>
      <c r="K72" s="255"/>
      <c r="L72" s="255"/>
      <c r="M72" s="255"/>
      <c r="N72" s="255"/>
      <c r="O72" s="255"/>
      <c r="P72" s="255"/>
      <c r="Q72" s="255"/>
      <c r="R72" s="255"/>
      <c r="S72" s="255"/>
      <c r="T72" s="255"/>
      <c r="U72" s="255"/>
      <c r="V72" s="255"/>
      <c r="W72" s="255"/>
      <c r="X72" s="255"/>
      <c r="Y72" s="255"/>
      <c r="Z72" s="255"/>
      <c r="AA72" s="255"/>
      <c r="AB72" s="255"/>
      <c r="AC72" s="255"/>
      <c r="AD72" s="255"/>
      <c r="AE72" s="255"/>
      <c r="AF72" s="168" t="str">
        <f aca="false">A72</f>
        <v>Start pl. night shift Yes/No</v>
      </c>
      <c r="AG72" s="184"/>
      <c r="AH72" s="192"/>
      <c r="AI72" s="198" t="n">
        <f aca="true">IFERROR(SUMPRODUCT((B72:AE72=INDEX(T.JaNein.Bereich,1))*(B72:AE72&lt;&gt;"")),0)</f>
        <v>0</v>
      </c>
      <c r="AJ72" s="235"/>
      <c r="AK72" s="198" t="n">
        <f aca="false">AK69</f>
        <v>0</v>
      </c>
      <c r="AL72" s="172"/>
      <c r="AM72" s="253" t="n">
        <f aca="false">AM69</f>
        <v>0</v>
      </c>
      <c r="AN72" s="172"/>
      <c r="AO72" s="172"/>
      <c r="AP72" s="39"/>
    </row>
    <row r="73" s="148" customFormat="true" ht="15" hidden="false" customHeight="true" outlineLevel="1" collapsed="false">
      <c r="A73" s="175" t="s">
        <v>159</v>
      </c>
      <c r="B73" s="256" t="n">
        <f aca="false">IF(B$12=0,0,IF(OR(T.50_Vetsuisse,T.ServiceCenterIrchel),ROUND(B14-B13+MAX(0,T.Nachtab-MAX(T.Nachtbis,B14))-MAX(0,T.Nachtab-MAX(B13,T.Nachtbis))+(B13&gt;B14)*(1+T.Nachtbis-T.Nachtab)+B16-B15+MAX(0,T.Nachtab-MAX(T.Nachtbis,B16))-MAX(0,T.Nachtab-MAX(B15,T.Nachtbis))+(B15&gt;B16)*(1+T.Nachtbis-T.Nachtab)+B18-B17+MAX(0,T.Nachtab-MAX(T.Nachtbis,B18))-MAX(0,T.Nachtab-MAX(B17,T.Nachtbis))+(B17&gt;B18)*(1+T.Nachtbis-T.Nachtab)+B20-B19+MAX(0,T.Nachtab-MAX(T.Nachtbis,B20))-MAX(0,T.Nachtab-MAX(B19,T.Nachtbis))+(B19&gt;B20)*(1+T.Nachtbis-T.Nachtab)+B22-B21+MAX(0,T.Nachtab-MAX(T.Nachtbis,B22))-MAX(0,T.Nachtab-MAX(B21,T.Nachtbis))+(B21&gt;B22)*(1+T.Nachtbis-T.Nachtab),9), IF(AND(WEEKDAY(B$10,2)&lt;6,B$11&lt;&gt;0),ROUND(B36-B35+MAX(0,T.Nachtab-MAX(T.Nachtbis,B36))-MAX(0,T.Nachtab-MAX(B35,T.Nachtbis))+(B35&gt;B36)*(1+T.Nachtbis-T.Nachtab)+B38-B37+MAX(0,T.Nachtab-MAX(T.Nachtbis,B38))-MAX(0,T.Nachtab-MAX(B37,T.Nachtbis))+(B37&gt;B38)*(1+T.Nachtbis-T.Nachtab)+B40-B39+MAX(0,T.Nachtab-MAX(T.Nachtbis,B40))-MAX(0,T.Nachtab-MAX(B39,T.Nachtbis))+(B39&gt;B40)*(1+T.Nachtbis-T.Nachtab)+B42-B41+MAX(0,T.Nachtab-MAX(T.Nachtbis,B42))-MAX(0,T.Nachtab-MAX(B41,T.Nachtbis))+(B41&gt;B42)*(1+T.Nachtbis-T.Nachtab)+B44-B43+MAX(0,T.Nachtab-MAX(T.Nachtbis,B44))-MAX(0,T.Nachtab-MAX(B43,T.Nachtbis))+(B43&gt;B44)*(1+T.Nachtbis-T.Nachtab),9),0)))</f>
        <v>0</v>
      </c>
      <c r="C73" s="256" t="n">
        <f aca="false">IF(C$12=0,0,IF(OR(T.50_Vetsuisse,T.ServiceCenterIrchel),ROUND(C14-C13+MAX(0,T.Nachtab-MAX(T.Nachtbis,C14))-MAX(0,T.Nachtab-MAX(C13,T.Nachtbis))+(C13&gt;C14)*(1+T.Nachtbis-T.Nachtab)+C16-C15+MAX(0,T.Nachtab-MAX(T.Nachtbis,C16))-MAX(0,T.Nachtab-MAX(C15,T.Nachtbis))+(C15&gt;C16)*(1+T.Nachtbis-T.Nachtab)+C18-C17+MAX(0,T.Nachtab-MAX(T.Nachtbis,C18))-MAX(0,T.Nachtab-MAX(C17,T.Nachtbis))+(C17&gt;C18)*(1+T.Nachtbis-T.Nachtab)+C20-C19+MAX(0,T.Nachtab-MAX(T.Nachtbis,C20))-MAX(0,T.Nachtab-MAX(C19,T.Nachtbis))+(C19&gt;C20)*(1+T.Nachtbis-T.Nachtab)+C22-C21+MAX(0,T.Nachtab-MAX(T.Nachtbis,C22))-MAX(0,T.Nachtab-MAX(C21,T.Nachtbis))+(C21&gt;C22)*(1+T.Nachtbis-T.Nachtab),9), IF(AND(WEEKDAY(C$10,2)&lt;6,C$11&lt;&gt;0),ROUND(C36-C35+MAX(0,T.Nachtab-MAX(T.Nachtbis,C36))-MAX(0,T.Nachtab-MAX(C35,T.Nachtbis))+(C35&gt;C36)*(1+T.Nachtbis-T.Nachtab)+C38-C37+MAX(0,T.Nachtab-MAX(T.Nachtbis,C38))-MAX(0,T.Nachtab-MAX(C37,T.Nachtbis))+(C37&gt;C38)*(1+T.Nachtbis-T.Nachtab)+C40-C39+MAX(0,T.Nachtab-MAX(T.Nachtbis,C40))-MAX(0,T.Nachtab-MAX(C39,T.Nachtbis))+(C39&gt;C40)*(1+T.Nachtbis-T.Nachtab)+C42-C41+MAX(0,T.Nachtab-MAX(T.Nachtbis,C42))-MAX(0,T.Nachtab-MAX(C41,T.Nachtbis))+(C41&gt;C42)*(1+T.Nachtbis-T.Nachtab)+C44-C43+MAX(0,T.Nachtab-MAX(T.Nachtbis,C44))-MAX(0,T.Nachtab-MAX(C43,T.Nachtbis))+(C43&gt;C44)*(1+T.Nachtbis-T.Nachtab),9),0)))</f>
        <v>0</v>
      </c>
      <c r="D73" s="256" t="n">
        <f aca="false">IF(D$12=0,0,IF(OR(T.50_Vetsuisse,T.ServiceCenterIrchel),ROUND(D14-D13+MAX(0,T.Nachtab-MAX(T.Nachtbis,D14))-MAX(0,T.Nachtab-MAX(D13,T.Nachtbis))+(D13&gt;D14)*(1+T.Nachtbis-T.Nachtab)+D16-D15+MAX(0,T.Nachtab-MAX(T.Nachtbis,D16))-MAX(0,T.Nachtab-MAX(D15,T.Nachtbis))+(D15&gt;D16)*(1+T.Nachtbis-T.Nachtab)+D18-D17+MAX(0,T.Nachtab-MAX(T.Nachtbis,D18))-MAX(0,T.Nachtab-MAX(D17,T.Nachtbis))+(D17&gt;D18)*(1+T.Nachtbis-T.Nachtab)+D20-D19+MAX(0,T.Nachtab-MAX(T.Nachtbis,D20))-MAX(0,T.Nachtab-MAX(D19,T.Nachtbis))+(D19&gt;D20)*(1+T.Nachtbis-T.Nachtab)+D22-D21+MAX(0,T.Nachtab-MAX(T.Nachtbis,D22))-MAX(0,T.Nachtab-MAX(D21,T.Nachtbis))+(D21&gt;D22)*(1+T.Nachtbis-T.Nachtab),9), IF(AND(WEEKDAY(D$10,2)&lt;6,D$11&lt;&gt;0),ROUND(D36-D35+MAX(0,T.Nachtab-MAX(T.Nachtbis,D36))-MAX(0,T.Nachtab-MAX(D35,T.Nachtbis))+(D35&gt;D36)*(1+T.Nachtbis-T.Nachtab)+D38-D37+MAX(0,T.Nachtab-MAX(T.Nachtbis,D38))-MAX(0,T.Nachtab-MAX(D37,T.Nachtbis))+(D37&gt;D38)*(1+T.Nachtbis-T.Nachtab)+D40-D39+MAX(0,T.Nachtab-MAX(T.Nachtbis,D40))-MAX(0,T.Nachtab-MAX(D39,T.Nachtbis))+(D39&gt;D40)*(1+T.Nachtbis-T.Nachtab)+D42-D41+MAX(0,T.Nachtab-MAX(T.Nachtbis,D42))-MAX(0,T.Nachtab-MAX(D41,T.Nachtbis))+(D41&gt;D42)*(1+T.Nachtbis-T.Nachtab)+D44-D43+MAX(0,T.Nachtab-MAX(T.Nachtbis,D44))-MAX(0,T.Nachtab-MAX(D43,T.Nachtbis))+(D43&gt;D44)*(1+T.Nachtbis-T.Nachtab),9),0)))</f>
        <v>0</v>
      </c>
      <c r="E73" s="256" t="n">
        <f aca="false">IF(E$12=0,0,IF(OR(T.50_Vetsuisse,T.ServiceCenterIrchel),ROUND(E14-E13+MAX(0,T.Nachtab-MAX(T.Nachtbis,E14))-MAX(0,T.Nachtab-MAX(E13,T.Nachtbis))+(E13&gt;E14)*(1+T.Nachtbis-T.Nachtab)+E16-E15+MAX(0,T.Nachtab-MAX(T.Nachtbis,E16))-MAX(0,T.Nachtab-MAX(E15,T.Nachtbis))+(E15&gt;E16)*(1+T.Nachtbis-T.Nachtab)+E18-E17+MAX(0,T.Nachtab-MAX(T.Nachtbis,E18))-MAX(0,T.Nachtab-MAX(E17,T.Nachtbis))+(E17&gt;E18)*(1+T.Nachtbis-T.Nachtab)+E20-E19+MAX(0,T.Nachtab-MAX(T.Nachtbis,E20))-MAX(0,T.Nachtab-MAX(E19,T.Nachtbis))+(E19&gt;E20)*(1+T.Nachtbis-T.Nachtab)+E22-E21+MAX(0,T.Nachtab-MAX(T.Nachtbis,E22))-MAX(0,T.Nachtab-MAX(E21,T.Nachtbis))+(E21&gt;E22)*(1+T.Nachtbis-T.Nachtab),9), IF(AND(WEEKDAY(E$10,2)&lt;6,E$11&lt;&gt;0),ROUND(E36-E35+MAX(0,T.Nachtab-MAX(T.Nachtbis,E36))-MAX(0,T.Nachtab-MAX(E35,T.Nachtbis))+(E35&gt;E36)*(1+T.Nachtbis-T.Nachtab)+E38-E37+MAX(0,T.Nachtab-MAX(T.Nachtbis,E38))-MAX(0,T.Nachtab-MAX(E37,T.Nachtbis))+(E37&gt;E38)*(1+T.Nachtbis-T.Nachtab)+E40-E39+MAX(0,T.Nachtab-MAX(T.Nachtbis,E40))-MAX(0,T.Nachtab-MAX(E39,T.Nachtbis))+(E39&gt;E40)*(1+T.Nachtbis-T.Nachtab)+E42-E41+MAX(0,T.Nachtab-MAX(T.Nachtbis,E42))-MAX(0,T.Nachtab-MAX(E41,T.Nachtbis))+(E41&gt;E42)*(1+T.Nachtbis-T.Nachtab)+E44-E43+MAX(0,T.Nachtab-MAX(T.Nachtbis,E44))-MAX(0,T.Nachtab-MAX(E43,T.Nachtbis))+(E43&gt;E44)*(1+T.Nachtbis-T.Nachtab),9),0)))</f>
        <v>0</v>
      </c>
      <c r="F73" s="256" t="n">
        <f aca="false">IF(F$12=0,0,IF(OR(T.50_Vetsuisse,T.ServiceCenterIrchel),ROUND(F14-F13+MAX(0,T.Nachtab-MAX(T.Nachtbis,F14))-MAX(0,T.Nachtab-MAX(F13,T.Nachtbis))+(F13&gt;F14)*(1+T.Nachtbis-T.Nachtab)+F16-F15+MAX(0,T.Nachtab-MAX(T.Nachtbis,F16))-MAX(0,T.Nachtab-MAX(F15,T.Nachtbis))+(F15&gt;F16)*(1+T.Nachtbis-T.Nachtab)+F18-F17+MAX(0,T.Nachtab-MAX(T.Nachtbis,F18))-MAX(0,T.Nachtab-MAX(F17,T.Nachtbis))+(F17&gt;F18)*(1+T.Nachtbis-T.Nachtab)+F20-F19+MAX(0,T.Nachtab-MAX(T.Nachtbis,F20))-MAX(0,T.Nachtab-MAX(F19,T.Nachtbis))+(F19&gt;F20)*(1+T.Nachtbis-T.Nachtab)+F22-F21+MAX(0,T.Nachtab-MAX(T.Nachtbis,F22))-MAX(0,T.Nachtab-MAX(F21,T.Nachtbis))+(F21&gt;F22)*(1+T.Nachtbis-T.Nachtab),9), IF(AND(WEEKDAY(F$10,2)&lt;6,F$11&lt;&gt;0),ROUND(F36-F35+MAX(0,T.Nachtab-MAX(T.Nachtbis,F36))-MAX(0,T.Nachtab-MAX(F35,T.Nachtbis))+(F35&gt;F36)*(1+T.Nachtbis-T.Nachtab)+F38-F37+MAX(0,T.Nachtab-MAX(T.Nachtbis,F38))-MAX(0,T.Nachtab-MAX(F37,T.Nachtbis))+(F37&gt;F38)*(1+T.Nachtbis-T.Nachtab)+F40-F39+MAX(0,T.Nachtab-MAX(T.Nachtbis,F40))-MAX(0,T.Nachtab-MAX(F39,T.Nachtbis))+(F39&gt;F40)*(1+T.Nachtbis-T.Nachtab)+F42-F41+MAX(0,T.Nachtab-MAX(T.Nachtbis,F42))-MAX(0,T.Nachtab-MAX(F41,T.Nachtbis))+(F41&gt;F42)*(1+T.Nachtbis-T.Nachtab)+F44-F43+MAX(0,T.Nachtab-MAX(T.Nachtbis,F44))-MAX(0,T.Nachtab-MAX(F43,T.Nachtbis))+(F43&gt;F44)*(1+T.Nachtbis-T.Nachtab),9),0)))</f>
        <v>0</v>
      </c>
      <c r="G73" s="256" t="n">
        <f aca="false">IF(G$12=0,0,IF(OR(T.50_Vetsuisse,T.ServiceCenterIrchel),ROUND(G14-G13+MAX(0,T.Nachtab-MAX(T.Nachtbis,G14))-MAX(0,T.Nachtab-MAX(G13,T.Nachtbis))+(G13&gt;G14)*(1+T.Nachtbis-T.Nachtab)+G16-G15+MAX(0,T.Nachtab-MAX(T.Nachtbis,G16))-MAX(0,T.Nachtab-MAX(G15,T.Nachtbis))+(G15&gt;G16)*(1+T.Nachtbis-T.Nachtab)+G18-G17+MAX(0,T.Nachtab-MAX(T.Nachtbis,G18))-MAX(0,T.Nachtab-MAX(G17,T.Nachtbis))+(G17&gt;G18)*(1+T.Nachtbis-T.Nachtab)+G20-G19+MAX(0,T.Nachtab-MAX(T.Nachtbis,G20))-MAX(0,T.Nachtab-MAX(G19,T.Nachtbis))+(G19&gt;G20)*(1+T.Nachtbis-T.Nachtab)+G22-G21+MAX(0,T.Nachtab-MAX(T.Nachtbis,G22))-MAX(0,T.Nachtab-MAX(G21,T.Nachtbis))+(G21&gt;G22)*(1+T.Nachtbis-T.Nachtab),9), IF(AND(WEEKDAY(G$10,2)&lt;6,G$11&lt;&gt;0),ROUND(G36-G35+MAX(0,T.Nachtab-MAX(T.Nachtbis,G36))-MAX(0,T.Nachtab-MAX(G35,T.Nachtbis))+(G35&gt;G36)*(1+T.Nachtbis-T.Nachtab)+G38-G37+MAX(0,T.Nachtab-MAX(T.Nachtbis,G38))-MAX(0,T.Nachtab-MAX(G37,T.Nachtbis))+(G37&gt;G38)*(1+T.Nachtbis-T.Nachtab)+G40-G39+MAX(0,T.Nachtab-MAX(T.Nachtbis,G40))-MAX(0,T.Nachtab-MAX(G39,T.Nachtbis))+(G39&gt;G40)*(1+T.Nachtbis-T.Nachtab)+G42-G41+MAX(0,T.Nachtab-MAX(T.Nachtbis,G42))-MAX(0,T.Nachtab-MAX(G41,T.Nachtbis))+(G41&gt;G42)*(1+T.Nachtbis-T.Nachtab)+G44-G43+MAX(0,T.Nachtab-MAX(T.Nachtbis,G44))-MAX(0,T.Nachtab-MAX(G43,T.Nachtbis))+(G43&gt;G44)*(1+T.Nachtbis-T.Nachtab),9),0)))</f>
        <v>0</v>
      </c>
      <c r="H73" s="256" t="n">
        <f aca="false">IF(H$12=0,0,IF(OR(T.50_Vetsuisse,T.ServiceCenterIrchel),ROUND(H14-H13+MAX(0,T.Nachtab-MAX(T.Nachtbis,H14))-MAX(0,T.Nachtab-MAX(H13,T.Nachtbis))+(H13&gt;H14)*(1+T.Nachtbis-T.Nachtab)+H16-H15+MAX(0,T.Nachtab-MAX(T.Nachtbis,H16))-MAX(0,T.Nachtab-MAX(H15,T.Nachtbis))+(H15&gt;H16)*(1+T.Nachtbis-T.Nachtab)+H18-H17+MAX(0,T.Nachtab-MAX(T.Nachtbis,H18))-MAX(0,T.Nachtab-MAX(H17,T.Nachtbis))+(H17&gt;H18)*(1+T.Nachtbis-T.Nachtab)+H20-H19+MAX(0,T.Nachtab-MAX(T.Nachtbis,H20))-MAX(0,T.Nachtab-MAX(H19,T.Nachtbis))+(H19&gt;H20)*(1+T.Nachtbis-T.Nachtab)+H22-H21+MAX(0,T.Nachtab-MAX(T.Nachtbis,H22))-MAX(0,T.Nachtab-MAX(H21,T.Nachtbis))+(H21&gt;H22)*(1+T.Nachtbis-T.Nachtab),9), IF(AND(WEEKDAY(H$10,2)&lt;6,H$11&lt;&gt;0),ROUND(H36-H35+MAX(0,T.Nachtab-MAX(T.Nachtbis,H36))-MAX(0,T.Nachtab-MAX(H35,T.Nachtbis))+(H35&gt;H36)*(1+T.Nachtbis-T.Nachtab)+H38-H37+MAX(0,T.Nachtab-MAX(T.Nachtbis,H38))-MAX(0,T.Nachtab-MAX(H37,T.Nachtbis))+(H37&gt;H38)*(1+T.Nachtbis-T.Nachtab)+H40-H39+MAX(0,T.Nachtab-MAX(T.Nachtbis,H40))-MAX(0,T.Nachtab-MAX(H39,T.Nachtbis))+(H39&gt;H40)*(1+T.Nachtbis-T.Nachtab)+H42-H41+MAX(0,T.Nachtab-MAX(T.Nachtbis,H42))-MAX(0,T.Nachtab-MAX(H41,T.Nachtbis))+(H41&gt;H42)*(1+T.Nachtbis-T.Nachtab)+H44-H43+MAX(0,T.Nachtab-MAX(T.Nachtbis,H44))-MAX(0,T.Nachtab-MAX(H43,T.Nachtbis))+(H43&gt;H44)*(1+T.Nachtbis-T.Nachtab),9),0)))</f>
        <v>0</v>
      </c>
      <c r="I73" s="256" t="n">
        <f aca="false">IF(I$12=0,0,IF(OR(T.50_Vetsuisse,T.ServiceCenterIrchel),ROUND(I14-I13+MAX(0,T.Nachtab-MAX(T.Nachtbis,I14))-MAX(0,T.Nachtab-MAX(I13,T.Nachtbis))+(I13&gt;I14)*(1+T.Nachtbis-T.Nachtab)+I16-I15+MAX(0,T.Nachtab-MAX(T.Nachtbis,I16))-MAX(0,T.Nachtab-MAX(I15,T.Nachtbis))+(I15&gt;I16)*(1+T.Nachtbis-T.Nachtab)+I18-I17+MAX(0,T.Nachtab-MAX(T.Nachtbis,I18))-MAX(0,T.Nachtab-MAX(I17,T.Nachtbis))+(I17&gt;I18)*(1+T.Nachtbis-T.Nachtab)+I20-I19+MAX(0,T.Nachtab-MAX(T.Nachtbis,I20))-MAX(0,T.Nachtab-MAX(I19,T.Nachtbis))+(I19&gt;I20)*(1+T.Nachtbis-T.Nachtab)+I22-I21+MAX(0,T.Nachtab-MAX(T.Nachtbis,I22))-MAX(0,T.Nachtab-MAX(I21,T.Nachtbis))+(I21&gt;I22)*(1+T.Nachtbis-T.Nachtab),9), IF(AND(WEEKDAY(I$10,2)&lt;6,I$11&lt;&gt;0),ROUND(I36-I35+MAX(0,T.Nachtab-MAX(T.Nachtbis,I36))-MAX(0,T.Nachtab-MAX(I35,T.Nachtbis))+(I35&gt;I36)*(1+T.Nachtbis-T.Nachtab)+I38-I37+MAX(0,T.Nachtab-MAX(T.Nachtbis,I38))-MAX(0,T.Nachtab-MAX(I37,T.Nachtbis))+(I37&gt;I38)*(1+T.Nachtbis-T.Nachtab)+I40-I39+MAX(0,T.Nachtab-MAX(T.Nachtbis,I40))-MAX(0,T.Nachtab-MAX(I39,T.Nachtbis))+(I39&gt;I40)*(1+T.Nachtbis-T.Nachtab)+I42-I41+MAX(0,T.Nachtab-MAX(T.Nachtbis,I42))-MAX(0,T.Nachtab-MAX(I41,T.Nachtbis))+(I41&gt;I42)*(1+T.Nachtbis-T.Nachtab)+I44-I43+MAX(0,T.Nachtab-MAX(T.Nachtbis,I44))-MAX(0,T.Nachtab-MAX(I43,T.Nachtbis))+(I43&gt;I44)*(1+T.Nachtbis-T.Nachtab),9),0)))</f>
        <v>0</v>
      </c>
      <c r="J73" s="256" t="n">
        <f aca="false">IF(J$12=0,0,IF(OR(T.50_Vetsuisse,T.ServiceCenterIrchel),ROUND(J14-J13+MAX(0,T.Nachtab-MAX(T.Nachtbis,J14))-MAX(0,T.Nachtab-MAX(J13,T.Nachtbis))+(J13&gt;J14)*(1+T.Nachtbis-T.Nachtab)+J16-J15+MAX(0,T.Nachtab-MAX(T.Nachtbis,J16))-MAX(0,T.Nachtab-MAX(J15,T.Nachtbis))+(J15&gt;J16)*(1+T.Nachtbis-T.Nachtab)+J18-J17+MAX(0,T.Nachtab-MAX(T.Nachtbis,J18))-MAX(0,T.Nachtab-MAX(J17,T.Nachtbis))+(J17&gt;J18)*(1+T.Nachtbis-T.Nachtab)+J20-J19+MAX(0,T.Nachtab-MAX(T.Nachtbis,J20))-MAX(0,T.Nachtab-MAX(J19,T.Nachtbis))+(J19&gt;J20)*(1+T.Nachtbis-T.Nachtab)+J22-J21+MAX(0,T.Nachtab-MAX(T.Nachtbis,J22))-MAX(0,T.Nachtab-MAX(J21,T.Nachtbis))+(J21&gt;J22)*(1+T.Nachtbis-T.Nachtab),9), IF(AND(WEEKDAY(J$10,2)&lt;6,J$11&lt;&gt;0),ROUND(J36-J35+MAX(0,T.Nachtab-MAX(T.Nachtbis,J36))-MAX(0,T.Nachtab-MAX(J35,T.Nachtbis))+(J35&gt;J36)*(1+T.Nachtbis-T.Nachtab)+J38-J37+MAX(0,T.Nachtab-MAX(T.Nachtbis,J38))-MAX(0,T.Nachtab-MAX(J37,T.Nachtbis))+(J37&gt;J38)*(1+T.Nachtbis-T.Nachtab)+J40-J39+MAX(0,T.Nachtab-MAX(T.Nachtbis,J40))-MAX(0,T.Nachtab-MAX(J39,T.Nachtbis))+(J39&gt;J40)*(1+T.Nachtbis-T.Nachtab)+J42-J41+MAX(0,T.Nachtab-MAX(T.Nachtbis,J42))-MAX(0,T.Nachtab-MAX(J41,T.Nachtbis))+(J41&gt;J42)*(1+T.Nachtbis-T.Nachtab)+J44-J43+MAX(0,T.Nachtab-MAX(T.Nachtbis,J44))-MAX(0,T.Nachtab-MAX(J43,T.Nachtbis))+(J43&gt;J44)*(1+T.Nachtbis-T.Nachtab),9),0)))</f>
        <v>0</v>
      </c>
      <c r="K73" s="256" t="n">
        <f aca="false">IF(K$12=0,0,IF(OR(T.50_Vetsuisse,T.ServiceCenterIrchel),ROUND(K14-K13+MAX(0,T.Nachtab-MAX(T.Nachtbis,K14))-MAX(0,T.Nachtab-MAX(K13,T.Nachtbis))+(K13&gt;K14)*(1+T.Nachtbis-T.Nachtab)+K16-K15+MAX(0,T.Nachtab-MAX(T.Nachtbis,K16))-MAX(0,T.Nachtab-MAX(K15,T.Nachtbis))+(K15&gt;K16)*(1+T.Nachtbis-T.Nachtab)+K18-K17+MAX(0,T.Nachtab-MAX(T.Nachtbis,K18))-MAX(0,T.Nachtab-MAX(K17,T.Nachtbis))+(K17&gt;K18)*(1+T.Nachtbis-T.Nachtab)+K20-K19+MAX(0,T.Nachtab-MAX(T.Nachtbis,K20))-MAX(0,T.Nachtab-MAX(K19,T.Nachtbis))+(K19&gt;K20)*(1+T.Nachtbis-T.Nachtab)+K22-K21+MAX(0,T.Nachtab-MAX(T.Nachtbis,K22))-MAX(0,T.Nachtab-MAX(K21,T.Nachtbis))+(K21&gt;K22)*(1+T.Nachtbis-T.Nachtab),9), IF(AND(WEEKDAY(K$10,2)&lt;6,K$11&lt;&gt;0),ROUND(K36-K35+MAX(0,T.Nachtab-MAX(T.Nachtbis,K36))-MAX(0,T.Nachtab-MAX(K35,T.Nachtbis))+(K35&gt;K36)*(1+T.Nachtbis-T.Nachtab)+K38-K37+MAX(0,T.Nachtab-MAX(T.Nachtbis,K38))-MAX(0,T.Nachtab-MAX(K37,T.Nachtbis))+(K37&gt;K38)*(1+T.Nachtbis-T.Nachtab)+K40-K39+MAX(0,T.Nachtab-MAX(T.Nachtbis,K40))-MAX(0,T.Nachtab-MAX(K39,T.Nachtbis))+(K39&gt;K40)*(1+T.Nachtbis-T.Nachtab)+K42-K41+MAX(0,T.Nachtab-MAX(T.Nachtbis,K42))-MAX(0,T.Nachtab-MAX(K41,T.Nachtbis))+(K41&gt;K42)*(1+T.Nachtbis-T.Nachtab)+K44-K43+MAX(0,T.Nachtab-MAX(T.Nachtbis,K44))-MAX(0,T.Nachtab-MAX(K43,T.Nachtbis))+(K43&gt;K44)*(1+T.Nachtbis-T.Nachtab),9),0)))</f>
        <v>0</v>
      </c>
      <c r="L73" s="256" t="n">
        <f aca="false">IF(L$12=0,0,IF(OR(T.50_Vetsuisse,T.ServiceCenterIrchel),ROUND(L14-L13+MAX(0,T.Nachtab-MAX(T.Nachtbis,L14))-MAX(0,T.Nachtab-MAX(L13,T.Nachtbis))+(L13&gt;L14)*(1+T.Nachtbis-T.Nachtab)+L16-L15+MAX(0,T.Nachtab-MAX(T.Nachtbis,L16))-MAX(0,T.Nachtab-MAX(L15,T.Nachtbis))+(L15&gt;L16)*(1+T.Nachtbis-T.Nachtab)+L18-L17+MAX(0,T.Nachtab-MAX(T.Nachtbis,L18))-MAX(0,T.Nachtab-MAX(L17,T.Nachtbis))+(L17&gt;L18)*(1+T.Nachtbis-T.Nachtab)+L20-L19+MAX(0,T.Nachtab-MAX(T.Nachtbis,L20))-MAX(0,T.Nachtab-MAX(L19,T.Nachtbis))+(L19&gt;L20)*(1+T.Nachtbis-T.Nachtab)+L22-L21+MAX(0,T.Nachtab-MAX(T.Nachtbis,L22))-MAX(0,T.Nachtab-MAX(L21,T.Nachtbis))+(L21&gt;L22)*(1+T.Nachtbis-T.Nachtab),9), IF(AND(WEEKDAY(L$10,2)&lt;6,L$11&lt;&gt;0),ROUND(L36-L35+MAX(0,T.Nachtab-MAX(T.Nachtbis,L36))-MAX(0,T.Nachtab-MAX(L35,T.Nachtbis))+(L35&gt;L36)*(1+T.Nachtbis-T.Nachtab)+L38-L37+MAX(0,T.Nachtab-MAX(T.Nachtbis,L38))-MAX(0,T.Nachtab-MAX(L37,T.Nachtbis))+(L37&gt;L38)*(1+T.Nachtbis-T.Nachtab)+L40-L39+MAX(0,T.Nachtab-MAX(T.Nachtbis,L40))-MAX(0,T.Nachtab-MAX(L39,T.Nachtbis))+(L39&gt;L40)*(1+T.Nachtbis-T.Nachtab)+L42-L41+MAX(0,T.Nachtab-MAX(T.Nachtbis,L42))-MAX(0,T.Nachtab-MAX(L41,T.Nachtbis))+(L41&gt;L42)*(1+T.Nachtbis-T.Nachtab)+L44-L43+MAX(0,T.Nachtab-MAX(T.Nachtbis,L44))-MAX(0,T.Nachtab-MAX(L43,T.Nachtbis))+(L43&gt;L44)*(1+T.Nachtbis-T.Nachtab),9),0)))</f>
        <v>0</v>
      </c>
      <c r="M73" s="256" t="n">
        <f aca="false">IF(M$12=0,0,IF(OR(T.50_Vetsuisse,T.ServiceCenterIrchel),ROUND(M14-M13+MAX(0,T.Nachtab-MAX(T.Nachtbis,M14))-MAX(0,T.Nachtab-MAX(M13,T.Nachtbis))+(M13&gt;M14)*(1+T.Nachtbis-T.Nachtab)+M16-M15+MAX(0,T.Nachtab-MAX(T.Nachtbis,M16))-MAX(0,T.Nachtab-MAX(M15,T.Nachtbis))+(M15&gt;M16)*(1+T.Nachtbis-T.Nachtab)+M18-M17+MAX(0,T.Nachtab-MAX(T.Nachtbis,M18))-MAX(0,T.Nachtab-MAX(M17,T.Nachtbis))+(M17&gt;M18)*(1+T.Nachtbis-T.Nachtab)+M20-M19+MAX(0,T.Nachtab-MAX(T.Nachtbis,M20))-MAX(0,T.Nachtab-MAX(M19,T.Nachtbis))+(M19&gt;M20)*(1+T.Nachtbis-T.Nachtab)+M22-M21+MAX(0,T.Nachtab-MAX(T.Nachtbis,M22))-MAX(0,T.Nachtab-MAX(M21,T.Nachtbis))+(M21&gt;M22)*(1+T.Nachtbis-T.Nachtab),9), IF(AND(WEEKDAY(M$10,2)&lt;6,M$11&lt;&gt;0),ROUND(M36-M35+MAX(0,T.Nachtab-MAX(T.Nachtbis,M36))-MAX(0,T.Nachtab-MAX(M35,T.Nachtbis))+(M35&gt;M36)*(1+T.Nachtbis-T.Nachtab)+M38-M37+MAX(0,T.Nachtab-MAX(T.Nachtbis,M38))-MAX(0,T.Nachtab-MAX(M37,T.Nachtbis))+(M37&gt;M38)*(1+T.Nachtbis-T.Nachtab)+M40-M39+MAX(0,T.Nachtab-MAX(T.Nachtbis,M40))-MAX(0,T.Nachtab-MAX(M39,T.Nachtbis))+(M39&gt;M40)*(1+T.Nachtbis-T.Nachtab)+M42-M41+MAX(0,T.Nachtab-MAX(T.Nachtbis,M42))-MAX(0,T.Nachtab-MAX(M41,T.Nachtbis))+(M41&gt;M42)*(1+T.Nachtbis-T.Nachtab)+M44-M43+MAX(0,T.Nachtab-MAX(T.Nachtbis,M44))-MAX(0,T.Nachtab-MAX(M43,T.Nachtbis))+(M43&gt;M44)*(1+T.Nachtbis-T.Nachtab),9),0)))</f>
        <v>0</v>
      </c>
      <c r="N73" s="256" t="n">
        <f aca="false">IF(N$12=0,0,IF(OR(T.50_Vetsuisse,T.ServiceCenterIrchel),ROUND(N14-N13+MAX(0,T.Nachtab-MAX(T.Nachtbis,N14))-MAX(0,T.Nachtab-MAX(N13,T.Nachtbis))+(N13&gt;N14)*(1+T.Nachtbis-T.Nachtab)+N16-N15+MAX(0,T.Nachtab-MAX(T.Nachtbis,N16))-MAX(0,T.Nachtab-MAX(N15,T.Nachtbis))+(N15&gt;N16)*(1+T.Nachtbis-T.Nachtab)+N18-N17+MAX(0,T.Nachtab-MAX(T.Nachtbis,N18))-MAX(0,T.Nachtab-MAX(N17,T.Nachtbis))+(N17&gt;N18)*(1+T.Nachtbis-T.Nachtab)+N20-N19+MAX(0,T.Nachtab-MAX(T.Nachtbis,N20))-MAX(0,T.Nachtab-MAX(N19,T.Nachtbis))+(N19&gt;N20)*(1+T.Nachtbis-T.Nachtab)+N22-N21+MAX(0,T.Nachtab-MAX(T.Nachtbis,N22))-MAX(0,T.Nachtab-MAX(N21,T.Nachtbis))+(N21&gt;N22)*(1+T.Nachtbis-T.Nachtab),9), IF(AND(WEEKDAY(N$10,2)&lt;6,N$11&lt;&gt;0),ROUND(N36-N35+MAX(0,T.Nachtab-MAX(T.Nachtbis,N36))-MAX(0,T.Nachtab-MAX(N35,T.Nachtbis))+(N35&gt;N36)*(1+T.Nachtbis-T.Nachtab)+N38-N37+MAX(0,T.Nachtab-MAX(T.Nachtbis,N38))-MAX(0,T.Nachtab-MAX(N37,T.Nachtbis))+(N37&gt;N38)*(1+T.Nachtbis-T.Nachtab)+N40-N39+MAX(0,T.Nachtab-MAX(T.Nachtbis,N40))-MAX(0,T.Nachtab-MAX(N39,T.Nachtbis))+(N39&gt;N40)*(1+T.Nachtbis-T.Nachtab)+N42-N41+MAX(0,T.Nachtab-MAX(T.Nachtbis,N42))-MAX(0,T.Nachtab-MAX(N41,T.Nachtbis))+(N41&gt;N42)*(1+T.Nachtbis-T.Nachtab)+N44-N43+MAX(0,T.Nachtab-MAX(T.Nachtbis,N44))-MAX(0,T.Nachtab-MAX(N43,T.Nachtbis))+(N43&gt;N44)*(1+T.Nachtbis-T.Nachtab),9),0)))</f>
        <v>0</v>
      </c>
      <c r="O73" s="256" t="n">
        <f aca="false">IF(O$12=0,0,IF(OR(T.50_Vetsuisse,T.ServiceCenterIrchel),ROUND(O14-O13+MAX(0,T.Nachtab-MAX(T.Nachtbis,O14))-MAX(0,T.Nachtab-MAX(O13,T.Nachtbis))+(O13&gt;O14)*(1+T.Nachtbis-T.Nachtab)+O16-O15+MAX(0,T.Nachtab-MAX(T.Nachtbis,O16))-MAX(0,T.Nachtab-MAX(O15,T.Nachtbis))+(O15&gt;O16)*(1+T.Nachtbis-T.Nachtab)+O18-O17+MAX(0,T.Nachtab-MAX(T.Nachtbis,O18))-MAX(0,T.Nachtab-MAX(O17,T.Nachtbis))+(O17&gt;O18)*(1+T.Nachtbis-T.Nachtab)+O20-O19+MAX(0,T.Nachtab-MAX(T.Nachtbis,O20))-MAX(0,T.Nachtab-MAX(O19,T.Nachtbis))+(O19&gt;O20)*(1+T.Nachtbis-T.Nachtab)+O22-O21+MAX(0,T.Nachtab-MAX(T.Nachtbis,O22))-MAX(0,T.Nachtab-MAX(O21,T.Nachtbis))+(O21&gt;O22)*(1+T.Nachtbis-T.Nachtab),9), IF(AND(WEEKDAY(O$10,2)&lt;6,O$11&lt;&gt;0),ROUND(O36-O35+MAX(0,T.Nachtab-MAX(T.Nachtbis,O36))-MAX(0,T.Nachtab-MAX(O35,T.Nachtbis))+(O35&gt;O36)*(1+T.Nachtbis-T.Nachtab)+O38-O37+MAX(0,T.Nachtab-MAX(T.Nachtbis,O38))-MAX(0,T.Nachtab-MAX(O37,T.Nachtbis))+(O37&gt;O38)*(1+T.Nachtbis-T.Nachtab)+O40-O39+MAX(0,T.Nachtab-MAX(T.Nachtbis,O40))-MAX(0,T.Nachtab-MAX(O39,T.Nachtbis))+(O39&gt;O40)*(1+T.Nachtbis-T.Nachtab)+O42-O41+MAX(0,T.Nachtab-MAX(T.Nachtbis,O42))-MAX(0,T.Nachtab-MAX(O41,T.Nachtbis))+(O41&gt;O42)*(1+T.Nachtbis-T.Nachtab)+O44-O43+MAX(0,T.Nachtab-MAX(T.Nachtbis,O44))-MAX(0,T.Nachtab-MAX(O43,T.Nachtbis))+(O43&gt;O44)*(1+T.Nachtbis-T.Nachtab),9),0)))</f>
        <v>0</v>
      </c>
      <c r="P73" s="256" t="n">
        <f aca="false">IF(P$12=0,0,IF(OR(T.50_Vetsuisse,T.ServiceCenterIrchel),ROUND(P14-P13+MAX(0,T.Nachtab-MAX(T.Nachtbis,P14))-MAX(0,T.Nachtab-MAX(P13,T.Nachtbis))+(P13&gt;P14)*(1+T.Nachtbis-T.Nachtab)+P16-P15+MAX(0,T.Nachtab-MAX(T.Nachtbis,P16))-MAX(0,T.Nachtab-MAX(P15,T.Nachtbis))+(P15&gt;P16)*(1+T.Nachtbis-T.Nachtab)+P18-P17+MAX(0,T.Nachtab-MAX(T.Nachtbis,P18))-MAX(0,T.Nachtab-MAX(P17,T.Nachtbis))+(P17&gt;P18)*(1+T.Nachtbis-T.Nachtab)+P20-P19+MAX(0,T.Nachtab-MAX(T.Nachtbis,P20))-MAX(0,T.Nachtab-MAX(P19,T.Nachtbis))+(P19&gt;P20)*(1+T.Nachtbis-T.Nachtab)+P22-P21+MAX(0,T.Nachtab-MAX(T.Nachtbis,P22))-MAX(0,T.Nachtab-MAX(P21,T.Nachtbis))+(P21&gt;P22)*(1+T.Nachtbis-T.Nachtab),9), IF(AND(WEEKDAY(P$10,2)&lt;6,P$11&lt;&gt;0),ROUND(P36-P35+MAX(0,T.Nachtab-MAX(T.Nachtbis,P36))-MAX(0,T.Nachtab-MAX(P35,T.Nachtbis))+(P35&gt;P36)*(1+T.Nachtbis-T.Nachtab)+P38-P37+MAX(0,T.Nachtab-MAX(T.Nachtbis,P38))-MAX(0,T.Nachtab-MAX(P37,T.Nachtbis))+(P37&gt;P38)*(1+T.Nachtbis-T.Nachtab)+P40-P39+MAX(0,T.Nachtab-MAX(T.Nachtbis,P40))-MAX(0,T.Nachtab-MAX(P39,T.Nachtbis))+(P39&gt;P40)*(1+T.Nachtbis-T.Nachtab)+P42-P41+MAX(0,T.Nachtab-MAX(T.Nachtbis,P42))-MAX(0,T.Nachtab-MAX(P41,T.Nachtbis))+(P41&gt;P42)*(1+T.Nachtbis-T.Nachtab)+P44-P43+MAX(0,T.Nachtab-MAX(T.Nachtbis,P44))-MAX(0,T.Nachtab-MAX(P43,T.Nachtbis))+(P43&gt;P44)*(1+T.Nachtbis-T.Nachtab),9),0)))</f>
        <v>0</v>
      </c>
      <c r="Q73" s="256" t="n">
        <f aca="false">IF(Q$12=0,0,IF(OR(T.50_Vetsuisse,T.ServiceCenterIrchel),ROUND(Q14-Q13+MAX(0,T.Nachtab-MAX(T.Nachtbis,Q14))-MAX(0,T.Nachtab-MAX(Q13,T.Nachtbis))+(Q13&gt;Q14)*(1+T.Nachtbis-T.Nachtab)+Q16-Q15+MAX(0,T.Nachtab-MAX(T.Nachtbis,Q16))-MAX(0,T.Nachtab-MAX(Q15,T.Nachtbis))+(Q15&gt;Q16)*(1+T.Nachtbis-T.Nachtab)+Q18-Q17+MAX(0,T.Nachtab-MAX(T.Nachtbis,Q18))-MAX(0,T.Nachtab-MAX(Q17,T.Nachtbis))+(Q17&gt;Q18)*(1+T.Nachtbis-T.Nachtab)+Q20-Q19+MAX(0,T.Nachtab-MAX(T.Nachtbis,Q20))-MAX(0,T.Nachtab-MAX(Q19,T.Nachtbis))+(Q19&gt;Q20)*(1+T.Nachtbis-T.Nachtab)+Q22-Q21+MAX(0,T.Nachtab-MAX(T.Nachtbis,Q22))-MAX(0,T.Nachtab-MAX(Q21,T.Nachtbis))+(Q21&gt;Q22)*(1+T.Nachtbis-T.Nachtab),9), IF(AND(WEEKDAY(Q$10,2)&lt;6,Q$11&lt;&gt;0),ROUND(Q36-Q35+MAX(0,T.Nachtab-MAX(T.Nachtbis,Q36))-MAX(0,T.Nachtab-MAX(Q35,T.Nachtbis))+(Q35&gt;Q36)*(1+T.Nachtbis-T.Nachtab)+Q38-Q37+MAX(0,T.Nachtab-MAX(T.Nachtbis,Q38))-MAX(0,T.Nachtab-MAX(Q37,T.Nachtbis))+(Q37&gt;Q38)*(1+T.Nachtbis-T.Nachtab)+Q40-Q39+MAX(0,T.Nachtab-MAX(T.Nachtbis,Q40))-MAX(0,T.Nachtab-MAX(Q39,T.Nachtbis))+(Q39&gt;Q40)*(1+T.Nachtbis-T.Nachtab)+Q42-Q41+MAX(0,T.Nachtab-MAX(T.Nachtbis,Q42))-MAX(0,T.Nachtab-MAX(Q41,T.Nachtbis))+(Q41&gt;Q42)*(1+T.Nachtbis-T.Nachtab)+Q44-Q43+MAX(0,T.Nachtab-MAX(T.Nachtbis,Q44))-MAX(0,T.Nachtab-MAX(Q43,T.Nachtbis))+(Q43&gt;Q44)*(1+T.Nachtbis-T.Nachtab),9),0)))</f>
        <v>0</v>
      </c>
      <c r="R73" s="256" t="n">
        <f aca="false">IF(R$12=0,0,IF(OR(T.50_Vetsuisse,T.ServiceCenterIrchel),ROUND(R14-R13+MAX(0,T.Nachtab-MAX(T.Nachtbis,R14))-MAX(0,T.Nachtab-MAX(R13,T.Nachtbis))+(R13&gt;R14)*(1+T.Nachtbis-T.Nachtab)+R16-R15+MAX(0,T.Nachtab-MAX(T.Nachtbis,R16))-MAX(0,T.Nachtab-MAX(R15,T.Nachtbis))+(R15&gt;R16)*(1+T.Nachtbis-T.Nachtab)+R18-R17+MAX(0,T.Nachtab-MAX(T.Nachtbis,R18))-MAX(0,T.Nachtab-MAX(R17,T.Nachtbis))+(R17&gt;R18)*(1+T.Nachtbis-T.Nachtab)+R20-R19+MAX(0,T.Nachtab-MAX(T.Nachtbis,R20))-MAX(0,T.Nachtab-MAX(R19,T.Nachtbis))+(R19&gt;R20)*(1+T.Nachtbis-T.Nachtab)+R22-R21+MAX(0,T.Nachtab-MAX(T.Nachtbis,R22))-MAX(0,T.Nachtab-MAX(R21,T.Nachtbis))+(R21&gt;R22)*(1+T.Nachtbis-T.Nachtab),9), IF(AND(WEEKDAY(R$10,2)&lt;6,R$11&lt;&gt;0),ROUND(R36-R35+MAX(0,T.Nachtab-MAX(T.Nachtbis,R36))-MAX(0,T.Nachtab-MAX(R35,T.Nachtbis))+(R35&gt;R36)*(1+T.Nachtbis-T.Nachtab)+R38-R37+MAX(0,T.Nachtab-MAX(T.Nachtbis,R38))-MAX(0,T.Nachtab-MAX(R37,T.Nachtbis))+(R37&gt;R38)*(1+T.Nachtbis-T.Nachtab)+R40-R39+MAX(0,T.Nachtab-MAX(T.Nachtbis,R40))-MAX(0,T.Nachtab-MAX(R39,T.Nachtbis))+(R39&gt;R40)*(1+T.Nachtbis-T.Nachtab)+R42-R41+MAX(0,T.Nachtab-MAX(T.Nachtbis,R42))-MAX(0,T.Nachtab-MAX(R41,T.Nachtbis))+(R41&gt;R42)*(1+T.Nachtbis-T.Nachtab)+R44-R43+MAX(0,T.Nachtab-MAX(T.Nachtbis,R44))-MAX(0,T.Nachtab-MAX(R43,T.Nachtbis))+(R43&gt;R44)*(1+T.Nachtbis-T.Nachtab),9),0)))</f>
        <v>0</v>
      </c>
      <c r="S73" s="256" t="n">
        <f aca="false">IF(S$12=0,0,IF(OR(T.50_Vetsuisse,T.ServiceCenterIrchel),ROUND(S14-S13+MAX(0,T.Nachtab-MAX(T.Nachtbis,S14))-MAX(0,T.Nachtab-MAX(S13,T.Nachtbis))+(S13&gt;S14)*(1+T.Nachtbis-T.Nachtab)+S16-S15+MAX(0,T.Nachtab-MAX(T.Nachtbis,S16))-MAX(0,T.Nachtab-MAX(S15,T.Nachtbis))+(S15&gt;S16)*(1+T.Nachtbis-T.Nachtab)+S18-S17+MAX(0,T.Nachtab-MAX(T.Nachtbis,S18))-MAX(0,T.Nachtab-MAX(S17,T.Nachtbis))+(S17&gt;S18)*(1+T.Nachtbis-T.Nachtab)+S20-S19+MAX(0,T.Nachtab-MAX(T.Nachtbis,S20))-MAX(0,T.Nachtab-MAX(S19,T.Nachtbis))+(S19&gt;S20)*(1+T.Nachtbis-T.Nachtab)+S22-S21+MAX(0,T.Nachtab-MAX(T.Nachtbis,S22))-MAX(0,T.Nachtab-MAX(S21,T.Nachtbis))+(S21&gt;S22)*(1+T.Nachtbis-T.Nachtab),9), IF(AND(WEEKDAY(S$10,2)&lt;6,S$11&lt;&gt;0),ROUND(S36-S35+MAX(0,T.Nachtab-MAX(T.Nachtbis,S36))-MAX(0,T.Nachtab-MAX(S35,T.Nachtbis))+(S35&gt;S36)*(1+T.Nachtbis-T.Nachtab)+S38-S37+MAX(0,T.Nachtab-MAX(T.Nachtbis,S38))-MAX(0,T.Nachtab-MAX(S37,T.Nachtbis))+(S37&gt;S38)*(1+T.Nachtbis-T.Nachtab)+S40-S39+MAX(0,T.Nachtab-MAX(T.Nachtbis,S40))-MAX(0,T.Nachtab-MAX(S39,T.Nachtbis))+(S39&gt;S40)*(1+T.Nachtbis-T.Nachtab)+S42-S41+MAX(0,T.Nachtab-MAX(T.Nachtbis,S42))-MAX(0,T.Nachtab-MAX(S41,T.Nachtbis))+(S41&gt;S42)*(1+T.Nachtbis-T.Nachtab)+S44-S43+MAX(0,T.Nachtab-MAX(T.Nachtbis,S44))-MAX(0,T.Nachtab-MAX(S43,T.Nachtbis))+(S43&gt;S44)*(1+T.Nachtbis-T.Nachtab),9),0)))</f>
        <v>0</v>
      </c>
      <c r="T73" s="256" t="n">
        <f aca="false">IF(T$12=0,0,IF(OR(T.50_Vetsuisse,T.ServiceCenterIrchel),ROUND(T14-T13+MAX(0,T.Nachtab-MAX(T.Nachtbis,T14))-MAX(0,T.Nachtab-MAX(T13,T.Nachtbis))+(T13&gt;T14)*(1+T.Nachtbis-T.Nachtab)+T16-T15+MAX(0,T.Nachtab-MAX(T.Nachtbis,T16))-MAX(0,T.Nachtab-MAX(T15,T.Nachtbis))+(T15&gt;T16)*(1+T.Nachtbis-T.Nachtab)+T18-T17+MAX(0,T.Nachtab-MAX(T.Nachtbis,T18))-MAX(0,T.Nachtab-MAX(T17,T.Nachtbis))+(T17&gt;T18)*(1+T.Nachtbis-T.Nachtab)+T20-T19+MAX(0,T.Nachtab-MAX(T.Nachtbis,T20))-MAX(0,T.Nachtab-MAX(T19,T.Nachtbis))+(T19&gt;T20)*(1+T.Nachtbis-T.Nachtab)+T22-T21+MAX(0,T.Nachtab-MAX(T.Nachtbis,T22))-MAX(0,T.Nachtab-MAX(T21,T.Nachtbis))+(T21&gt;T22)*(1+T.Nachtbis-T.Nachtab),9), IF(AND(WEEKDAY(T$10,2)&lt;6,T$11&lt;&gt;0),ROUND(T36-T35+MAX(0,T.Nachtab-MAX(T.Nachtbis,T36))-MAX(0,T.Nachtab-MAX(T35,T.Nachtbis))+(T35&gt;T36)*(1+T.Nachtbis-T.Nachtab)+T38-T37+MAX(0,T.Nachtab-MAX(T.Nachtbis,T38))-MAX(0,T.Nachtab-MAX(T37,T.Nachtbis))+(T37&gt;T38)*(1+T.Nachtbis-T.Nachtab)+T40-T39+MAX(0,T.Nachtab-MAX(T.Nachtbis,T40))-MAX(0,T.Nachtab-MAX(T39,T.Nachtbis))+(T39&gt;T40)*(1+T.Nachtbis-T.Nachtab)+T42-T41+MAX(0,T.Nachtab-MAX(T.Nachtbis,T42))-MAX(0,T.Nachtab-MAX(T41,T.Nachtbis))+(T41&gt;T42)*(1+T.Nachtbis-T.Nachtab)+T44-T43+MAX(0,T.Nachtab-MAX(T.Nachtbis,T44))-MAX(0,T.Nachtab-MAX(T43,T.Nachtbis))+(T43&gt;T44)*(1+T.Nachtbis-T.Nachtab),9),0)))</f>
        <v>0</v>
      </c>
      <c r="U73" s="256" t="n">
        <f aca="false">IF(U$12=0,0,IF(OR(T.50_Vetsuisse,T.ServiceCenterIrchel),ROUND(U14-U13+MAX(0,T.Nachtab-MAX(T.Nachtbis,U14))-MAX(0,T.Nachtab-MAX(U13,T.Nachtbis))+(U13&gt;U14)*(1+T.Nachtbis-T.Nachtab)+U16-U15+MAX(0,T.Nachtab-MAX(T.Nachtbis,U16))-MAX(0,T.Nachtab-MAX(U15,T.Nachtbis))+(U15&gt;U16)*(1+T.Nachtbis-T.Nachtab)+U18-U17+MAX(0,T.Nachtab-MAX(T.Nachtbis,U18))-MAX(0,T.Nachtab-MAX(U17,T.Nachtbis))+(U17&gt;U18)*(1+T.Nachtbis-T.Nachtab)+U20-U19+MAX(0,T.Nachtab-MAX(T.Nachtbis,U20))-MAX(0,T.Nachtab-MAX(U19,T.Nachtbis))+(U19&gt;U20)*(1+T.Nachtbis-T.Nachtab)+U22-U21+MAX(0,T.Nachtab-MAX(T.Nachtbis,U22))-MAX(0,T.Nachtab-MAX(U21,T.Nachtbis))+(U21&gt;U22)*(1+T.Nachtbis-T.Nachtab),9), IF(AND(WEEKDAY(U$10,2)&lt;6,U$11&lt;&gt;0),ROUND(U36-U35+MAX(0,T.Nachtab-MAX(T.Nachtbis,U36))-MAX(0,T.Nachtab-MAX(U35,T.Nachtbis))+(U35&gt;U36)*(1+T.Nachtbis-T.Nachtab)+U38-U37+MAX(0,T.Nachtab-MAX(T.Nachtbis,U38))-MAX(0,T.Nachtab-MAX(U37,T.Nachtbis))+(U37&gt;U38)*(1+T.Nachtbis-T.Nachtab)+U40-U39+MAX(0,T.Nachtab-MAX(T.Nachtbis,U40))-MAX(0,T.Nachtab-MAX(U39,T.Nachtbis))+(U39&gt;U40)*(1+T.Nachtbis-T.Nachtab)+U42-U41+MAX(0,T.Nachtab-MAX(T.Nachtbis,U42))-MAX(0,T.Nachtab-MAX(U41,T.Nachtbis))+(U41&gt;U42)*(1+T.Nachtbis-T.Nachtab)+U44-U43+MAX(0,T.Nachtab-MAX(T.Nachtbis,U44))-MAX(0,T.Nachtab-MAX(U43,T.Nachtbis))+(U43&gt;U44)*(1+T.Nachtbis-T.Nachtab),9),0)))</f>
        <v>0</v>
      </c>
      <c r="V73" s="256" t="n">
        <f aca="false">IF(V$12=0,0,IF(OR(T.50_Vetsuisse,T.ServiceCenterIrchel),ROUND(V14-V13+MAX(0,T.Nachtab-MAX(T.Nachtbis,V14))-MAX(0,T.Nachtab-MAX(V13,T.Nachtbis))+(V13&gt;V14)*(1+T.Nachtbis-T.Nachtab)+V16-V15+MAX(0,T.Nachtab-MAX(T.Nachtbis,V16))-MAX(0,T.Nachtab-MAX(V15,T.Nachtbis))+(V15&gt;V16)*(1+T.Nachtbis-T.Nachtab)+V18-V17+MAX(0,T.Nachtab-MAX(T.Nachtbis,V18))-MAX(0,T.Nachtab-MAX(V17,T.Nachtbis))+(V17&gt;V18)*(1+T.Nachtbis-T.Nachtab)+V20-V19+MAX(0,T.Nachtab-MAX(T.Nachtbis,V20))-MAX(0,T.Nachtab-MAX(V19,T.Nachtbis))+(V19&gt;V20)*(1+T.Nachtbis-T.Nachtab)+V22-V21+MAX(0,T.Nachtab-MAX(T.Nachtbis,V22))-MAX(0,T.Nachtab-MAX(V21,T.Nachtbis))+(V21&gt;V22)*(1+T.Nachtbis-T.Nachtab),9), IF(AND(WEEKDAY(V$10,2)&lt;6,V$11&lt;&gt;0),ROUND(V36-V35+MAX(0,T.Nachtab-MAX(T.Nachtbis,V36))-MAX(0,T.Nachtab-MAX(V35,T.Nachtbis))+(V35&gt;V36)*(1+T.Nachtbis-T.Nachtab)+V38-V37+MAX(0,T.Nachtab-MAX(T.Nachtbis,V38))-MAX(0,T.Nachtab-MAX(V37,T.Nachtbis))+(V37&gt;V38)*(1+T.Nachtbis-T.Nachtab)+V40-V39+MAX(0,T.Nachtab-MAX(T.Nachtbis,V40))-MAX(0,T.Nachtab-MAX(V39,T.Nachtbis))+(V39&gt;V40)*(1+T.Nachtbis-T.Nachtab)+V42-V41+MAX(0,T.Nachtab-MAX(T.Nachtbis,V42))-MAX(0,T.Nachtab-MAX(V41,T.Nachtbis))+(V41&gt;V42)*(1+T.Nachtbis-T.Nachtab)+V44-V43+MAX(0,T.Nachtab-MAX(T.Nachtbis,V44))-MAX(0,T.Nachtab-MAX(V43,T.Nachtbis))+(V43&gt;V44)*(1+T.Nachtbis-T.Nachtab),9),0)))</f>
        <v>0</v>
      </c>
      <c r="W73" s="256" t="n">
        <f aca="false">IF(W$12=0,0,IF(OR(T.50_Vetsuisse,T.ServiceCenterIrchel),ROUND(W14-W13+MAX(0,T.Nachtab-MAX(T.Nachtbis,W14))-MAX(0,T.Nachtab-MAX(W13,T.Nachtbis))+(W13&gt;W14)*(1+T.Nachtbis-T.Nachtab)+W16-W15+MAX(0,T.Nachtab-MAX(T.Nachtbis,W16))-MAX(0,T.Nachtab-MAX(W15,T.Nachtbis))+(W15&gt;W16)*(1+T.Nachtbis-T.Nachtab)+W18-W17+MAX(0,T.Nachtab-MAX(T.Nachtbis,W18))-MAX(0,T.Nachtab-MAX(W17,T.Nachtbis))+(W17&gt;W18)*(1+T.Nachtbis-T.Nachtab)+W20-W19+MAX(0,T.Nachtab-MAX(T.Nachtbis,W20))-MAX(0,T.Nachtab-MAX(W19,T.Nachtbis))+(W19&gt;W20)*(1+T.Nachtbis-T.Nachtab)+W22-W21+MAX(0,T.Nachtab-MAX(T.Nachtbis,W22))-MAX(0,T.Nachtab-MAX(W21,T.Nachtbis))+(W21&gt;W22)*(1+T.Nachtbis-T.Nachtab),9), IF(AND(WEEKDAY(W$10,2)&lt;6,W$11&lt;&gt;0),ROUND(W36-W35+MAX(0,T.Nachtab-MAX(T.Nachtbis,W36))-MAX(0,T.Nachtab-MAX(W35,T.Nachtbis))+(W35&gt;W36)*(1+T.Nachtbis-T.Nachtab)+W38-W37+MAX(0,T.Nachtab-MAX(T.Nachtbis,W38))-MAX(0,T.Nachtab-MAX(W37,T.Nachtbis))+(W37&gt;W38)*(1+T.Nachtbis-T.Nachtab)+W40-W39+MAX(0,T.Nachtab-MAX(T.Nachtbis,W40))-MAX(0,T.Nachtab-MAX(W39,T.Nachtbis))+(W39&gt;W40)*(1+T.Nachtbis-T.Nachtab)+W42-W41+MAX(0,T.Nachtab-MAX(T.Nachtbis,W42))-MAX(0,T.Nachtab-MAX(W41,T.Nachtbis))+(W41&gt;W42)*(1+T.Nachtbis-T.Nachtab)+W44-W43+MAX(0,T.Nachtab-MAX(T.Nachtbis,W44))-MAX(0,T.Nachtab-MAX(W43,T.Nachtbis))+(W43&gt;W44)*(1+T.Nachtbis-T.Nachtab),9),0)))</f>
        <v>0</v>
      </c>
      <c r="X73" s="256" t="n">
        <f aca="false">IF(X$12=0,0,IF(OR(T.50_Vetsuisse,T.ServiceCenterIrchel),ROUND(X14-X13+MAX(0,T.Nachtab-MAX(T.Nachtbis,X14))-MAX(0,T.Nachtab-MAX(X13,T.Nachtbis))+(X13&gt;X14)*(1+T.Nachtbis-T.Nachtab)+X16-X15+MAX(0,T.Nachtab-MAX(T.Nachtbis,X16))-MAX(0,T.Nachtab-MAX(X15,T.Nachtbis))+(X15&gt;X16)*(1+T.Nachtbis-T.Nachtab)+X18-X17+MAX(0,T.Nachtab-MAX(T.Nachtbis,X18))-MAX(0,T.Nachtab-MAX(X17,T.Nachtbis))+(X17&gt;X18)*(1+T.Nachtbis-T.Nachtab)+X20-X19+MAX(0,T.Nachtab-MAX(T.Nachtbis,X20))-MAX(0,T.Nachtab-MAX(X19,T.Nachtbis))+(X19&gt;X20)*(1+T.Nachtbis-T.Nachtab)+X22-X21+MAX(0,T.Nachtab-MAX(T.Nachtbis,X22))-MAX(0,T.Nachtab-MAX(X21,T.Nachtbis))+(X21&gt;X22)*(1+T.Nachtbis-T.Nachtab),9), IF(AND(WEEKDAY(X$10,2)&lt;6,X$11&lt;&gt;0),ROUND(X36-X35+MAX(0,T.Nachtab-MAX(T.Nachtbis,X36))-MAX(0,T.Nachtab-MAX(X35,T.Nachtbis))+(X35&gt;X36)*(1+T.Nachtbis-T.Nachtab)+X38-X37+MAX(0,T.Nachtab-MAX(T.Nachtbis,X38))-MAX(0,T.Nachtab-MAX(X37,T.Nachtbis))+(X37&gt;X38)*(1+T.Nachtbis-T.Nachtab)+X40-X39+MAX(0,T.Nachtab-MAX(T.Nachtbis,X40))-MAX(0,T.Nachtab-MAX(X39,T.Nachtbis))+(X39&gt;X40)*(1+T.Nachtbis-T.Nachtab)+X42-X41+MAX(0,T.Nachtab-MAX(T.Nachtbis,X42))-MAX(0,T.Nachtab-MAX(X41,T.Nachtbis))+(X41&gt;X42)*(1+T.Nachtbis-T.Nachtab)+X44-X43+MAX(0,T.Nachtab-MAX(T.Nachtbis,X44))-MAX(0,T.Nachtab-MAX(X43,T.Nachtbis))+(X43&gt;X44)*(1+T.Nachtbis-T.Nachtab),9),0)))</f>
        <v>0</v>
      </c>
      <c r="Y73" s="256" t="n">
        <f aca="false">IF(Y$12=0,0,IF(OR(T.50_Vetsuisse,T.ServiceCenterIrchel),ROUND(Y14-Y13+MAX(0,T.Nachtab-MAX(T.Nachtbis,Y14))-MAX(0,T.Nachtab-MAX(Y13,T.Nachtbis))+(Y13&gt;Y14)*(1+T.Nachtbis-T.Nachtab)+Y16-Y15+MAX(0,T.Nachtab-MAX(T.Nachtbis,Y16))-MAX(0,T.Nachtab-MAX(Y15,T.Nachtbis))+(Y15&gt;Y16)*(1+T.Nachtbis-T.Nachtab)+Y18-Y17+MAX(0,T.Nachtab-MAX(T.Nachtbis,Y18))-MAX(0,T.Nachtab-MAX(Y17,T.Nachtbis))+(Y17&gt;Y18)*(1+T.Nachtbis-T.Nachtab)+Y20-Y19+MAX(0,T.Nachtab-MAX(T.Nachtbis,Y20))-MAX(0,T.Nachtab-MAX(Y19,T.Nachtbis))+(Y19&gt;Y20)*(1+T.Nachtbis-T.Nachtab)+Y22-Y21+MAX(0,T.Nachtab-MAX(T.Nachtbis,Y22))-MAX(0,T.Nachtab-MAX(Y21,T.Nachtbis))+(Y21&gt;Y22)*(1+T.Nachtbis-T.Nachtab),9), IF(AND(WEEKDAY(Y$10,2)&lt;6,Y$11&lt;&gt;0),ROUND(Y36-Y35+MAX(0,T.Nachtab-MAX(T.Nachtbis,Y36))-MAX(0,T.Nachtab-MAX(Y35,T.Nachtbis))+(Y35&gt;Y36)*(1+T.Nachtbis-T.Nachtab)+Y38-Y37+MAX(0,T.Nachtab-MAX(T.Nachtbis,Y38))-MAX(0,T.Nachtab-MAX(Y37,T.Nachtbis))+(Y37&gt;Y38)*(1+T.Nachtbis-T.Nachtab)+Y40-Y39+MAX(0,T.Nachtab-MAX(T.Nachtbis,Y40))-MAX(0,T.Nachtab-MAX(Y39,T.Nachtbis))+(Y39&gt;Y40)*(1+T.Nachtbis-T.Nachtab)+Y42-Y41+MAX(0,T.Nachtab-MAX(T.Nachtbis,Y42))-MAX(0,T.Nachtab-MAX(Y41,T.Nachtbis))+(Y41&gt;Y42)*(1+T.Nachtbis-T.Nachtab)+Y44-Y43+MAX(0,T.Nachtab-MAX(T.Nachtbis,Y44))-MAX(0,T.Nachtab-MAX(Y43,T.Nachtbis))+(Y43&gt;Y44)*(1+T.Nachtbis-T.Nachtab),9),0)))</f>
        <v>0</v>
      </c>
      <c r="Z73" s="256" t="n">
        <f aca="false">IF(Z$12=0,0,IF(OR(T.50_Vetsuisse,T.ServiceCenterIrchel),ROUND(Z14-Z13+MAX(0,T.Nachtab-MAX(T.Nachtbis,Z14))-MAX(0,T.Nachtab-MAX(Z13,T.Nachtbis))+(Z13&gt;Z14)*(1+T.Nachtbis-T.Nachtab)+Z16-Z15+MAX(0,T.Nachtab-MAX(T.Nachtbis,Z16))-MAX(0,T.Nachtab-MAX(Z15,T.Nachtbis))+(Z15&gt;Z16)*(1+T.Nachtbis-T.Nachtab)+Z18-Z17+MAX(0,T.Nachtab-MAX(T.Nachtbis,Z18))-MAX(0,T.Nachtab-MAX(Z17,T.Nachtbis))+(Z17&gt;Z18)*(1+T.Nachtbis-T.Nachtab)+Z20-Z19+MAX(0,T.Nachtab-MAX(T.Nachtbis,Z20))-MAX(0,T.Nachtab-MAX(Z19,T.Nachtbis))+(Z19&gt;Z20)*(1+T.Nachtbis-T.Nachtab)+Z22-Z21+MAX(0,T.Nachtab-MAX(T.Nachtbis,Z22))-MAX(0,T.Nachtab-MAX(Z21,T.Nachtbis))+(Z21&gt;Z22)*(1+T.Nachtbis-T.Nachtab),9), IF(AND(WEEKDAY(Z$10,2)&lt;6,Z$11&lt;&gt;0),ROUND(Z36-Z35+MAX(0,T.Nachtab-MAX(T.Nachtbis,Z36))-MAX(0,T.Nachtab-MAX(Z35,T.Nachtbis))+(Z35&gt;Z36)*(1+T.Nachtbis-T.Nachtab)+Z38-Z37+MAX(0,T.Nachtab-MAX(T.Nachtbis,Z38))-MAX(0,T.Nachtab-MAX(Z37,T.Nachtbis))+(Z37&gt;Z38)*(1+T.Nachtbis-T.Nachtab)+Z40-Z39+MAX(0,T.Nachtab-MAX(T.Nachtbis,Z40))-MAX(0,T.Nachtab-MAX(Z39,T.Nachtbis))+(Z39&gt;Z40)*(1+T.Nachtbis-T.Nachtab)+Z42-Z41+MAX(0,T.Nachtab-MAX(T.Nachtbis,Z42))-MAX(0,T.Nachtab-MAX(Z41,T.Nachtbis))+(Z41&gt;Z42)*(1+T.Nachtbis-T.Nachtab)+Z44-Z43+MAX(0,T.Nachtab-MAX(T.Nachtbis,Z44))-MAX(0,T.Nachtab-MAX(Z43,T.Nachtbis))+(Z43&gt;Z44)*(1+T.Nachtbis-T.Nachtab),9),0)))</f>
        <v>0</v>
      </c>
      <c r="AA73" s="256" t="n">
        <f aca="false">IF(AA$12=0,0,IF(OR(T.50_Vetsuisse,T.ServiceCenterIrchel),ROUND(AA14-AA13+MAX(0,T.Nachtab-MAX(T.Nachtbis,AA14))-MAX(0,T.Nachtab-MAX(AA13,T.Nachtbis))+(AA13&gt;AA14)*(1+T.Nachtbis-T.Nachtab)+AA16-AA15+MAX(0,T.Nachtab-MAX(T.Nachtbis,AA16))-MAX(0,T.Nachtab-MAX(AA15,T.Nachtbis))+(AA15&gt;AA16)*(1+T.Nachtbis-T.Nachtab)+AA18-AA17+MAX(0,T.Nachtab-MAX(T.Nachtbis,AA18))-MAX(0,T.Nachtab-MAX(AA17,T.Nachtbis))+(AA17&gt;AA18)*(1+T.Nachtbis-T.Nachtab)+AA20-AA19+MAX(0,T.Nachtab-MAX(T.Nachtbis,AA20))-MAX(0,T.Nachtab-MAX(AA19,T.Nachtbis))+(AA19&gt;AA20)*(1+T.Nachtbis-T.Nachtab)+AA22-AA21+MAX(0,T.Nachtab-MAX(T.Nachtbis,AA22))-MAX(0,T.Nachtab-MAX(AA21,T.Nachtbis))+(AA21&gt;AA22)*(1+T.Nachtbis-T.Nachtab),9), IF(AND(WEEKDAY(AA$10,2)&lt;6,AA$11&lt;&gt;0),ROUND(AA36-AA35+MAX(0,T.Nachtab-MAX(T.Nachtbis,AA36))-MAX(0,T.Nachtab-MAX(AA35,T.Nachtbis))+(AA35&gt;AA36)*(1+T.Nachtbis-T.Nachtab)+AA38-AA37+MAX(0,T.Nachtab-MAX(T.Nachtbis,AA38))-MAX(0,T.Nachtab-MAX(AA37,T.Nachtbis))+(AA37&gt;AA38)*(1+T.Nachtbis-T.Nachtab)+AA40-AA39+MAX(0,T.Nachtab-MAX(T.Nachtbis,AA40))-MAX(0,T.Nachtab-MAX(AA39,T.Nachtbis))+(AA39&gt;AA40)*(1+T.Nachtbis-T.Nachtab)+AA42-AA41+MAX(0,T.Nachtab-MAX(T.Nachtbis,AA42))-MAX(0,T.Nachtab-MAX(AA41,T.Nachtbis))+(AA41&gt;AA42)*(1+T.Nachtbis-T.Nachtab)+AA44-AA43+MAX(0,T.Nachtab-MAX(T.Nachtbis,AA44))-MAX(0,T.Nachtab-MAX(AA43,T.Nachtbis))+(AA43&gt;AA44)*(1+T.Nachtbis-T.Nachtab),9),0)))</f>
        <v>0</v>
      </c>
      <c r="AB73" s="256" t="n">
        <f aca="false">IF(AB$12=0,0,IF(OR(T.50_Vetsuisse,T.ServiceCenterIrchel),ROUND(AB14-AB13+MAX(0,T.Nachtab-MAX(T.Nachtbis,AB14))-MAX(0,T.Nachtab-MAX(AB13,T.Nachtbis))+(AB13&gt;AB14)*(1+T.Nachtbis-T.Nachtab)+AB16-AB15+MAX(0,T.Nachtab-MAX(T.Nachtbis,AB16))-MAX(0,T.Nachtab-MAX(AB15,T.Nachtbis))+(AB15&gt;AB16)*(1+T.Nachtbis-T.Nachtab)+AB18-AB17+MAX(0,T.Nachtab-MAX(T.Nachtbis,AB18))-MAX(0,T.Nachtab-MAX(AB17,T.Nachtbis))+(AB17&gt;AB18)*(1+T.Nachtbis-T.Nachtab)+AB20-AB19+MAX(0,T.Nachtab-MAX(T.Nachtbis,AB20))-MAX(0,T.Nachtab-MAX(AB19,T.Nachtbis))+(AB19&gt;AB20)*(1+T.Nachtbis-T.Nachtab)+AB22-AB21+MAX(0,T.Nachtab-MAX(T.Nachtbis,AB22))-MAX(0,T.Nachtab-MAX(AB21,T.Nachtbis))+(AB21&gt;AB22)*(1+T.Nachtbis-T.Nachtab),9), IF(AND(WEEKDAY(AB$10,2)&lt;6,AB$11&lt;&gt;0),ROUND(AB36-AB35+MAX(0,T.Nachtab-MAX(T.Nachtbis,AB36))-MAX(0,T.Nachtab-MAX(AB35,T.Nachtbis))+(AB35&gt;AB36)*(1+T.Nachtbis-T.Nachtab)+AB38-AB37+MAX(0,T.Nachtab-MAX(T.Nachtbis,AB38))-MAX(0,T.Nachtab-MAX(AB37,T.Nachtbis))+(AB37&gt;AB38)*(1+T.Nachtbis-T.Nachtab)+AB40-AB39+MAX(0,T.Nachtab-MAX(T.Nachtbis,AB40))-MAX(0,T.Nachtab-MAX(AB39,T.Nachtbis))+(AB39&gt;AB40)*(1+T.Nachtbis-T.Nachtab)+AB42-AB41+MAX(0,T.Nachtab-MAX(T.Nachtbis,AB42))-MAX(0,T.Nachtab-MAX(AB41,T.Nachtbis))+(AB41&gt;AB42)*(1+T.Nachtbis-T.Nachtab)+AB44-AB43+MAX(0,T.Nachtab-MAX(T.Nachtbis,AB44))-MAX(0,T.Nachtab-MAX(AB43,T.Nachtbis))+(AB43&gt;AB44)*(1+T.Nachtbis-T.Nachtab),9),0)))</f>
        <v>0</v>
      </c>
      <c r="AC73" s="256" t="n">
        <f aca="false">IF(AC$12=0,0,IF(OR(T.50_Vetsuisse,T.ServiceCenterIrchel),ROUND(AC14-AC13+MAX(0,T.Nachtab-MAX(T.Nachtbis,AC14))-MAX(0,T.Nachtab-MAX(AC13,T.Nachtbis))+(AC13&gt;AC14)*(1+T.Nachtbis-T.Nachtab)+AC16-AC15+MAX(0,T.Nachtab-MAX(T.Nachtbis,AC16))-MAX(0,T.Nachtab-MAX(AC15,T.Nachtbis))+(AC15&gt;AC16)*(1+T.Nachtbis-T.Nachtab)+AC18-AC17+MAX(0,T.Nachtab-MAX(T.Nachtbis,AC18))-MAX(0,T.Nachtab-MAX(AC17,T.Nachtbis))+(AC17&gt;AC18)*(1+T.Nachtbis-T.Nachtab)+AC20-AC19+MAX(0,T.Nachtab-MAX(T.Nachtbis,AC20))-MAX(0,T.Nachtab-MAX(AC19,T.Nachtbis))+(AC19&gt;AC20)*(1+T.Nachtbis-T.Nachtab)+AC22-AC21+MAX(0,T.Nachtab-MAX(T.Nachtbis,AC22))-MAX(0,T.Nachtab-MAX(AC21,T.Nachtbis))+(AC21&gt;AC22)*(1+T.Nachtbis-T.Nachtab),9), IF(AND(WEEKDAY(AC$10,2)&lt;6,AC$11&lt;&gt;0),ROUND(AC36-AC35+MAX(0,T.Nachtab-MAX(T.Nachtbis,AC36))-MAX(0,T.Nachtab-MAX(AC35,T.Nachtbis))+(AC35&gt;AC36)*(1+T.Nachtbis-T.Nachtab)+AC38-AC37+MAX(0,T.Nachtab-MAX(T.Nachtbis,AC38))-MAX(0,T.Nachtab-MAX(AC37,T.Nachtbis))+(AC37&gt;AC38)*(1+T.Nachtbis-T.Nachtab)+AC40-AC39+MAX(0,T.Nachtab-MAX(T.Nachtbis,AC40))-MAX(0,T.Nachtab-MAX(AC39,T.Nachtbis))+(AC39&gt;AC40)*(1+T.Nachtbis-T.Nachtab)+AC42-AC41+MAX(0,T.Nachtab-MAX(T.Nachtbis,AC42))-MAX(0,T.Nachtab-MAX(AC41,T.Nachtbis))+(AC41&gt;AC42)*(1+T.Nachtbis-T.Nachtab)+AC44-AC43+MAX(0,T.Nachtab-MAX(T.Nachtbis,AC44))-MAX(0,T.Nachtab-MAX(AC43,T.Nachtbis))+(AC43&gt;AC44)*(1+T.Nachtbis-T.Nachtab),9),0)))</f>
        <v>0</v>
      </c>
      <c r="AD73" s="256" t="n">
        <f aca="false">IF(AD$12=0,0,IF(OR(T.50_Vetsuisse,T.ServiceCenterIrchel),ROUND(AD14-AD13+MAX(0,T.Nachtab-MAX(T.Nachtbis,AD14))-MAX(0,T.Nachtab-MAX(AD13,T.Nachtbis))+(AD13&gt;AD14)*(1+T.Nachtbis-T.Nachtab)+AD16-AD15+MAX(0,T.Nachtab-MAX(T.Nachtbis,AD16))-MAX(0,T.Nachtab-MAX(AD15,T.Nachtbis))+(AD15&gt;AD16)*(1+T.Nachtbis-T.Nachtab)+AD18-AD17+MAX(0,T.Nachtab-MAX(T.Nachtbis,AD18))-MAX(0,T.Nachtab-MAX(AD17,T.Nachtbis))+(AD17&gt;AD18)*(1+T.Nachtbis-T.Nachtab)+AD20-AD19+MAX(0,T.Nachtab-MAX(T.Nachtbis,AD20))-MAX(0,T.Nachtab-MAX(AD19,T.Nachtbis))+(AD19&gt;AD20)*(1+T.Nachtbis-T.Nachtab)+AD22-AD21+MAX(0,T.Nachtab-MAX(T.Nachtbis,AD22))-MAX(0,T.Nachtab-MAX(AD21,T.Nachtbis))+(AD21&gt;AD22)*(1+T.Nachtbis-T.Nachtab),9), IF(AND(WEEKDAY(AD$10,2)&lt;6,AD$11&lt;&gt;0),ROUND(AD36-AD35+MAX(0,T.Nachtab-MAX(T.Nachtbis,AD36))-MAX(0,T.Nachtab-MAX(AD35,T.Nachtbis))+(AD35&gt;AD36)*(1+T.Nachtbis-T.Nachtab)+AD38-AD37+MAX(0,T.Nachtab-MAX(T.Nachtbis,AD38))-MAX(0,T.Nachtab-MAX(AD37,T.Nachtbis))+(AD37&gt;AD38)*(1+T.Nachtbis-T.Nachtab)+AD40-AD39+MAX(0,T.Nachtab-MAX(T.Nachtbis,AD40))-MAX(0,T.Nachtab-MAX(AD39,T.Nachtbis))+(AD39&gt;AD40)*(1+T.Nachtbis-T.Nachtab)+AD42-AD41+MAX(0,T.Nachtab-MAX(T.Nachtbis,AD42))-MAX(0,T.Nachtab-MAX(AD41,T.Nachtbis))+(AD41&gt;AD42)*(1+T.Nachtbis-T.Nachtab)+AD44-AD43+MAX(0,T.Nachtab-MAX(T.Nachtbis,AD44))-MAX(0,T.Nachtab-MAX(AD43,T.Nachtbis))+(AD43&gt;AD44)*(1+T.Nachtbis-T.Nachtab),9),0)))</f>
        <v>0</v>
      </c>
      <c r="AE73" s="256" t="n">
        <f aca="false">IF(AE$12=0,0,IF(OR(T.50_Vetsuisse,T.ServiceCenterIrchel),ROUND(AE14-AE13+MAX(0,T.Nachtab-MAX(T.Nachtbis,AE14))-MAX(0,T.Nachtab-MAX(AE13,T.Nachtbis))+(AE13&gt;AE14)*(1+T.Nachtbis-T.Nachtab)+AE16-AE15+MAX(0,T.Nachtab-MAX(T.Nachtbis,AE16))-MAX(0,T.Nachtab-MAX(AE15,T.Nachtbis))+(AE15&gt;AE16)*(1+T.Nachtbis-T.Nachtab)+AE18-AE17+MAX(0,T.Nachtab-MAX(T.Nachtbis,AE18))-MAX(0,T.Nachtab-MAX(AE17,T.Nachtbis))+(AE17&gt;AE18)*(1+T.Nachtbis-T.Nachtab)+AE20-AE19+MAX(0,T.Nachtab-MAX(T.Nachtbis,AE20))-MAX(0,T.Nachtab-MAX(AE19,T.Nachtbis))+(AE19&gt;AE20)*(1+T.Nachtbis-T.Nachtab)+AE22-AE21+MAX(0,T.Nachtab-MAX(T.Nachtbis,AE22))-MAX(0,T.Nachtab-MAX(AE21,T.Nachtbis))+(AE21&gt;AE22)*(1+T.Nachtbis-T.Nachtab),9), IF(AND(WEEKDAY(AE$10,2)&lt;6,AE$11&lt;&gt;0),ROUND(AE36-AE35+MAX(0,T.Nachtab-MAX(T.Nachtbis,AE36))-MAX(0,T.Nachtab-MAX(AE35,T.Nachtbis))+(AE35&gt;AE36)*(1+T.Nachtbis-T.Nachtab)+AE38-AE37+MAX(0,T.Nachtab-MAX(T.Nachtbis,AE38))-MAX(0,T.Nachtab-MAX(AE37,T.Nachtbis))+(AE37&gt;AE38)*(1+T.Nachtbis-T.Nachtab)+AE40-AE39+MAX(0,T.Nachtab-MAX(T.Nachtbis,AE40))-MAX(0,T.Nachtab-MAX(AE39,T.Nachtbis))+(AE39&gt;AE40)*(1+T.Nachtbis-T.Nachtab)+AE42-AE41+MAX(0,T.Nachtab-MAX(T.Nachtbis,AE42))-MAX(0,T.Nachtab-MAX(AE41,T.Nachtbis))+(AE41&gt;AE42)*(1+T.Nachtbis-T.Nachtab)+AE44-AE43+MAX(0,T.Nachtab-MAX(T.Nachtbis,AE44))-MAX(0,T.Nachtab-MAX(AE43,T.Nachtbis))+(AE43&gt;AE44)*(1+T.Nachtbis-T.Nachtab),9),0)))</f>
        <v>0</v>
      </c>
      <c r="AF73" s="168" t="str">
        <f aca="false">A73</f>
        <v>Night shift</v>
      </c>
      <c r="AG73" s="197"/>
      <c r="AH73" s="207" t="n">
        <f aca="false">SUM(B73:AE73)</f>
        <v>0</v>
      </c>
      <c r="AI73" s="198" t="n">
        <f aca="false">IF(OR(T.50_Vetsuisse,T.ServiceCenterIrchel),AH69, IFERROR(SUMPRODUCT((B77:AE77&gt;0)*(B77:AE77&lt;&gt;"")),0))</f>
        <v>0</v>
      </c>
      <c r="AJ73" s="192"/>
      <c r="AK73" s="216" t="n">
        <f aca="false">IF(EB.Anwendung&lt;&gt;"",IF(MONTH(Monat.Tag1)=1,0,IF(MONTH(Monat.Tag1)=2,January!Monat.NDUeVM,IF(MONTH(Monat.Tag1)=3,February!Monat.NDUeVM,IF(MONTH(Monat.Tag1)=4,March!Monat.NDUeVM,IF(MONTH(Monat.Tag1)=5,April!Monat.NDUeVM,IF(MONTH(Monat.Tag1)=6,May!Monat.NDUeVM,IF(MONTH(Monat.Tag1)=7,June!Monat.NDUeVM,IF(MONTH(Monat.Tag1)=8,July!Monat.NDUeVM,IF(MONTH(Monat.Tag1)=9,August!Monat.NDUeVM,IF(MONTH(Monat.Tag1)=10,Monat.NDUeVM,IF(MONTH(Monat.Tag1)=11,October!Monat.NDUeVM,IF(MONTH(Monat.Tag1)=12,November!Monat.NDUeVM,"")))))))))))),"")</f>
        <v>0</v>
      </c>
      <c r="AL73" s="172"/>
      <c r="AM73" s="217" t="n">
        <f aca="false">AH73+AK73</f>
        <v>0</v>
      </c>
      <c r="AN73" s="171"/>
      <c r="AO73" s="171"/>
      <c r="AP73" s="39"/>
    </row>
    <row r="74" s="148" customFormat="true" ht="3.75" hidden="true" customHeight="true" outlineLevel="0" collapsed="false">
      <c r="A74" s="186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168"/>
      <c r="AG74" s="146"/>
      <c r="AH74" s="179"/>
      <c r="AI74" s="180"/>
      <c r="AJ74" s="172"/>
      <c r="AK74" s="172"/>
      <c r="AL74" s="172"/>
      <c r="AM74" s="171"/>
      <c r="AN74" s="172"/>
      <c r="AO74" s="172"/>
      <c r="AP74" s="39"/>
    </row>
    <row r="75" s="148" customFormat="true" ht="16.5" hidden="true" customHeight="true" outlineLevel="1" collapsed="false">
      <c r="A75" s="181" t="s">
        <v>160</v>
      </c>
      <c r="B75" s="182" t="n">
        <f aca="false">IF(B73&gt;0,ROUND(B73- IF(B13&lt;T.Nachtbis,MIN(T.Nachtbis-B13,B14-B13)+IF(B15&lt;T.Nachtbis,MIN(T.Nachtbis-B15,B16-B15)+IF(B17&lt;T.Nachtbis,MIN(T.Nachtbis-B17,B18-B17)+IF(B19&lt;T.Nachtbis,MIN(T.Nachtbis-B19,B20-B19)+IF(B21&lt;T.Nachtbis,MIN(T.Nachtbis-B21,B22-B21),0),0),0),0),0),9),0)</f>
        <v>0</v>
      </c>
      <c r="C75" s="182" t="n">
        <f aca="false">IF(C73&gt;0,ROUND(C73- IF(C13&lt;T.Nachtbis,MIN(T.Nachtbis-C13,C14-C13)+IF(C15&lt;T.Nachtbis,MIN(T.Nachtbis-C15,C16-C15)+IF(C17&lt;T.Nachtbis,MIN(T.Nachtbis-C17,C18-C17)+IF(C19&lt;T.Nachtbis,MIN(T.Nachtbis-C19,C20-C19)+IF(C21&lt;T.Nachtbis,MIN(T.Nachtbis-C21,C22-C21),0),0),0),0),0),9),0)</f>
        <v>0</v>
      </c>
      <c r="D75" s="182" t="n">
        <f aca="false">IF(D73&gt;0,ROUND(D73- IF(D13&lt;T.Nachtbis,MIN(T.Nachtbis-D13,D14-D13)+IF(D15&lt;T.Nachtbis,MIN(T.Nachtbis-D15,D16-D15)+IF(D17&lt;T.Nachtbis,MIN(T.Nachtbis-D17,D18-D17)+IF(D19&lt;T.Nachtbis,MIN(T.Nachtbis-D19,D20-D19)+IF(D21&lt;T.Nachtbis,MIN(T.Nachtbis-D21,D22-D21),0),0),0),0),0),9),0)</f>
        <v>0</v>
      </c>
      <c r="E75" s="182" t="n">
        <f aca="false">IF(E73&gt;0,ROUND(E73- IF(E13&lt;T.Nachtbis,MIN(T.Nachtbis-E13,E14-E13)+IF(E15&lt;T.Nachtbis,MIN(T.Nachtbis-E15,E16-E15)+IF(E17&lt;T.Nachtbis,MIN(T.Nachtbis-E17,E18-E17)+IF(E19&lt;T.Nachtbis,MIN(T.Nachtbis-E19,E20-E19)+IF(E21&lt;T.Nachtbis,MIN(T.Nachtbis-E21,E22-E21),0),0),0),0),0),9),0)</f>
        <v>0</v>
      </c>
      <c r="F75" s="182" t="n">
        <f aca="false">IF(F73&gt;0,ROUND(F73- IF(F13&lt;T.Nachtbis,MIN(T.Nachtbis-F13,F14-F13)+IF(F15&lt;T.Nachtbis,MIN(T.Nachtbis-F15,F16-F15)+IF(F17&lt;T.Nachtbis,MIN(T.Nachtbis-F17,F18-F17)+IF(F19&lt;T.Nachtbis,MIN(T.Nachtbis-F19,F20-F19)+IF(F21&lt;T.Nachtbis,MIN(T.Nachtbis-F21,F22-F21),0),0),0),0),0),9),0)</f>
        <v>0</v>
      </c>
      <c r="G75" s="182" t="n">
        <f aca="false">IF(G73&gt;0,ROUND(G73- IF(G13&lt;T.Nachtbis,MIN(T.Nachtbis-G13,G14-G13)+IF(G15&lt;T.Nachtbis,MIN(T.Nachtbis-G15,G16-G15)+IF(G17&lt;T.Nachtbis,MIN(T.Nachtbis-G17,G18-G17)+IF(G19&lt;T.Nachtbis,MIN(T.Nachtbis-G19,G20-G19)+IF(G21&lt;T.Nachtbis,MIN(T.Nachtbis-G21,G22-G21),0),0),0),0),0),9),0)</f>
        <v>0</v>
      </c>
      <c r="H75" s="182" t="n">
        <f aca="false">IF(H73&gt;0,ROUND(H73- IF(H13&lt;T.Nachtbis,MIN(T.Nachtbis-H13,H14-H13)+IF(H15&lt;T.Nachtbis,MIN(T.Nachtbis-H15,H16-H15)+IF(H17&lt;T.Nachtbis,MIN(T.Nachtbis-H17,H18-H17)+IF(H19&lt;T.Nachtbis,MIN(T.Nachtbis-H19,H20-H19)+IF(H21&lt;T.Nachtbis,MIN(T.Nachtbis-H21,H22-H21),0),0),0),0),0),9),0)</f>
        <v>0</v>
      </c>
      <c r="I75" s="182" t="n">
        <f aca="false">IF(I73&gt;0,ROUND(I73- IF(I13&lt;T.Nachtbis,MIN(T.Nachtbis-I13,I14-I13)+IF(I15&lt;T.Nachtbis,MIN(T.Nachtbis-I15,I16-I15)+IF(I17&lt;T.Nachtbis,MIN(T.Nachtbis-I17,I18-I17)+IF(I19&lt;T.Nachtbis,MIN(T.Nachtbis-I19,I20-I19)+IF(I21&lt;T.Nachtbis,MIN(T.Nachtbis-I21,I22-I21),0),0),0),0),0),9),0)</f>
        <v>0</v>
      </c>
      <c r="J75" s="182" t="n">
        <f aca="false">IF(J73&gt;0,ROUND(J73- IF(J13&lt;T.Nachtbis,MIN(T.Nachtbis-J13,J14-J13)+IF(J15&lt;T.Nachtbis,MIN(T.Nachtbis-J15,J16-J15)+IF(J17&lt;T.Nachtbis,MIN(T.Nachtbis-J17,J18-J17)+IF(J19&lt;T.Nachtbis,MIN(T.Nachtbis-J19,J20-J19)+IF(J21&lt;T.Nachtbis,MIN(T.Nachtbis-J21,J22-J21),0),0),0),0),0),9),0)</f>
        <v>0</v>
      </c>
      <c r="K75" s="182" t="n">
        <f aca="false">IF(K73&gt;0,ROUND(K73- IF(K13&lt;T.Nachtbis,MIN(T.Nachtbis-K13,K14-K13)+IF(K15&lt;T.Nachtbis,MIN(T.Nachtbis-K15,K16-K15)+IF(K17&lt;T.Nachtbis,MIN(T.Nachtbis-K17,K18-K17)+IF(K19&lt;T.Nachtbis,MIN(T.Nachtbis-K19,K20-K19)+IF(K21&lt;T.Nachtbis,MIN(T.Nachtbis-K21,K22-K21),0),0),0),0),0),9),0)</f>
        <v>0</v>
      </c>
      <c r="L75" s="182" t="n">
        <f aca="false">IF(L73&gt;0,ROUND(L73- IF(L13&lt;T.Nachtbis,MIN(T.Nachtbis-L13,L14-L13)+IF(L15&lt;T.Nachtbis,MIN(T.Nachtbis-L15,L16-L15)+IF(L17&lt;T.Nachtbis,MIN(T.Nachtbis-L17,L18-L17)+IF(L19&lt;T.Nachtbis,MIN(T.Nachtbis-L19,L20-L19)+IF(L21&lt;T.Nachtbis,MIN(T.Nachtbis-L21,L22-L21),0),0),0),0),0),9),0)</f>
        <v>0</v>
      </c>
      <c r="M75" s="182" t="n">
        <f aca="false">IF(M73&gt;0,ROUND(M73- IF(M13&lt;T.Nachtbis,MIN(T.Nachtbis-M13,M14-M13)+IF(M15&lt;T.Nachtbis,MIN(T.Nachtbis-M15,M16-M15)+IF(M17&lt;T.Nachtbis,MIN(T.Nachtbis-M17,M18-M17)+IF(M19&lt;T.Nachtbis,MIN(T.Nachtbis-M19,M20-M19)+IF(M21&lt;T.Nachtbis,MIN(T.Nachtbis-M21,M22-M21),0),0),0),0),0),9),0)</f>
        <v>0</v>
      </c>
      <c r="N75" s="182" t="n">
        <f aca="false">IF(N73&gt;0,ROUND(N73- IF(N13&lt;T.Nachtbis,MIN(T.Nachtbis-N13,N14-N13)+IF(N15&lt;T.Nachtbis,MIN(T.Nachtbis-N15,N16-N15)+IF(N17&lt;T.Nachtbis,MIN(T.Nachtbis-N17,N18-N17)+IF(N19&lt;T.Nachtbis,MIN(T.Nachtbis-N19,N20-N19)+IF(N21&lt;T.Nachtbis,MIN(T.Nachtbis-N21,N22-N21),0),0),0),0),0),9),0)</f>
        <v>0</v>
      </c>
      <c r="O75" s="182" t="n">
        <f aca="false">IF(O73&gt;0,ROUND(O73- IF(O13&lt;T.Nachtbis,MIN(T.Nachtbis-O13,O14-O13)+IF(O15&lt;T.Nachtbis,MIN(T.Nachtbis-O15,O16-O15)+IF(O17&lt;T.Nachtbis,MIN(T.Nachtbis-O17,O18-O17)+IF(O19&lt;T.Nachtbis,MIN(T.Nachtbis-O19,O20-O19)+IF(O21&lt;T.Nachtbis,MIN(T.Nachtbis-O21,O22-O21),0),0),0),0),0),9),0)</f>
        <v>0</v>
      </c>
      <c r="P75" s="182" t="n">
        <f aca="false">IF(P73&gt;0,ROUND(P73- IF(P13&lt;T.Nachtbis,MIN(T.Nachtbis-P13,P14-P13)+IF(P15&lt;T.Nachtbis,MIN(T.Nachtbis-P15,P16-P15)+IF(P17&lt;T.Nachtbis,MIN(T.Nachtbis-P17,P18-P17)+IF(P19&lt;T.Nachtbis,MIN(T.Nachtbis-P19,P20-P19)+IF(P21&lt;T.Nachtbis,MIN(T.Nachtbis-P21,P22-P21),0),0),0),0),0),9),0)</f>
        <v>0</v>
      </c>
      <c r="Q75" s="182" t="n">
        <f aca="false">IF(Q73&gt;0,ROUND(Q73- IF(Q13&lt;T.Nachtbis,MIN(T.Nachtbis-Q13,Q14-Q13)+IF(Q15&lt;T.Nachtbis,MIN(T.Nachtbis-Q15,Q16-Q15)+IF(Q17&lt;T.Nachtbis,MIN(T.Nachtbis-Q17,Q18-Q17)+IF(Q19&lt;T.Nachtbis,MIN(T.Nachtbis-Q19,Q20-Q19)+IF(Q21&lt;T.Nachtbis,MIN(T.Nachtbis-Q21,Q22-Q21),0),0),0),0),0),9),0)</f>
        <v>0</v>
      </c>
      <c r="R75" s="182" t="n">
        <f aca="false">IF(R73&gt;0,ROUND(R73- IF(R13&lt;T.Nachtbis,MIN(T.Nachtbis-R13,R14-R13)+IF(R15&lt;T.Nachtbis,MIN(T.Nachtbis-R15,R16-R15)+IF(R17&lt;T.Nachtbis,MIN(T.Nachtbis-R17,R18-R17)+IF(R19&lt;T.Nachtbis,MIN(T.Nachtbis-R19,R20-R19)+IF(R21&lt;T.Nachtbis,MIN(T.Nachtbis-R21,R22-R21),0),0),0),0),0),9),0)</f>
        <v>0</v>
      </c>
      <c r="S75" s="182" t="n">
        <f aca="false">IF(S73&gt;0,ROUND(S73- IF(S13&lt;T.Nachtbis,MIN(T.Nachtbis-S13,S14-S13)+IF(S15&lt;T.Nachtbis,MIN(T.Nachtbis-S15,S16-S15)+IF(S17&lt;T.Nachtbis,MIN(T.Nachtbis-S17,S18-S17)+IF(S19&lt;T.Nachtbis,MIN(T.Nachtbis-S19,S20-S19)+IF(S21&lt;T.Nachtbis,MIN(T.Nachtbis-S21,S22-S21),0),0),0),0),0),9),0)</f>
        <v>0</v>
      </c>
      <c r="T75" s="182" t="n">
        <f aca="false">IF(T73&gt;0,ROUND(T73- IF(T13&lt;T.Nachtbis,MIN(T.Nachtbis-T13,T14-T13)+IF(T15&lt;T.Nachtbis,MIN(T.Nachtbis-T15,T16-T15)+IF(T17&lt;T.Nachtbis,MIN(T.Nachtbis-T17,T18-T17)+IF(T19&lt;T.Nachtbis,MIN(T.Nachtbis-T19,T20-T19)+IF(T21&lt;T.Nachtbis,MIN(T.Nachtbis-T21,T22-T21),0),0),0),0),0),9),0)</f>
        <v>0</v>
      </c>
      <c r="U75" s="182" t="n">
        <f aca="false">IF(U73&gt;0,ROUND(U73- IF(U13&lt;T.Nachtbis,MIN(T.Nachtbis-U13,U14-U13)+IF(U15&lt;T.Nachtbis,MIN(T.Nachtbis-U15,U16-U15)+IF(U17&lt;T.Nachtbis,MIN(T.Nachtbis-U17,U18-U17)+IF(U19&lt;T.Nachtbis,MIN(T.Nachtbis-U19,U20-U19)+IF(U21&lt;T.Nachtbis,MIN(T.Nachtbis-U21,U22-U21),0),0),0),0),0),9),0)</f>
        <v>0</v>
      </c>
      <c r="V75" s="182" t="n">
        <f aca="false">IF(V73&gt;0,ROUND(V73- IF(V13&lt;T.Nachtbis,MIN(T.Nachtbis-V13,V14-V13)+IF(V15&lt;T.Nachtbis,MIN(T.Nachtbis-V15,V16-V15)+IF(V17&lt;T.Nachtbis,MIN(T.Nachtbis-V17,V18-V17)+IF(V19&lt;T.Nachtbis,MIN(T.Nachtbis-V19,V20-V19)+IF(V21&lt;T.Nachtbis,MIN(T.Nachtbis-V21,V22-V21),0),0),0),0),0),9),0)</f>
        <v>0</v>
      </c>
      <c r="W75" s="182" t="n">
        <f aca="false">IF(W73&gt;0,ROUND(W73- IF(W13&lt;T.Nachtbis,MIN(T.Nachtbis-W13,W14-W13)+IF(W15&lt;T.Nachtbis,MIN(T.Nachtbis-W15,W16-W15)+IF(W17&lt;T.Nachtbis,MIN(T.Nachtbis-W17,W18-W17)+IF(W19&lt;T.Nachtbis,MIN(T.Nachtbis-W19,W20-W19)+IF(W21&lt;T.Nachtbis,MIN(T.Nachtbis-W21,W22-W21),0),0),0),0),0),9),0)</f>
        <v>0</v>
      </c>
      <c r="X75" s="182" t="n">
        <f aca="false">IF(X73&gt;0,ROUND(X73- IF(X13&lt;T.Nachtbis,MIN(T.Nachtbis-X13,X14-X13)+IF(X15&lt;T.Nachtbis,MIN(T.Nachtbis-X15,X16-X15)+IF(X17&lt;T.Nachtbis,MIN(T.Nachtbis-X17,X18-X17)+IF(X19&lt;T.Nachtbis,MIN(T.Nachtbis-X19,X20-X19)+IF(X21&lt;T.Nachtbis,MIN(T.Nachtbis-X21,X22-X21),0),0),0),0),0),9),0)</f>
        <v>0</v>
      </c>
      <c r="Y75" s="182" t="n">
        <f aca="false">IF(Y73&gt;0,ROUND(Y73- IF(Y13&lt;T.Nachtbis,MIN(T.Nachtbis-Y13,Y14-Y13)+IF(Y15&lt;T.Nachtbis,MIN(T.Nachtbis-Y15,Y16-Y15)+IF(Y17&lt;T.Nachtbis,MIN(T.Nachtbis-Y17,Y18-Y17)+IF(Y19&lt;T.Nachtbis,MIN(T.Nachtbis-Y19,Y20-Y19)+IF(Y21&lt;T.Nachtbis,MIN(T.Nachtbis-Y21,Y22-Y21),0),0),0),0),0),9),0)</f>
        <v>0</v>
      </c>
      <c r="Z75" s="182" t="n">
        <f aca="false">IF(Z73&gt;0,ROUND(Z73- IF(Z13&lt;T.Nachtbis,MIN(T.Nachtbis-Z13,Z14-Z13)+IF(Z15&lt;T.Nachtbis,MIN(T.Nachtbis-Z15,Z16-Z15)+IF(Z17&lt;T.Nachtbis,MIN(T.Nachtbis-Z17,Z18-Z17)+IF(Z19&lt;T.Nachtbis,MIN(T.Nachtbis-Z19,Z20-Z19)+IF(Z21&lt;T.Nachtbis,MIN(T.Nachtbis-Z21,Z22-Z21),0),0),0),0),0),9),0)</f>
        <v>0</v>
      </c>
      <c r="AA75" s="182" t="n">
        <f aca="false">IF(AA73&gt;0,ROUND(AA73- IF(AA13&lt;T.Nachtbis,MIN(T.Nachtbis-AA13,AA14-AA13)+IF(AA15&lt;T.Nachtbis,MIN(T.Nachtbis-AA15,AA16-AA15)+IF(AA17&lt;T.Nachtbis,MIN(T.Nachtbis-AA17,AA18-AA17)+IF(AA19&lt;T.Nachtbis,MIN(T.Nachtbis-AA19,AA20-AA19)+IF(AA21&lt;T.Nachtbis,MIN(T.Nachtbis-AA21,AA22-AA21),0),0),0),0),0),9),0)</f>
        <v>0</v>
      </c>
      <c r="AB75" s="182" t="n">
        <f aca="false">IF(AB73&gt;0,ROUND(AB73- IF(AB13&lt;T.Nachtbis,MIN(T.Nachtbis-AB13,AB14-AB13)+IF(AB15&lt;T.Nachtbis,MIN(T.Nachtbis-AB15,AB16-AB15)+IF(AB17&lt;T.Nachtbis,MIN(T.Nachtbis-AB17,AB18-AB17)+IF(AB19&lt;T.Nachtbis,MIN(T.Nachtbis-AB19,AB20-AB19)+IF(AB21&lt;T.Nachtbis,MIN(T.Nachtbis-AB21,AB22-AB21),0),0),0),0),0),9),0)</f>
        <v>0</v>
      </c>
      <c r="AC75" s="182" t="n">
        <f aca="false">IF(AC73&gt;0,ROUND(AC73- IF(AC13&lt;T.Nachtbis,MIN(T.Nachtbis-AC13,AC14-AC13)+IF(AC15&lt;T.Nachtbis,MIN(T.Nachtbis-AC15,AC16-AC15)+IF(AC17&lt;T.Nachtbis,MIN(T.Nachtbis-AC17,AC18-AC17)+IF(AC19&lt;T.Nachtbis,MIN(T.Nachtbis-AC19,AC20-AC19)+IF(AC21&lt;T.Nachtbis,MIN(T.Nachtbis-AC21,AC22-AC21),0),0),0),0),0),9),0)</f>
        <v>0</v>
      </c>
      <c r="AD75" s="182" t="n">
        <f aca="false">IF(AD73&gt;0,ROUND(AD73- IF(AD13&lt;T.Nachtbis,MIN(T.Nachtbis-AD13,AD14-AD13)+IF(AD15&lt;T.Nachtbis,MIN(T.Nachtbis-AD15,AD16-AD15)+IF(AD17&lt;T.Nachtbis,MIN(T.Nachtbis-AD17,AD18-AD17)+IF(AD19&lt;T.Nachtbis,MIN(T.Nachtbis-AD19,AD20-AD19)+IF(AD21&lt;T.Nachtbis,MIN(T.Nachtbis-AD21,AD22-AD21),0),0),0),0),0),9),0)</f>
        <v>0</v>
      </c>
      <c r="AE75" s="182" t="n">
        <f aca="false">IF(AE73&gt;0,ROUND(AE73- IF(AE13&lt;T.Nachtbis,MIN(T.Nachtbis-AE13,AE14-AE13)+IF(AE15&lt;T.Nachtbis,MIN(T.Nachtbis-AE15,AE16-AE15)+IF(AE17&lt;T.Nachtbis,MIN(T.Nachtbis-AE17,AE18-AE17)+IF(AE19&lt;T.Nachtbis,MIN(T.Nachtbis-AE19,AE20-AE19)+IF(AE21&lt;T.Nachtbis,MIN(T.Nachtbis-AE21,AE22-AE21),0),0),0),0),0),9),0)</f>
        <v>0</v>
      </c>
      <c r="AF75" s="183" t="str">
        <f aca="false">A75</f>
        <v>Total NS hours today</v>
      </c>
      <c r="AG75" s="146"/>
      <c r="AH75" s="179"/>
      <c r="AI75" s="180"/>
      <c r="AJ75" s="172"/>
      <c r="AK75" s="172"/>
      <c r="AL75" s="172"/>
      <c r="AM75" s="171"/>
      <c r="AN75" s="172"/>
      <c r="AO75" s="172"/>
      <c r="AP75" s="39"/>
    </row>
    <row r="76" s="148" customFormat="true" ht="16.5" hidden="true" customHeight="true" outlineLevel="1" collapsed="false">
      <c r="A76" s="181" t="s">
        <v>161</v>
      </c>
      <c r="B76" s="193" t="n">
        <f aca="false">B73-B75</f>
        <v>0</v>
      </c>
      <c r="C76" s="193" t="n">
        <f aca="false">C73-C75</f>
        <v>0</v>
      </c>
      <c r="D76" s="193" t="n">
        <f aca="false">D73-D75</f>
        <v>0</v>
      </c>
      <c r="E76" s="193" t="n">
        <f aca="false">E73-E75</f>
        <v>0</v>
      </c>
      <c r="F76" s="193" t="n">
        <f aca="false">F73-F75</f>
        <v>0</v>
      </c>
      <c r="G76" s="193" t="n">
        <f aca="false">G73-G75</f>
        <v>0</v>
      </c>
      <c r="H76" s="193" t="n">
        <f aca="false">H73-H75</f>
        <v>0</v>
      </c>
      <c r="I76" s="193" t="n">
        <f aca="false">I73-I75</f>
        <v>0</v>
      </c>
      <c r="J76" s="193" t="n">
        <f aca="false">J73-J75</f>
        <v>0</v>
      </c>
      <c r="K76" s="193" t="n">
        <f aca="false">K73-K75</f>
        <v>0</v>
      </c>
      <c r="L76" s="193" t="n">
        <f aca="false">L73-L75</f>
        <v>0</v>
      </c>
      <c r="M76" s="193" t="n">
        <f aca="false">M73-M75</f>
        <v>0</v>
      </c>
      <c r="N76" s="193" t="n">
        <f aca="false">N73-N75</f>
        <v>0</v>
      </c>
      <c r="O76" s="193" t="n">
        <f aca="false">O73-O75</f>
        <v>0</v>
      </c>
      <c r="P76" s="193" t="n">
        <f aca="false">P73-P75</f>
        <v>0</v>
      </c>
      <c r="Q76" s="193" t="n">
        <f aca="false">Q73-Q75</f>
        <v>0</v>
      </c>
      <c r="R76" s="193" t="n">
        <f aca="false">R73-R75</f>
        <v>0</v>
      </c>
      <c r="S76" s="193" t="n">
        <f aca="false">S73-S75</f>
        <v>0</v>
      </c>
      <c r="T76" s="193" t="n">
        <f aca="false">T73-T75</f>
        <v>0</v>
      </c>
      <c r="U76" s="193" t="n">
        <f aca="false">U73-U75</f>
        <v>0</v>
      </c>
      <c r="V76" s="193" t="n">
        <f aca="false">V73-V75</f>
        <v>0</v>
      </c>
      <c r="W76" s="193" t="n">
        <f aca="false">W73-W75</f>
        <v>0</v>
      </c>
      <c r="X76" s="193" t="n">
        <f aca="false">X73-X75</f>
        <v>0</v>
      </c>
      <c r="Y76" s="193" t="n">
        <f aca="false">Y73-Y75</f>
        <v>0</v>
      </c>
      <c r="Z76" s="193" t="n">
        <f aca="false">Z73-Z75</f>
        <v>0</v>
      </c>
      <c r="AA76" s="193" t="n">
        <f aca="false">AA73-AA75</f>
        <v>0</v>
      </c>
      <c r="AB76" s="193" t="n">
        <f aca="false">AB73-AB75</f>
        <v>0</v>
      </c>
      <c r="AC76" s="193" t="n">
        <f aca="false">AC73-AC75</f>
        <v>0</v>
      </c>
      <c r="AD76" s="193" t="n">
        <f aca="false">AD73-AD75</f>
        <v>0</v>
      </c>
      <c r="AE76" s="193" t="n">
        <f aca="false">AE73-AE75</f>
        <v>0</v>
      </c>
      <c r="AF76" s="183" t="str">
        <f aca="false">A76</f>
        <v>Total NS hours yesterday</v>
      </c>
      <c r="AG76" s="146"/>
      <c r="AH76" s="179"/>
      <c r="AI76" s="180"/>
      <c r="AJ76" s="172"/>
      <c r="AK76" s="172"/>
      <c r="AL76" s="199" t="n">
        <f aca="false">IF(EB.Anwendung&lt;&gt;"",IF(MONTH(Monat.Tag1)=12,0,IF(MONTH(Monat.Tag1)=1,February!Monat.NDgesternTag1,IF(MONTH(Monat.Tag1)=2,March!Monat.NDgesternTag1,IF(MONTH(Monat.Tag1)=3,April!Monat.NDgesternTag1,IF(MONTH(Monat.Tag1)=4,May!Monat.NDgesternTag1,IF(MONTH(Monat.Tag1)=5,June!Monat.NDgesternTag1,IF(MONTH(Monat.Tag1)=6,July!Monat.NDgesternTag1,IF(MONTH(Monat.Tag1)=7,August!Monat.NDgesternTag1,IF(MONTH(Monat.Tag1)=8,Monat.NDgesternTag1,IF(MONTH(Monat.Tag1)=9,October!Monat.NDgesternTag1,IF(MONTH(Monat.Tag1)=10,November!Monat.NDgesternTag1,IF(MONTH(Monat.Tag1)=11,December!Monat.NDgesternTag1,"")))))))))))),"")</f>
        <v>0</v>
      </c>
      <c r="AM76" s="171"/>
      <c r="AN76" s="172"/>
      <c r="AO76" s="172"/>
      <c r="AP76" s="39"/>
    </row>
    <row r="77" s="148" customFormat="true" ht="16.5" hidden="true" customHeight="true" outlineLevel="1" collapsed="false">
      <c r="A77" s="181" t="s">
        <v>162</v>
      </c>
      <c r="B77" s="182" t="n">
        <f aca="false">B75+IF(B$10=EOMONTH(B$10,0),$AL76,C76)</f>
        <v>0</v>
      </c>
      <c r="C77" s="182" t="n">
        <f aca="false">C75+IF(C$10=EOMONTH(C$10,0),$AL76,D76)</f>
        <v>0</v>
      </c>
      <c r="D77" s="182" t="n">
        <f aca="false">D75+IF(D$10=EOMONTH(D$10,0),$AL76,E76)</f>
        <v>0</v>
      </c>
      <c r="E77" s="182" t="n">
        <f aca="false">E75+IF(E$10=EOMONTH(E$10,0),$AL76,F76)</f>
        <v>0</v>
      </c>
      <c r="F77" s="182" t="n">
        <f aca="false">F75+IF(F$10=EOMONTH(F$10,0),$AL76,G76)</f>
        <v>0</v>
      </c>
      <c r="G77" s="182" t="n">
        <f aca="false">G75+IF(G$10=EOMONTH(G$10,0),$AL76,H76)</f>
        <v>0</v>
      </c>
      <c r="H77" s="182" t="n">
        <f aca="false">H75+IF(H$10=EOMONTH(H$10,0),$AL76,I76)</f>
        <v>0</v>
      </c>
      <c r="I77" s="182" t="n">
        <f aca="false">I75+IF(I$10=EOMONTH(I$10,0),$AL76,J76)</f>
        <v>0</v>
      </c>
      <c r="J77" s="182" t="n">
        <f aca="false">J75+IF(J$10=EOMONTH(J$10,0),$AL76,K76)</f>
        <v>0</v>
      </c>
      <c r="K77" s="182" t="n">
        <f aca="false">K75+IF(K$10=EOMONTH(K$10,0),$AL76,L76)</f>
        <v>0</v>
      </c>
      <c r="L77" s="182" t="n">
        <f aca="false">L75+IF(L$10=EOMONTH(L$10,0),$AL76,M76)</f>
        <v>0</v>
      </c>
      <c r="M77" s="182" t="n">
        <f aca="false">M75+IF(M$10=EOMONTH(M$10,0),$AL76,N76)</f>
        <v>0</v>
      </c>
      <c r="N77" s="182" t="n">
        <f aca="false">N75+IF(N$10=EOMONTH(N$10,0),$AL76,O76)</f>
        <v>0</v>
      </c>
      <c r="O77" s="182" t="n">
        <f aca="false">O75+IF(O$10=EOMONTH(O$10,0),$AL76,P76)</f>
        <v>0</v>
      </c>
      <c r="P77" s="182" t="n">
        <f aca="false">P75+IF(P$10=EOMONTH(P$10,0),$AL76,Q76)</f>
        <v>0</v>
      </c>
      <c r="Q77" s="182" t="n">
        <f aca="false">Q75+IF(Q$10=EOMONTH(Q$10,0),$AL76,R76)</f>
        <v>0</v>
      </c>
      <c r="R77" s="182" t="n">
        <f aca="false">R75+IF(R$10=EOMONTH(R$10,0),$AL76,S76)</f>
        <v>0</v>
      </c>
      <c r="S77" s="182" t="n">
        <f aca="false">S75+IF(S$10=EOMONTH(S$10,0),$AL76,T76)</f>
        <v>0</v>
      </c>
      <c r="T77" s="182" t="n">
        <f aca="false">T75+IF(T$10=EOMONTH(T$10,0),$AL76,U76)</f>
        <v>0</v>
      </c>
      <c r="U77" s="182" t="n">
        <f aca="false">U75+IF(U$10=EOMONTH(U$10,0),$AL76,V76)</f>
        <v>0</v>
      </c>
      <c r="V77" s="182" t="n">
        <f aca="false">V75+IF(V$10=EOMONTH(V$10,0),$AL76,W76)</f>
        <v>0</v>
      </c>
      <c r="W77" s="182" t="n">
        <f aca="false">W75+IF(W$10=EOMONTH(W$10,0),$AL76,X76)</f>
        <v>0</v>
      </c>
      <c r="X77" s="182" t="n">
        <f aca="false">X75+IF(X$10=EOMONTH(X$10,0),$AL76,Y76)</f>
        <v>0</v>
      </c>
      <c r="Y77" s="182" t="n">
        <f aca="false">Y75+IF(Y$10=EOMONTH(Y$10,0),$AL76,Z76)</f>
        <v>0</v>
      </c>
      <c r="Z77" s="182" t="n">
        <f aca="false">Z75+IF(Z$10=EOMONTH(Z$10,0),$AL76,AA76)</f>
        <v>0</v>
      </c>
      <c r="AA77" s="182" t="n">
        <f aca="false">AA75+IF(AA$10=EOMONTH(AA$10,0),$AL76,AB76)</f>
        <v>0</v>
      </c>
      <c r="AB77" s="182" t="n">
        <f aca="false">AB75+IF(AB$10=EOMONTH(AB$10,0),$AL76,AC76)</f>
        <v>0</v>
      </c>
      <c r="AC77" s="182" t="n">
        <f aca="false">AC75+IF(AC$10=EOMONTH(AC$10,0),$AL76,AD76)</f>
        <v>0</v>
      </c>
      <c r="AD77" s="182" t="n">
        <f aca="false">AD75+IF(AD$10=EOMONTH(AD$10,0),$AL76,AE76)</f>
        <v>0</v>
      </c>
      <c r="AE77" s="182" t="n">
        <f aca="false">AE75+IF(AE$10=EOMONTH(AE$10,0),$AL76,#REF!)</f>
        <v>0</v>
      </c>
      <c r="AF77" s="183" t="str">
        <f aca="false">A77</f>
        <v>Total NS hours</v>
      </c>
      <c r="AG77" s="184"/>
      <c r="AH77" s="185" t="n">
        <f aca="false">SUM(B77:AE77)</f>
        <v>0</v>
      </c>
      <c r="AI77" s="180"/>
      <c r="AJ77" s="172"/>
      <c r="AK77" s="172"/>
      <c r="AL77" s="172"/>
      <c r="AM77" s="171"/>
      <c r="AN77" s="172"/>
      <c r="AO77" s="172"/>
      <c r="AP77" s="39"/>
    </row>
    <row r="78" s="148" customFormat="true" ht="3.75" hidden="true" customHeight="true" outlineLevel="0" collapsed="false">
      <c r="A78" s="186"/>
      <c r="B78" s="187"/>
      <c r="C78" s="187"/>
      <c r="D78" s="187"/>
      <c r="E78" s="187"/>
      <c r="F78" s="187"/>
      <c r="G78" s="187"/>
      <c r="H78" s="187"/>
      <c r="I78" s="187"/>
      <c r="J78" s="187"/>
      <c r="K78" s="187"/>
      <c r="L78" s="187"/>
      <c r="M78" s="187"/>
      <c r="N78" s="187"/>
      <c r="O78" s="187"/>
      <c r="P78" s="187"/>
      <c r="Q78" s="187"/>
      <c r="R78" s="187"/>
      <c r="S78" s="187"/>
      <c r="T78" s="187"/>
      <c r="U78" s="187"/>
      <c r="V78" s="187"/>
      <c r="W78" s="187"/>
      <c r="X78" s="187"/>
      <c r="Y78" s="187"/>
      <c r="Z78" s="187"/>
      <c r="AA78" s="187"/>
      <c r="AB78" s="187"/>
      <c r="AC78" s="187"/>
      <c r="AD78" s="187"/>
      <c r="AE78" s="187"/>
      <c r="AF78" s="168"/>
      <c r="AG78" s="202"/>
      <c r="AH78" s="188"/>
      <c r="AI78" s="180"/>
      <c r="AJ78" s="172"/>
      <c r="AK78" s="172"/>
      <c r="AL78" s="172"/>
      <c r="AM78" s="171"/>
      <c r="AN78" s="172"/>
      <c r="AO78" s="172"/>
      <c r="AP78" s="39"/>
    </row>
    <row r="79" s="148" customFormat="true" ht="15" hidden="true" customHeight="true" outlineLevel="1" collapsed="false">
      <c r="A79" s="175" t="s">
        <v>84</v>
      </c>
      <c r="B79" s="256" t="n">
        <f aca="false">IF(AND(T.50_Vetsuisse,B70&gt;24),ROUND(B73*T.50_VetsuisseZZSND,9), IF(AND(T.ServiceCenterIrchel,B69&gt;0,B77&gt;=ROUND(1/24*8,9)),ROUND(B77*T.ServiceCenterIrchelZZSND,9),))</f>
        <v>0</v>
      </c>
      <c r="C79" s="256" t="n">
        <f aca="false">IF(AND(T.50_Vetsuisse,C70&gt;24),ROUND(C73*T.50_VetsuisseZZSND,9), IF(AND(T.ServiceCenterIrchel,C69&gt;0,C77&gt;=ROUND(1/24*8,9)),ROUND(C77*T.ServiceCenterIrchelZZSND,9),))</f>
        <v>0</v>
      </c>
      <c r="D79" s="256" t="n">
        <f aca="false">IF(AND(T.50_Vetsuisse,D70&gt;24),ROUND(D73*T.50_VetsuisseZZSND,9), IF(AND(T.ServiceCenterIrchel,D69&gt;0,D77&gt;=ROUND(1/24*8,9)),ROUND(D77*T.ServiceCenterIrchelZZSND,9),))</f>
        <v>0</v>
      </c>
      <c r="E79" s="256" t="n">
        <f aca="false">IF(AND(T.50_Vetsuisse,E70&gt;24),ROUND(E73*T.50_VetsuisseZZSND,9), IF(AND(T.ServiceCenterIrchel,E69&gt;0,E77&gt;=ROUND(1/24*8,9)),ROUND(E77*T.ServiceCenterIrchelZZSND,9),))</f>
        <v>0</v>
      </c>
      <c r="F79" s="256" t="n">
        <f aca="false">IF(AND(T.50_Vetsuisse,F70&gt;24),ROUND(F73*T.50_VetsuisseZZSND,9), IF(AND(T.ServiceCenterIrchel,F69&gt;0,F77&gt;=ROUND(1/24*8,9)),ROUND(F77*T.ServiceCenterIrchelZZSND,9),))</f>
        <v>0</v>
      </c>
      <c r="G79" s="256" t="n">
        <f aca="false">IF(AND(T.50_Vetsuisse,G70&gt;24),ROUND(G73*T.50_VetsuisseZZSND,9), IF(AND(T.ServiceCenterIrchel,G69&gt;0,G77&gt;=ROUND(1/24*8,9)),ROUND(G77*T.ServiceCenterIrchelZZSND,9),))</f>
        <v>0</v>
      </c>
      <c r="H79" s="256" t="n">
        <f aca="false">IF(AND(T.50_Vetsuisse,H70&gt;24),ROUND(H73*T.50_VetsuisseZZSND,9), IF(AND(T.ServiceCenterIrchel,H69&gt;0,H77&gt;=ROUND(1/24*8,9)),ROUND(H77*T.ServiceCenterIrchelZZSND,9),))</f>
        <v>0</v>
      </c>
      <c r="I79" s="256" t="n">
        <f aca="false">IF(AND(T.50_Vetsuisse,I70&gt;24),ROUND(I73*T.50_VetsuisseZZSND,9), IF(AND(T.ServiceCenterIrchel,I69&gt;0,I77&gt;=ROUND(1/24*8,9)),ROUND(I77*T.ServiceCenterIrchelZZSND,9),))</f>
        <v>0</v>
      </c>
      <c r="J79" s="256" t="n">
        <f aca="false">IF(AND(T.50_Vetsuisse,J70&gt;24),ROUND(J73*T.50_VetsuisseZZSND,9), IF(AND(T.ServiceCenterIrchel,J69&gt;0,J77&gt;=ROUND(1/24*8,9)),ROUND(J77*T.ServiceCenterIrchelZZSND,9),))</f>
        <v>0</v>
      </c>
      <c r="K79" s="256" t="n">
        <f aca="false">IF(AND(T.50_Vetsuisse,K70&gt;24),ROUND(K73*T.50_VetsuisseZZSND,9), IF(AND(T.ServiceCenterIrchel,K69&gt;0,K77&gt;=ROUND(1/24*8,9)),ROUND(K77*T.ServiceCenterIrchelZZSND,9),))</f>
        <v>0</v>
      </c>
      <c r="L79" s="256" t="n">
        <f aca="false">IF(AND(T.50_Vetsuisse,L70&gt;24),ROUND(L73*T.50_VetsuisseZZSND,9), IF(AND(T.ServiceCenterIrchel,L69&gt;0,L77&gt;=ROUND(1/24*8,9)),ROUND(L77*T.ServiceCenterIrchelZZSND,9),))</f>
        <v>0</v>
      </c>
      <c r="M79" s="256" t="n">
        <f aca="false">IF(AND(T.50_Vetsuisse,M70&gt;24),ROUND(M73*T.50_VetsuisseZZSND,9), IF(AND(T.ServiceCenterIrchel,M69&gt;0,M77&gt;=ROUND(1/24*8,9)),ROUND(M77*T.ServiceCenterIrchelZZSND,9),))</f>
        <v>0</v>
      </c>
      <c r="N79" s="256" t="n">
        <f aca="false">IF(AND(T.50_Vetsuisse,N70&gt;24),ROUND(N73*T.50_VetsuisseZZSND,9), IF(AND(T.ServiceCenterIrchel,N69&gt;0,N77&gt;=ROUND(1/24*8,9)),ROUND(N77*T.ServiceCenterIrchelZZSND,9),))</f>
        <v>0</v>
      </c>
      <c r="O79" s="256" t="n">
        <f aca="false">IF(AND(T.50_Vetsuisse,O70&gt;24),ROUND(O73*T.50_VetsuisseZZSND,9), IF(AND(T.ServiceCenterIrchel,O69&gt;0,O77&gt;=ROUND(1/24*8,9)),ROUND(O77*T.ServiceCenterIrchelZZSND,9),))</f>
        <v>0</v>
      </c>
      <c r="P79" s="256" t="n">
        <f aca="false">IF(AND(T.50_Vetsuisse,P70&gt;24),ROUND(P73*T.50_VetsuisseZZSND,9), IF(AND(T.ServiceCenterIrchel,P69&gt;0,P77&gt;=ROUND(1/24*8,9)),ROUND(P77*T.ServiceCenterIrchelZZSND,9),))</f>
        <v>0</v>
      </c>
      <c r="Q79" s="256" t="n">
        <f aca="false">IF(AND(T.50_Vetsuisse,Q70&gt;24),ROUND(Q73*T.50_VetsuisseZZSND,9), IF(AND(T.ServiceCenterIrchel,Q69&gt;0,Q77&gt;=ROUND(1/24*8,9)),ROUND(Q77*T.ServiceCenterIrchelZZSND,9),))</f>
        <v>0</v>
      </c>
      <c r="R79" s="256" t="n">
        <f aca="false">IF(AND(T.50_Vetsuisse,R70&gt;24),ROUND(R73*T.50_VetsuisseZZSND,9), IF(AND(T.ServiceCenterIrchel,R69&gt;0,R77&gt;=ROUND(1/24*8,9)),ROUND(R77*T.ServiceCenterIrchelZZSND,9),))</f>
        <v>0</v>
      </c>
      <c r="S79" s="256" t="n">
        <f aca="false">IF(AND(T.50_Vetsuisse,S70&gt;24),ROUND(S73*T.50_VetsuisseZZSND,9), IF(AND(T.ServiceCenterIrchel,S69&gt;0,S77&gt;=ROUND(1/24*8,9)),ROUND(S77*T.ServiceCenterIrchelZZSND,9),))</f>
        <v>0</v>
      </c>
      <c r="T79" s="256" t="n">
        <f aca="false">IF(AND(T.50_Vetsuisse,T70&gt;24),ROUND(T73*T.50_VetsuisseZZSND,9), IF(AND(T.ServiceCenterIrchel,T69&gt;0,T77&gt;=ROUND(1/24*8,9)),ROUND(T77*T.ServiceCenterIrchelZZSND,9),))</f>
        <v>0</v>
      </c>
      <c r="U79" s="256" t="n">
        <f aca="false">IF(AND(T.50_Vetsuisse,U70&gt;24),ROUND(U73*T.50_VetsuisseZZSND,9), IF(AND(T.ServiceCenterIrchel,U69&gt;0,U77&gt;=ROUND(1/24*8,9)),ROUND(U77*T.ServiceCenterIrchelZZSND,9),))</f>
        <v>0</v>
      </c>
      <c r="V79" s="256" t="n">
        <f aca="false">IF(AND(T.50_Vetsuisse,V70&gt;24),ROUND(V73*T.50_VetsuisseZZSND,9), IF(AND(T.ServiceCenterIrchel,V69&gt;0,V77&gt;=ROUND(1/24*8,9)),ROUND(V77*T.ServiceCenterIrchelZZSND,9),))</f>
        <v>0</v>
      </c>
      <c r="W79" s="256" t="n">
        <f aca="false">IF(AND(T.50_Vetsuisse,W70&gt;24),ROUND(W73*T.50_VetsuisseZZSND,9), IF(AND(T.ServiceCenterIrchel,W69&gt;0,W77&gt;=ROUND(1/24*8,9)),ROUND(W77*T.ServiceCenterIrchelZZSND,9),))</f>
        <v>0</v>
      </c>
      <c r="X79" s="256" t="n">
        <f aca="false">IF(AND(T.50_Vetsuisse,X70&gt;24),ROUND(X73*T.50_VetsuisseZZSND,9), IF(AND(T.ServiceCenterIrchel,X69&gt;0,X77&gt;=ROUND(1/24*8,9)),ROUND(X77*T.ServiceCenterIrchelZZSND,9),))</f>
        <v>0</v>
      </c>
      <c r="Y79" s="256" t="n">
        <f aca="false">IF(AND(T.50_Vetsuisse,Y70&gt;24),ROUND(Y73*T.50_VetsuisseZZSND,9), IF(AND(T.ServiceCenterIrchel,Y69&gt;0,Y77&gt;=ROUND(1/24*8,9)),ROUND(Y77*T.ServiceCenterIrchelZZSND,9),))</f>
        <v>0</v>
      </c>
      <c r="Z79" s="256" t="n">
        <f aca="false">IF(AND(T.50_Vetsuisse,Z70&gt;24),ROUND(Z73*T.50_VetsuisseZZSND,9), IF(AND(T.ServiceCenterIrchel,Z69&gt;0,Z77&gt;=ROUND(1/24*8,9)),ROUND(Z77*T.ServiceCenterIrchelZZSND,9),))</f>
        <v>0</v>
      </c>
      <c r="AA79" s="256" t="n">
        <f aca="false">IF(AND(T.50_Vetsuisse,AA70&gt;24),ROUND(AA73*T.50_VetsuisseZZSND,9), IF(AND(T.ServiceCenterIrchel,AA69&gt;0,AA77&gt;=ROUND(1/24*8,9)),ROUND(AA77*T.ServiceCenterIrchelZZSND,9),))</f>
        <v>0</v>
      </c>
      <c r="AB79" s="256" t="n">
        <f aca="false">IF(AND(T.50_Vetsuisse,AB70&gt;24),ROUND(AB73*T.50_VetsuisseZZSND,9), IF(AND(T.ServiceCenterIrchel,AB69&gt;0,AB77&gt;=ROUND(1/24*8,9)),ROUND(AB77*T.ServiceCenterIrchelZZSND,9),))</f>
        <v>0</v>
      </c>
      <c r="AC79" s="256" t="n">
        <f aca="false">IF(AND(T.50_Vetsuisse,AC70&gt;24),ROUND(AC73*T.50_VetsuisseZZSND,9), IF(AND(T.ServiceCenterIrchel,AC69&gt;0,AC77&gt;=ROUND(1/24*8,9)),ROUND(AC77*T.ServiceCenterIrchelZZSND,9),))</f>
        <v>0</v>
      </c>
      <c r="AD79" s="256" t="n">
        <f aca="false">IF(AND(T.50_Vetsuisse,AD70&gt;24),ROUND(AD73*T.50_VetsuisseZZSND,9), IF(AND(T.ServiceCenterIrchel,AD69&gt;0,AD77&gt;=ROUND(1/24*8,9)),ROUND(AD77*T.ServiceCenterIrchelZZSND,9),))</f>
        <v>0</v>
      </c>
      <c r="AE79" s="256" t="n">
        <f aca="false">IF(AND(T.50_Vetsuisse,AE70&gt;24),ROUND(AE73*T.50_VetsuisseZZSND,9), IF(AND(T.ServiceCenterIrchel,AE69&gt;0,AE77&gt;=ROUND(1/24*8,9)),ROUND(AE77*T.ServiceCenterIrchelZZSND,9),))</f>
        <v>0</v>
      </c>
      <c r="AF79" s="168" t="str">
        <f aca="false">A79</f>
        <v>Time supplement night shift</v>
      </c>
      <c r="AG79" s="250"/>
      <c r="AH79" s="207" t="n">
        <f aca="false">SUM(B79:AE79)</f>
        <v>0</v>
      </c>
      <c r="AI79" s="33"/>
      <c r="AJ79" s="192"/>
      <c r="AK79" s="216" t="n">
        <f aca="false">IF(EB.Anwendung&lt;&gt;"",IF(MONTH(Monat.Tag1)=1,EB.ZZNd,IF(MONTH(Monat.Tag1)=2,January!Monat.ZZNdUe,IF(MONTH(Monat.Tag1)=3,February!Monat.ZZNdUe,IF(MONTH(Monat.Tag1)=4,March!Monat.ZZNdUe,IF(MONTH(Monat.Tag1)=5,April!Monat.ZZNdUe,IF(MONTH(Monat.Tag1)=6,May!Monat.ZZNdUe,IF(MONTH(Monat.Tag1)=7,June!Monat.ZZNdUe,IF(MONTH(Monat.Tag1)=8,July!Monat.ZZNdUe,IF(MONTH(Monat.Tag1)=9,August!Monat.ZZNdUe,IF(MONTH(Monat.Tag1)=10,Monat.ZZNdUe,IF(MONTH(Monat.Tag1)=11,October!Monat.ZZNdUe,IF(MONTH(Monat.Tag1)=12,November!Monat.ZZNdUe,"")))))))))))),"")</f>
        <v>0</v>
      </c>
      <c r="AL79" s="172"/>
      <c r="AM79" s="217" t="n">
        <f aca="false">AH79+AK79-AH71</f>
        <v>0</v>
      </c>
      <c r="AN79" s="217" t="n">
        <f aca="true">OFFSET(Jahr.ZZSNDSaldo,-13+MONTH(Monat.Tag1),0,1,1)</f>
        <v>0</v>
      </c>
      <c r="AO79" s="217" t="n">
        <f aca="false">Jahr.ZZSNDSaldo</f>
        <v>0</v>
      </c>
      <c r="AP79" s="39"/>
    </row>
    <row r="80" s="148" customFormat="true" ht="15" hidden="true" customHeight="true" outlineLevel="1" collapsed="false">
      <c r="A80" s="175" t="s">
        <v>163</v>
      </c>
      <c r="B80" s="256" t="str">
        <f aca="false">IF(T.50_Vetsuisse,IF(OR(B$12=0,B$11=0,WEEKDAY(B$10,2)&gt;5),0,ROUND(MAX(0,T.Abendbis-MAX(B13,T.Abendab))-MAX(0,T.Abendbis-MAX(T.Abendab,B14))+(B13&gt;B14)*(1+T.Abendab-T.Abendbis)+MAX(0,T.Abendbis-MAX(B15,T.Abendab))-MAX(0,T.Abendbis-MAX(T.Abendab,B16))+(B15&gt;B16)*(1+T.Abendab-T.Abendbis)+MAX(0,T.Abendbis-MAX(B17,T.Abendab))-MAX(0,T.Abendbis-MAX(T.Abendab,B18))+(B17&gt;B18)*(1+T.Abendab-T.Abendbis)+MAX(0,T.Abendbis-MAX(B19,T.Abendab))-MAX(0,T.Abendbis-MAX(T.Abendab,B20))+(B19&gt;B20)*(1+T.Abendab-T.Abendbis)+MAX(0,T.Abendbis-MAX(B21,T.Abendab))-MAX(0,T.Abendbis-MAX(T.Abendab,B22))+(B21&gt;B22)*(1+T.Abendab-T.Abendbis),9)),"")</f>
        <v/>
      </c>
      <c r="C80" s="256" t="str">
        <f aca="false">IF(T.50_Vetsuisse,IF(OR(C$12=0,C$11=0,WEEKDAY(C$10,2)&gt;5),0,ROUND(MAX(0,T.Abendbis-MAX(C13,T.Abendab))-MAX(0,T.Abendbis-MAX(T.Abendab,C14))+(C13&gt;C14)*(1+T.Abendab-T.Abendbis)+MAX(0,T.Abendbis-MAX(C15,T.Abendab))-MAX(0,T.Abendbis-MAX(T.Abendab,C16))+(C15&gt;C16)*(1+T.Abendab-T.Abendbis)+MAX(0,T.Abendbis-MAX(C17,T.Abendab))-MAX(0,T.Abendbis-MAX(T.Abendab,C18))+(C17&gt;C18)*(1+T.Abendab-T.Abendbis)+MAX(0,T.Abendbis-MAX(C19,T.Abendab))-MAX(0,T.Abendbis-MAX(T.Abendab,C20))+(C19&gt;C20)*(1+T.Abendab-T.Abendbis)+MAX(0,T.Abendbis-MAX(C21,T.Abendab))-MAX(0,T.Abendbis-MAX(T.Abendab,C22))+(C21&gt;C22)*(1+T.Abendab-T.Abendbis),9)),"")</f>
        <v/>
      </c>
      <c r="D80" s="256" t="str">
        <f aca="false">IF(T.50_Vetsuisse,IF(OR(D$12=0,D$11=0,WEEKDAY(D$10,2)&gt;5),0,ROUND(MAX(0,T.Abendbis-MAX(D13,T.Abendab))-MAX(0,T.Abendbis-MAX(T.Abendab,D14))+(D13&gt;D14)*(1+T.Abendab-T.Abendbis)+MAX(0,T.Abendbis-MAX(D15,T.Abendab))-MAX(0,T.Abendbis-MAX(T.Abendab,D16))+(D15&gt;D16)*(1+T.Abendab-T.Abendbis)+MAX(0,T.Abendbis-MAX(D17,T.Abendab))-MAX(0,T.Abendbis-MAX(T.Abendab,D18))+(D17&gt;D18)*(1+T.Abendab-T.Abendbis)+MAX(0,T.Abendbis-MAX(D19,T.Abendab))-MAX(0,T.Abendbis-MAX(T.Abendab,D20))+(D19&gt;D20)*(1+T.Abendab-T.Abendbis)+MAX(0,T.Abendbis-MAX(D21,T.Abendab))-MAX(0,T.Abendbis-MAX(T.Abendab,D22))+(D21&gt;D22)*(1+T.Abendab-T.Abendbis),9)),"")</f>
        <v/>
      </c>
      <c r="E80" s="256" t="str">
        <f aca="false">IF(T.50_Vetsuisse,IF(OR(E$12=0,E$11=0,WEEKDAY(E$10,2)&gt;5),0,ROUND(MAX(0,T.Abendbis-MAX(E13,T.Abendab))-MAX(0,T.Abendbis-MAX(T.Abendab,E14))+(E13&gt;E14)*(1+T.Abendab-T.Abendbis)+MAX(0,T.Abendbis-MAX(E15,T.Abendab))-MAX(0,T.Abendbis-MAX(T.Abendab,E16))+(E15&gt;E16)*(1+T.Abendab-T.Abendbis)+MAX(0,T.Abendbis-MAX(E17,T.Abendab))-MAX(0,T.Abendbis-MAX(T.Abendab,E18))+(E17&gt;E18)*(1+T.Abendab-T.Abendbis)+MAX(0,T.Abendbis-MAX(E19,T.Abendab))-MAX(0,T.Abendbis-MAX(T.Abendab,E20))+(E19&gt;E20)*(1+T.Abendab-T.Abendbis)+MAX(0,T.Abendbis-MAX(E21,T.Abendab))-MAX(0,T.Abendbis-MAX(T.Abendab,E22))+(E21&gt;E22)*(1+T.Abendab-T.Abendbis),9)),"")</f>
        <v/>
      </c>
      <c r="F80" s="256" t="str">
        <f aca="false">IF(T.50_Vetsuisse,IF(OR(F$12=0,F$11=0,WEEKDAY(F$10,2)&gt;5),0,ROUND(MAX(0,T.Abendbis-MAX(F13,T.Abendab))-MAX(0,T.Abendbis-MAX(T.Abendab,F14))+(F13&gt;F14)*(1+T.Abendab-T.Abendbis)+MAX(0,T.Abendbis-MAX(F15,T.Abendab))-MAX(0,T.Abendbis-MAX(T.Abendab,F16))+(F15&gt;F16)*(1+T.Abendab-T.Abendbis)+MAX(0,T.Abendbis-MAX(F17,T.Abendab))-MAX(0,T.Abendbis-MAX(T.Abendab,F18))+(F17&gt;F18)*(1+T.Abendab-T.Abendbis)+MAX(0,T.Abendbis-MAX(F19,T.Abendab))-MAX(0,T.Abendbis-MAX(T.Abendab,F20))+(F19&gt;F20)*(1+T.Abendab-T.Abendbis)+MAX(0,T.Abendbis-MAX(F21,T.Abendab))-MAX(0,T.Abendbis-MAX(T.Abendab,F22))+(F21&gt;F22)*(1+T.Abendab-T.Abendbis),9)),"")</f>
        <v/>
      </c>
      <c r="G80" s="256" t="str">
        <f aca="false">IF(T.50_Vetsuisse,IF(OR(G$12=0,G$11=0,WEEKDAY(G$10,2)&gt;5),0,ROUND(MAX(0,T.Abendbis-MAX(G13,T.Abendab))-MAX(0,T.Abendbis-MAX(T.Abendab,G14))+(G13&gt;G14)*(1+T.Abendab-T.Abendbis)+MAX(0,T.Abendbis-MAX(G15,T.Abendab))-MAX(0,T.Abendbis-MAX(T.Abendab,G16))+(G15&gt;G16)*(1+T.Abendab-T.Abendbis)+MAX(0,T.Abendbis-MAX(G17,T.Abendab))-MAX(0,T.Abendbis-MAX(T.Abendab,G18))+(G17&gt;G18)*(1+T.Abendab-T.Abendbis)+MAX(0,T.Abendbis-MAX(G19,T.Abendab))-MAX(0,T.Abendbis-MAX(T.Abendab,G20))+(G19&gt;G20)*(1+T.Abendab-T.Abendbis)+MAX(0,T.Abendbis-MAX(G21,T.Abendab))-MAX(0,T.Abendbis-MAX(T.Abendab,G22))+(G21&gt;G22)*(1+T.Abendab-T.Abendbis),9)),"")</f>
        <v/>
      </c>
      <c r="H80" s="256" t="str">
        <f aca="false">IF(T.50_Vetsuisse,IF(OR(H$12=0,H$11=0,WEEKDAY(H$10,2)&gt;5),0,ROUND(MAX(0,T.Abendbis-MAX(H13,T.Abendab))-MAX(0,T.Abendbis-MAX(T.Abendab,H14))+(H13&gt;H14)*(1+T.Abendab-T.Abendbis)+MAX(0,T.Abendbis-MAX(H15,T.Abendab))-MAX(0,T.Abendbis-MAX(T.Abendab,H16))+(H15&gt;H16)*(1+T.Abendab-T.Abendbis)+MAX(0,T.Abendbis-MAX(H17,T.Abendab))-MAX(0,T.Abendbis-MAX(T.Abendab,H18))+(H17&gt;H18)*(1+T.Abendab-T.Abendbis)+MAX(0,T.Abendbis-MAX(H19,T.Abendab))-MAX(0,T.Abendbis-MAX(T.Abendab,H20))+(H19&gt;H20)*(1+T.Abendab-T.Abendbis)+MAX(0,T.Abendbis-MAX(H21,T.Abendab))-MAX(0,T.Abendbis-MAX(T.Abendab,H22))+(H21&gt;H22)*(1+T.Abendab-T.Abendbis),9)),"")</f>
        <v/>
      </c>
      <c r="I80" s="256" t="str">
        <f aca="false">IF(T.50_Vetsuisse,IF(OR(I$12=0,I$11=0,WEEKDAY(I$10,2)&gt;5),0,ROUND(MAX(0,T.Abendbis-MAX(I13,T.Abendab))-MAX(0,T.Abendbis-MAX(T.Abendab,I14))+(I13&gt;I14)*(1+T.Abendab-T.Abendbis)+MAX(0,T.Abendbis-MAX(I15,T.Abendab))-MAX(0,T.Abendbis-MAX(T.Abendab,I16))+(I15&gt;I16)*(1+T.Abendab-T.Abendbis)+MAX(0,T.Abendbis-MAX(I17,T.Abendab))-MAX(0,T.Abendbis-MAX(T.Abendab,I18))+(I17&gt;I18)*(1+T.Abendab-T.Abendbis)+MAX(0,T.Abendbis-MAX(I19,T.Abendab))-MAX(0,T.Abendbis-MAX(T.Abendab,I20))+(I19&gt;I20)*(1+T.Abendab-T.Abendbis)+MAX(0,T.Abendbis-MAX(I21,T.Abendab))-MAX(0,T.Abendbis-MAX(T.Abendab,I22))+(I21&gt;I22)*(1+T.Abendab-T.Abendbis),9)),"")</f>
        <v/>
      </c>
      <c r="J80" s="256" t="str">
        <f aca="false">IF(T.50_Vetsuisse,IF(OR(J$12=0,J$11=0,WEEKDAY(J$10,2)&gt;5),0,ROUND(MAX(0,T.Abendbis-MAX(J13,T.Abendab))-MAX(0,T.Abendbis-MAX(T.Abendab,J14))+(J13&gt;J14)*(1+T.Abendab-T.Abendbis)+MAX(0,T.Abendbis-MAX(J15,T.Abendab))-MAX(0,T.Abendbis-MAX(T.Abendab,J16))+(J15&gt;J16)*(1+T.Abendab-T.Abendbis)+MAX(0,T.Abendbis-MAX(J17,T.Abendab))-MAX(0,T.Abendbis-MAX(T.Abendab,J18))+(J17&gt;J18)*(1+T.Abendab-T.Abendbis)+MAX(0,T.Abendbis-MAX(J19,T.Abendab))-MAX(0,T.Abendbis-MAX(T.Abendab,J20))+(J19&gt;J20)*(1+T.Abendab-T.Abendbis)+MAX(0,T.Abendbis-MAX(J21,T.Abendab))-MAX(0,T.Abendbis-MAX(T.Abendab,J22))+(J21&gt;J22)*(1+T.Abendab-T.Abendbis),9)),"")</f>
        <v/>
      </c>
      <c r="K80" s="256" t="str">
        <f aca="false">IF(T.50_Vetsuisse,IF(OR(K$12=0,K$11=0,WEEKDAY(K$10,2)&gt;5),0,ROUND(MAX(0,T.Abendbis-MAX(K13,T.Abendab))-MAX(0,T.Abendbis-MAX(T.Abendab,K14))+(K13&gt;K14)*(1+T.Abendab-T.Abendbis)+MAX(0,T.Abendbis-MAX(K15,T.Abendab))-MAX(0,T.Abendbis-MAX(T.Abendab,K16))+(K15&gt;K16)*(1+T.Abendab-T.Abendbis)+MAX(0,T.Abendbis-MAX(K17,T.Abendab))-MAX(0,T.Abendbis-MAX(T.Abendab,K18))+(K17&gt;K18)*(1+T.Abendab-T.Abendbis)+MAX(0,T.Abendbis-MAX(K19,T.Abendab))-MAX(0,T.Abendbis-MAX(T.Abendab,K20))+(K19&gt;K20)*(1+T.Abendab-T.Abendbis)+MAX(0,T.Abendbis-MAX(K21,T.Abendab))-MAX(0,T.Abendbis-MAX(T.Abendab,K22))+(K21&gt;K22)*(1+T.Abendab-T.Abendbis),9)),"")</f>
        <v/>
      </c>
      <c r="L80" s="256" t="str">
        <f aca="false">IF(T.50_Vetsuisse,IF(OR(L$12=0,L$11=0,WEEKDAY(L$10,2)&gt;5),0,ROUND(MAX(0,T.Abendbis-MAX(L13,T.Abendab))-MAX(0,T.Abendbis-MAX(T.Abendab,L14))+(L13&gt;L14)*(1+T.Abendab-T.Abendbis)+MAX(0,T.Abendbis-MAX(L15,T.Abendab))-MAX(0,T.Abendbis-MAX(T.Abendab,L16))+(L15&gt;L16)*(1+T.Abendab-T.Abendbis)+MAX(0,T.Abendbis-MAX(L17,T.Abendab))-MAX(0,T.Abendbis-MAX(T.Abendab,L18))+(L17&gt;L18)*(1+T.Abendab-T.Abendbis)+MAX(0,T.Abendbis-MAX(L19,T.Abendab))-MAX(0,T.Abendbis-MAX(T.Abendab,L20))+(L19&gt;L20)*(1+T.Abendab-T.Abendbis)+MAX(0,T.Abendbis-MAX(L21,T.Abendab))-MAX(0,T.Abendbis-MAX(T.Abendab,L22))+(L21&gt;L22)*(1+T.Abendab-T.Abendbis),9)),"")</f>
        <v/>
      </c>
      <c r="M80" s="256" t="str">
        <f aca="false">IF(T.50_Vetsuisse,IF(OR(M$12=0,M$11=0,WEEKDAY(M$10,2)&gt;5),0,ROUND(MAX(0,T.Abendbis-MAX(M13,T.Abendab))-MAX(0,T.Abendbis-MAX(T.Abendab,M14))+(M13&gt;M14)*(1+T.Abendab-T.Abendbis)+MAX(0,T.Abendbis-MAX(M15,T.Abendab))-MAX(0,T.Abendbis-MAX(T.Abendab,M16))+(M15&gt;M16)*(1+T.Abendab-T.Abendbis)+MAX(0,T.Abendbis-MAX(M17,T.Abendab))-MAX(0,T.Abendbis-MAX(T.Abendab,M18))+(M17&gt;M18)*(1+T.Abendab-T.Abendbis)+MAX(0,T.Abendbis-MAX(M19,T.Abendab))-MAX(0,T.Abendbis-MAX(T.Abendab,M20))+(M19&gt;M20)*(1+T.Abendab-T.Abendbis)+MAX(0,T.Abendbis-MAX(M21,T.Abendab))-MAX(0,T.Abendbis-MAX(T.Abendab,M22))+(M21&gt;M22)*(1+T.Abendab-T.Abendbis),9)),"")</f>
        <v/>
      </c>
      <c r="N80" s="256" t="str">
        <f aca="false">IF(T.50_Vetsuisse,IF(OR(N$12=0,N$11=0,WEEKDAY(N$10,2)&gt;5),0,ROUND(MAX(0,T.Abendbis-MAX(N13,T.Abendab))-MAX(0,T.Abendbis-MAX(T.Abendab,N14))+(N13&gt;N14)*(1+T.Abendab-T.Abendbis)+MAX(0,T.Abendbis-MAX(N15,T.Abendab))-MAX(0,T.Abendbis-MAX(T.Abendab,N16))+(N15&gt;N16)*(1+T.Abendab-T.Abendbis)+MAX(0,T.Abendbis-MAX(N17,T.Abendab))-MAX(0,T.Abendbis-MAX(T.Abendab,N18))+(N17&gt;N18)*(1+T.Abendab-T.Abendbis)+MAX(0,T.Abendbis-MAX(N19,T.Abendab))-MAX(0,T.Abendbis-MAX(T.Abendab,N20))+(N19&gt;N20)*(1+T.Abendab-T.Abendbis)+MAX(0,T.Abendbis-MAX(N21,T.Abendab))-MAX(0,T.Abendbis-MAX(T.Abendab,N22))+(N21&gt;N22)*(1+T.Abendab-T.Abendbis),9)),"")</f>
        <v/>
      </c>
      <c r="O80" s="256" t="str">
        <f aca="false">IF(T.50_Vetsuisse,IF(OR(O$12=0,O$11=0,WEEKDAY(O$10,2)&gt;5),0,ROUND(MAX(0,T.Abendbis-MAX(O13,T.Abendab))-MAX(0,T.Abendbis-MAX(T.Abendab,O14))+(O13&gt;O14)*(1+T.Abendab-T.Abendbis)+MAX(0,T.Abendbis-MAX(O15,T.Abendab))-MAX(0,T.Abendbis-MAX(T.Abendab,O16))+(O15&gt;O16)*(1+T.Abendab-T.Abendbis)+MAX(0,T.Abendbis-MAX(O17,T.Abendab))-MAX(0,T.Abendbis-MAX(T.Abendab,O18))+(O17&gt;O18)*(1+T.Abendab-T.Abendbis)+MAX(0,T.Abendbis-MAX(O19,T.Abendab))-MAX(0,T.Abendbis-MAX(T.Abendab,O20))+(O19&gt;O20)*(1+T.Abendab-T.Abendbis)+MAX(0,T.Abendbis-MAX(O21,T.Abendab))-MAX(0,T.Abendbis-MAX(T.Abendab,O22))+(O21&gt;O22)*(1+T.Abendab-T.Abendbis),9)),"")</f>
        <v/>
      </c>
      <c r="P80" s="256" t="str">
        <f aca="false">IF(T.50_Vetsuisse,IF(OR(P$12=0,P$11=0,WEEKDAY(P$10,2)&gt;5),0,ROUND(MAX(0,T.Abendbis-MAX(P13,T.Abendab))-MAX(0,T.Abendbis-MAX(T.Abendab,P14))+(P13&gt;P14)*(1+T.Abendab-T.Abendbis)+MAX(0,T.Abendbis-MAX(P15,T.Abendab))-MAX(0,T.Abendbis-MAX(T.Abendab,P16))+(P15&gt;P16)*(1+T.Abendab-T.Abendbis)+MAX(0,T.Abendbis-MAX(P17,T.Abendab))-MAX(0,T.Abendbis-MAX(T.Abendab,P18))+(P17&gt;P18)*(1+T.Abendab-T.Abendbis)+MAX(0,T.Abendbis-MAX(P19,T.Abendab))-MAX(0,T.Abendbis-MAX(T.Abendab,P20))+(P19&gt;P20)*(1+T.Abendab-T.Abendbis)+MAX(0,T.Abendbis-MAX(P21,T.Abendab))-MAX(0,T.Abendbis-MAX(T.Abendab,P22))+(P21&gt;P22)*(1+T.Abendab-T.Abendbis),9)),"")</f>
        <v/>
      </c>
      <c r="Q80" s="256" t="str">
        <f aca="false">IF(T.50_Vetsuisse,IF(OR(Q$12=0,Q$11=0,WEEKDAY(Q$10,2)&gt;5),0,ROUND(MAX(0,T.Abendbis-MAX(Q13,T.Abendab))-MAX(0,T.Abendbis-MAX(T.Abendab,Q14))+(Q13&gt;Q14)*(1+T.Abendab-T.Abendbis)+MAX(0,T.Abendbis-MAX(Q15,T.Abendab))-MAX(0,T.Abendbis-MAX(T.Abendab,Q16))+(Q15&gt;Q16)*(1+T.Abendab-T.Abendbis)+MAX(0,T.Abendbis-MAX(Q17,T.Abendab))-MAX(0,T.Abendbis-MAX(T.Abendab,Q18))+(Q17&gt;Q18)*(1+T.Abendab-T.Abendbis)+MAX(0,T.Abendbis-MAX(Q19,T.Abendab))-MAX(0,T.Abendbis-MAX(T.Abendab,Q20))+(Q19&gt;Q20)*(1+T.Abendab-T.Abendbis)+MAX(0,T.Abendbis-MAX(Q21,T.Abendab))-MAX(0,T.Abendbis-MAX(T.Abendab,Q22))+(Q21&gt;Q22)*(1+T.Abendab-T.Abendbis),9)),"")</f>
        <v/>
      </c>
      <c r="R80" s="256" t="str">
        <f aca="false">IF(T.50_Vetsuisse,IF(OR(R$12=0,R$11=0,WEEKDAY(R$10,2)&gt;5),0,ROUND(MAX(0,T.Abendbis-MAX(R13,T.Abendab))-MAX(0,T.Abendbis-MAX(T.Abendab,R14))+(R13&gt;R14)*(1+T.Abendab-T.Abendbis)+MAX(0,T.Abendbis-MAX(R15,T.Abendab))-MAX(0,T.Abendbis-MAX(T.Abendab,R16))+(R15&gt;R16)*(1+T.Abendab-T.Abendbis)+MAX(0,T.Abendbis-MAX(R17,T.Abendab))-MAX(0,T.Abendbis-MAX(T.Abendab,R18))+(R17&gt;R18)*(1+T.Abendab-T.Abendbis)+MAX(0,T.Abendbis-MAX(R19,T.Abendab))-MAX(0,T.Abendbis-MAX(T.Abendab,R20))+(R19&gt;R20)*(1+T.Abendab-T.Abendbis)+MAX(0,T.Abendbis-MAX(R21,T.Abendab))-MAX(0,T.Abendbis-MAX(T.Abendab,R22))+(R21&gt;R22)*(1+T.Abendab-T.Abendbis),9)),"")</f>
        <v/>
      </c>
      <c r="S80" s="256" t="str">
        <f aca="false">IF(T.50_Vetsuisse,IF(OR(S$12=0,S$11=0,WEEKDAY(S$10,2)&gt;5),0,ROUND(MAX(0,T.Abendbis-MAX(S13,T.Abendab))-MAX(0,T.Abendbis-MAX(T.Abendab,S14))+(S13&gt;S14)*(1+T.Abendab-T.Abendbis)+MAX(0,T.Abendbis-MAX(S15,T.Abendab))-MAX(0,T.Abendbis-MAX(T.Abendab,S16))+(S15&gt;S16)*(1+T.Abendab-T.Abendbis)+MAX(0,T.Abendbis-MAX(S17,T.Abendab))-MAX(0,T.Abendbis-MAX(T.Abendab,S18))+(S17&gt;S18)*(1+T.Abendab-T.Abendbis)+MAX(0,T.Abendbis-MAX(S19,T.Abendab))-MAX(0,T.Abendbis-MAX(T.Abendab,S20))+(S19&gt;S20)*(1+T.Abendab-T.Abendbis)+MAX(0,T.Abendbis-MAX(S21,T.Abendab))-MAX(0,T.Abendbis-MAX(T.Abendab,S22))+(S21&gt;S22)*(1+T.Abendab-T.Abendbis),9)),"")</f>
        <v/>
      </c>
      <c r="T80" s="256" t="str">
        <f aca="false">IF(T.50_Vetsuisse,IF(OR(T$12=0,T$11=0,WEEKDAY(T$10,2)&gt;5),0,ROUND(MAX(0,T.Abendbis-MAX(T13,T.Abendab))-MAX(0,T.Abendbis-MAX(T.Abendab,T14))+(T13&gt;T14)*(1+T.Abendab-T.Abendbis)+MAX(0,T.Abendbis-MAX(T15,T.Abendab))-MAX(0,T.Abendbis-MAX(T.Abendab,T16))+(T15&gt;T16)*(1+T.Abendab-T.Abendbis)+MAX(0,T.Abendbis-MAX(T17,T.Abendab))-MAX(0,T.Abendbis-MAX(T.Abendab,T18))+(T17&gt;T18)*(1+T.Abendab-T.Abendbis)+MAX(0,T.Abendbis-MAX(T19,T.Abendab))-MAX(0,T.Abendbis-MAX(T.Abendab,T20))+(T19&gt;T20)*(1+T.Abendab-T.Abendbis)+MAX(0,T.Abendbis-MAX(T21,T.Abendab))-MAX(0,T.Abendbis-MAX(T.Abendab,T22))+(T21&gt;T22)*(1+T.Abendab-T.Abendbis),9)),"")</f>
        <v/>
      </c>
      <c r="U80" s="256" t="str">
        <f aca="false">IF(T.50_Vetsuisse,IF(OR(U$12=0,U$11=0,WEEKDAY(U$10,2)&gt;5),0,ROUND(MAX(0,T.Abendbis-MAX(U13,T.Abendab))-MAX(0,T.Abendbis-MAX(T.Abendab,U14))+(U13&gt;U14)*(1+T.Abendab-T.Abendbis)+MAX(0,T.Abendbis-MAX(U15,T.Abendab))-MAX(0,T.Abendbis-MAX(T.Abendab,U16))+(U15&gt;U16)*(1+T.Abendab-T.Abendbis)+MAX(0,T.Abendbis-MAX(U17,T.Abendab))-MAX(0,T.Abendbis-MAX(T.Abendab,U18))+(U17&gt;U18)*(1+T.Abendab-T.Abendbis)+MAX(0,T.Abendbis-MAX(U19,T.Abendab))-MAX(0,T.Abendbis-MAX(T.Abendab,U20))+(U19&gt;U20)*(1+T.Abendab-T.Abendbis)+MAX(0,T.Abendbis-MAX(U21,T.Abendab))-MAX(0,T.Abendbis-MAX(T.Abendab,U22))+(U21&gt;U22)*(1+T.Abendab-T.Abendbis),9)),"")</f>
        <v/>
      </c>
      <c r="V80" s="256" t="str">
        <f aca="false">IF(T.50_Vetsuisse,IF(OR(V$12=0,V$11=0,WEEKDAY(V$10,2)&gt;5),0,ROUND(MAX(0,T.Abendbis-MAX(V13,T.Abendab))-MAX(0,T.Abendbis-MAX(T.Abendab,V14))+(V13&gt;V14)*(1+T.Abendab-T.Abendbis)+MAX(0,T.Abendbis-MAX(V15,T.Abendab))-MAX(0,T.Abendbis-MAX(T.Abendab,V16))+(V15&gt;V16)*(1+T.Abendab-T.Abendbis)+MAX(0,T.Abendbis-MAX(V17,T.Abendab))-MAX(0,T.Abendbis-MAX(T.Abendab,V18))+(V17&gt;V18)*(1+T.Abendab-T.Abendbis)+MAX(0,T.Abendbis-MAX(V19,T.Abendab))-MAX(0,T.Abendbis-MAX(T.Abendab,V20))+(V19&gt;V20)*(1+T.Abendab-T.Abendbis)+MAX(0,T.Abendbis-MAX(V21,T.Abendab))-MAX(0,T.Abendbis-MAX(T.Abendab,V22))+(V21&gt;V22)*(1+T.Abendab-T.Abendbis),9)),"")</f>
        <v/>
      </c>
      <c r="W80" s="256" t="str">
        <f aca="false">IF(T.50_Vetsuisse,IF(OR(W$12=0,W$11=0,WEEKDAY(W$10,2)&gt;5),0,ROUND(MAX(0,T.Abendbis-MAX(W13,T.Abendab))-MAX(0,T.Abendbis-MAX(T.Abendab,W14))+(W13&gt;W14)*(1+T.Abendab-T.Abendbis)+MAX(0,T.Abendbis-MAX(W15,T.Abendab))-MAX(0,T.Abendbis-MAX(T.Abendab,W16))+(W15&gt;W16)*(1+T.Abendab-T.Abendbis)+MAX(0,T.Abendbis-MAX(W17,T.Abendab))-MAX(0,T.Abendbis-MAX(T.Abendab,W18))+(W17&gt;W18)*(1+T.Abendab-T.Abendbis)+MAX(0,T.Abendbis-MAX(W19,T.Abendab))-MAX(0,T.Abendbis-MAX(T.Abendab,W20))+(W19&gt;W20)*(1+T.Abendab-T.Abendbis)+MAX(0,T.Abendbis-MAX(W21,T.Abendab))-MAX(0,T.Abendbis-MAX(T.Abendab,W22))+(W21&gt;W22)*(1+T.Abendab-T.Abendbis),9)),"")</f>
        <v/>
      </c>
      <c r="X80" s="256" t="str">
        <f aca="false">IF(T.50_Vetsuisse,IF(OR(X$12=0,X$11=0,WEEKDAY(X$10,2)&gt;5),0,ROUND(MAX(0,T.Abendbis-MAX(X13,T.Abendab))-MAX(0,T.Abendbis-MAX(T.Abendab,X14))+(X13&gt;X14)*(1+T.Abendab-T.Abendbis)+MAX(0,T.Abendbis-MAX(X15,T.Abendab))-MAX(0,T.Abendbis-MAX(T.Abendab,X16))+(X15&gt;X16)*(1+T.Abendab-T.Abendbis)+MAX(0,T.Abendbis-MAX(X17,T.Abendab))-MAX(0,T.Abendbis-MAX(T.Abendab,X18))+(X17&gt;X18)*(1+T.Abendab-T.Abendbis)+MAX(0,T.Abendbis-MAX(X19,T.Abendab))-MAX(0,T.Abendbis-MAX(T.Abendab,X20))+(X19&gt;X20)*(1+T.Abendab-T.Abendbis)+MAX(0,T.Abendbis-MAX(X21,T.Abendab))-MAX(0,T.Abendbis-MAX(T.Abendab,X22))+(X21&gt;X22)*(1+T.Abendab-T.Abendbis),9)),"")</f>
        <v/>
      </c>
      <c r="Y80" s="256" t="str">
        <f aca="false">IF(T.50_Vetsuisse,IF(OR(Y$12=0,Y$11=0,WEEKDAY(Y$10,2)&gt;5),0,ROUND(MAX(0,T.Abendbis-MAX(Y13,T.Abendab))-MAX(0,T.Abendbis-MAX(T.Abendab,Y14))+(Y13&gt;Y14)*(1+T.Abendab-T.Abendbis)+MAX(0,T.Abendbis-MAX(Y15,T.Abendab))-MAX(0,T.Abendbis-MAX(T.Abendab,Y16))+(Y15&gt;Y16)*(1+T.Abendab-T.Abendbis)+MAX(0,T.Abendbis-MAX(Y17,T.Abendab))-MAX(0,T.Abendbis-MAX(T.Abendab,Y18))+(Y17&gt;Y18)*(1+T.Abendab-T.Abendbis)+MAX(0,T.Abendbis-MAX(Y19,T.Abendab))-MAX(0,T.Abendbis-MAX(T.Abendab,Y20))+(Y19&gt;Y20)*(1+T.Abendab-T.Abendbis)+MAX(0,T.Abendbis-MAX(Y21,T.Abendab))-MAX(0,T.Abendbis-MAX(T.Abendab,Y22))+(Y21&gt;Y22)*(1+T.Abendab-T.Abendbis),9)),"")</f>
        <v/>
      </c>
      <c r="Z80" s="256" t="str">
        <f aca="false">IF(T.50_Vetsuisse,IF(OR(Z$12=0,Z$11=0,WEEKDAY(Z$10,2)&gt;5),0,ROUND(MAX(0,T.Abendbis-MAX(Z13,T.Abendab))-MAX(0,T.Abendbis-MAX(T.Abendab,Z14))+(Z13&gt;Z14)*(1+T.Abendab-T.Abendbis)+MAX(0,T.Abendbis-MAX(Z15,T.Abendab))-MAX(0,T.Abendbis-MAX(T.Abendab,Z16))+(Z15&gt;Z16)*(1+T.Abendab-T.Abendbis)+MAX(0,T.Abendbis-MAX(Z17,T.Abendab))-MAX(0,T.Abendbis-MAX(T.Abendab,Z18))+(Z17&gt;Z18)*(1+T.Abendab-T.Abendbis)+MAX(0,T.Abendbis-MAX(Z19,T.Abendab))-MAX(0,T.Abendbis-MAX(T.Abendab,Z20))+(Z19&gt;Z20)*(1+T.Abendab-T.Abendbis)+MAX(0,T.Abendbis-MAX(Z21,T.Abendab))-MAX(0,T.Abendbis-MAX(T.Abendab,Z22))+(Z21&gt;Z22)*(1+T.Abendab-T.Abendbis),9)),"")</f>
        <v/>
      </c>
      <c r="AA80" s="256" t="str">
        <f aca="false">IF(T.50_Vetsuisse,IF(OR(AA$12=0,AA$11=0,WEEKDAY(AA$10,2)&gt;5),0,ROUND(MAX(0,T.Abendbis-MAX(AA13,T.Abendab))-MAX(0,T.Abendbis-MAX(T.Abendab,AA14))+(AA13&gt;AA14)*(1+T.Abendab-T.Abendbis)+MAX(0,T.Abendbis-MAX(AA15,T.Abendab))-MAX(0,T.Abendbis-MAX(T.Abendab,AA16))+(AA15&gt;AA16)*(1+T.Abendab-T.Abendbis)+MAX(0,T.Abendbis-MAX(AA17,T.Abendab))-MAX(0,T.Abendbis-MAX(T.Abendab,AA18))+(AA17&gt;AA18)*(1+T.Abendab-T.Abendbis)+MAX(0,T.Abendbis-MAX(AA19,T.Abendab))-MAX(0,T.Abendbis-MAX(T.Abendab,AA20))+(AA19&gt;AA20)*(1+T.Abendab-T.Abendbis)+MAX(0,T.Abendbis-MAX(AA21,T.Abendab))-MAX(0,T.Abendbis-MAX(T.Abendab,AA22))+(AA21&gt;AA22)*(1+T.Abendab-T.Abendbis),9)),"")</f>
        <v/>
      </c>
      <c r="AB80" s="256" t="str">
        <f aca="false">IF(T.50_Vetsuisse,IF(OR(AB$12=0,AB$11=0,WEEKDAY(AB$10,2)&gt;5),0,ROUND(MAX(0,T.Abendbis-MAX(AB13,T.Abendab))-MAX(0,T.Abendbis-MAX(T.Abendab,AB14))+(AB13&gt;AB14)*(1+T.Abendab-T.Abendbis)+MAX(0,T.Abendbis-MAX(AB15,T.Abendab))-MAX(0,T.Abendbis-MAX(T.Abendab,AB16))+(AB15&gt;AB16)*(1+T.Abendab-T.Abendbis)+MAX(0,T.Abendbis-MAX(AB17,T.Abendab))-MAX(0,T.Abendbis-MAX(T.Abendab,AB18))+(AB17&gt;AB18)*(1+T.Abendab-T.Abendbis)+MAX(0,T.Abendbis-MAX(AB19,T.Abendab))-MAX(0,T.Abendbis-MAX(T.Abendab,AB20))+(AB19&gt;AB20)*(1+T.Abendab-T.Abendbis)+MAX(0,T.Abendbis-MAX(AB21,T.Abendab))-MAX(0,T.Abendbis-MAX(T.Abendab,AB22))+(AB21&gt;AB22)*(1+T.Abendab-T.Abendbis),9)),"")</f>
        <v/>
      </c>
      <c r="AC80" s="256" t="str">
        <f aca="false">IF(T.50_Vetsuisse,IF(OR(AC$12=0,AC$11=0,WEEKDAY(AC$10,2)&gt;5),0,ROUND(MAX(0,T.Abendbis-MAX(AC13,T.Abendab))-MAX(0,T.Abendbis-MAX(T.Abendab,AC14))+(AC13&gt;AC14)*(1+T.Abendab-T.Abendbis)+MAX(0,T.Abendbis-MAX(AC15,T.Abendab))-MAX(0,T.Abendbis-MAX(T.Abendab,AC16))+(AC15&gt;AC16)*(1+T.Abendab-T.Abendbis)+MAX(0,T.Abendbis-MAX(AC17,T.Abendab))-MAX(0,T.Abendbis-MAX(T.Abendab,AC18))+(AC17&gt;AC18)*(1+T.Abendab-T.Abendbis)+MAX(0,T.Abendbis-MAX(AC19,T.Abendab))-MAX(0,T.Abendbis-MAX(T.Abendab,AC20))+(AC19&gt;AC20)*(1+T.Abendab-T.Abendbis)+MAX(0,T.Abendbis-MAX(AC21,T.Abendab))-MAX(0,T.Abendbis-MAX(T.Abendab,AC22))+(AC21&gt;AC22)*(1+T.Abendab-T.Abendbis),9)),"")</f>
        <v/>
      </c>
      <c r="AD80" s="256" t="str">
        <f aca="false">IF(T.50_Vetsuisse,IF(OR(AD$12=0,AD$11=0,WEEKDAY(AD$10,2)&gt;5),0,ROUND(MAX(0,T.Abendbis-MAX(AD13,T.Abendab))-MAX(0,T.Abendbis-MAX(T.Abendab,AD14))+(AD13&gt;AD14)*(1+T.Abendab-T.Abendbis)+MAX(0,T.Abendbis-MAX(AD15,T.Abendab))-MAX(0,T.Abendbis-MAX(T.Abendab,AD16))+(AD15&gt;AD16)*(1+T.Abendab-T.Abendbis)+MAX(0,T.Abendbis-MAX(AD17,T.Abendab))-MAX(0,T.Abendbis-MAX(T.Abendab,AD18))+(AD17&gt;AD18)*(1+T.Abendab-T.Abendbis)+MAX(0,T.Abendbis-MAX(AD19,T.Abendab))-MAX(0,T.Abendbis-MAX(T.Abendab,AD20))+(AD19&gt;AD20)*(1+T.Abendab-T.Abendbis)+MAX(0,T.Abendbis-MAX(AD21,T.Abendab))-MAX(0,T.Abendbis-MAX(T.Abendab,AD22))+(AD21&gt;AD22)*(1+T.Abendab-T.Abendbis),9)),"")</f>
        <v/>
      </c>
      <c r="AE80" s="256" t="str">
        <f aca="false">IF(T.50_Vetsuisse,IF(OR(AE$12=0,AE$11=0,WEEKDAY(AE$10,2)&gt;5),0,ROUND(MAX(0,T.Abendbis-MAX(AE13,T.Abendab))-MAX(0,T.Abendbis-MAX(T.Abendab,AE14))+(AE13&gt;AE14)*(1+T.Abendab-T.Abendbis)+MAX(0,T.Abendbis-MAX(AE15,T.Abendab))-MAX(0,T.Abendbis-MAX(T.Abendab,AE16))+(AE15&gt;AE16)*(1+T.Abendab-T.Abendbis)+MAX(0,T.Abendbis-MAX(AE17,T.Abendab))-MAX(0,T.Abendbis-MAX(T.Abendab,AE18))+(AE17&gt;AE18)*(1+T.Abendab-T.Abendbis)+MAX(0,T.Abendbis-MAX(AE19,T.Abendab))-MAX(0,T.Abendbis-MAX(T.Abendab,AE20))+(AE19&gt;AE20)*(1+T.Abendab-T.Abendbis)+MAX(0,T.Abendbis-MAX(AE21,T.Abendab))-MAX(0,T.Abendbis-MAX(T.Abendab,AE22))+(AE21&gt;AE22)*(1+T.Abendab-T.Abendbis),9)),"")</f>
        <v/>
      </c>
      <c r="AF80" s="168" t="str">
        <f aca="false">A80</f>
        <v>Evening work</v>
      </c>
      <c r="AG80" s="250"/>
      <c r="AH80" s="207" t="n">
        <f aca="false">SUM(B80:AE80)</f>
        <v>0</v>
      </c>
      <c r="AI80" s="33"/>
      <c r="AJ80" s="192"/>
      <c r="AK80" s="216" t="n">
        <f aca="false">IF(EB.Anwendung&lt;&gt;"",IF(MONTH(Monat.Tag1)=1,0,IF(MONTH(Monat.Tag1)=2,January!Monat.AAUeVM,IF(MONTH(Monat.Tag1)=3,February!Monat.AAUeVM,IF(MONTH(Monat.Tag1)=4,March!Monat.AAUeVM,IF(MONTH(Monat.Tag1)=5,April!Monat.AAUeVM,IF(MONTH(Monat.Tag1)=6,May!Monat.AAUeVM,IF(MONTH(Monat.Tag1)=7,June!Monat.AAUeVM,IF(MONTH(Monat.Tag1)=8,July!Monat.AAUeVM,IF(MONTH(Monat.Tag1)=9,August!Monat.AAUeVM,IF(MONTH(Monat.Tag1)=10,Monat.AAUeVM,IF(MONTH(Monat.Tag1)=11,October!Monat.AAUeVM,IF(MONTH(Monat.Tag1)=12,November!Monat.AAUeVM,"")))))))))))),"")</f>
        <v>0</v>
      </c>
      <c r="AL80" s="172"/>
      <c r="AM80" s="217" t="n">
        <f aca="false">AH80+AK80</f>
        <v>0</v>
      </c>
      <c r="AN80" s="171"/>
      <c r="AO80" s="171"/>
      <c r="AP80" s="39"/>
    </row>
    <row r="81" s="148" customFormat="true" ht="15" hidden="false" customHeight="true" outlineLevel="1" collapsed="false">
      <c r="A81" s="175" t="s">
        <v>164</v>
      </c>
      <c r="B81" s="256" t="n">
        <f aca="true">IF(EB.Wochenarbeitszeit=50/24,"",IF(B$12=0,0,IF(OR(WEEKDAY(B$10,2)&gt;5,B$11=0),IF(NOT(B$34=INDEX(T.Pikett.Bereich,1)),1,0),IF(WEEKDAY(B$10,2)&lt;6,IF(AND(OR(B$34=INDEX(T.Pikett.Bereich,2),B$34=INDEX(T.Pikett.Bereich,3)),B$11=1),8/24,0))+IF(WEEKDAY(B$10,2)&lt;6,IF(AND(OR(B$34=INDEX(T.Pikett.Bereich,2),B$34=INDEX(T.Pikett.Bereich,3)),B$11=6/8.4),10/24,0)) +IF(WEEKDAY(B$10,2)&lt;6,IF(AND(OR(B$34=INDEX(T.Pikett.Bereich,2),B$34=INDEX(T.Pikett.Bereich,3)),B$11=0.5),0.5,0)) +IF(AND(B$34=INDEX(T.Pikett.Bereich,4),B$11=6/8.4),0.75,0)+IF(AND(B$34=INDEX(T.Pikett.Bereich,4),B$11=1),16/24,0) +IF(AND(B$34=INDEX(T.Pikett.Bereich,4),B$11=0.5),20/24,0))))</f>
        <v>0</v>
      </c>
      <c r="C81" s="256" t="n">
        <f aca="true">IF(EB.Wochenarbeitszeit=50/24,"",IF(C$12=0,0,IF(OR(WEEKDAY(C$10,2)&gt;5,C$11=0),IF(NOT(C$34=INDEX(T.Pikett.Bereich,1)),1,0),IF(WEEKDAY(C$10,2)&lt;6,IF(AND(OR(C$34=INDEX(T.Pikett.Bereich,2),C$34=INDEX(T.Pikett.Bereich,3)),C$11=1),8/24,0))+IF(WEEKDAY(C$10,2)&lt;6,IF(AND(OR(C$34=INDEX(T.Pikett.Bereich,2),C$34=INDEX(T.Pikett.Bereich,3)),C$11=6/8.4),10/24,0)) +IF(WEEKDAY(C$10,2)&lt;6,IF(AND(OR(C$34=INDEX(T.Pikett.Bereich,2),C$34=INDEX(T.Pikett.Bereich,3)),C$11=0.5),0.5,0)) +IF(AND(C$34=INDEX(T.Pikett.Bereich,4),C$11=6/8.4),0.75,0)+IF(AND(C$34=INDEX(T.Pikett.Bereich,4),C$11=1),16/24,0) +IF(AND(C$34=INDEX(T.Pikett.Bereich,4),C$11=0.5),20/24,0))))</f>
        <v>0</v>
      </c>
      <c r="D81" s="256" t="n">
        <f aca="true">IF(EB.Wochenarbeitszeit=50/24,"",IF(D$12=0,0,IF(OR(WEEKDAY(D$10,2)&gt;5,D$11=0),IF(NOT(D$34=INDEX(T.Pikett.Bereich,1)),1,0),IF(WEEKDAY(D$10,2)&lt;6,IF(AND(OR(D$34=INDEX(T.Pikett.Bereich,2),D$34=INDEX(T.Pikett.Bereich,3)),D$11=1),8/24,0))+IF(WEEKDAY(D$10,2)&lt;6,IF(AND(OR(D$34=INDEX(T.Pikett.Bereich,2),D$34=INDEX(T.Pikett.Bereich,3)),D$11=6/8.4),10/24,0)) +IF(WEEKDAY(D$10,2)&lt;6,IF(AND(OR(D$34=INDEX(T.Pikett.Bereich,2),D$34=INDEX(T.Pikett.Bereich,3)),D$11=0.5),0.5,0)) +IF(AND(D$34=INDEX(T.Pikett.Bereich,4),D$11=6/8.4),0.75,0)+IF(AND(D$34=INDEX(T.Pikett.Bereich,4),D$11=1),16/24,0) +IF(AND(D$34=INDEX(T.Pikett.Bereich,4),D$11=0.5),20/24,0))))</f>
        <v>0</v>
      </c>
      <c r="E81" s="256" t="n">
        <f aca="true">IF(EB.Wochenarbeitszeit=50/24,"",IF(E$12=0,0,IF(OR(WEEKDAY(E$10,2)&gt;5,E$11=0),IF(NOT(E$34=INDEX(T.Pikett.Bereich,1)),1,0),IF(WEEKDAY(E$10,2)&lt;6,IF(AND(OR(E$34=INDEX(T.Pikett.Bereich,2),E$34=INDEX(T.Pikett.Bereich,3)),E$11=1),8/24,0))+IF(WEEKDAY(E$10,2)&lt;6,IF(AND(OR(E$34=INDEX(T.Pikett.Bereich,2),E$34=INDEX(T.Pikett.Bereich,3)),E$11=6/8.4),10/24,0)) +IF(WEEKDAY(E$10,2)&lt;6,IF(AND(OR(E$34=INDEX(T.Pikett.Bereich,2),E$34=INDEX(T.Pikett.Bereich,3)),E$11=0.5),0.5,0)) +IF(AND(E$34=INDEX(T.Pikett.Bereich,4),E$11=6/8.4),0.75,0)+IF(AND(E$34=INDEX(T.Pikett.Bereich,4),E$11=1),16/24,0) +IF(AND(E$34=INDEX(T.Pikett.Bereich,4),E$11=0.5),20/24,0))))</f>
        <v>0</v>
      </c>
      <c r="F81" s="256" t="n">
        <f aca="true">IF(EB.Wochenarbeitszeit=50/24,"",IF(F$12=0,0,IF(OR(WEEKDAY(F$10,2)&gt;5,F$11=0),IF(NOT(F$34=INDEX(T.Pikett.Bereich,1)),1,0),IF(WEEKDAY(F$10,2)&lt;6,IF(AND(OR(F$34=INDEX(T.Pikett.Bereich,2),F$34=INDEX(T.Pikett.Bereich,3)),F$11=1),8/24,0))+IF(WEEKDAY(F$10,2)&lt;6,IF(AND(OR(F$34=INDEX(T.Pikett.Bereich,2),F$34=INDEX(T.Pikett.Bereich,3)),F$11=6/8.4),10/24,0)) +IF(WEEKDAY(F$10,2)&lt;6,IF(AND(OR(F$34=INDEX(T.Pikett.Bereich,2),F$34=INDEX(T.Pikett.Bereich,3)),F$11=0.5),0.5,0)) +IF(AND(F$34=INDEX(T.Pikett.Bereich,4),F$11=6/8.4),0.75,0)+IF(AND(F$34=INDEX(T.Pikett.Bereich,4),F$11=1),16/24,0) +IF(AND(F$34=INDEX(T.Pikett.Bereich,4),F$11=0.5),20/24,0))))</f>
        <v>0</v>
      </c>
      <c r="G81" s="256" t="n">
        <f aca="true">IF(EB.Wochenarbeitszeit=50/24,"",IF(G$12=0,0,IF(OR(WEEKDAY(G$10,2)&gt;5,G$11=0),IF(NOT(G$34=INDEX(T.Pikett.Bereich,1)),1,0),IF(WEEKDAY(G$10,2)&lt;6,IF(AND(OR(G$34=INDEX(T.Pikett.Bereich,2),G$34=INDEX(T.Pikett.Bereich,3)),G$11=1),8/24,0))+IF(WEEKDAY(G$10,2)&lt;6,IF(AND(OR(G$34=INDEX(T.Pikett.Bereich,2),G$34=INDEX(T.Pikett.Bereich,3)),G$11=6/8.4),10/24,0)) +IF(WEEKDAY(G$10,2)&lt;6,IF(AND(OR(G$34=INDEX(T.Pikett.Bereich,2),G$34=INDEX(T.Pikett.Bereich,3)),G$11=0.5),0.5,0)) +IF(AND(G$34=INDEX(T.Pikett.Bereich,4),G$11=6/8.4),0.75,0)+IF(AND(G$34=INDEX(T.Pikett.Bereich,4),G$11=1),16/24,0) +IF(AND(G$34=INDEX(T.Pikett.Bereich,4),G$11=0.5),20/24,0))))</f>
        <v>0</v>
      </c>
      <c r="H81" s="256" t="n">
        <f aca="true">IF(EB.Wochenarbeitszeit=50/24,"",IF(H$12=0,0,IF(OR(WEEKDAY(H$10,2)&gt;5,H$11=0),IF(NOT(H$34=INDEX(T.Pikett.Bereich,1)),1,0),IF(WEEKDAY(H$10,2)&lt;6,IF(AND(OR(H$34=INDEX(T.Pikett.Bereich,2),H$34=INDEX(T.Pikett.Bereich,3)),H$11=1),8/24,0))+IF(WEEKDAY(H$10,2)&lt;6,IF(AND(OR(H$34=INDEX(T.Pikett.Bereich,2),H$34=INDEX(T.Pikett.Bereich,3)),H$11=6/8.4),10/24,0)) +IF(WEEKDAY(H$10,2)&lt;6,IF(AND(OR(H$34=INDEX(T.Pikett.Bereich,2),H$34=INDEX(T.Pikett.Bereich,3)),H$11=0.5),0.5,0)) +IF(AND(H$34=INDEX(T.Pikett.Bereich,4),H$11=6/8.4),0.75,0)+IF(AND(H$34=INDEX(T.Pikett.Bereich,4),H$11=1),16/24,0) +IF(AND(H$34=INDEX(T.Pikett.Bereich,4),H$11=0.5),20/24,0))))</f>
        <v>0</v>
      </c>
      <c r="I81" s="256" t="n">
        <f aca="true">IF(EB.Wochenarbeitszeit=50/24,"",IF(I$12=0,0,IF(OR(WEEKDAY(I$10,2)&gt;5,I$11=0),IF(NOT(I$34=INDEX(T.Pikett.Bereich,1)),1,0),IF(WEEKDAY(I$10,2)&lt;6,IF(AND(OR(I$34=INDEX(T.Pikett.Bereich,2),I$34=INDEX(T.Pikett.Bereich,3)),I$11=1),8/24,0))+IF(WEEKDAY(I$10,2)&lt;6,IF(AND(OR(I$34=INDEX(T.Pikett.Bereich,2),I$34=INDEX(T.Pikett.Bereich,3)),I$11=6/8.4),10/24,0)) +IF(WEEKDAY(I$10,2)&lt;6,IF(AND(OR(I$34=INDEX(T.Pikett.Bereich,2),I$34=INDEX(T.Pikett.Bereich,3)),I$11=0.5),0.5,0)) +IF(AND(I$34=INDEX(T.Pikett.Bereich,4),I$11=6/8.4),0.75,0)+IF(AND(I$34=INDEX(T.Pikett.Bereich,4),I$11=1),16/24,0) +IF(AND(I$34=INDEX(T.Pikett.Bereich,4),I$11=0.5),20/24,0))))</f>
        <v>0</v>
      </c>
      <c r="J81" s="256" t="n">
        <f aca="true">IF(EB.Wochenarbeitszeit=50/24,"",IF(J$12=0,0,IF(OR(WEEKDAY(J$10,2)&gt;5,J$11=0),IF(NOT(J$34=INDEX(T.Pikett.Bereich,1)),1,0),IF(WEEKDAY(J$10,2)&lt;6,IF(AND(OR(J$34=INDEX(T.Pikett.Bereich,2),J$34=INDEX(T.Pikett.Bereich,3)),J$11=1),8/24,0))+IF(WEEKDAY(J$10,2)&lt;6,IF(AND(OR(J$34=INDEX(T.Pikett.Bereich,2),J$34=INDEX(T.Pikett.Bereich,3)),J$11=6/8.4),10/24,0)) +IF(WEEKDAY(J$10,2)&lt;6,IF(AND(OR(J$34=INDEX(T.Pikett.Bereich,2),J$34=INDEX(T.Pikett.Bereich,3)),J$11=0.5),0.5,0)) +IF(AND(J$34=INDEX(T.Pikett.Bereich,4),J$11=6/8.4),0.75,0)+IF(AND(J$34=INDEX(T.Pikett.Bereich,4),J$11=1),16/24,0) +IF(AND(J$34=INDEX(T.Pikett.Bereich,4),J$11=0.5),20/24,0))))</f>
        <v>0</v>
      </c>
      <c r="K81" s="256" t="n">
        <f aca="true">IF(EB.Wochenarbeitszeit=50/24,"",IF(K$12=0,0,IF(OR(WEEKDAY(K$10,2)&gt;5,K$11=0),IF(NOT(K$34=INDEX(T.Pikett.Bereich,1)),1,0),IF(WEEKDAY(K$10,2)&lt;6,IF(AND(OR(K$34=INDEX(T.Pikett.Bereich,2),K$34=INDEX(T.Pikett.Bereich,3)),K$11=1),8/24,0))+IF(WEEKDAY(K$10,2)&lt;6,IF(AND(OR(K$34=INDEX(T.Pikett.Bereich,2),K$34=INDEX(T.Pikett.Bereich,3)),K$11=6/8.4),10/24,0)) +IF(WEEKDAY(K$10,2)&lt;6,IF(AND(OR(K$34=INDEX(T.Pikett.Bereich,2),K$34=INDEX(T.Pikett.Bereich,3)),K$11=0.5),0.5,0)) +IF(AND(K$34=INDEX(T.Pikett.Bereich,4),K$11=6/8.4),0.75,0)+IF(AND(K$34=INDEX(T.Pikett.Bereich,4),K$11=1),16/24,0) +IF(AND(K$34=INDEX(T.Pikett.Bereich,4),K$11=0.5),20/24,0))))</f>
        <v>0</v>
      </c>
      <c r="L81" s="256" t="n">
        <f aca="true">IF(EB.Wochenarbeitszeit=50/24,"",IF(L$12=0,0,IF(OR(WEEKDAY(L$10,2)&gt;5,L$11=0),IF(NOT(L$34=INDEX(T.Pikett.Bereich,1)),1,0),IF(WEEKDAY(L$10,2)&lt;6,IF(AND(OR(L$34=INDEX(T.Pikett.Bereich,2),L$34=INDEX(T.Pikett.Bereich,3)),L$11=1),8/24,0))+IF(WEEKDAY(L$10,2)&lt;6,IF(AND(OR(L$34=INDEX(T.Pikett.Bereich,2),L$34=INDEX(T.Pikett.Bereich,3)),L$11=6/8.4),10/24,0)) +IF(WEEKDAY(L$10,2)&lt;6,IF(AND(OR(L$34=INDEX(T.Pikett.Bereich,2),L$34=INDEX(T.Pikett.Bereich,3)),L$11=0.5),0.5,0)) +IF(AND(L$34=INDEX(T.Pikett.Bereich,4),L$11=6/8.4),0.75,0)+IF(AND(L$34=INDEX(T.Pikett.Bereich,4),L$11=1),16/24,0) +IF(AND(L$34=INDEX(T.Pikett.Bereich,4),L$11=0.5),20/24,0))))</f>
        <v>0</v>
      </c>
      <c r="M81" s="256" t="n">
        <f aca="true">IF(EB.Wochenarbeitszeit=50/24,"",IF(M$12=0,0,IF(OR(WEEKDAY(M$10,2)&gt;5,M$11=0),IF(NOT(M$34=INDEX(T.Pikett.Bereich,1)),1,0),IF(WEEKDAY(M$10,2)&lt;6,IF(AND(OR(M$34=INDEX(T.Pikett.Bereich,2),M$34=INDEX(T.Pikett.Bereich,3)),M$11=1),8/24,0))+IF(WEEKDAY(M$10,2)&lt;6,IF(AND(OR(M$34=INDEX(T.Pikett.Bereich,2),M$34=INDEX(T.Pikett.Bereich,3)),M$11=6/8.4),10/24,0)) +IF(WEEKDAY(M$10,2)&lt;6,IF(AND(OR(M$34=INDEX(T.Pikett.Bereich,2),M$34=INDEX(T.Pikett.Bereich,3)),M$11=0.5),0.5,0)) +IF(AND(M$34=INDEX(T.Pikett.Bereich,4),M$11=6/8.4),0.75,0)+IF(AND(M$34=INDEX(T.Pikett.Bereich,4),M$11=1),16/24,0) +IF(AND(M$34=INDEX(T.Pikett.Bereich,4),M$11=0.5),20/24,0))))</f>
        <v>0</v>
      </c>
      <c r="N81" s="256" t="n">
        <f aca="true">IF(EB.Wochenarbeitszeit=50/24,"",IF(N$12=0,0,IF(OR(WEEKDAY(N$10,2)&gt;5,N$11=0),IF(NOT(N$34=INDEX(T.Pikett.Bereich,1)),1,0),IF(WEEKDAY(N$10,2)&lt;6,IF(AND(OR(N$34=INDEX(T.Pikett.Bereich,2),N$34=INDEX(T.Pikett.Bereich,3)),N$11=1),8/24,0))+IF(WEEKDAY(N$10,2)&lt;6,IF(AND(OR(N$34=INDEX(T.Pikett.Bereich,2),N$34=INDEX(T.Pikett.Bereich,3)),N$11=6/8.4),10/24,0)) +IF(WEEKDAY(N$10,2)&lt;6,IF(AND(OR(N$34=INDEX(T.Pikett.Bereich,2),N$34=INDEX(T.Pikett.Bereich,3)),N$11=0.5),0.5,0)) +IF(AND(N$34=INDEX(T.Pikett.Bereich,4),N$11=6/8.4),0.75,0)+IF(AND(N$34=INDEX(T.Pikett.Bereich,4),N$11=1),16/24,0) +IF(AND(N$34=INDEX(T.Pikett.Bereich,4),N$11=0.5),20/24,0))))</f>
        <v>0</v>
      </c>
      <c r="O81" s="256" t="n">
        <f aca="true">IF(EB.Wochenarbeitszeit=50/24,"",IF(O$12=0,0,IF(OR(WEEKDAY(O$10,2)&gt;5,O$11=0),IF(NOT(O$34=INDEX(T.Pikett.Bereich,1)),1,0),IF(WEEKDAY(O$10,2)&lt;6,IF(AND(OR(O$34=INDEX(T.Pikett.Bereich,2),O$34=INDEX(T.Pikett.Bereich,3)),O$11=1),8/24,0))+IF(WEEKDAY(O$10,2)&lt;6,IF(AND(OR(O$34=INDEX(T.Pikett.Bereich,2),O$34=INDEX(T.Pikett.Bereich,3)),O$11=6/8.4),10/24,0)) +IF(WEEKDAY(O$10,2)&lt;6,IF(AND(OR(O$34=INDEX(T.Pikett.Bereich,2),O$34=INDEX(T.Pikett.Bereich,3)),O$11=0.5),0.5,0)) +IF(AND(O$34=INDEX(T.Pikett.Bereich,4),O$11=6/8.4),0.75,0)+IF(AND(O$34=INDEX(T.Pikett.Bereich,4),O$11=1),16/24,0) +IF(AND(O$34=INDEX(T.Pikett.Bereich,4),O$11=0.5),20/24,0))))</f>
        <v>0</v>
      </c>
      <c r="P81" s="256" t="n">
        <f aca="true">IF(EB.Wochenarbeitszeit=50/24,"",IF(P$12=0,0,IF(OR(WEEKDAY(P$10,2)&gt;5,P$11=0),IF(NOT(P$34=INDEX(T.Pikett.Bereich,1)),1,0),IF(WEEKDAY(P$10,2)&lt;6,IF(AND(OR(P$34=INDEX(T.Pikett.Bereich,2),P$34=INDEX(T.Pikett.Bereich,3)),P$11=1),8/24,0))+IF(WEEKDAY(P$10,2)&lt;6,IF(AND(OR(P$34=INDEX(T.Pikett.Bereich,2),P$34=INDEX(T.Pikett.Bereich,3)),P$11=6/8.4),10/24,0)) +IF(WEEKDAY(P$10,2)&lt;6,IF(AND(OR(P$34=INDEX(T.Pikett.Bereich,2),P$34=INDEX(T.Pikett.Bereich,3)),P$11=0.5),0.5,0)) +IF(AND(P$34=INDEX(T.Pikett.Bereich,4),P$11=6/8.4),0.75,0)+IF(AND(P$34=INDEX(T.Pikett.Bereich,4),P$11=1),16/24,0) +IF(AND(P$34=INDEX(T.Pikett.Bereich,4),P$11=0.5),20/24,0))))</f>
        <v>0</v>
      </c>
      <c r="Q81" s="256" t="n">
        <f aca="true">IF(EB.Wochenarbeitszeit=50/24,"",IF(Q$12=0,0,IF(OR(WEEKDAY(Q$10,2)&gt;5,Q$11=0),IF(NOT(Q$34=INDEX(T.Pikett.Bereich,1)),1,0),IF(WEEKDAY(Q$10,2)&lt;6,IF(AND(OR(Q$34=INDEX(T.Pikett.Bereich,2),Q$34=INDEX(T.Pikett.Bereich,3)),Q$11=1),8/24,0))+IF(WEEKDAY(Q$10,2)&lt;6,IF(AND(OR(Q$34=INDEX(T.Pikett.Bereich,2),Q$34=INDEX(T.Pikett.Bereich,3)),Q$11=6/8.4),10/24,0)) +IF(WEEKDAY(Q$10,2)&lt;6,IF(AND(OR(Q$34=INDEX(T.Pikett.Bereich,2),Q$34=INDEX(T.Pikett.Bereich,3)),Q$11=0.5),0.5,0)) +IF(AND(Q$34=INDEX(T.Pikett.Bereich,4),Q$11=6/8.4),0.75,0)+IF(AND(Q$34=INDEX(T.Pikett.Bereich,4),Q$11=1),16/24,0) +IF(AND(Q$34=INDEX(T.Pikett.Bereich,4),Q$11=0.5),20/24,0))))</f>
        <v>0</v>
      </c>
      <c r="R81" s="256" t="n">
        <f aca="true">IF(EB.Wochenarbeitszeit=50/24,"",IF(R$12=0,0,IF(OR(WEEKDAY(R$10,2)&gt;5,R$11=0),IF(NOT(R$34=INDEX(T.Pikett.Bereich,1)),1,0),IF(WEEKDAY(R$10,2)&lt;6,IF(AND(OR(R$34=INDEX(T.Pikett.Bereich,2),R$34=INDEX(T.Pikett.Bereich,3)),R$11=1),8/24,0))+IF(WEEKDAY(R$10,2)&lt;6,IF(AND(OR(R$34=INDEX(T.Pikett.Bereich,2),R$34=INDEX(T.Pikett.Bereich,3)),R$11=6/8.4),10/24,0)) +IF(WEEKDAY(R$10,2)&lt;6,IF(AND(OR(R$34=INDEX(T.Pikett.Bereich,2),R$34=INDEX(T.Pikett.Bereich,3)),R$11=0.5),0.5,0)) +IF(AND(R$34=INDEX(T.Pikett.Bereich,4),R$11=6/8.4),0.75,0)+IF(AND(R$34=INDEX(T.Pikett.Bereich,4),R$11=1),16/24,0) +IF(AND(R$34=INDEX(T.Pikett.Bereich,4),R$11=0.5),20/24,0))))</f>
        <v>0</v>
      </c>
      <c r="S81" s="256" t="n">
        <f aca="true">IF(EB.Wochenarbeitszeit=50/24,"",IF(S$12=0,0,IF(OR(WEEKDAY(S$10,2)&gt;5,S$11=0),IF(NOT(S$34=INDEX(T.Pikett.Bereich,1)),1,0),IF(WEEKDAY(S$10,2)&lt;6,IF(AND(OR(S$34=INDEX(T.Pikett.Bereich,2),S$34=INDEX(T.Pikett.Bereich,3)),S$11=1),8/24,0))+IF(WEEKDAY(S$10,2)&lt;6,IF(AND(OR(S$34=INDEX(T.Pikett.Bereich,2),S$34=INDEX(T.Pikett.Bereich,3)),S$11=6/8.4),10/24,0)) +IF(WEEKDAY(S$10,2)&lt;6,IF(AND(OR(S$34=INDEX(T.Pikett.Bereich,2),S$34=INDEX(T.Pikett.Bereich,3)),S$11=0.5),0.5,0)) +IF(AND(S$34=INDEX(T.Pikett.Bereich,4),S$11=6/8.4),0.75,0)+IF(AND(S$34=INDEX(T.Pikett.Bereich,4),S$11=1),16/24,0) +IF(AND(S$34=INDEX(T.Pikett.Bereich,4),S$11=0.5),20/24,0))))</f>
        <v>0</v>
      </c>
      <c r="T81" s="256" t="n">
        <f aca="true">IF(EB.Wochenarbeitszeit=50/24,"",IF(T$12=0,0,IF(OR(WEEKDAY(T$10,2)&gt;5,T$11=0),IF(NOT(T$34=INDEX(T.Pikett.Bereich,1)),1,0),IF(WEEKDAY(T$10,2)&lt;6,IF(AND(OR(T$34=INDEX(T.Pikett.Bereich,2),T$34=INDEX(T.Pikett.Bereich,3)),T$11=1),8/24,0))+IF(WEEKDAY(T$10,2)&lt;6,IF(AND(OR(T$34=INDEX(T.Pikett.Bereich,2),T$34=INDEX(T.Pikett.Bereich,3)),T$11=6/8.4),10/24,0)) +IF(WEEKDAY(T$10,2)&lt;6,IF(AND(OR(T$34=INDEX(T.Pikett.Bereich,2),T$34=INDEX(T.Pikett.Bereich,3)),T$11=0.5),0.5,0)) +IF(AND(T$34=INDEX(T.Pikett.Bereich,4),T$11=6/8.4),0.75,0)+IF(AND(T$34=INDEX(T.Pikett.Bereich,4),T$11=1),16/24,0) +IF(AND(T$34=INDEX(T.Pikett.Bereich,4),T$11=0.5),20/24,0))))</f>
        <v>0</v>
      </c>
      <c r="U81" s="256" t="n">
        <f aca="true">IF(EB.Wochenarbeitszeit=50/24,"",IF(U$12=0,0,IF(OR(WEEKDAY(U$10,2)&gt;5,U$11=0),IF(NOT(U$34=INDEX(T.Pikett.Bereich,1)),1,0),IF(WEEKDAY(U$10,2)&lt;6,IF(AND(OR(U$34=INDEX(T.Pikett.Bereich,2),U$34=INDEX(T.Pikett.Bereich,3)),U$11=1),8/24,0))+IF(WEEKDAY(U$10,2)&lt;6,IF(AND(OR(U$34=INDEX(T.Pikett.Bereich,2),U$34=INDEX(T.Pikett.Bereich,3)),U$11=6/8.4),10/24,0)) +IF(WEEKDAY(U$10,2)&lt;6,IF(AND(OR(U$34=INDEX(T.Pikett.Bereich,2),U$34=INDEX(T.Pikett.Bereich,3)),U$11=0.5),0.5,0)) +IF(AND(U$34=INDEX(T.Pikett.Bereich,4),U$11=6/8.4),0.75,0)+IF(AND(U$34=INDEX(T.Pikett.Bereich,4),U$11=1),16/24,0) +IF(AND(U$34=INDEX(T.Pikett.Bereich,4),U$11=0.5),20/24,0))))</f>
        <v>0</v>
      </c>
      <c r="V81" s="256" t="n">
        <f aca="true">IF(EB.Wochenarbeitszeit=50/24,"",IF(V$12=0,0,IF(OR(WEEKDAY(V$10,2)&gt;5,V$11=0),IF(NOT(V$34=INDEX(T.Pikett.Bereich,1)),1,0),IF(WEEKDAY(V$10,2)&lt;6,IF(AND(OR(V$34=INDEX(T.Pikett.Bereich,2),V$34=INDEX(T.Pikett.Bereich,3)),V$11=1),8/24,0))+IF(WEEKDAY(V$10,2)&lt;6,IF(AND(OR(V$34=INDEX(T.Pikett.Bereich,2),V$34=INDEX(T.Pikett.Bereich,3)),V$11=6/8.4),10/24,0)) +IF(WEEKDAY(V$10,2)&lt;6,IF(AND(OR(V$34=INDEX(T.Pikett.Bereich,2),V$34=INDEX(T.Pikett.Bereich,3)),V$11=0.5),0.5,0)) +IF(AND(V$34=INDEX(T.Pikett.Bereich,4),V$11=6/8.4),0.75,0)+IF(AND(V$34=INDEX(T.Pikett.Bereich,4),V$11=1),16/24,0) +IF(AND(V$34=INDEX(T.Pikett.Bereich,4),V$11=0.5),20/24,0))))</f>
        <v>0</v>
      </c>
      <c r="W81" s="256" t="n">
        <f aca="true">IF(EB.Wochenarbeitszeit=50/24,"",IF(W$12=0,0,IF(OR(WEEKDAY(W$10,2)&gt;5,W$11=0),IF(NOT(W$34=INDEX(T.Pikett.Bereich,1)),1,0),IF(WEEKDAY(W$10,2)&lt;6,IF(AND(OR(W$34=INDEX(T.Pikett.Bereich,2),W$34=INDEX(T.Pikett.Bereich,3)),W$11=1),8/24,0))+IF(WEEKDAY(W$10,2)&lt;6,IF(AND(OR(W$34=INDEX(T.Pikett.Bereich,2),W$34=INDEX(T.Pikett.Bereich,3)),W$11=6/8.4),10/24,0)) +IF(WEEKDAY(W$10,2)&lt;6,IF(AND(OR(W$34=INDEX(T.Pikett.Bereich,2),W$34=INDEX(T.Pikett.Bereich,3)),W$11=0.5),0.5,0)) +IF(AND(W$34=INDEX(T.Pikett.Bereich,4),W$11=6/8.4),0.75,0)+IF(AND(W$34=INDEX(T.Pikett.Bereich,4),W$11=1),16/24,0) +IF(AND(W$34=INDEX(T.Pikett.Bereich,4),W$11=0.5),20/24,0))))</f>
        <v>0</v>
      </c>
      <c r="X81" s="256" t="n">
        <f aca="true">IF(EB.Wochenarbeitszeit=50/24,"",IF(X$12=0,0,IF(OR(WEEKDAY(X$10,2)&gt;5,X$11=0),IF(NOT(X$34=INDEX(T.Pikett.Bereich,1)),1,0),IF(WEEKDAY(X$10,2)&lt;6,IF(AND(OR(X$34=INDEX(T.Pikett.Bereich,2),X$34=INDEX(T.Pikett.Bereich,3)),X$11=1),8/24,0))+IF(WEEKDAY(X$10,2)&lt;6,IF(AND(OR(X$34=INDEX(T.Pikett.Bereich,2),X$34=INDEX(T.Pikett.Bereich,3)),X$11=6/8.4),10/24,0)) +IF(WEEKDAY(X$10,2)&lt;6,IF(AND(OR(X$34=INDEX(T.Pikett.Bereich,2),X$34=INDEX(T.Pikett.Bereich,3)),X$11=0.5),0.5,0)) +IF(AND(X$34=INDEX(T.Pikett.Bereich,4),X$11=6/8.4),0.75,0)+IF(AND(X$34=INDEX(T.Pikett.Bereich,4),X$11=1),16/24,0) +IF(AND(X$34=INDEX(T.Pikett.Bereich,4),X$11=0.5),20/24,0))))</f>
        <v>0</v>
      </c>
      <c r="Y81" s="256" t="n">
        <f aca="true">IF(EB.Wochenarbeitszeit=50/24,"",IF(Y$12=0,0,IF(OR(WEEKDAY(Y$10,2)&gt;5,Y$11=0),IF(NOT(Y$34=INDEX(T.Pikett.Bereich,1)),1,0),IF(WEEKDAY(Y$10,2)&lt;6,IF(AND(OR(Y$34=INDEX(T.Pikett.Bereich,2),Y$34=INDEX(T.Pikett.Bereich,3)),Y$11=1),8/24,0))+IF(WEEKDAY(Y$10,2)&lt;6,IF(AND(OR(Y$34=INDEX(T.Pikett.Bereich,2),Y$34=INDEX(T.Pikett.Bereich,3)),Y$11=6/8.4),10/24,0)) +IF(WEEKDAY(Y$10,2)&lt;6,IF(AND(OR(Y$34=INDEX(T.Pikett.Bereich,2),Y$34=INDEX(T.Pikett.Bereich,3)),Y$11=0.5),0.5,0)) +IF(AND(Y$34=INDEX(T.Pikett.Bereich,4),Y$11=6/8.4),0.75,0)+IF(AND(Y$34=INDEX(T.Pikett.Bereich,4),Y$11=1),16/24,0) +IF(AND(Y$34=INDEX(T.Pikett.Bereich,4),Y$11=0.5),20/24,0))))</f>
        <v>0</v>
      </c>
      <c r="Z81" s="256" t="n">
        <f aca="true">IF(EB.Wochenarbeitszeit=50/24,"",IF(Z$12=0,0,IF(OR(WEEKDAY(Z$10,2)&gt;5,Z$11=0),IF(NOT(Z$34=INDEX(T.Pikett.Bereich,1)),1,0),IF(WEEKDAY(Z$10,2)&lt;6,IF(AND(OR(Z$34=INDEX(T.Pikett.Bereich,2),Z$34=INDEX(T.Pikett.Bereich,3)),Z$11=1),8/24,0))+IF(WEEKDAY(Z$10,2)&lt;6,IF(AND(OR(Z$34=INDEX(T.Pikett.Bereich,2),Z$34=INDEX(T.Pikett.Bereich,3)),Z$11=6/8.4),10/24,0)) +IF(WEEKDAY(Z$10,2)&lt;6,IF(AND(OR(Z$34=INDEX(T.Pikett.Bereich,2),Z$34=INDEX(T.Pikett.Bereich,3)),Z$11=0.5),0.5,0)) +IF(AND(Z$34=INDEX(T.Pikett.Bereich,4),Z$11=6/8.4),0.75,0)+IF(AND(Z$34=INDEX(T.Pikett.Bereich,4),Z$11=1),16/24,0) +IF(AND(Z$34=INDEX(T.Pikett.Bereich,4),Z$11=0.5),20/24,0))))</f>
        <v>0</v>
      </c>
      <c r="AA81" s="256" t="n">
        <f aca="true">IF(EB.Wochenarbeitszeit=50/24,"",IF(AA$12=0,0,IF(OR(WEEKDAY(AA$10,2)&gt;5,AA$11=0),IF(NOT(AA$34=INDEX(T.Pikett.Bereich,1)),1,0),IF(WEEKDAY(AA$10,2)&lt;6,IF(AND(OR(AA$34=INDEX(T.Pikett.Bereich,2),AA$34=INDEX(T.Pikett.Bereich,3)),AA$11=1),8/24,0))+IF(WEEKDAY(AA$10,2)&lt;6,IF(AND(OR(AA$34=INDEX(T.Pikett.Bereich,2),AA$34=INDEX(T.Pikett.Bereich,3)),AA$11=6/8.4),10/24,0)) +IF(WEEKDAY(AA$10,2)&lt;6,IF(AND(OR(AA$34=INDEX(T.Pikett.Bereich,2),AA$34=INDEX(T.Pikett.Bereich,3)),AA$11=0.5),0.5,0)) +IF(AND(AA$34=INDEX(T.Pikett.Bereich,4),AA$11=6/8.4),0.75,0)+IF(AND(AA$34=INDEX(T.Pikett.Bereich,4),AA$11=1),16/24,0) +IF(AND(AA$34=INDEX(T.Pikett.Bereich,4),AA$11=0.5),20/24,0))))</f>
        <v>0</v>
      </c>
      <c r="AB81" s="256" t="n">
        <f aca="true">IF(EB.Wochenarbeitszeit=50/24,"",IF(AB$12=0,0,IF(OR(WEEKDAY(AB$10,2)&gt;5,AB$11=0),IF(NOT(AB$34=INDEX(T.Pikett.Bereich,1)),1,0),IF(WEEKDAY(AB$10,2)&lt;6,IF(AND(OR(AB$34=INDEX(T.Pikett.Bereich,2),AB$34=INDEX(T.Pikett.Bereich,3)),AB$11=1),8/24,0))+IF(WEEKDAY(AB$10,2)&lt;6,IF(AND(OR(AB$34=INDEX(T.Pikett.Bereich,2),AB$34=INDEX(T.Pikett.Bereich,3)),AB$11=6/8.4),10/24,0)) +IF(WEEKDAY(AB$10,2)&lt;6,IF(AND(OR(AB$34=INDEX(T.Pikett.Bereich,2),AB$34=INDEX(T.Pikett.Bereich,3)),AB$11=0.5),0.5,0)) +IF(AND(AB$34=INDEX(T.Pikett.Bereich,4),AB$11=6/8.4),0.75,0)+IF(AND(AB$34=INDEX(T.Pikett.Bereich,4),AB$11=1),16/24,0) +IF(AND(AB$34=INDEX(T.Pikett.Bereich,4),AB$11=0.5),20/24,0))))</f>
        <v>0</v>
      </c>
      <c r="AC81" s="256" t="n">
        <f aca="true">IF(EB.Wochenarbeitszeit=50/24,"",IF(AC$12=0,0,IF(OR(WEEKDAY(AC$10,2)&gt;5,AC$11=0),IF(NOT(AC$34=INDEX(T.Pikett.Bereich,1)),1,0),IF(WEEKDAY(AC$10,2)&lt;6,IF(AND(OR(AC$34=INDEX(T.Pikett.Bereich,2),AC$34=INDEX(T.Pikett.Bereich,3)),AC$11=1),8/24,0))+IF(WEEKDAY(AC$10,2)&lt;6,IF(AND(OR(AC$34=INDEX(T.Pikett.Bereich,2),AC$34=INDEX(T.Pikett.Bereich,3)),AC$11=6/8.4),10/24,0)) +IF(WEEKDAY(AC$10,2)&lt;6,IF(AND(OR(AC$34=INDEX(T.Pikett.Bereich,2),AC$34=INDEX(T.Pikett.Bereich,3)),AC$11=0.5),0.5,0)) +IF(AND(AC$34=INDEX(T.Pikett.Bereich,4),AC$11=6/8.4),0.75,0)+IF(AND(AC$34=INDEX(T.Pikett.Bereich,4),AC$11=1),16/24,0) +IF(AND(AC$34=INDEX(T.Pikett.Bereich,4),AC$11=0.5),20/24,0))))</f>
        <v>0</v>
      </c>
      <c r="AD81" s="256" t="n">
        <f aca="true">IF(EB.Wochenarbeitszeit=50/24,"",IF(AD$12=0,0,IF(OR(WEEKDAY(AD$10,2)&gt;5,AD$11=0),IF(NOT(AD$34=INDEX(T.Pikett.Bereich,1)),1,0),IF(WEEKDAY(AD$10,2)&lt;6,IF(AND(OR(AD$34=INDEX(T.Pikett.Bereich,2),AD$34=INDEX(T.Pikett.Bereich,3)),AD$11=1),8/24,0))+IF(WEEKDAY(AD$10,2)&lt;6,IF(AND(OR(AD$34=INDEX(T.Pikett.Bereich,2),AD$34=INDEX(T.Pikett.Bereich,3)),AD$11=6/8.4),10/24,0)) +IF(WEEKDAY(AD$10,2)&lt;6,IF(AND(OR(AD$34=INDEX(T.Pikett.Bereich,2),AD$34=INDEX(T.Pikett.Bereich,3)),AD$11=0.5),0.5,0)) +IF(AND(AD$34=INDEX(T.Pikett.Bereich,4),AD$11=6/8.4),0.75,0)+IF(AND(AD$34=INDEX(T.Pikett.Bereich,4),AD$11=1),16/24,0) +IF(AND(AD$34=INDEX(T.Pikett.Bereich,4),AD$11=0.5),20/24,0))))</f>
        <v>0</v>
      </c>
      <c r="AE81" s="256" t="n">
        <f aca="true">IF(EB.Wochenarbeitszeit=50/24,"",IF(AE$12=0,0,IF(OR(WEEKDAY(AE$10,2)&gt;5,AE$11=0),IF(NOT(AE$34=INDEX(T.Pikett.Bereich,1)),1,0),IF(WEEKDAY(AE$10,2)&lt;6,IF(AND(OR(AE$34=INDEX(T.Pikett.Bereich,2),AE$34=INDEX(T.Pikett.Bereich,3)),AE$11=1),8/24,0))+IF(WEEKDAY(AE$10,2)&lt;6,IF(AND(OR(AE$34=INDEX(T.Pikett.Bereich,2),AE$34=INDEX(T.Pikett.Bereich,3)),AE$11=6/8.4),10/24,0)) +IF(WEEKDAY(AE$10,2)&lt;6,IF(AND(OR(AE$34=INDEX(T.Pikett.Bereich,2),AE$34=INDEX(T.Pikett.Bereich,3)),AE$11=0.5),0.5,0)) +IF(AND(AE$34=INDEX(T.Pikett.Bereich,4),AE$11=6/8.4),0.75,0)+IF(AND(AE$34=INDEX(T.Pikett.Bereich,4),AE$11=1),16/24,0) +IF(AND(AE$34=INDEX(T.Pikett.Bereich,4),AE$11=0.5),20/24,0))))</f>
        <v>0</v>
      </c>
      <c r="AF81" s="168" t="str">
        <f aca="false">A81</f>
        <v>On-call duty</v>
      </c>
      <c r="AG81" s="250"/>
      <c r="AH81" s="207" t="n">
        <f aca="false">SUM(B81:AE81)</f>
        <v>0</v>
      </c>
      <c r="AI81" s="33"/>
      <c r="AJ81" s="192"/>
      <c r="AK81" s="216" t="n">
        <f aca="false">IF(EB.Anwendung&lt;&gt;"",IF(MONTH(Monat.Tag1)=1,0,IF(MONTH(Monat.Tag1)=2,January!Monat.BDUeVM,IF(MONTH(Monat.Tag1)=3,February!Monat.BDUeVM,IF(MONTH(Monat.Tag1)=4,March!Monat.BDUeVM,IF(MONTH(Monat.Tag1)=5,April!Monat.BDUeVM,IF(MONTH(Monat.Tag1)=6,May!Monat.BDUeVM,IF(MONTH(Monat.Tag1)=7,June!Monat.BDUeVM,IF(MONTH(Monat.Tag1)=8,July!Monat.BDUeVM,IF(MONTH(Monat.Tag1)=9,August!Monat.BDUeVM,IF(MONTH(Monat.Tag1)=10,Monat.BDUeVM,IF(MONTH(Monat.Tag1)=11,October!Monat.BDUeVM,IF(MONTH(Monat.Tag1)=12,November!Monat.BDUeVM,"")))))))))))),"")</f>
        <v>0</v>
      </c>
      <c r="AL81" s="172"/>
      <c r="AM81" s="217" t="n">
        <f aca="false">AH81+AK81</f>
        <v>0</v>
      </c>
      <c r="AN81" s="171"/>
      <c r="AO81" s="171"/>
      <c r="AP81" s="39"/>
    </row>
    <row r="82" s="148" customFormat="true" ht="15" hidden="false" customHeight="true" outlineLevel="1" collapsed="false">
      <c r="A82" s="175" t="s">
        <v>165</v>
      </c>
      <c r="B82" s="256" t="str">
        <f aca="false">IF(B$12=0,"",IF(OR(WEEKDAY(B$10,2)&gt;5,B$11=0), IF(T.50_NoVetsuisse,B45, IF(T.50_Vetsuisse,IF(B23-B73=0,"",B23-B73), IF(T.ServiceCenterIrchel,B23, B60))),))</f>
        <v/>
      </c>
      <c r="C82" s="256" t="str">
        <f aca="false">IF(C$12=0,"",IF(OR(WEEKDAY(C$10,2)&gt;5,C$11=0), IF(T.50_NoVetsuisse,C45, IF(T.50_Vetsuisse,IF(C23-C73=0,"",C23-C73), IF(T.ServiceCenterIrchel,C23, C60))),))</f>
        <v/>
      </c>
      <c r="D82" s="257" t="n">
        <f aca="false">IF(D$12=0,"",IF(OR(WEEKDAY(D$10,2)&gt;5,D$11=0), IF(T.50_NoVetsuisse,D45, IF(T.50_Vetsuisse,IF(D23-D73=0,"",D23-D73), IF(T.ServiceCenterIrchel,D23, D60))),))</f>
        <v>0</v>
      </c>
      <c r="E82" s="256" t="n">
        <f aca="false">IF(E$12=0,"",IF(OR(WEEKDAY(E$10,2)&gt;5,E$11=0), IF(T.50_NoVetsuisse,E45, IF(T.50_Vetsuisse,IF(E23-E73=0,"",E23-E73), IF(T.ServiceCenterIrchel,E23, E60))),))</f>
        <v>0</v>
      </c>
      <c r="F82" s="257" t="n">
        <f aca="false">IF(F$12=0,"",IF(OR(WEEKDAY(F$10,2)&gt;5,F$11=0), IF(T.50_NoVetsuisse,F45, IF(T.50_Vetsuisse,IF(F23-F73=0,"",F23-F73), IF(T.ServiceCenterIrchel,F23, F60))),))</f>
        <v>0</v>
      </c>
      <c r="G82" s="257" t="n">
        <f aca="false">IF(G$12=0,"",IF(OR(WEEKDAY(G$10,2)&gt;5,G$11=0), IF(T.50_NoVetsuisse,G45, IF(T.50_Vetsuisse,IF(G23-G73=0,"",G23-G73), IF(T.ServiceCenterIrchel,G23, G60))),))</f>
        <v>0</v>
      </c>
      <c r="H82" s="257" t="n">
        <f aca="false">IF(H$12=0,"",IF(OR(WEEKDAY(H$10,2)&gt;5,H$11=0), IF(T.50_NoVetsuisse,H45, IF(T.50_Vetsuisse,IF(H23-H73=0,"",H23-H73), IF(T.ServiceCenterIrchel,H23, H60))),))</f>
        <v>0</v>
      </c>
      <c r="I82" s="257" t="str">
        <f aca="false">IF(I$12=0,"",IF(OR(WEEKDAY(I$10,2)&gt;5,I$11=0), IF(T.50_NoVetsuisse,I45, IF(T.50_Vetsuisse,IF(I23-I73=0,"",I23-I73), IF(T.ServiceCenterIrchel,I23, I60))),))</f>
        <v/>
      </c>
      <c r="J82" s="256" t="str">
        <f aca="false">IF(J$12=0,"",IF(OR(WEEKDAY(J$10,2)&gt;5,J$11=0), IF(T.50_NoVetsuisse,J45, IF(T.50_Vetsuisse,IF(J23-J73=0,"",J23-J73), IF(T.ServiceCenterIrchel,J23, J60))),))</f>
        <v/>
      </c>
      <c r="K82" s="257" t="n">
        <f aca="false">IF(K$12=0,"",IF(OR(WEEKDAY(K$10,2)&gt;5,K$11=0), IF(T.50_NoVetsuisse,K45, IF(T.50_Vetsuisse,IF(K23-K73=0,"",K23-K73), IF(T.ServiceCenterIrchel,K23, K60))),))</f>
        <v>0</v>
      </c>
      <c r="L82" s="256" t="n">
        <f aca="false">IF(L$12=0,"",IF(OR(WEEKDAY(L$10,2)&gt;5,L$11=0), IF(T.50_NoVetsuisse,L45, IF(T.50_Vetsuisse,IF(L23-L73=0,"",L23-L73), IF(T.ServiceCenterIrchel,L23, L60))),))</f>
        <v>0</v>
      </c>
      <c r="M82" s="257" t="n">
        <f aca="false">IF(M$12=0,"",IF(OR(WEEKDAY(M$10,2)&gt;5,M$11=0), IF(T.50_NoVetsuisse,M45, IF(T.50_Vetsuisse,IF(M23-M73=0,"",M23-M73), IF(T.ServiceCenterIrchel,M23, M60))),))</f>
        <v>0</v>
      </c>
      <c r="N82" s="257" t="n">
        <f aca="false">IF(N$12=0,"",IF(OR(WEEKDAY(N$10,2)&gt;5,N$11=0), IF(T.50_NoVetsuisse,N45, IF(T.50_Vetsuisse,IF(N23-N73=0,"",N23-N73), IF(T.ServiceCenterIrchel,N23, N60))),))</f>
        <v>0</v>
      </c>
      <c r="O82" s="257" t="n">
        <f aca="false">IF(O$12=0,"",IF(OR(WEEKDAY(O$10,2)&gt;5,O$11=0), IF(T.50_NoVetsuisse,O45, IF(T.50_Vetsuisse,IF(O23-O73=0,"",O23-O73), IF(T.ServiceCenterIrchel,O23, O60))),))</f>
        <v>0</v>
      </c>
      <c r="P82" s="257" t="str">
        <f aca="false">IF(P$12=0,"",IF(OR(WEEKDAY(P$10,2)&gt;5,P$11=0), IF(T.50_NoVetsuisse,P45, IF(T.50_Vetsuisse,IF(P23-P73=0,"",P23-P73), IF(T.ServiceCenterIrchel,P23, P60))),))</f>
        <v/>
      </c>
      <c r="Q82" s="256" t="str">
        <f aca="false">IF(Q$12=0,"",IF(OR(WEEKDAY(Q$10,2)&gt;5,Q$11=0), IF(T.50_NoVetsuisse,Q45, IF(T.50_Vetsuisse,IF(Q23-Q73=0,"",Q23-Q73), IF(T.ServiceCenterIrchel,Q23, Q60))),))</f>
        <v/>
      </c>
      <c r="R82" s="257" t="n">
        <f aca="false">IF(R$12=0,"",IF(OR(WEEKDAY(R$10,2)&gt;5,R$11=0), IF(T.50_NoVetsuisse,R45, IF(T.50_Vetsuisse,IF(R23-R73=0,"",R23-R73), IF(T.ServiceCenterIrchel,R23, R60))),))</f>
        <v>0</v>
      </c>
      <c r="S82" s="256" t="n">
        <f aca="false">IF(S$12=0,"",IF(OR(WEEKDAY(S$10,2)&gt;5,S$11=0), IF(T.50_NoVetsuisse,S45, IF(T.50_Vetsuisse,IF(S23-S73=0,"",S23-S73), IF(T.ServiceCenterIrchel,S23, S60))),))</f>
        <v>0</v>
      </c>
      <c r="T82" s="256" t="n">
        <f aca="false">IF(T$12=0,"",IF(OR(WEEKDAY(T$10,2)&gt;5,T$11=0), IF(T.50_NoVetsuisse,T45, IF(T.50_Vetsuisse,IF(T23-T73=0,"",T23-T73), IF(T.ServiceCenterIrchel,T23, T60))),))</f>
        <v>0</v>
      </c>
      <c r="U82" s="257" t="n">
        <f aca="false">IF(U$12=0,"",IF(OR(WEEKDAY(U$10,2)&gt;5,U$11=0), IF(T.50_NoVetsuisse,U45, IF(T.50_Vetsuisse,IF(U23-U73=0,"",U23-U73), IF(T.ServiceCenterIrchel,U23, U60))),))</f>
        <v>0</v>
      </c>
      <c r="V82" s="257" t="n">
        <f aca="false">IF(V$12=0,"",IF(OR(WEEKDAY(V$10,2)&gt;5,V$11=0), IF(T.50_NoVetsuisse,V45, IF(T.50_Vetsuisse,IF(V23-V73=0,"",V23-V73), IF(T.ServiceCenterIrchel,V23, V60))),))</f>
        <v>0</v>
      </c>
      <c r="W82" s="257" t="str">
        <f aca="false">IF(W$12=0,"",IF(OR(WEEKDAY(W$10,2)&gt;5,W$11=0), IF(T.50_NoVetsuisse,W45, IF(T.50_Vetsuisse,IF(W23-W73=0,"",W23-W73), IF(T.ServiceCenterIrchel,W23, W60))),))</f>
        <v/>
      </c>
      <c r="X82" s="256" t="str">
        <f aca="false">IF(X$12=0,"",IF(OR(WEEKDAY(X$10,2)&gt;5,X$11=0), IF(T.50_NoVetsuisse,X45, IF(T.50_Vetsuisse,IF(X23-X73=0,"",X23-X73), IF(T.ServiceCenterIrchel,X23, X60))),))</f>
        <v/>
      </c>
      <c r="Y82" s="257" t="n">
        <f aca="false">IF(Y$12=0,"",IF(OR(WEEKDAY(Y$10,2)&gt;5,Y$11=0), IF(T.50_NoVetsuisse,Y45, IF(T.50_Vetsuisse,IF(Y23-Y73=0,"",Y23-Y73), IF(T.ServiceCenterIrchel,Y23, Y60))),))</f>
        <v>0</v>
      </c>
      <c r="Z82" s="258" t="n">
        <f aca="false">IF(Z$12=0,"",IF(OR(WEEKDAY(Z$10,2)&gt;5,Z$11=0), IF(T.50_NoVetsuisse,Z45, IF(T.50_Vetsuisse,IF(Z23-Z73=0,"",Z23-Z73), IF(T.ServiceCenterIrchel,Z23, Z60))),))</f>
        <v>0</v>
      </c>
      <c r="AA82" s="257" t="n">
        <f aca="false">IF(AA$12=0,"",IF(OR(WEEKDAY(AA$10,2)&gt;5,AA$11=0), IF(T.50_NoVetsuisse,AA45, IF(T.50_Vetsuisse,IF(AA23-AA73=0,"",AA23-AA73), IF(T.ServiceCenterIrchel,AA23, AA60))),))</f>
        <v>0</v>
      </c>
      <c r="AB82" s="257" t="n">
        <f aca="false">IF(AB$12=0,"",IF(OR(WEEKDAY(AB$10,2)&gt;5,AB$11=0), IF(T.50_NoVetsuisse,AB45, IF(T.50_Vetsuisse,IF(AB23-AB73=0,"",AB23-AB73), IF(T.ServiceCenterIrchel,AB23, AB60))),))</f>
        <v>0</v>
      </c>
      <c r="AC82" s="257" t="n">
        <f aca="false">IF(AC$12=0,"",IF(OR(WEEKDAY(AC$10,2)&gt;5,AC$11=0), IF(T.50_NoVetsuisse,AC45, IF(T.50_Vetsuisse,IF(AC23-AC73=0,"",AC23-AC73), IF(T.ServiceCenterIrchel,AC23, AC60))),))</f>
        <v>0</v>
      </c>
      <c r="AD82" s="257" t="str">
        <f aca="false">IF(AD$12=0,"",IF(OR(WEEKDAY(AD$10,2)&gt;5,AD$11=0), IF(T.50_NoVetsuisse,AD45, IF(T.50_Vetsuisse,IF(AD23-AD73=0,"",AD23-AD73), IF(T.ServiceCenterIrchel,AD23, AD60))),))</f>
        <v/>
      </c>
      <c r="AE82" s="256" t="str">
        <f aca="false">IF(AE$12=0,"",IF(OR(WEEKDAY(AE$10,2)&gt;5,AE$11=0), IF(T.50_NoVetsuisse,AE45, IF(T.50_Vetsuisse,IF(AE23-AE73=0,"",AE23-AE73), IF(T.ServiceCenterIrchel,AE23, AE60))),))</f>
        <v/>
      </c>
      <c r="AF82" s="168" t="str">
        <f aca="false">A82</f>
        <v>Saturday/Sunday shift</v>
      </c>
      <c r="AG82" s="197"/>
      <c r="AH82" s="207" t="n">
        <f aca="false">SUM(B82:AE82)</f>
        <v>0</v>
      </c>
      <c r="AI82" s="198" t="n">
        <f aca="false">IFERROR(SUMPRODUCT((B82:AE82&gt;0)*(B82:AE82&lt;&gt;"")),0)</f>
        <v>0</v>
      </c>
      <c r="AJ82" s="192"/>
      <c r="AK82" s="216" t="n">
        <f aca="false">IF(EB.Anwendung&lt;&gt;"",IF(MONTH(Monat.Tag1)=1,0,IF(MONTH(Monat.Tag1)=2,January!Monat.SDUeVM,IF(MONTH(Monat.Tag1)=3,February!Monat.SDUeVM,IF(MONTH(Monat.Tag1)=4,March!Monat.SDUeVM,IF(MONTH(Monat.Tag1)=5,April!Monat.SDUeVM,IF(MONTH(Monat.Tag1)=6,May!Monat.SDUeVM,IF(MONTH(Monat.Tag1)=7,June!Monat.SDUeVM,IF(MONTH(Monat.Tag1)=8,July!Monat.SDUeVM,IF(MONTH(Monat.Tag1)=9,August!Monat.SDUeVM,IF(MONTH(Monat.Tag1)=10,Monat.SDUeVM,IF(MONTH(Monat.Tag1)=11,October!Monat.SDUeVM,IF(MONTH(Monat.Tag1)=12,November!Monat.SDUeVM,"")))))))))))),"")</f>
        <v>0</v>
      </c>
      <c r="AL82" s="172"/>
      <c r="AM82" s="217" t="n">
        <f aca="false">AH82+AK82</f>
        <v>0</v>
      </c>
      <c r="AN82" s="171"/>
      <c r="AO82" s="171"/>
      <c r="AP82" s="39"/>
    </row>
    <row r="83" s="148" customFormat="true" ht="11.25" hidden="false" customHeight="true" outlineLevel="1" collapsed="false">
      <c r="A83" s="186"/>
      <c r="B83" s="194"/>
      <c r="C83" s="194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4"/>
      <c r="O83" s="194"/>
      <c r="P83" s="194"/>
      <c r="Q83" s="194"/>
      <c r="R83" s="194"/>
      <c r="S83" s="194"/>
      <c r="T83" s="194"/>
      <c r="U83" s="194"/>
      <c r="V83" s="194"/>
      <c r="W83" s="194"/>
      <c r="X83" s="194"/>
      <c r="Y83" s="194"/>
      <c r="Z83" s="194"/>
      <c r="AA83" s="194"/>
      <c r="AB83" s="194"/>
      <c r="AC83" s="194"/>
      <c r="AD83" s="194"/>
      <c r="AE83" s="194"/>
      <c r="AF83" s="168"/>
      <c r="AG83" s="197"/>
      <c r="AH83" s="192"/>
      <c r="AI83" s="27"/>
      <c r="AJ83" s="235"/>
      <c r="AK83" s="235"/>
      <c r="AL83" s="172"/>
      <c r="AM83" s="254"/>
      <c r="AN83" s="259"/>
      <c r="AO83" s="259"/>
      <c r="AP83" s="39"/>
    </row>
    <row r="84" s="148" customFormat="true" ht="15" hidden="false" customHeight="true" outlineLevel="0" collapsed="false">
      <c r="A84" s="175" t="s">
        <v>166</v>
      </c>
      <c r="B84" s="176"/>
      <c r="C84" s="176"/>
      <c r="D84" s="176"/>
      <c r="E84" s="176"/>
      <c r="F84" s="176"/>
      <c r="G84" s="176"/>
      <c r="H84" s="176"/>
      <c r="I84" s="176"/>
      <c r="J84" s="176"/>
      <c r="K84" s="176"/>
      <c r="L84" s="176"/>
      <c r="M84" s="176"/>
      <c r="N84" s="176"/>
      <c r="O84" s="176"/>
      <c r="P84" s="176"/>
      <c r="Q84" s="176"/>
      <c r="R84" s="176"/>
      <c r="S84" s="176"/>
      <c r="T84" s="176"/>
      <c r="U84" s="176"/>
      <c r="V84" s="176"/>
      <c r="W84" s="176"/>
      <c r="X84" s="176"/>
      <c r="Y84" s="176"/>
      <c r="Z84" s="190"/>
      <c r="AA84" s="176"/>
      <c r="AB84" s="176"/>
      <c r="AC84" s="176"/>
      <c r="AD84" s="176"/>
      <c r="AE84" s="176"/>
      <c r="AF84" s="168" t="str">
        <f aca="false">A84</f>
        <v>Vacation</v>
      </c>
      <c r="AG84" s="184"/>
      <c r="AH84" s="207" t="n">
        <f aca="false">SUM(B84:AE84)</f>
        <v>0</v>
      </c>
      <c r="AI84" s="33"/>
      <c r="AJ84" s="216" t="n">
        <f aca="true">OFFSET(EB.MFAStd.Knoten,MONTH(Monat.Tag1),0,1,1)</f>
        <v>0.583333333333333</v>
      </c>
      <c r="AK84" s="216" t="n">
        <f aca="false">IF(EB.Anwendung&lt;&gt;"",IF(MONTH(Monat.Tag1)=1,EB.FerienBer,IF(MONTH(Monat.Tag1)=2,January!Monat.FerienUeVM,IF(MONTH(Monat.Tag1)=3,February!Monat.FerienUeVM,IF(MONTH(Monat.Tag1)=4,March!Monat.FerienUeVM,IF(MONTH(Monat.Tag1)=5,April!Monat.FerienUeVM,IF(MONTH(Monat.Tag1)=6,May!Monat.FerienUeVM,IF(MONTH(Monat.Tag1)=7,June!Monat.FerienUeVM,IF(MONTH(Monat.Tag1)=8,July!Monat.FerienUeVM,IF(MONTH(Monat.Tag1)=9,August!Monat.FerienUeVM,IF(MONTH(Monat.Tag1)=10,Monat.FerienUeVM,IF(MONTH(Monat.Tag1)=11,October!Monat.FerienUeVM,IF(MONTH(Monat.Tag1)=12,November!Monat.FerienUeVM,"")))))))))))),"")</f>
        <v>2.91666666666667</v>
      </c>
      <c r="AL84" s="172"/>
      <c r="AM84" s="217" t="n">
        <f aca="false">IF(AG85="+",(AJ84+AK84-Monat.Ferien.Total+AH85),(AJ84+AK84-Monat.Ferien.Total-AH85))</f>
        <v>3.5</v>
      </c>
      <c r="AN84" s="217" t="n">
        <f aca="true">SUM(Jahresabrechnung!AC12:AC13)-SUM(OFFSET(Jahresabrechnung!AC15,0,0,MONTH(Monat.Tag1),1))</f>
        <v>5.25</v>
      </c>
      <c r="AO84" s="217" t="n">
        <f aca="false">J.FerienUE.Total</f>
        <v>5.25</v>
      </c>
      <c r="AP84" s="39"/>
    </row>
    <row r="85" s="148" customFormat="true" ht="15" hidden="false" customHeight="true" outlineLevel="0" collapsed="false">
      <c r="A85" s="186"/>
      <c r="B85" s="191"/>
      <c r="C85" s="191"/>
      <c r="D85" s="191"/>
      <c r="E85" s="191"/>
      <c r="F85" s="191"/>
      <c r="G85" s="191"/>
      <c r="H85" s="191"/>
      <c r="I85" s="191"/>
      <c r="J85" s="191"/>
      <c r="K85" s="191"/>
      <c r="L85" s="191"/>
      <c r="M85" s="191"/>
      <c r="N85" s="191"/>
      <c r="O85" s="191"/>
      <c r="P85" s="191"/>
      <c r="Q85" s="191"/>
      <c r="R85" s="191"/>
      <c r="S85" s="191"/>
      <c r="T85" s="191"/>
      <c r="U85" s="191"/>
      <c r="V85" s="191"/>
      <c r="W85" s="191"/>
      <c r="X85" s="191"/>
      <c r="Y85" s="191"/>
      <c r="Z85" s="191"/>
      <c r="AA85" s="191"/>
      <c r="AB85" s="191"/>
      <c r="AC85" s="191"/>
      <c r="AD85" s="191"/>
      <c r="AE85" s="191"/>
      <c r="AF85" s="175" t="s">
        <v>167</v>
      </c>
      <c r="AG85" s="244" t="s">
        <v>146</v>
      </c>
      <c r="AH85" s="260"/>
      <c r="AI85" s="246"/>
      <c r="AJ85" s="172"/>
      <c r="AK85" s="172"/>
      <c r="AL85" s="172"/>
      <c r="AM85" s="171"/>
      <c r="AN85" s="261"/>
      <c r="AO85" s="261"/>
      <c r="AP85" s="39"/>
    </row>
    <row r="86" s="148" customFormat="true" ht="15" hidden="false" customHeight="true" outlineLevel="0" collapsed="false">
      <c r="A86" s="175" t="s">
        <v>168</v>
      </c>
      <c r="B86" s="176"/>
      <c r="C86" s="176"/>
      <c r="D86" s="176"/>
      <c r="E86" s="177"/>
      <c r="F86" s="176"/>
      <c r="G86" s="176"/>
      <c r="H86" s="176"/>
      <c r="I86" s="176"/>
      <c r="J86" s="177"/>
      <c r="K86" s="176"/>
      <c r="L86" s="177"/>
      <c r="M86" s="176"/>
      <c r="N86" s="176"/>
      <c r="O86" s="176"/>
      <c r="P86" s="176"/>
      <c r="Q86" s="177"/>
      <c r="R86" s="176"/>
      <c r="S86" s="177"/>
      <c r="T86" s="177"/>
      <c r="U86" s="176"/>
      <c r="V86" s="176"/>
      <c r="W86" s="176"/>
      <c r="X86" s="177"/>
      <c r="Y86" s="176"/>
      <c r="Z86" s="178"/>
      <c r="AA86" s="176"/>
      <c r="AB86" s="176"/>
      <c r="AC86" s="176"/>
      <c r="AD86" s="176"/>
      <c r="AE86" s="177"/>
      <c r="AF86" s="168" t="str">
        <f aca="false">A86</f>
        <v>Consultation</v>
      </c>
      <c r="AG86" s="184"/>
      <c r="AH86" s="207" t="n">
        <f aca="false">SUM(B86:AE86)</f>
        <v>0</v>
      </c>
      <c r="AI86" s="33"/>
      <c r="AJ86" s="235"/>
      <c r="AK86" s="216" t="n">
        <f aca="false">IF(EB.Anwendung&lt;&gt;"",IF(MONTH(Monat.Tag1)=1,0,IF(MONTH(Monat.Tag1)=2,January!Monat.ArztUeVM,IF(MONTH(Monat.Tag1)=3,February!Monat.ArztUeVM,IF(MONTH(Monat.Tag1)=4,March!Monat.ArztUeVM,IF(MONTH(Monat.Tag1)=5,April!Monat.ArztUeVM,IF(MONTH(Monat.Tag1)=6,May!Monat.ArztUeVM,IF(MONTH(Monat.Tag1)=7,June!Monat.ArztUeVM,IF(MONTH(Monat.Tag1)=8,July!Monat.ArztUeVM,IF(MONTH(Monat.Tag1)=9,August!Monat.ArztUeVM,IF(MONTH(Monat.Tag1)=10,Monat.ArztUeVM,IF(MONTH(Monat.Tag1)=11,October!Monat.ArztUeVM,IF(MONTH(Monat.Tag1)=12,November!Monat.ArztUeVM,"")))))))))))),"")</f>
        <v>0</v>
      </c>
      <c r="AL86" s="172"/>
      <c r="AM86" s="217" t="n">
        <f aca="false">AH86+AK86</f>
        <v>0</v>
      </c>
      <c r="AN86" s="171"/>
      <c r="AO86" s="171"/>
      <c r="AP86" s="39"/>
    </row>
    <row r="87" s="148" customFormat="true" ht="15" hidden="false" customHeight="true" outlineLevel="0" collapsed="false">
      <c r="A87" s="175" t="s">
        <v>169</v>
      </c>
      <c r="B87" s="176"/>
      <c r="C87" s="176"/>
      <c r="D87" s="176"/>
      <c r="E87" s="177"/>
      <c r="F87" s="176"/>
      <c r="G87" s="176"/>
      <c r="H87" s="176"/>
      <c r="I87" s="176"/>
      <c r="J87" s="177"/>
      <c r="K87" s="176"/>
      <c r="L87" s="177"/>
      <c r="M87" s="176"/>
      <c r="N87" s="176"/>
      <c r="O87" s="176"/>
      <c r="P87" s="176"/>
      <c r="Q87" s="177"/>
      <c r="R87" s="176"/>
      <c r="S87" s="177"/>
      <c r="T87" s="177"/>
      <c r="U87" s="176"/>
      <c r="V87" s="176"/>
      <c r="W87" s="176"/>
      <c r="X87" s="177"/>
      <c r="Y87" s="176"/>
      <c r="Z87" s="178"/>
      <c r="AA87" s="176"/>
      <c r="AB87" s="176"/>
      <c r="AC87" s="176"/>
      <c r="AD87" s="176"/>
      <c r="AE87" s="177"/>
      <c r="AF87" s="168" t="str">
        <f aca="false">A87</f>
        <v>Illness</v>
      </c>
      <c r="AG87" s="184"/>
      <c r="AH87" s="207" t="n">
        <f aca="false">SUM(B87:AE87)</f>
        <v>0</v>
      </c>
      <c r="AI87" s="33"/>
      <c r="AJ87" s="235"/>
      <c r="AK87" s="216" t="n">
        <f aca="false">IF(EB.Anwendung&lt;&gt;"",IF(MONTH(Monat.Tag1)=1,0,IF(MONTH(Monat.Tag1)=2,January!Monat.KrankUeVM,IF(MONTH(Monat.Tag1)=3,February!Monat.KrankUeVM,IF(MONTH(Monat.Tag1)=4,March!Monat.KrankUeVM,IF(MONTH(Monat.Tag1)=5,April!Monat.KrankUeVM,IF(MONTH(Monat.Tag1)=6,May!Monat.KrankUeVM,IF(MONTH(Monat.Tag1)=7,June!Monat.KrankUeVM,IF(MONTH(Monat.Tag1)=8,July!Monat.KrankUeVM,IF(MONTH(Monat.Tag1)=9,August!Monat.KrankUeVM,IF(MONTH(Monat.Tag1)=10,Monat.KrankUeVM,IF(MONTH(Monat.Tag1)=11,October!Monat.KrankUeVM,IF(MONTH(Monat.Tag1)=12,November!Monat.KrankUeVM,"")))))))))))),"")</f>
        <v>0</v>
      </c>
      <c r="AL87" s="172"/>
      <c r="AM87" s="217" t="n">
        <f aca="false">AH87+AK87</f>
        <v>0</v>
      </c>
      <c r="AN87" s="171"/>
      <c r="AO87" s="171"/>
      <c r="AP87" s="39"/>
    </row>
    <row r="88" s="148" customFormat="true" ht="15" hidden="false" customHeight="true" outlineLevel="0" collapsed="false">
      <c r="A88" s="175" t="s">
        <v>170</v>
      </c>
      <c r="B88" s="176"/>
      <c r="C88" s="176"/>
      <c r="D88" s="176"/>
      <c r="E88" s="177"/>
      <c r="F88" s="176"/>
      <c r="G88" s="176"/>
      <c r="H88" s="176"/>
      <c r="I88" s="176"/>
      <c r="J88" s="177"/>
      <c r="K88" s="176"/>
      <c r="L88" s="177"/>
      <c r="M88" s="176"/>
      <c r="N88" s="176"/>
      <c r="O88" s="176"/>
      <c r="P88" s="176"/>
      <c r="Q88" s="177"/>
      <c r="R88" s="176"/>
      <c r="S88" s="177"/>
      <c r="T88" s="177"/>
      <c r="U88" s="176"/>
      <c r="V88" s="176"/>
      <c r="W88" s="176"/>
      <c r="X88" s="177"/>
      <c r="Y88" s="176"/>
      <c r="Z88" s="178"/>
      <c r="AA88" s="176"/>
      <c r="AB88" s="176"/>
      <c r="AC88" s="176"/>
      <c r="AD88" s="176"/>
      <c r="AE88" s="177"/>
      <c r="AF88" s="168" t="str">
        <f aca="false">A88</f>
        <v>Work-related accident</v>
      </c>
      <c r="AG88" s="184"/>
      <c r="AH88" s="207" t="n">
        <f aca="false">SUM(B88:AE88)</f>
        <v>0</v>
      </c>
      <c r="AI88" s="33"/>
      <c r="AJ88" s="235"/>
      <c r="AK88" s="216" t="n">
        <f aca="false">IF(EB.Anwendung&lt;&gt;"",IF(MONTH(Monat.Tag1)=1,0,IF(MONTH(Monat.Tag1)=2,January!Monat.BUUeVM,IF(MONTH(Monat.Tag1)=3,February!Monat.BUUeVM,IF(MONTH(Monat.Tag1)=4,March!Monat.BUUeVM,IF(MONTH(Monat.Tag1)=5,April!Monat.BUUeVM,IF(MONTH(Monat.Tag1)=6,May!Monat.BUUeVM,IF(MONTH(Monat.Tag1)=7,June!Monat.BUUeVM,IF(MONTH(Monat.Tag1)=8,July!Monat.BUUeVM,IF(MONTH(Monat.Tag1)=9,August!Monat.BUUeVM,IF(MONTH(Monat.Tag1)=10,Monat.BUUeVM,IF(MONTH(Monat.Tag1)=11,October!Monat.BUUeVM,IF(MONTH(Monat.Tag1)=12,November!Monat.BUUeVM,"")))))))))))),"")</f>
        <v>0</v>
      </c>
      <c r="AL88" s="172"/>
      <c r="AM88" s="217" t="n">
        <f aca="false">AH88+AK88</f>
        <v>0</v>
      </c>
      <c r="AN88" s="171"/>
      <c r="AO88" s="171"/>
      <c r="AP88" s="39"/>
    </row>
    <row r="89" s="148" customFormat="true" ht="15" hidden="false" customHeight="true" outlineLevel="0" collapsed="false">
      <c r="A89" s="175" t="s">
        <v>171</v>
      </c>
      <c r="B89" s="176"/>
      <c r="C89" s="176"/>
      <c r="D89" s="176"/>
      <c r="E89" s="177"/>
      <c r="F89" s="176"/>
      <c r="G89" s="176"/>
      <c r="H89" s="176"/>
      <c r="I89" s="176"/>
      <c r="J89" s="177"/>
      <c r="K89" s="176"/>
      <c r="L89" s="177"/>
      <c r="M89" s="176"/>
      <c r="N89" s="176"/>
      <c r="O89" s="176"/>
      <c r="P89" s="176"/>
      <c r="Q89" s="177"/>
      <c r="R89" s="176"/>
      <c r="S89" s="177"/>
      <c r="T89" s="177"/>
      <c r="U89" s="176"/>
      <c r="V89" s="176"/>
      <c r="W89" s="176"/>
      <c r="X89" s="177"/>
      <c r="Y89" s="176"/>
      <c r="Z89" s="178"/>
      <c r="AA89" s="176"/>
      <c r="AB89" s="176"/>
      <c r="AC89" s="176"/>
      <c r="AD89" s="176"/>
      <c r="AE89" s="177"/>
      <c r="AF89" s="168" t="str">
        <f aca="false">A89</f>
        <v>Non-work-related accident</v>
      </c>
      <c r="AG89" s="184"/>
      <c r="AH89" s="207" t="n">
        <f aca="false">SUM(B89:AE89)</f>
        <v>0</v>
      </c>
      <c r="AI89" s="33"/>
      <c r="AJ89" s="235"/>
      <c r="AK89" s="216" t="n">
        <f aca="false">IF(EB.Anwendung&lt;&gt;"",IF(MONTH(Monat.Tag1)=1,0,IF(MONTH(Monat.Tag1)=2,January!Monat.NBUUeVM,IF(MONTH(Monat.Tag1)=3,February!Monat.NBUUeVM,IF(MONTH(Monat.Tag1)=4,March!Monat.NBUUeVM,IF(MONTH(Monat.Tag1)=5,April!Monat.NBUUeVM,IF(MONTH(Monat.Tag1)=6,May!Monat.NBUUeVM,IF(MONTH(Monat.Tag1)=7,June!Monat.NBUUeVM,IF(MONTH(Monat.Tag1)=8,July!Monat.NBUUeVM,IF(MONTH(Monat.Tag1)=9,August!Monat.NBUUeVM,IF(MONTH(Monat.Tag1)=10,Monat.NBUUeVM,IF(MONTH(Monat.Tag1)=11,October!Monat.NBUUeVM,IF(MONTH(Monat.Tag1)=12,November!Monat.NBUUeVM,"")))))))))))),"")</f>
        <v>0</v>
      </c>
      <c r="AL89" s="172"/>
      <c r="AM89" s="217" t="n">
        <f aca="false">AH89+AK89</f>
        <v>0</v>
      </c>
      <c r="AN89" s="171"/>
      <c r="AO89" s="171"/>
      <c r="AP89" s="39"/>
    </row>
    <row r="90" s="148" customFormat="true" ht="15" hidden="false" customHeight="true" outlineLevel="0" collapsed="false">
      <c r="A90" s="175" t="s">
        <v>172</v>
      </c>
      <c r="B90" s="176"/>
      <c r="C90" s="176"/>
      <c r="D90" s="176"/>
      <c r="E90" s="177"/>
      <c r="F90" s="176"/>
      <c r="G90" s="176"/>
      <c r="H90" s="176"/>
      <c r="I90" s="176"/>
      <c r="J90" s="177"/>
      <c r="K90" s="176"/>
      <c r="L90" s="177"/>
      <c r="M90" s="176"/>
      <c r="N90" s="176"/>
      <c r="O90" s="176"/>
      <c r="P90" s="176"/>
      <c r="Q90" s="177"/>
      <c r="R90" s="176"/>
      <c r="S90" s="177"/>
      <c r="T90" s="177"/>
      <c r="U90" s="176"/>
      <c r="V90" s="176"/>
      <c r="W90" s="176"/>
      <c r="X90" s="177"/>
      <c r="Y90" s="176"/>
      <c r="Z90" s="178"/>
      <c r="AA90" s="176"/>
      <c r="AB90" s="176"/>
      <c r="AC90" s="176"/>
      <c r="AD90" s="176"/>
      <c r="AE90" s="177"/>
      <c r="AF90" s="168" t="str">
        <f aca="false">A90</f>
        <v>Military/civilian service</v>
      </c>
      <c r="AG90" s="184"/>
      <c r="AH90" s="207" t="n">
        <f aca="false">SUM(B90:AE90)</f>
        <v>0</v>
      </c>
      <c r="AI90" s="33"/>
      <c r="AJ90" s="235"/>
      <c r="AK90" s="216" t="n">
        <f aca="false">IF(EB.Anwendung&lt;&gt;"",IF(MONTH(Monat.Tag1)=1,0,IF(MONTH(Monat.Tag1)=2,January!Monat.MZSUeVM,IF(MONTH(Monat.Tag1)=3,February!Monat.MZSUeVM,IF(MONTH(Monat.Tag1)=4,March!Monat.MZSUeVM,IF(MONTH(Monat.Tag1)=5,April!Monat.MZSUeVM,IF(MONTH(Monat.Tag1)=6,May!Monat.MZSUeVM,IF(MONTH(Monat.Tag1)=7,June!Monat.MZSUeVM,IF(MONTH(Monat.Tag1)=8,July!Monat.MZSUeVM,IF(MONTH(Monat.Tag1)=9,August!Monat.MZSUeVM,IF(MONTH(Monat.Tag1)=10,Monat.MZSUeVM,IF(MONTH(Monat.Tag1)=11,October!Monat.MZSUeVM,IF(MONTH(Monat.Tag1)=12,November!Monat.MZSUeVM,"")))))))))))),"")</f>
        <v>0</v>
      </c>
      <c r="AL90" s="172"/>
      <c r="AM90" s="217" t="n">
        <f aca="false">AH90+AK90</f>
        <v>0</v>
      </c>
      <c r="AN90" s="171"/>
      <c r="AO90" s="171"/>
      <c r="AP90" s="39"/>
    </row>
    <row r="91" s="148" customFormat="true" ht="15" hidden="false" customHeight="true" outlineLevel="0" collapsed="false">
      <c r="A91" s="175" t="s">
        <v>173</v>
      </c>
      <c r="B91" s="176"/>
      <c r="C91" s="176"/>
      <c r="D91" s="176"/>
      <c r="E91" s="177"/>
      <c r="F91" s="176"/>
      <c r="G91" s="176"/>
      <c r="H91" s="176"/>
      <c r="I91" s="176"/>
      <c r="J91" s="177"/>
      <c r="K91" s="176"/>
      <c r="L91" s="177"/>
      <c r="M91" s="176"/>
      <c r="N91" s="176"/>
      <c r="O91" s="176"/>
      <c r="P91" s="176"/>
      <c r="Q91" s="177"/>
      <c r="R91" s="176"/>
      <c r="S91" s="177"/>
      <c r="T91" s="177"/>
      <c r="U91" s="176"/>
      <c r="V91" s="176"/>
      <c r="W91" s="176"/>
      <c r="X91" s="177"/>
      <c r="Y91" s="176"/>
      <c r="Z91" s="178"/>
      <c r="AA91" s="176"/>
      <c r="AB91" s="176"/>
      <c r="AC91" s="176"/>
      <c r="AD91" s="176"/>
      <c r="AE91" s="177"/>
      <c r="AF91" s="168" t="str">
        <f aca="false">A91</f>
        <v>Continuing education</v>
      </c>
      <c r="AG91" s="184"/>
      <c r="AH91" s="207" t="n">
        <f aca="false">SUM(B91:AE91)</f>
        <v>0</v>
      </c>
      <c r="AI91" s="33"/>
      <c r="AJ91" s="235"/>
      <c r="AK91" s="216" t="n">
        <f aca="false">IF(EB.Anwendung&lt;&gt;"",IF(MONTH(Monat.Tag1)=1,0,IF(MONTH(Monat.Tag1)=2,January!Monat.WBUeVM,IF(MONTH(Monat.Tag1)=3,February!Monat.WBUeVM,IF(MONTH(Monat.Tag1)=4,March!Monat.WBUeVM,IF(MONTH(Monat.Tag1)=5,April!Monat.WBUeVM,IF(MONTH(Monat.Tag1)=6,May!Monat.WBUeVM,IF(MONTH(Monat.Tag1)=7,June!Monat.WBUeVM,IF(MONTH(Monat.Tag1)=8,July!Monat.WBUeVM,IF(MONTH(Monat.Tag1)=9,August!Monat.WBUeVM,IF(MONTH(Monat.Tag1)=10,Monat.WBUeVM,IF(MONTH(Monat.Tag1)=11,October!Monat.WBUeVM,IF(MONTH(Monat.Tag1)=12,November!Monat.WBUeVM,"")))))))))))),"")</f>
        <v>0</v>
      </c>
      <c r="AL91" s="172"/>
      <c r="AM91" s="217" t="n">
        <f aca="false">AH91+AK91</f>
        <v>0</v>
      </c>
      <c r="AN91" s="171"/>
      <c r="AO91" s="171"/>
      <c r="AP91" s="39"/>
    </row>
    <row r="92" s="148" customFormat="true" ht="15" hidden="false" customHeight="true" outlineLevel="0" collapsed="false">
      <c r="A92" s="175" t="s">
        <v>174</v>
      </c>
      <c r="B92" s="176"/>
      <c r="C92" s="176"/>
      <c r="D92" s="176"/>
      <c r="E92" s="177"/>
      <c r="F92" s="176"/>
      <c r="G92" s="176"/>
      <c r="H92" s="176"/>
      <c r="I92" s="176"/>
      <c r="J92" s="177"/>
      <c r="K92" s="176"/>
      <c r="L92" s="177"/>
      <c r="M92" s="176"/>
      <c r="N92" s="176"/>
      <c r="O92" s="176"/>
      <c r="P92" s="176"/>
      <c r="Q92" s="177"/>
      <c r="R92" s="176"/>
      <c r="S92" s="177"/>
      <c r="T92" s="177"/>
      <c r="U92" s="176"/>
      <c r="V92" s="176"/>
      <c r="W92" s="176"/>
      <c r="X92" s="177"/>
      <c r="Y92" s="176"/>
      <c r="Z92" s="178"/>
      <c r="AA92" s="176"/>
      <c r="AB92" s="176"/>
      <c r="AC92" s="176"/>
      <c r="AD92" s="176"/>
      <c r="AE92" s="177"/>
      <c r="AF92" s="168" t="str">
        <f aca="false">A92</f>
        <v>Paid leave</v>
      </c>
      <c r="AG92" s="184"/>
      <c r="AH92" s="207" t="n">
        <f aca="false">SUM(B92:AE92)</f>
        <v>0</v>
      </c>
      <c r="AI92" s="33"/>
      <c r="AJ92" s="235"/>
      <c r="AK92" s="216" t="n">
        <f aca="false">IF(EB.Anwendung&lt;&gt;"",IF(MONTH(Monat.Tag1)=1,0,IF(MONTH(Monat.Tag1)=2,January!Monat.BesUrlaubUeVM,IF(MONTH(Monat.Tag1)=3,February!Monat.BesUrlaubUeVM,IF(MONTH(Monat.Tag1)=4,March!Monat.BesUrlaubUeVM,IF(MONTH(Monat.Tag1)=5,April!Monat.BesUrlaubUeVM,IF(MONTH(Monat.Tag1)=6,May!Monat.BesUrlaubUeVM,IF(MONTH(Monat.Tag1)=7,June!Monat.BesUrlaubUeVM,IF(MONTH(Monat.Tag1)=8,July!Monat.BesUrlaubUeVM,IF(MONTH(Monat.Tag1)=9,August!Monat.BesUrlaubUeVM,IF(MONTH(Monat.Tag1)=10,Monat.BesUrlaubUeVM,IF(MONTH(Monat.Tag1)=11,October!Monat.BesUrlaubUeVM,IF(MONTH(Monat.Tag1)=12,November!Monat.BesUrlaubUeVM,"")))))))))))),"")</f>
        <v>0</v>
      </c>
      <c r="AL92" s="172"/>
      <c r="AM92" s="217" t="n">
        <f aca="false">AH92+AK92</f>
        <v>0</v>
      </c>
      <c r="AN92" s="171"/>
      <c r="AO92" s="171"/>
      <c r="AP92" s="39"/>
    </row>
    <row r="93" s="148" customFormat="true" ht="15" hidden="false" customHeight="true" outlineLevel="0" collapsed="false">
      <c r="A93" s="175" t="s">
        <v>175</v>
      </c>
      <c r="B93" s="176"/>
      <c r="C93" s="176"/>
      <c r="D93" s="176"/>
      <c r="E93" s="177"/>
      <c r="F93" s="176"/>
      <c r="G93" s="176"/>
      <c r="H93" s="176"/>
      <c r="I93" s="176"/>
      <c r="J93" s="177"/>
      <c r="K93" s="176"/>
      <c r="L93" s="177"/>
      <c r="M93" s="176"/>
      <c r="N93" s="176"/>
      <c r="O93" s="176"/>
      <c r="P93" s="176"/>
      <c r="Q93" s="177"/>
      <c r="R93" s="176"/>
      <c r="S93" s="177"/>
      <c r="T93" s="177"/>
      <c r="U93" s="176"/>
      <c r="V93" s="176"/>
      <c r="W93" s="176"/>
      <c r="X93" s="177"/>
      <c r="Y93" s="176"/>
      <c r="Z93" s="178"/>
      <c r="AA93" s="176"/>
      <c r="AB93" s="176"/>
      <c r="AC93" s="176"/>
      <c r="AD93" s="176"/>
      <c r="AE93" s="177"/>
      <c r="AF93" s="168" t="str">
        <f aca="false">A93</f>
        <v>Unpaid leave</v>
      </c>
      <c r="AG93" s="184"/>
      <c r="AH93" s="207" t="n">
        <f aca="false">SUM(B93:AE93)</f>
        <v>0</v>
      </c>
      <c r="AI93" s="33"/>
      <c r="AJ93" s="235"/>
      <c r="AK93" s="216" t="n">
        <f aca="false">IF(EB.Anwendung&lt;&gt;"",IF(MONTH(Monat.Tag1)=1,0,IF(MONTH(Monat.Tag1)=2,January!Monat.UnbesUrlaubUeVM,IF(MONTH(Monat.Tag1)=3,February!Monat.UnbesUrlaubUeVM,IF(MONTH(Monat.Tag1)=4,March!Monat.UnbesUrlaubUeVM,IF(MONTH(Monat.Tag1)=5,April!Monat.UnbesUrlaubUeVM,IF(MONTH(Monat.Tag1)=6,May!Monat.UnbesUrlaubUeVM,IF(MONTH(Monat.Tag1)=7,June!Monat.UnbesUrlaubUeVM,IF(MONTH(Monat.Tag1)=8,July!Monat.UnbesUrlaubUeVM,IF(MONTH(Monat.Tag1)=9,August!Monat.UnbesUrlaubUeVM,IF(MONTH(Monat.Tag1)=10,Monat.UnbesUrlaubUeVM,IF(MONTH(Monat.Tag1)=11,October!Monat.UnbesUrlaubUeVM,IF(MONTH(Monat.Tag1)=12,November!Monat.UnbesUrlaubUeVM,"")))))))))))),"")</f>
        <v>0</v>
      </c>
      <c r="AL93" s="172"/>
      <c r="AM93" s="217" t="n">
        <f aca="false">AH93+AK93</f>
        <v>0</v>
      </c>
      <c r="AN93" s="171"/>
      <c r="AO93" s="171"/>
      <c r="AP93" s="39"/>
    </row>
    <row r="94" s="148" customFormat="true" ht="15" hidden="true" customHeight="true" outlineLevel="1" collapsed="false">
      <c r="A94" s="175" t="s">
        <v>176</v>
      </c>
      <c r="B94" s="176"/>
      <c r="C94" s="176"/>
      <c r="D94" s="176"/>
      <c r="E94" s="177"/>
      <c r="F94" s="176"/>
      <c r="G94" s="176"/>
      <c r="H94" s="176"/>
      <c r="I94" s="176"/>
      <c r="J94" s="177"/>
      <c r="K94" s="176"/>
      <c r="L94" s="177"/>
      <c r="M94" s="176"/>
      <c r="N94" s="176"/>
      <c r="O94" s="176"/>
      <c r="P94" s="176"/>
      <c r="Q94" s="177"/>
      <c r="R94" s="176"/>
      <c r="S94" s="177"/>
      <c r="T94" s="177"/>
      <c r="U94" s="176"/>
      <c r="V94" s="176"/>
      <c r="W94" s="176"/>
      <c r="X94" s="177"/>
      <c r="Y94" s="176"/>
      <c r="Z94" s="178"/>
      <c r="AA94" s="176"/>
      <c r="AB94" s="176"/>
      <c r="AC94" s="176"/>
      <c r="AD94" s="176"/>
      <c r="AE94" s="177"/>
      <c r="AF94" s="168" t="str">
        <f aca="false">A94</f>
        <v>Secondary employment</v>
      </c>
      <c r="AG94" s="184"/>
      <c r="AH94" s="207" t="n">
        <f aca="false">SUM(B94:AE94)</f>
        <v>0</v>
      </c>
      <c r="AI94" s="33"/>
      <c r="AJ94" s="235"/>
      <c r="AK94" s="216" t="n">
        <f aca="false">IF(EB.Anwendung&lt;&gt;"",IF(MONTH(Monat.Tag1)=1,0,IF(MONTH(Monat.Tag1)=2,January!Monat.NBUeVM,IF(MONTH(Monat.Tag1)=3,February!Monat.NBUeVM,IF(MONTH(Monat.Tag1)=4,March!Monat.NBUeVM,IF(MONTH(Monat.Tag1)=5,April!Monat.NBUeVM,IF(MONTH(Monat.Tag1)=6,May!Monat.NBUeVM,IF(MONTH(Monat.Tag1)=7,June!Monat.NBUeVM,IF(MONTH(Monat.Tag1)=8,July!Monat.NBUeVM,IF(MONTH(Monat.Tag1)=9,August!Monat.NBUeVM,IF(MONTH(Monat.Tag1)=10,Monat.NBUeVM,IF(MONTH(Monat.Tag1)=11,October!Monat.NBUeVM,IF(MONTH(Monat.Tag1)=12,November!Monat.NBUeVM,"")))))))))))),"")</f>
        <v>0</v>
      </c>
      <c r="AL94" s="172"/>
      <c r="AM94" s="217" t="n">
        <f aca="false">AH94+AK94</f>
        <v>0</v>
      </c>
      <c r="AN94" s="171"/>
      <c r="AO94" s="171"/>
      <c r="AP94" s="39"/>
    </row>
    <row r="95" s="148" customFormat="true" ht="15" hidden="false" customHeight="true" outlineLevel="0" collapsed="false">
      <c r="A95" s="175" t="s">
        <v>86</v>
      </c>
      <c r="B95" s="176"/>
      <c r="C95" s="176"/>
      <c r="D95" s="176"/>
      <c r="E95" s="177"/>
      <c r="F95" s="176"/>
      <c r="G95" s="176"/>
      <c r="H95" s="176"/>
      <c r="I95" s="176"/>
      <c r="J95" s="177"/>
      <c r="K95" s="176"/>
      <c r="L95" s="177"/>
      <c r="M95" s="176"/>
      <c r="N95" s="176"/>
      <c r="O95" s="176"/>
      <c r="P95" s="176"/>
      <c r="Q95" s="177"/>
      <c r="R95" s="176"/>
      <c r="S95" s="177"/>
      <c r="T95" s="177"/>
      <c r="U95" s="176"/>
      <c r="V95" s="176"/>
      <c r="W95" s="176"/>
      <c r="X95" s="177"/>
      <c r="Y95" s="176"/>
      <c r="Z95" s="178"/>
      <c r="AA95" s="176"/>
      <c r="AB95" s="176"/>
      <c r="AC95" s="176"/>
      <c r="AD95" s="176"/>
      <c r="AE95" s="177"/>
      <c r="AF95" s="168" t="str">
        <f aca="false">A95</f>
        <v>Seniority allowance</v>
      </c>
      <c r="AG95" s="184"/>
      <c r="AH95" s="207" t="n">
        <f aca="false">SUM(B95:AE95)</f>
        <v>0</v>
      </c>
      <c r="AI95" s="33"/>
      <c r="AJ95" s="235"/>
      <c r="AK95" s="216" t="n">
        <f aca="false">IF(EB.Anwendung&lt;&gt;"",IF(MONTH(Monat.Tag1)=1,EB.DAG,IF(MONTH(Monat.Tag1)=2,January!Monat.DAGUeVM,IF(MONTH(Monat.Tag1)=3,February!Monat.DAGUeVM,IF(MONTH(Monat.Tag1)=4,March!Monat.DAGUeVM,IF(MONTH(Monat.Tag1)=5,April!Monat.DAGUeVM,IF(MONTH(Monat.Tag1)=6,May!Monat.DAGUeVM,IF(MONTH(Monat.Tag1)=7,June!Monat.DAGUeVM,IF(MONTH(Monat.Tag1)=8,July!Monat.DAGUeVM,IF(MONTH(Monat.Tag1)=9,August!Monat.DAGUeVM,IF(MONTH(Monat.Tag1)=10,Monat.DAGUeVM,IF(MONTH(Monat.Tag1)=11,October!Monat.DAGUeVM,IF(MONTH(Monat.Tag1)=12,November!Monat.DAGUeVM,"")))))))))))),"")</f>
        <v>0</v>
      </c>
      <c r="AL95" s="172"/>
      <c r="AM95" s="217" t="n">
        <f aca="false">AK95-AH95</f>
        <v>0</v>
      </c>
      <c r="AN95" s="171"/>
      <c r="AO95" s="171"/>
      <c r="AP95" s="39"/>
    </row>
    <row r="96" s="148" customFormat="true" ht="11.25" hidden="false" customHeight="true" outlineLevel="0" collapsed="false">
      <c r="A96" s="186"/>
      <c r="B96" s="191"/>
      <c r="C96" s="191"/>
      <c r="D96" s="191"/>
      <c r="E96" s="191"/>
      <c r="F96" s="191"/>
      <c r="G96" s="191"/>
      <c r="H96" s="191"/>
      <c r="I96" s="191"/>
      <c r="J96" s="191"/>
      <c r="K96" s="191"/>
      <c r="L96" s="191"/>
      <c r="M96" s="191"/>
      <c r="N96" s="191"/>
      <c r="O96" s="191"/>
      <c r="P96" s="191"/>
      <c r="Q96" s="191"/>
      <c r="R96" s="191"/>
      <c r="S96" s="191"/>
      <c r="T96" s="191"/>
      <c r="U96" s="191"/>
      <c r="V96" s="191"/>
      <c r="W96" s="191"/>
      <c r="X96" s="191"/>
      <c r="Y96" s="191"/>
      <c r="Z96" s="191"/>
      <c r="AA96" s="191"/>
      <c r="AB96" s="191"/>
      <c r="AC96" s="191"/>
      <c r="AD96" s="191"/>
      <c r="AE96" s="191"/>
      <c r="AF96" s="168"/>
      <c r="AG96" s="197"/>
      <c r="AH96" s="192"/>
      <c r="AI96" s="27"/>
      <c r="AJ96" s="235"/>
      <c r="AK96" s="235"/>
      <c r="AL96" s="172"/>
      <c r="AM96" s="254"/>
      <c r="AN96" s="179"/>
      <c r="AO96" s="179"/>
      <c r="AP96" s="39"/>
    </row>
    <row r="97" s="148" customFormat="true" ht="15" hidden="false" customHeight="true" outlineLevel="0" collapsed="false">
      <c r="A97" s="181" t="str">
        <f aca="true">IF(ROW(A97)-ROW(INDEX(Monat.Projekte.Zeilen,1))+1&gt;EB.AnzProjekte,"",OFFSET(EB.Projekte.Knoten,ROW(A97)-ROW(INDEX(Monat.Projekte.Zeilen,1))+1,0,1,1))</f>
        <v/>
      </c>
      <c r="B97" s="176"/>
      <c r="C97" s="176"/>
      <c r="D97" s="176"/>
      <c r="E97" s="177"/>
      <c r="F97" s="176"/>
      <c r="G97" s="176"/>
      <c r="H97" s="176"/>
      <c r="I97" s="176"/>
      <c r="J97" s="177"/>
      <c r="K97" s="176"/>
      <c r="L97" s="177"/>
      <c r="M97" s="176"/>
      <c r="N97" s="176"/>
      <c r="O97" s="176"/>
      <c r="P97" s="176"/>
      <c r="Q97" s="177"/>
      <c r="R97" s="176"/>
      <c r="S97" s="177"/>
      <c r="T97" s="177"/>
      <c r="U97" s="176"/>
      <c r="V97" s="176"/>
      <c r="W97" s="176"/>
      <c r="X97" s="177"/>
      <c r="Y97" s="176"/>
      <c r="Z97" s="178"/>
      <c r="AA97" s="176"/>
      <c r="AB97" s="176"/>
      <c r="AC97" s="176"/>
      <c r="AD97" s="176"/>
      <c r="AE97" s="177"/>
      <c r="AF97" s="168" t="str">
        <f aca="false">A97</f>
        <v/>
      </c>
      <c r="AG97" s="202"/>
      <c r="AH97" s="262" t="n">
        <f aca="false">SUM(B97:AE97)</f>
        <v>0</v>
      </c>
      <c r="AI97" s="33"/>
      <c r="AJ97" s="192"/>
      <c r="AK97" s="216" t="n">
        <f aca="false">IF(EB.Anwendung&lt;&gt;"",IF(MONTH(Monat.Tag1)=1,0,IF(MONTH(Monat.Tag1)=2,January!Monat.P1UeVM,IF(MONTH(Monat.Tag1)=3,February!Monat.P1UeVM,IF(MONTH(Monat.Tag1)=4,March!Monat.P1UeVM,IF(MONTH(Monat.Tag1)=5,April!Monat.P1UeVM,IF(MONTH(Monat.Tag1)=6,May!Monat.P1UeVM,IF(MONTH(Monat.Tag1)=7,June!Monat.P1UeVM,IF(MONTH(Monat.Tag1)=8,July!Monat.P1UeVM,IF(MONTH(Monat.Tag1)=9,August!Monat.P1UeVM,IF(MONTH(Monat.Tag1)=10,Monat.P1UeVM,IF(MONTH(Monat.Tag1)=11,October!Monat.P1UeVM,IF(MONTH(Monat.Tag1)=12,November!Monat.P1UeVM,"")))))))))))),"")</f>
        <v>0</v>
      </c>
      <c r="AL97" s="172"/>
      <c r="AM97" s="217" t="n">
        <f aca="false">AH97+AK97</f>
        <v>0</v>
      </c>
      <c r="AN97" s="171"/>
      <c r="AO97" s="171"/>
      <c r="AP97" s="39"/>
    </row>
    <row r="98" s="148" customFormat="true" ht="15" hidden="false" customHeight="true" outlineLevel="0" collapsed="false">
      <c r="A98" s="181" t="str">
        <f aca="true">IF(ROW(A98)-ROW(INDEX(Monat.Projekte.Zeilen,1))+1&gt;EB.AnzProjekte,"",OFFSET(EB.Projekte.Knoten,ROW(A98)-ROW(INDEX(Monat.Projekte.Zeilen,1))+1,0,1,1))</f>
        <v/>
      </c>
      <c r="B98" s="176"/>
      <c r="C98" s="176"/>
      <c r="D98" s="176"/>
      <c r="E98" s="177"/>
      <c r="F98" s="176"/>
      <c r="G98" s="176"/>
      <c r="H98" s="176"/>
      <c r="I98" s="176"/>
      <c r="J98" s="177"/>
      <c r="K98" s="176"/>
      <c r="L98" s="177"/>
      <c r="M98" s="176"/>
      <c r="N98" s="176"/>
      <c r="O98" s="176"/>
      <c r="P98" s="176"/>
      <c r="Q98" s="177"/>
      <c r="R98" s="176"/>
      <c r="S98" s="177"/>
      <c r="T98" s="177"/>
      <c r="U98" s="176"/>
      <c r="V98" s="176"/>
      <c r="W98" s="176"/>
      <c r="X98" s="177"/>
      <c r="Y98" s="176"/>
      <c r="Z98" s="178"/>
      <c r="AA98" s="176"/>
      <c r="AB98" s="176"/>
      <c r="AC98" s="176"/>
      <c r="AD98" s="176"/>
      <c r="AE98" s="177"/>
      <c r="AF98" s="168" t="str">
        <f aca="false">A98</f>
        <v/>
      </c>
      <c r="AG98" s="184"/>
      <c r="AH98" s="207" t="n">
        <f aca="false">SUM(B98:AE98)</f>
        <v>0</v>
      </c>
      <c r="AI98" s="33"/>
      <c r="AJ98" s="192"/>
      <c r="AK98" s="216" t="n">
        <f aca="false">IF(EB.Anwendung&lt;&gt;"",IF(MONTH(Monat.Tag1)=1,0,IF(MONTH(Monat.Tag1)=2,January!Monat.P2UeVM,IF(MONTH(Monat.Tag1)=3,February!Monat.P2UeVM,IF(MONTH(Monat.Tag1)=4,March!Monat.P2UeVM,IF(MONTH(Monat.Tag1)=5,April!Monat.P2UeVM,IF(MONTH(Monat.Tag1)=6,May!Monat.P2UeVM,IF(MONTH(Monat.Tag1)=7,June!Monat.P2UeVM,IF(MONTH(Monat.Tag1)=8,July!Monat.P2UeVM,IF(MONTH(Monat.Tag1)=9,August!Monat.P2UeVM,IF(MONTH(Monat.Tag1)=10,Monat.P2UeVM,IF(MONTH(Monat.Tag1)=11,October!Monat.P2UeVM,IF(MONTH(Monat.Tag1)=12,November!Monat.P2UeVM,"")))))))))))),"")</f>
        <v>0</v>
      </c>
      <c r="AL98" s="172"/>
      <c r="AM98" s="217" t="n">
        <f aca="false">AH98+AK98</f>
        <v>0</v>
      </c>
      <c r="AN98" s="171"/>
      <c r="AO98" s="171"/>
      <c r="AP98" s="39"/>
    </row>
    <row r="99" s="148" customFormat="true" ht="15" hidden="false" customHeight="true" outlineLevel="0" collapsed="false">
      <c r="A99" s="181" t="str">
        <f aca="true">IF(ROW(A99)-ROW(INDEX(Monat.Projekte.Zeilen,1))+1&gt;EB.AnzProjekte,"",OFFSET(EB.Projekte.Knoten,ROW(A99)-ROW(INDEX(Monat.Projekte.Zeilen,1))+1,0,1,1))</f>
        <v/>
      </c>
      <c r="B99" s="176"/>
      <c r="C99" s="176"/>
      <c r="D99" s="176"/>
      <c r="E99" s="177"/>
      <c r="F99" s="176"/>
      <c r="G99" s="176"/>
      <c r="H99" s="176"/>
      <c r="I99" s="176"/>
      <c r="J99" s="177"/>
      <c r="K99" s="176"/>
      <c r="L99" s="177"/>
      <c r="M99" s="176"/>
      <c r="N99" s="176"/>
      <c r="O99" s="176"/>
      <c r="P99" s="176"/>
      <c r="Q99" s="177"/>
      <c r="R99" s="176"/>
      <c r="S99" s="177"/>
      <c r="T99" s="177"/>
      <c r="U99" s="176"/>
      <c r="V99" s="176"/>
      <c r="W99" s="176"/>
      <c r="X99" s="177"/>
      <c r="Y99" s="176"/>
      <c r="Z99" s="178"/>
      <c r="AA99" s="176"/>
      <c r="AB99" s="176"/>
      <c r="AC99" s="176"/>
      <c r="AD99" s="176"/>
      <c r="AE99" s="177"/>
      <c r="AF99" s="168" t="str">
        <f aca="false">A99</f>
        <v/>
      </c>
      <c r="AG99" s="263"/>
      <c r="AH99" s="207" t="n">
        <f aca="false">SUM(B99:AE99)</f>
        <v>0</v>
      </c>
      <c r="AI99" s="33"/>
      <c r="AJ99" s="192"/>
      <c r="AK99" s="216" t="n">
        <f aca="false">IF(EB.Anwendung&lt;&gt;"",IF(MONTH(Monat.Tag1)=1,0,IF(MONTH(Monat.Tag1)=2,January!Monat.P3UeVM,IF(MONTH(Monat.Tag1)=3,February!Monat.P3UeVM,IF(MONTH(Monat.Tag1)=4,March!Monat.P3UeVM,IF(MONTH(Monat.Tag1)=5,April!Monat.P3UeVM,IF(MONTH(Monat.Tag1)=6,May!Monat.P3UeVM,IF(MONTH(Monat.Tag1)=7,June!Monat.P3UeVM,IF(MONTH(Monat.Tag1)=8,July!Monat.P3UeVM,IF(MONTH(Monat.Tag1)=9,August!Monat.P3UeVM,IF(MONTH(Monat.Tag1)=10,Monat.P3UeVM,IF(MONTH(Monat.Tag1)=11,October!Monat.P3UeVM,IF(MONTH(Monat.Tag1)=12,November!Monat.P3UeVM,"")))))))))))),"")</f>
        <v>0</v>
      </c>
      <c r="AL99" s="172"/>
      <c r="AM99" s="217" t="n">
        <f aca="false">AH99+AK99</f>
        <v>0</v>
      </c>
      <c r="AN99" s="171"/>
      <c r="AO99" s="171"/>
      <c r="AP99" s="39"/>
    </row>
    <row r="100" s="148" customFormat="true" ht="15" hidden="false" customHeight="true" outlineLevel="0" collapsed="false">
      <c r="A100" s="181" t="str">
        <f aca="true">IF(ROW(A100)-ROW(INDEX(Monat.Projekte.Zeilen,1))+1&gt;EB.AnzProjekte,"",OFFSET(EB.Projekte.Knoten,ROW(A100)-ROW(INDEX(Monat.Projekte.Zeilen,1))+1,0,1,1))</f>
        <v/>
      </c>
      <c r="B100" s="176"/>
      <c r="C100" s="176"/>
      <c r="D100" s="176"/>
      <c r="E100" s="177"/>
      <c r="F100" s="176"/>
      <c r="G100" s="176"/>
      <c r="H100" s="176"/>
      <c r="I100" s="176"/>
      <c r="J100" s="177"/>
      <c r="K100" s="176"/>
      <c r="L100" s="177"/>
      <c r="M100" s="176"/>
      <c r="N100" s="176"/>
      <c r="O100" s="176"/>
      <c r="P100" s="176"/>
      <c r="Q100" s="177"/>
      <c r="R100" s="176"/>
      <c r="S100" s="177"/>
      <c r="T100" s="177"/>
      <c r="U100" s="176"/>
      <c r="V100" s="176"/>
      <c r="W100" s="176"/>
      <c r="X100" s="177"/>
      <c r="Y100" s="176"/>
      <c r="Z100" s="178"/>
      <c r="AA100" s="176"/>
      <c r="AB100" s="176"/>
      <c r="AC100" s="176"/>
      <c r="AD100" s="176"/>
      <c r="AE100" s="177"/>
      <c r="AF100" s="168" t="str">
        <f aca="false">A100</f>
        <v/>
      </c>
      <c r="AG100" s="197"/>
      <c r="AH100" s="207" t="n">
        <f aca="false">SUM(B100:AE100)</f>
        <v>0</v>
      </c>
      <c r="AI100" s="33"/>
      <c r="AJ100" s="192"/>
      <c r="AK100" s="216" t="n">
        <f aca="false">IF(EB.Anwendung&lt;&gt;"",IF(MONTH(Monat.Tag1)=1,0,IF(MONTH(Monat.Tag1)=2,January!Monat.P4UeVM,IF(MONTH(Monat.Tag1)=3,February!Monat.P4UeVM,IF(MONTH(Monat.Tag1)=4,March!Monat.P4UeVM,IF(MONTH(Monat.Tag1)=5,April!Monat.P4UeVM,IF(MONTH(Monat.Tag1)=6,May!Monat.P4UeVM,IF(MONTH(Monat.Tag1)=7,June!Monat.P4UeVM,IF(MONTH(Monat.Tag1)=8,July!Monat.P4UeVM,IF(MONTH(Monat.Tag1)=9,August!Monat.P4UeVM,IF(MONTH(Monat.Tag1)=10,Monat.P4UeVM,IF(MONTH(Monat.Tag1)=11,October!Monat.P4UeVM,IF(MONTH(Monat.Tag1)=12,November!Monat.P4UeVM,"")))))))))))),"")</f>
        <v>0</v>
      </c>
      <c r="AL100" s="172"/>
      <c r="AM100" s="217" t="n">
        <f aca="false">AH100+AK100</f>
        <v>0</v>
      </c>
      <c r="AN100" s="171"/>
      <c r="AO100" s="171"/>
      <c r="AP100" s="39"/>
    </row>
    <row r="101" s="148" customFormat="true" ht="15" hidden="false" customHeight="true" outlineLevel="0" collapsed="false">
      <c r="A101" s="181" t="str">
        <f aca="true">IF(ROW(A101)-ROW(INDEX(Monat.Projekte.Zeilen,1))+1&gt;EB.AnzProjekte,"",OFFSET(EB.Projekte.Knoten,ROW(A101)-ROW(INDEX(Monat.Projekte.Zeilen,1))+1,0,1,1))</f>
        <v/>
      </c>
      <c r="B101" s="176"/>
      <c r="C101" s="176"/>
      <c r="D101" s="176"/>
      <c r="E101" s="177"/>
      <c r="F101" s="176"/>
      <c r="G101" s="176"/>
      <c r="H101" s="176"/>
      <c r="I101" s="176"/>
      <c r="J101" s="177"/>
      <c r="K101" s="176"/>
      <c r="L101" s="177"/>
      <c r="M101" s="176"/>
      <c r="N101" s="176"/>
      <c r="O101" s="176"/>
      <c r="P101" s="176"/>
      <c r="Q101" s="177"/>
      <c r="R101" s="176"/>
      <c r="S101" s="177"/>
      <c r="T101" s="177"/>
      <c r="U101" s="176"/>
      <c r="V101" s="176"/>
      <c r="W101" s="176"/>
      <c r="X101" s="177"/>
      <c r="Y101" s="176"/>
      <c r="Z101" s="178"/>
      <c r="AA101" s="176"/>
      <c r="AB101" s="176"/>
      <c r="AC101" s="176"/>
      <c r="AD101" s="176"/>
      <c r="AE101" s="177"/>
      <c r="AF101" s="168" t="str">
        <f aca="false">A101</f>
        <v/>
      </c>
      <c r="AG101" s="184"/>
      <c r="AH101" s="207" t="n">
        <f aca="false">SUM(B101:AE101)</f>
        <v>0</v>
      </c>
      <c r="AI101" s="33"/>
      <c r="AJ101" s="192"/>
      <c r="AK101" s="216" t="n">
        <f aca="false">IF(EB.Anwendung&lt;&gt;"",IF(MONTH(Monat.Tag1)=1,0,IF(MONTH(Monat.Tag1)=2,January!Monat.P5UeVM,IF(MONTH(Monat.Tag1)=3,February!Monat.P5UeVM,IF(MONTH(Monat.Tag1)=4,March!Monat.P5UeVM,IF(MONTH(Monat.Tag1)=5,April!Monat.P5UeVM,IF(MONTH(Monat.Tag1)=6,May!Monat.P5UeVM,IF(MONTH(Monat.Tag1)=7,June!Monat.P5UeVM,IF(MONTH(Monat.Tag1)=8,July!Monat.P5UeVM,IF(MONTH(Monat.Tag1)=9,August!Monat.P5UeVM,IF(MONTH(Monat.Tag1)=10,Monat.P5UeVM,IF(MONTH(Monat.Tag1)=11,October!Monat.P5UeVM,IF(MONTH(Monat.Tag1)=12,November!Monat.P5UeVM,"")))))))))))),"")</f>
        <v>0</v>
      </c>
      <c r="AL101" s="172"/>
      <c r="AM101" s="217" t="n">
        <f aca="false">AH101+AK101</f>
        <v>0</v>
      </c>
      <c r="AN101" s="171"/>
      <c r="AO101" s="171"/>
      <c r="AP101" s="39"/>
    </row>
    <row r="102" s="148" customFormat="true" ht="15" hidden="true" customHeight="true" outlineLevel="1" collapsed="false">
      <c r="A102" s="181" t="str">
        <f aca="true">IF(ROW(A102)-ROW(INDEX(Monat.Projekte.Zeilen,1))+1&gt;EB.AnzProjekte,"",OFFSET(EB.Projekte.Knoten,ROW(A102)-ROW(INDEX(Monat.Projekte.Zeilen,1))+1,0,1,1))</f>
        <v/>
      </c>
      <c r="B102" s="176"/>
      <c r="C102" s="176"/>
      <c r="D102" s="176"/>
      <c r="E102" s="177"/>
      <c r="F102" s="176"/>
      <c r="G102" s="176"/>
      <c r="H102" s="176"/>
      <c r="I102" s="176"/>
      <c r="J102" s="177"/>
      <c r="K102" s="176"/>
      <c r="L102" s="177"/>
      <c r="M102" s="176"/>
      <c r="N102" s="176"/>
      <c r="O102" s="176"/>
      <c r="P102" s="176"/>
      <c r="Q102" s="177"/>
      <c r="R102" s="176"/>
      <c r="S102" s="177"/>
      <c r="T102" s="177"/>
      <c r="U102" s="176"/>
      <c r="V102" s="176"/>
      <c r="W102" s="176"/>
      <c r="X102" s="177"/>
      <c r="Y102" s="176"/>
      <c r="Z102" s="178"/>
      <c r="AA102" s="176"/>
      <c r="AB102" s="176"/>
      <c r="AC102" s="176"/>
      <c r="AD102" s="176"/>
      <c r="AE102" s="177"/>
      <c r="AF102" s="168" t="str">
        <f aca="false">A102</f>
        <v/>
      </c>
      <c r="AG102" s="263"/>
      <c r="AH102" s="207" t="n">
        <f aca="false">SUM(B102:AE102)</f>
        <v>0</v>
      </c>
      <c r="AI102" s="33"/>
      <c r="AJ102" s="192"/>
      <c r="AK102" s="216" t="n">
        <f aca="false">IF(EB.Anwendung&lt;&gt;"",IF(MONTH(Monat.Tag1)=1,0,IF(MONTH(Monat.Tag1)=2,January!Monat.P6UeVM,IF(MONTH(Monat.Tag1)=3,February!Monat.P6UeVM,IF(MONTH(Monat.Tag1)=4,March!Monat.P6UeVM,IF(MONTH(Monat.Tag1)=5,April!Monat.P6UeVM,IF(MONTH(Monat.Tag1)=6,May!Monat.P6UeVM,IF(MONTH(Monat.Tag1)=7,June!Monat.P6UeVM,IF(MONTH(Monat.Tag1)=8,July!Monat.P6UeVM,IF(MONTH(Monat.Tag1)=9,August!Monat.P6UeVM,IF(MONTH(Monat.Tag1)=10,Monat.P6UeVM,IF(MONTH(Monat.Tag1)=11,October!Monat.P6UeVM,IF(MONTH(Monat.Tag1)=12,November!Monat.P6UeVM,"")))))))))))),"")</f>
        <v>0</v>
      </c>
      <c r="AL102" s="172"/>
      <c r="AM102" s="217" t="n">
        <f aca="false">AH102+AK102</f>
        <v>0</v>
      </c>
      <c r="AN102" s="171"/>
      <c r="AO102" s="171"/>
      <c r="AP102" s="39"/>
    </row>
    <row r="103" s="148" customFormat="true" ht="15" hidden="true" customHeight="true" outlineLevel="1" collapsed="false">
      <c r="A103" s="181" t="str">
        <f aca="true">IF(ROW(A103)-ROW(INDEX(Monat.Projekte.Zeilen,1))+1&gt;EB.AnzProjekte,"",OFFSET(EB.Projekte.Knoten,ROW(A103)-ROW(INDEX(Monat.Projekte.Zeilen,1))+1,0,1,1))</f>
        <v/>
      </c>
      <c r="B103" s="176"/>
      <c r="C103" s="176"/>
      <c r="D103" s="176"/>
      <c r="E103" s="177"/>
      <c r="F103" s="176"/>
      <c r="G103" s="176"/>
      <c r="H103" s="176"/>
      <c r="I103" s="176"/>
      <c r="J103" s="177"/>
      <c r="K103" s="176"/>
      <c r="L103" s="177"/>
      <c r="M103" s="176"/>
      <c r="N103" s="176"/>
      <c r="O103" s="176"/>
      <c r="P103" s="176"/>
      <c r="Q103" s="177"/>
      <c r="R103" s="176"/>
      <c r="S103" s="177"/>
      <c r="T103" s="177"/>
      <c r="U103" s="176"/>
      <c r="V103" s="176"/>
      <c r="W103" s="176"/>
      <c r="X103" s="177"/>
      <c r="Y103" s="176"/>
      <c r="Z103" s="178"/>
      <c r="AA103" s="176"/>
      <c r="AB103" s="176"/>
      <c r="AC103" s="176"/>
      <c r="AD103" s="176"/>
      <c r="AE103" s="177"/>
      <c r="AF103" s="168" t="str">
        <f aca="false">A103</f>
        <v/>
      </c>
      <c r="AG103" s="197"/>
      <c r="AH103" s="207" t="n">
        <f aca="false">SUM(B103:AE103)</f>
        <v>0</v>
      </c>
      <c r="AI103" s="33"/>
      <c r="AJ103" s="192"/>
      <c r="AK103" s="216" t="n">
        <f aca="false">IF(EB.Anwendung&lt;&gt;"",IF(MONTH(Monat.Tag1)=1,0,IF(MONTH(Monat.Tag1)=2,January!Monat.P7UeVM,IF(MONTH(Monat.Tag1)=3,February!Monat.P7UeVM,IF(MONTH(Monat.Tag1)=4,March!Monat.P7UeVM,IF(MONTH(Monat.Tag1)=5,April!Monat.P7UeVM,IF(MONTH(Monat.Tag1)=6,May!Monat.P7UeVM,IF(MONTH(Monat.Tag1)=7,June!Monat.P7UeVM,IF(MONTH(Monat.Tag1)=8,July!Monat.P7UeVM,IF(MONTH(Monat.Tag1)=9,August!Monat.P7UeVM,IF(MONTH(Monat.Tag1)=10,Monat.P7UeVM,IF(MONTH(Monat.Tag1)=11,October!Monat.P7UeVM,IF(MONTH(Monat.Tag1)=12,November!Monat.P7UeVM,"")))))))))))),"")</f>
        <v>0</v>
      </c>
      <c r="AL103" s="172"/>
      <c r="AM103" s="217" t="n">
        <f aca="false">AH103+AK103</f>
        <v>0</v>
      </c>
      <c r="AN103" s="171"/>
      <c r="AO103" s="171"/>
      <c r="AP103" s="39"/>
    </row>
    <row r="104" s="148" customFormat="true" ht="15" hidden="true" customHeight="true" outlineLevel="1" collapsed="false">
      <c r="A104" s="181" t="str">
        <f aca="true">IF(ROW(A104)-ROW(INDEX(Monat.Projekte.Zeilen,1))+1&gt;EB.AnzProjekte,"",OFFSET(EB.Projekte.Knoten,ROW(A104)-ROW(INDEX(Monat.Projekte.Zeilen,1))+1,0,1,1))</f>
        <v/>
      </c>
      <c r="B104" s="176"/>
      <c r="C104" s="176"/>
      <c r="D104" s="176"/>
      <c r="E104" s="177"/>
      <c r="F104" s="176"/>
      <c r="G104" s="176"/>
      <c r="H104" s="176"/>
      <c r="I104" s="176"/>
      <c r="J104" s="177"/>
      <c r="K104" s="176"/>
      <c r="L104" s="177"/>
      <c r="M104" s="176"/>
      <c r="N104" s="176"/>
      <c r="O104" s="176"/>
      <c r="P104" s="176"/>
      <c r="Q104" s="177"/>
      <c r="R104" s="176"/>
      <c r="S104" s="177"/>
      <c r="T104" s="177"/>
      <c r="U104" s="176"/>
      <c r="V104" s="176"/>
      <c r="W104" s="176"/>
      <c r="X104" s="177"/>
      <c r="Y104" s="176"/>
      <c r="Z104" s="178"/>
      <c r="AA104" s="176"/>
      <c r="AB104" s="176"/>
      <c r="AC104" s="176"/>
      <c r="AD104" s="176"/>
      <c r="AE104" s="177"/>
      <c r="AF104" s="168" t="str">
        <f aca="false">A104</f>
        <v/>
      </c>
      <c r="AG104" s="202"/>
      <c r="AH104" s="207" t="n">
        <f aca="false">SUM(B104:AE104)</f>
        <v>0</v>
      </c>
      <c r="AI104" s="33"/>
      <c r="AJ104" s="192"/>
      <c r="AK104" s="216" t="n">
        <f aca="false">IF(EB.Anwendung&lt;&gt;"",IF(MONTH(Monat.Tag1)=1,0,IF(MONTH(Monat.Tag1)=2,January!Monat.P8UeVM,IF(MONTH(Monat.Tag1)=3,February!Monat.P8UeVM,IF(MONTH(Monat.Tag1)=4,March!Monat.P8UeVM,IF(MONTH(Monat.Tag1)=5,April!Monat.P8UeVM,IF(MONTH(Monat.Tag1)=6,May!Monat.P8UeVM,IF(MONTH(Monat.Tag1)=7,June!Monat.P8UeVM,IF(MONTH(Monat.Tag1)=8,July!Monat.P8UeVM,IF(MONTH(Monat.Tag1)=9,August!Monat.P8UeVM,IF(MONTH(Monat.Tag1)=10,Monat.P8UeVM,IF(MONTH(Monat.Tag1)=11,October!Monat.P8UeVM,IF(MONTH(Monat.Tag1)=12,November!Monat.P8UeVM,"")))))))))))),"")</f>
        <v>0</v>
      </c>
      <c r="AL104" s="172"/>
      <c r="AM104" s="217" t="n">
        <f aca="false">AH104+AK104</f>
        <v>0</v>
      </c>
      <c r="AN104" s="171"/>
      <c r="AO104" s="171"/>
      <c r="AP104" s="39"/>
    </row>
    <row r="105" s="148" customFormat="true" ht="15" hidden="true" customHeight="true" outlineLevel="1" collapsed="false">
      <c r="A105" s="181" t="str">
        <f aca="true">IF(ROW(A105)-ROW(INDEX(Monat.Projekte.Zeilen,1))+1&gt;EB.AnzProjekte,"",OFFSET(EB.Projekte.Knoten,ROW(A105)-ROW(INDEX(Monat.Projekte.Zeilen,1))+1,0,1,1))</f>
        <v/>
      </c>
      <c r="B105" s="176"/>
      <c r="C105" s="176"/>
      <c r="D105" s="176"/>
      <c r="E105" s="177"/>
      <c r="F105" s="176"/>
      <c r="G105" s="176"/>
      <c r="H105" s="176"/>
      <c r="I105" s="176"/>
      <c r="J105" s="177"/>
      <c r="K105" s="176"/>
      <c r="L105" s="177"/>
      <c r="M105" s="176"/>
      <c r="N105" s="176"/>
      <c r="O105" s="176"/>
      <c r="P105" s="176"/>
      <c r="Q105" s="177"/>
      <c r="R105" s="176"/>
      <c r="S105" s="177"/>
      <c r="T105" s="177"/>
      <c r="U105" s="176"/>
      <c r="V105" s="176"/>
      <c r="W105" s="176"/>
      <c r="X105" s="177"/>
      <c r="Y105" s="176"/>
      <c r="Z105" s="178"/>
      <c r="AA105" s="176"/>
      <c r="AB105" s="176"/>
      <c r="AC105" s="176"/>
      <c r="AD105" s="176"/>
      <c r="AE105" s="177"/>
      <c r="AF105" s="168" t="str">
        <f aca="false">A105</f>
        <v/>
      </c>
      <c r="AG105" s="184"/>
      <c r="AH105" s="207" t="n">
        <f aca="false">SUM(B105:AE105)</f>
        <v>0</v>
      </c>
      <c r="AI105" s="33"/>
      <c r="AJ105" s="192"/>
      <c r="AK105" s="216" t="n">
        <f aca="false">IF(EB.Anwendung&lt;&gt;"",IF(MONTH(Monat.Tag1)=1,0,IF(MONTH(Monat.Tag1)=2,January!Monat.P9UeVM,IF(MONTH(Monat.Tag1)=3,February!Monat.P9UeVM,IF(MONTH(Monat.Tag1)=4,March!Monat.P9UeVM,IF(MONTH(Monat.Tag1)=5,April!Monat.P9UeVM,IF(MONTH(Monat.Tag1)=6,May!Monat.P9UeVM,IF(MONTH(Monat.Tag1)=7,June!Monat.P9UeVM,IF(MONTH(Monat.Tag1)=8,July!Monat.P9UeVM,IF(MONTH(Monat.Tag1)=9,August!Monat.P9UeVM,IF(MONTH(Monat.Tag1)=10,Monat.P9UeVM,IF(MONTH(Monat.Tag1)=11,October!Monat.P9UeVM,IF(MONTH(Monat.Tag1)=12,November!Monat.P9UeVM,"")))))))))))),"")</f>
        <v>0</v>
      </c>
      <c r="AL105" s="172"/>
      <c r="AM105" s="217" t="n">
        <f aca="false">AH105+AK105</f>
        <v>0</v>
      </c>
      <c r="AN105" s="171"/>
      <c r="AO105" s="171"/>
      <c r="AP105" s="39"/>
    </row>
    <row r="106" s="148" customFormat="true" ht="15" hidden="true" customHeight="true" outlineLevel="1" collapsed="false">
      <c r="A106" s="181" t="str">
        <f aca="true">IF(ROW(A106)-ROW(INDEX(Monat.Projekte.Zeilen,1))+1&gt;EB.AnzProjekte,"",OFFSET(EB.Projekte.Knoten,ROW(A106)-ROW(INDEX(Monat.Projekte.Zeilen,1))+1,0,1,1))</f>
        <v/>
      </c>
      <c r="B106" s="176"/>
      <c r="C106" s="176"/>
      <c r="D106" s="176"/>
      <c r="E106" s="177"/>
      <c r="F106" s="176"/>
      <c r="G106" s="176"/>
      <c r="H106" s="176"/>
      <c r="I106" s="176"/>
      <c r="J106" s="177"/>
      <c r="K106" s="176"/>
      <c r="L106" s="177"/>
      <c r="M106" s="176"/>
      <c r="N106" s="176"/>
      <c r="O106" s="176"/>
      <c r="P106" s="176"/>
      <c r="Q106" s="177"/>
      <c r="R106" s="176"/>
      <c r="S106" s="177"/>
      <c r="T106" s="177"/>
      <c r="U106" s="176"/>
      <c r="V106" s="176"/>
      <c r="W106" s="176"/>
      <c r="X106" s="177"/>
      <c r="Y106" s="176"/>
      <c r="Z106" s="178"/>
      <c r="AA106" s="176"/>
      <c r="AB106" s="176"/>
      <c r="AC106" s="176"/>
      <c r="AD106" s="176"/>
      <c r="AE106" s="177"/>
      <c r="AF106" s="168" t="str">
        <f aca="false">A106</f>
        <v/>
      </c>
      <c r="AG106" s="184"/>
      <c r="AH106" s="207" t="n">
        <f aca="false">SUM(B106:AE106)</f>
        <v>0</v>
      </c>
      <c r="AI106" s="33"/>
      <c r="AJ106" s="192"/>
      <c r="AK106" s="216" t="n">
        <f aca="false">IF(EB.Anwendung&lt;&gt;"",IF(MONTH(Monat.Tag1)=1,0,IF(MONTH(Monat.Tag1)=2,January!Monat.P10UeVM,IF(MONTH(Monat.Tag1)=3,February!Monat.P10UeVM,IF(MONTH(Monat.Tag1)=4,March!Monat.P10UeVM,IF(MONTH(Monat.Tag1)=5,April!Monat.P10UeVM,IF(MONTH(Monat.Tag1)=6,May!Monat.P10UeVM,IF(MONTH(Monat.Tag1)=7,June!Monat.P10UeVM,IF(MONTH(Monat.Tag1)=8,July!Monat.P10UeVM,IF(MONTH(Monat.Tag1)=9,August!Monat.P10UeVM,IF(MONTH(Monat.Tag1)=10,Monat.P10UeVM,IF(MONTH(Monat.Tag1)=11,October!Monat.P10UeVM,IF(MONTH(Monat.Tag1)=12,November!Monat.P10UeVM,"")))))))))))),"")</f>
        <v>0</v>
      </c>
      <c r="AL106" s="172"/>
      <c r="AM106" s="217" t="n">
        <f aca="false">AH106+AK106</f>
        <v>0</v>
      </c>
      <c r="AN106" s="171"/>
      <c r="AO106" s="171"/>
      <c r="AP106" s="39"/>
    </row>
    <row r="107" s="148" customFormat="true" ht="15" hidden="true" customHeight="true" outlineLevel="1" collapsed="false">
      <c r="A107" s="181" t="str">
        <f aca="true">IF(ROW(A107)-ROW(INDEX(Monat.Projekte.Zeilen,1))+1&gt;EB.AnzProjekte,"",OFFSET(EB.Projekte.Knoten,ROW(A107)-ROW(INDEX(Monat.Projekte.Zeilen,1))+1,0,1,1))</f>
        <v/>
      </c>
      <c r="B107" s="176"/>
      <c r="C107" s="176"/>
      <c r="D107" s="176"/>
      <c r="E107" s="177"/>
      <c r="F107" s="176"/>
      <c r="G107" s="176"/>
      <c r="H107" s="176"/>
      <c r="I107" s="176"/>
      <c r="J107" s="177"/>
      <c r="K107" s="176"/>
      <c r="L107" s="177"/>
      <c r="M107" s="176"/>
      <c r="N107" s="176"/>
      <c r="O107" s="176"/>
      <c r="P107" s="176"/>
      <c r="Q107" s="177"/>
      <c r="R107" s="176"/>
      <c r="S107" s="177"/>
      <c r="T107" s="177"/>
      <c r="U107" s="176"/>
      <c r="V107" s="176"/>
      <c r="W107" s="176"/>
      <c r="X107" s="177"/>
      <c r="Y107" s="176"/>
      <c r="Z107" s="178"/>
      <c r="AA107" s="176"/>
      <c r="AB107" s="176"/>
      <c r="AC107" s="176"/>
      <c r="AD107" s="176"/>
      <c r="AE107" s="177"/>
      <c r="AF107" s="168" t="str">
        <f aca="false">A107</f>
        <v/>
      </c>
      <c r="AG107" s="202"/>
      <c r="AH107" s="207" t="n">
        <f aca="false">SUM(B107:AE107)</f>
        <v>0</v>
      </c>
      <c r="AI107" s="33"/>
      <c r="AJ107" s="192"/>
      <c r="AK107" s="216" t="n">
        <f aca="false">IF(EB.Anwendung&lt;&gt;"",IF(MONTH(Monat.Tag1)=1,0,IF(MONTH(Monat.Tag1)=2,January!Monat.P11UeVM,IF(MONTH(Monat.Tag1)=3,February!Monat.P11UeVM,IF(MONTH(Monat.Tag1)=4,March!Monat.P11UeVM,IF(MONTH(Monat.Tag1)=5,April!Monat.P11UeVM,IF(MONTH(Monat.Tag1)=6,May!Monat.P11UeVM,IF(MONTH(Monat.Tag1)=7,June!Monat.P11UeVM,IF(MONTH(Monat.Tag1)=8,July!Monat.P11UeVM,IF(MONTH(Monat.Tag1)=9,August!Monat.P11UeVM,IF(MONTH(Monat.Tag1)=10,Monat.P11UeVM,IF(MONTH(Monat.Tag1)=11,October!Monat.P11UeVM,IF(MONTH(Monat.Tag1)=12,November!Monat.P11UeVM,"")))))))))))),"")</f>
        <v>0</v>
      </c>
      <c r="AL107" s="172"/>
      <c r="AM107" s="217" t="n">
        <f aca="false">AH107+AK107</f>
        <v>0</v>
      </c>
      <c r="AN107" s="264"/>
      <c r="AO107" s="264"/>
      <c r="AP107" s="39"/>
    </row>
    <row r="108" s="266" customFormat="true" ht="15" hidden="true" customHeight="true" outlineLevel="1" collapsed="false">
      <c r="A108" s="181" t="str">
        <f aca="true">IF(ROW(A108)-ROW(INDEX(Monat.Projekte.Zeilen,1))+1&gt;EB.AnzProjekte,"",OFFSET(EB.Projekte.Knoten,ROW(A108)-ROW(INDEX(Monat.Projekte.Zeilen,1))+1,0,1,1))</f>
        <v/>
      </c>
      <c r="B108" s="176"/>
      <c r="C108" s="176"/>
      <c r="D108" s="176"/>
      <c r="E108" s="177"/>
      <c r="F108" s="176"/>
      <c r="G108" s="176"/>
      <c r="H108" s="176"/>
      <c r="I108" s="176"/>
      <c r="J108" s="177"/>
      <c r="K108" s="176"/>
      <c r="L108" s="177"/>
      <c r="M108" s="176"/>
      <c r="N108" s="176"/>
      <c r="O108" s="176"/>
      <c r="P108" s="176"/>
      <c r="Q108" s="177"/>
      <c r="R108" s="176"/>
      <c r="S108" s="177"/>
      <c r="T108" s="177"/>
      <c r="U108" s="176"/>
      <c r="V108" s="176"/>
      <c r="W108" s="176"/>
      <c r="X108" s="177"/>
      <c r="Y108" s="176"/>
      <c r="Z108" s="178"/>
      <c r="AA108" s="176"/>
      <c r="AB108" s="176"/>
      <c r="AC108" s="176"/>
      <c r="AD108" s="176"/>
      <c r="AE108" s="177"/>
      <c r="AF108" s="168" t="str">
        <f aca="false">A108</f>
        <v/>
      </c>
      <c r="AG108" s="202"/>
      <c r="AH108" s="207" t="n">
        <f aca="false">SUM(B108:AE108)</f>
        <v>0</v>
      </c>
      <c r="AI108" s="33"/>
      <c r="AJ108" s="192"/>
      <c r="AK108" s="216" t="n">
        <f aca="false">IF(EB.Anwendung&lt;&gt;"",IF(MONTH(Monat.Tag1)=1,0,IF(MONTH(Monat.Tag1)=2,January!Monat.P12UeVM,IF(MONTH(Monat.Tag1)=3,February!Monat.P12UeVM,IF(MONTH(Monat.Tag1)=4,March!Monat.P12UeVM,IF(MONTH(Monat.Tag1)=5,April!Monat.P12UeVM,IF(MONTH(Monat.Tag1)=6,May!Monat.P12UeVM,IF(MONTH(Monat.Tag1)=7,June!Monat.P12UeVM,IF(MONTH(Monat.Tag1)=8,July!Monat.P12UeVM,IF(MONTH(Monat.Tag1)=9,August!Monat.P12UeVM,IF(MONTH(Monat.Tag1)=10,Monat.P12UeVM,IF(MONTH(Monat.Tag1)=11,October!Monat.P12UeVM,IF(MONTH(Monat.Tag1)=12,November!Monat.P12UeVM,"")))))))))))),"")</f>
        <v>0</v>
      </c>
      <c r="AL108" s="172"/>
      <c r="AM108" s="217" t="n">
        <f aca="false">AH108+AK108</f>
        <v>0</v>
      </c>
      <c r="AN108" s="264"/>
      <c r="AO108" s="264"/>
      <c r="AP108" s="265"/>
    </row>
    <row r="109" s="266" customFormat="true" ht="15" hidden="true" customHeight="true" outlineLevel="1" collapsed="false">
      <c r="A109" s="181" t="str">
        <f aca="true">IF(ROW(A109)-ROW(INDEX(Monat.Projekte.Zeilen,1))+1&gt;EB.AnzProjekte,"",OFFSET(EB.Projekte.Knoten,ROW(A109)-ROW(INDEX(Monat.Projekte.Zeilen,1))+1,0,1,1))</f>
        <v/>
      </c>
      <c r="B109" s="176"/>
      <c r="C109" s="176"/>
      <c r="D109" s="176"/>
      <c r="E109" s="177"/>
      <c r="F109" s="176"/>
      <c r="G109" s="176"/>
      <c r="H109" s="176"/>
      <c r="I109" s="176"/>
      <c r="J109" s="177"/>
      <c r="K109" s="176"/>
      <c r="L109" s="177"/>
      <c r="M109" s="176"/>
      <c r="N109" s="176"/>
      <c r="O109" s="176"/>
      <c r="P109" s="176"/>
      <c r="Q109" s="177"/>
      <c r="R109" s="176"/>
      <c r="S109" s="177"/>
      <c r="T109" s="177"/>
      <c r="U109" s="176"/>
      <c r="V109" s="176"/>
      <c r="W109" s="176"/>
      <c r="X109" s="177"/>
      <c r="Y109" s="176"/>
      <c r="Z109" s="178"/>
      <c r="AA109" s="176"/>
      <c r="AB109" s="176"/>
      <c r="AC109" s="176"/>
      <c r="AD109" s="176"/>
      <c r="AE109" s="177"/>
      <c r="AF109" s="168" t="str">
        <f aca="false">A109</f>
        <v/>
      </c>
      <c r="AG109" s="184"/>
      <c r="AH109" s="207" t="n">
        <f aca="false">SUM(B109:AE109)</f>
        <v>0</v>
      </c>
      <c r="AI109" s="33"/>
      <c r="AJ109" s="192"/>
      <c r="AK109" s="216" t="n">
        <f aca="false">IF(EB.Anwendung&lt;&gt;"",IF(MONTH(Monat.Tag1)=1,0,IF(MONTH(Monat.Tag1)=2,January!Monat.P13UeVM,IF(MONTH(Monat.Tag1)=3,February!Monat.P13UeVM,IF(MONTH(Monat.Tag1)=4,March!Monat.P13UeVM,IF(MONTH(Monat.Tag1)=5,April!Monat.P13UeVM,IF(MONTH(Monat.Tag1)=6,May!Monat.P13UeVM,IF(MONTH(Monat.Tag1)=7,June!Monat.P13UeVM,IF(MONTH(Monat.Tag1)=8,July!Monat.P13UeVM,IF(MONTH(Monat.Tag1)=9,August!Monat.P13UeVM,IF(MONTH(Monat.Tag1)=10,Monat.P13UeVM,IF(MONTH(Monat.Tag1)=11,October!Monat.P13UeVM,IF(MONTH(Monat.Tag1)=12,November!Monat.P13UeVM,"")))))))))))),"")</f>
        <v>0</v>
      </c>
      <c r="AL109" s="172"/>
      <c r="AM109" s="217" t="n">
        <f aca="false">AH109+AK109</f>
        <v>0</v>
      </c>
      <c r="AN109" s="264"/>
      <c r="AO109" s="264"/>
      <c r="AP109" s="265"/>
    </row>
    <row r="110" customFormat="false" ht="15" hidden="true" customHeight="true" outlineLevel="1" collapsed="false">
      <c r="A110" s="181" t="str">
        <f aca="true">IF(ROW(A110)-ROW(INDEX(Monat.Projekte.Zeilen,1))+1&gt;EB.AnzProjekte,"",OFFSET(EB.Projekte.Knoten,ROW(A110)-ROW(INDEX(Monat.Projekte.Zeilen,1))+1,0,1,1))</f>
        <v/>
      </c>
      <c r="B110" s="176"/>
      <c r="C110" s="176"/>
      <c r="D110" s="176"/>
      <c r="E110" s="177"/>
      <c r="F110" s="176"/>
      <c r="G110" s="176"/>
      <c r="H110" s="176"/>
      <c r="I110" s="176"/>
      <c r="J110" s="177"/>
      <c r="K110" s="176"/>
      <c r="L110" s="177"/>
      <c r="M110" s="176"/>
      <c r="N110" s="176"/>
      <c r="O110" s="176"/>
      <c r="P110" s="176"/>
      <c r="Q110" s="177"/>
      <c r="R110" s="176"/>
      <c r="S110" s="177"/>
      <c r="T110" s="177"/>
      <c r="U110" s="176"/>
      <c r="V110" s="176"/>
      <c r="W110" s="176"/>
      <c r="X110" s="177"/>
      <c r="Y110" s="176"/>
      <c r="Z110" s="178"/>
      <c r="AA110" s="176"/>
      <c r="AB110" s="176"/>
      <c r="AC110" s="176"/>
      <c r="AD110" s="176"/>
      <c r="AE110" s="177"/>
      <c r="AF110" s="168" t="str">
        <f aca="false">A110</f>
        <v/>
      </c>
      <c r="AG110" s="184"/>
      <c r="AH110" s="207" t="n">
        <f aca="false">SUM(B110:AE110)</f>
        <v>0</v>
      </c>
      <c r="AI110" s="33"/>
      <c r="AJ110" s="192"/>
      <c r="AK110" s="216" t="n">
        <f aca="false">IF(EB.Anwendung&lt;&gt;"",IF(MONTH(Monat.Tag1)=1,0,IF(MONTH(Monat.Tag1)=2,January!Monat.P14UeVM,IF(MONTH(Monat.Tag1)=3,February!Monat.P14UeVM,IF(MONTH(Monat.Tag1)=4,March!Monat.P14UeVM,IF(MONTH(Monat.Tag1)=5,April!Monat.P14UeVM,IF(MONTH(Monat.Tag1)=6,May!Monat.P14UeVM,IF(MONTH(Monat.Tag1)=7,June!Monat.P14UeVM,IF(MONTH(Monat.Tag1)=8,July!Monat.P14UeVM,IF(MONTH(Monat.Tag1)=9,August!Monat.P14UeVM,IF(MONTH(Monat.Tag1)=10,Monat.P14UeVM,IF(MONTH(Monat.Tag1)=11,October!Monat.P14UeVM,IF(MONTH(Monat.Tag1)=12,November!Monat.P14UeVM,"")))))))))))),"")</f>
        <v>0</v>
      </c>
      <c r="AL110" s="172"/>
      <c r="AM110" s="217" t="n">
        <f aca="false">AH110+AK110</f>
        <v>0</v>
      </c>
      <c r="AN110" s="264"/>
      <c r="AO110" s="264"/>
      <c r="AP110" s="43"/>
    </row>
    <row r="111" customFormat="false" ht="15" hidden="true" customHeight="true" outlineLevel="1" collapsed="false">
      <c r="A111" s="181" t="str">
        <f aca="true">IF(ROW(A111)-ROW(INDEX(Monat.Projekte.Zeilen,1))+1&gt;EB.AnzProjekte,"",OFFSET(EB.Projekte.Knoten,ROW(A111)-ROW(INDEX(Monat.Projekte.Zeilen,1))+1,0,1,1))</f>
        <v/>
      </c>
      <c r="B111" s="176"/>
      <c r="C111" s="176"/>
      <c r="D111" s="176"/>
      <c r="E111" s="176"/>
      <c r="F111" s="176"/>
      <c r="G111" s="176"/>
      <c r="H111" s="176"/>
      <c r="I111" s="176"/>
      <c r="J111" s="176"/>
      <c r="K111" s="176"/>
      <c r="L111" s="176"/>
      <c r="M111" s="176"/>
      <c r="N111" s="176"/>
      <c r="O111" s="176"/>
      <c r="P111" s="176"/>
      <c r="Q111" s="176"/>
      <c r="R111" s="176"/>
      <c r="S111" s="176"/>
      <c r="T111" s="176"/>
      <c r="U111" s="176"/>
      <c r="V111" s="176"/>
      <c r="W111" s="176"/>
      <c r="X111" s="176"/>
      <c r="Y111" s="176"/>
      <c r="Z111" s="190"/>
      <c r="AA111" s="176"/>
      <c r="AB111" s="176"/>
      <c r="AC111" s="176"/>
      <c r="AD111" s="176"/>
      <c r="AE111" s="176"/>
      <c r="AF111" s="168" t="str">
        <f aca="false">A111</f>
        <v/>
      </c>
      <c r="AG111" s="184"/>
      <c r="AH111" s="207" t="n">
        <f aca="false">SUM(B111:AE111)</f>
        <v>0</v>
      </c>
      <c r="AI111" s="33"/>
      <c r="AJ111" s="192"/>
      <c r="AK111" s="216" t="n">
        <f aca="false">IF(EB.Anwendung&lt;&gt;"",IF(MONTH(Monat.Tag1)=1,0,IF(MONTH(Monat.Tag1)=2,January!Monat.P15UeVM,IF(MONTH(Monat.Tag1)=3,February!Monat.P15UeVM,IF(MONTH(Monat.Tag1)=4,March!Monat.P15UeVM,IF(MONTH(Monat.Tag1)=5,April!Monat.P15UeVM,IF(MONTH(Monat.Tag1)=6,May!Monat.P15UeVM,IF(MONTH(Monat.Tag1)=7,June!Monat.P15UeVM,IF(MONTH(Monat.Tag1)=8,July!Monat.P15UeVM,IF(MONTH(Monat.Tag1)=9,August!Monat.P15UeVM,IF(MONTH(Monat.Tag1)=10,Monat.P15UeVM,IF(MONTH(Monat.Tag1)=11,October!Monat.P15UeVM,IF(MONTH(Monat.Tag1)=12,November!Monat.P15UeVM,"")))))))))))),"")</f>
        <v>0</v>
      </c>
      <c r="AL111" s="172"/>
      <c r="AM111" s="217" t="n">
        <f aca="false">AH111+AK111</f>
        <v>0</v>
      </c>
      <c r="AN111" s="264"/>
      <c r="AO111" s="264"/>
      <c r="AP111" s="43"/>
    </row>
    <row r="112" customFormat="false" ht="15" hidden="false" customHeight="true" outlineLevel="0" collapsed="false">
      <c r="A112" s="181" t="s">
        <v>177</v>
      </c>
      <c r="B112" s="205" t="n">
        <f aca="false">SUM(B97:B111)</f>
        <v>0</v>
      </c>
      <c r="C112" s="205" t="n">
        <f aca="false">SUM(C97:C111)</f>
        <v>0</v>
      </c>
      <c r="D112" s="205" t="n">
        <f aca="false">SUM(D97:D111)</f>
        <v>0</v>
      </c>
      <c r="E112" s="205" t="n">
        <f aca="false">SUM(E97:E111)</f>
        <v>0</v>
      </c>
      <c r="F112" s="205" t="n">
        <f aca="false">SUM(F97:F111)</f>
        <v>0</v>
      </c>
      <c r="G112" s="205" t="n">
        <f aca="false">SUM(G97:G111)</f>
        <v>0</v>
      </c>
      <c r="H112" s="205" t="n">
        <f aca="false">SUM(H97:H111)</f>
        <v>0</v>
      </c>
      <c r="I112" s="205" t="n">
        <f aca="false">SUM(I97:I111)</f>
        <v>0</v>
      </c>
      <c r="J112" s="205" t="n">
        <f aca="false">SUM(J97:J111)</f>
        <v>0</v>
      </c>
      <c r="K112" s="205" t="n">
        <f aca="false">SUM(K97:K111)</f>
        <v>0</v>
      </c>
      <c r="L112" s="205" t="n">
        <f aca="false">SUM(L97:L111)</f>
        <v>0</v>
      </c>
      <c r="M112" s="205" t="n">
        <f aca="false">SUM(M97:M111)</f>
        <v>0</v>
      </c>
      <c r="N112" s="205" t="n">
        <f aca="false">SUM(N97:N111)</f>
        <v>0</v>
      </c>
      <c r="O112" s="205" t="n">
        <f aca="false">SUM(O97:O111)</f>
        <v>0</v>
      </c>
      <c r="P112" s="205" t="n">
        <f aca="false">SUM(P97:P111)</f>
        <v>0</v>
      </c>
      <c r="Q112" s="205" t="n">
        <f aca="false">SUM(Q97:Q111)</f>
        <v>0</v>
      </c>
      <c r="R112" s="205" t="n">
        <f aca="false">SUM(R97:R111)</f>
        <v>0</v>
      </c>
      <c r="S112" s="205" t="n">
        <f aca="false">SUM(S97:S111)</f>
        <v>0</v>
      </c>
      <c r="T112" s="205" t="n">
        <f aca="false">SUM(T97:T111)</f>
        <v>0</v>
      </c>
      <c r="U112" s="205" t="n">
        <f aca="false">SUM(U97:U111)</f>
        <v>0</v>
      </c>
      <c r="V112" s="205" t="n">
        <f aca="false">SUM(V97:V111)</f>
        <v>0</v>
      </c>
      <c r="W112" s="205" t="n">
        <f aca="false">SUM(W97:W111)</f>
        <v>0</v>
      </c>
      <c r="X112" s="205" t="n">
        <f aca="false">SUM(X97:X111)</f>
        <v>0</v>
      </c>
      <c r="Y112" s="205" t="n">
        <f aca="false">SUM(Y97:Y111)</f>
        <v>0</v>
      </c>
      <c r="Z112" s="205" t="n">
        <f aca="false">SUM(Z97:Z111)</f>
        <v>0</v>
      </c>
      <c r="AA112" s="205" t="n">
        <f aca="false">SUM(AA97:AA111)</f>
        <v>0</v>
      </c>
      <c r="AB112" s="205" t="n">
        <f aca="false">SUM(AB97:AB111)</f>
        <v>0</v>
      </c>
      <c r="AC112" s="205" t="n">
        <f aca="false">SUM(AC97:AC111)</f>
        <v>0</v>
      </c>
      <c r="AD112" s="205" t="n">
        <f aca="false">SUM(AD97:AD111)</f>
        <v>0</v>
      </c>
      <c r="AE112" s="205" t="n">
        <f aca="false">SUM(AE97:AE111)</f>
        <v>0</v>
      </c>
      <c r="AF112" s="183" t="str">
        <f aca="false">A112</f>
        <v>Hours worked for projects</v>
      </c>
      <c r="AG112" s="184"/>
      <c r="AH112" s="207" t="n">
        <f aca="false">SUM(B112:AE112)</f>
        <v>0</v>
      </c>
      <c r="AI112" s="33"/>
      <c r="AJ112" s="192"/>
      <c r="AK112" s="216" t="n">
        <f aca="false">IF(EB.Anwendung&lt;&gt;"",IF(MONTH(Monat.Tag1)=1,0,IF(MONTH(Monat.Tag1)=2,January!Monat.PTotalUeVM,IF(MONTH(Monat.Tag1)=3,February!Monat.PTotalUeVM,IF(MONTH(Monat.Tag1)=4,March!Monat.PTotalUeVM,IF(MONTH(Monat.Tag1)=5,April!Monat.PTotalUeVM,IF(MONTH(Monat.Tag1)=6,May!Monat.PTotalUeVM,IF(MONTH(Monat.Tag1)=7,June!Monat.PTotalUeVM,IF(MONTH(Monat.Tag1)=8,July!Monat.PTotalUeVM,IF(MONTH(Monat.Tag1)=9,August!Monat.PTotalUeVM,IF(MONTH(Monat.Tag1)=10,Monat.PTotalUeVM,IF(MONTH(Monat.Tag1)=11,October!Monat.PTotalUeVM,IF(MONTH(Monat.Tag1)=12,November!Monat.PTotalUeVM,"")))))))))))),"")</f>
        <v>0</v>
      </c>
      <c r="AL112" s="172"/>
      <c r="AM112" s="217" t="n">
        <f aca="false">AH112+AK112</f>
        <v>0</v>
      </c>
      <c r="AN112" s="267"/>
      <c r="AO112" s="267"/>
      <c r="AP112" s="43"/>
    </row>
    <row r="113" s="148" customFormat="true" ht="11.25" hidden="false" customHeight="true" outlineLevel="0" collapsed="false">
      <c r="A113" s="268"/>
      <c r="B113" s="194"/>
      <c r="C113" s="194"/>
      <c r="D113" s="194"/>
      <c r="E113" s="194"/>
      <c r="F113" s="194"/>
      <c r="G113" s="194"/>
      <c r="H113" s="194"/>
      <c r="I113" s="194"/>
      <c r="J113" s="194"/>
      <c r="K113" s="194"/>
      <c r="L113" s="194"/>
      <c r="M113" s="194"/>
      <c r="N113" s="194"/>
      <c r="O113" s="194"/>
      <c r="P113" s="194"/>
      <c r="Q113" s="194"/>
      <c r="R113" s="194"/>
      <c r="S113" s="194"/>
      <c r="T113" s="194"/>
      <c r="U113" s="194"/>
      <c r="V113" s="194"/>
      <c r="W113" s="194"/>
      <c r="X113" s="194"/>
      <c r="Y113" s="194"/>
      <c r="Z113" s="194"/>
      <c r="AA113" s="194"/>
      <c r="AB113" s="194"/>
      <c r="AC113" s="194"/>
      <c r="AD113" s="194"/>
      <c r="AE113" s="194"/>
      <c r="AF113" s="269"/>
      <c r="AG113" s="263"/>
      <c r="AH113" s="194"/>
      <c r="AI113" s="16"/>
      <c r="AJ113" s="194"/>
      <c r="AK113" s="194"/>
      <c r="AL113" s="194"/>
      <c r="AM113" s="50"/>
      <c r="AN113" s="194"/>
      <c r="AO113" s="194"/>
      <c r="AP113" s="39"/>
    </row>
    <row r="114" s="148" customFormat="true" ht="15" hidden="true" customHeight="true" outlineLevel="1" collapsed="false">
      <c r="A114" s="181" t="s">
        <v>178</v>
      </c>
      <c r="B114" s="213" t="n">
        <f aca="false">ROUND((B23+B45+B91)-SUMPRODUCT((B97:B111)*(EB.Projektart.Bereich=6)),9)</f>
        <v>0</v>
      </c>
      <c r="C114" s="213" t="n">
        <f aca="false">ROUND((C23+C45+C91)-SUMPRODUCT((C97:C111)*(EB.Projektart.Bereich=6)),9)</f>
        <v>0</v>
      </c>
      <c r="D114" s="213" t="n">
        <f aca="false">ROUND((D23+D45+D91)-SUMPRODUCT((D97:D111)*(EB.Projektart.Bereich=6)),9)</f>
        <v>0</v>
      </c>
      <c r="E114" s="213" t="n">
        <f aca="false">ROUND((E23+E45+E91)-SUMPRODUCT((E97:E111)*(EB.Projektart.Bereich=6)),9)</f>
        <v>0</v>
      </c>
      <c r="F114" s="213" t="n">
        <f aca="false">ROUND((F23+F45+F91)-SUMPRODUCT((F97:F111)*(EB.Projektart.Bereich=6)),9)</f>
        <v>0</v>
      </c>
      <c r="G114" s="213" t="n">
        <f aca="false">ROUND((G23+G45+G91)-SUMPRODUCT((G97:G111)*(EB.Projektart.Bereich=6)),9)</f>
        <v>0</v>
      </c>
      <c r="H114" s="213" t="n">
        <f aca="false">ROUND((H23+H45+H91)-SUMPRODUCT((H97:H111)*(EB.Projektart.Bereich=6)),9)</f>
        <v>0</v>
      </c>
      <c r="I114" s="213" t="n">
        <f aca="false">ROUND((I23+I45+I91)-SUMPRODUCT((I97:I111)*(EB.Projektart.Bereich=6)),9)</f>
        <v>0</v>
      </c>
      <c r="J114" s="213" t="n">
        <f aca="false">ROUND((J23+J45+J91)-SUMPRODUCT((J97:J111)*(EB.Projektart.Bereich=6)),9)</f>
        <v>0</v>
      </c>
      <c r="K114" s="213" t="n">
        <f aca="false">ROUND((K23+K45+K91)-SUMPRODUCT((K97:K111)*(EB.Projektart.Bereich=6)),9)</f>
        <v>0</v>
      </c>
      <c r="L114" s="213" t="n">
        <f aca="false">ROUND((L23+L45+L91)-SUMPRODUCT((L97:L111)*(EB.Projektart.Bereich=6)),9)</f>
        <v>0</v>
      </c>
      <c r="M114" s="213" t="n">
        <f aca="false">ROUND((M23+M45+M91)-SUMPRODUCT((M97:M111)*(EB.Projektart.Bereich=6)),9)</f>
        <v>0</v>
      </c>
      <c r="N114" s="213" t="n">
        <f aca="false">ROUND((N23+N45+N91)-SUMPRODUCT((N97:N111)*(EB.Projektart.Bereich=6)),9)</f>
        <v>0</v>
      </c>
      <c r="O114" s="213" t="n">
        <f aca="false">ROUND((O23+O45+O91)-SUMPRODUCT((O97:O111)*(EB.Projektart.Bereich=6)),9)</f>
        <v>0</v>
      </c>
      <c r="P114" s="213" t="n">
        <f aca="false">ROUND((P23+P45+P91)-SUMPRODUCT((P97:P111)*(EB.Projektart.Bereich=6)),9)</f>
        <v>0</v>
      </c>
      <c r="Q114" s="213" t="n">
        <f aca="false">ROUND((Q23+Q45+Q91)-SUMPRODUCT((Q97:Q111)*(EB.Projektart.Bereich=6)),9)</f>
        <v>0</v>
      </c>
      <c r="R114" s="213" t="n">
        <f aca="false">ROUND((R23+R45+R91)-SUMPRODUCT((R97:R111)*(EB.Projektart.Bereich=6)),9)</f>
        <v>0</v>
      </c>
      <c r="S114" s="213" t="n">
        <f aca="false">ROUND((S23+S45+S91)-SUMPRODUCT((S97:S111)*(EB.Projektart.Bereich=6)),9)</f>
        <v>0</v>
      </c>
      <c r="T114" s="213" t="n">
        <f aca="false">ROUND((T23+T45+T91)-SUMPRODUCT((T97:T111)*(EB.Projektart.Bereich=6)),9)</f>
        <v>0</v>
      </c>
      <c r="U114" s="213" t="n">
        <f aca="false">ROUND((U23+U45+U91)-SUMPRODUCT((U97:U111)*(EB.Projektart.Bereich=6)),9)</f>
        <v>0</v>
      </c>
      <c r="V114" s="213" t="n">
        <f aca="false">ROUND((V23+V45+V91)-SUMPRODUCT((V97:V111)*(EB.Projektart.Bereich=6)),9)</f>
        <v>0</v>
      </c>
      <c r="W114" s="213" t="n">
        <f aca="false">ROUND((W23+W45+W91)-SUMPRODUCT((W97:W111)*(EB.Projektart.Bereich=6)),9)</f>
        <v>0</v>
      </c>
      <c r="X114" s="213" t="n">
        <f aca="false">ROUND((X23+X45+X91)-SUMPRODUCT((X97:X111)*(EB.Projektart.Bereich=6)),9)</f>
        <v>0</v>
      </c>
      <c r="Y114" s="213" t="n">
        <f aca="false">ROUND((Y23+Y45+Y91)-SUMPRODUCT((Y97:Y111)*(EB.Projektart.Bereich=6)),9)</f>
        <v>0</v>
      </c>
      <c r="Z114" s="213" t="n">
        <f aca="false">ROUND((Z23+Z45+Z91)-SUMPRODUCT((Z97:Z111)*(EB.Projektart.Bereich=6)),9)</f>
        <v>0</v>
      </c>
      <c r="AA114" s="213" t="n">
        <f aca="false">ROUND((AA23+AA45+AA91)-SUMPRODUCT((AA97:AA111)*(EB.Projektart.Bereich=6)),9)</f>
        <v>0</v>
      </c>
      <c r="AB114" s="213" t="n">
        <f aca="false">ROUND((AB23+AB45+AB91)-SUMPRODUCT((AB97:AB111)*(EB.Projektart.Bereich=6)),9)</f>
        <v>0</v>
      </c>
      <c r="AC114" s="213" t="n">
        <f aca="false">ROUND((AC23+AC45+AC91)-SUMPRODUCT((AC97:AC111)*(EB.Projektart.Bereich=6)),9)</f>
        <v>0</v>
      </c>
      <c r="AD114" s="213" t="n">
        <f aca="false">ROUND((AD23+AD45+AD91)-SUMPRODUCT((AD97:AD111)*(EB.Projektart.Bereich=6)),9)</f>
        <v>0</v>
      </c>
      <c r="AE114" s="213" t="n">
        <f aca="false">ROUND((AE23+AE45+AE91)-SUMPRODUCT((AE97:AE111)*(EB.Projektart.Bereich=6)),9)</f>
        <v>0</v>
      </c>
      <c r="AF114" s="183" t="str">
        <f aca="false">A114</f>
        <v>Difference WH-Project type 6</v>
      </c>
      <c r="AG114" s="197"/>
      <c r="AH114" s="207" t="n">
        <f aca="false">SUM(B114:AE114)</f>
        <v>0</v>
      </c>
      <c r="AI114" s="33"/>
      <c r="AJ114" s="235"/>
      <c r="AK114" s="216" t="n">
        <f aca="false">IF(EB.Anwendung&lt;&gt;"",IF(MONTH(Monat.Tag1)=1,0,IF(MONTH(Monat.Tag1)=2,January!Monat.PDiffUeVM,IF(MONTH(Monat.Tag1)=3,February!Monat.PDiffUeVM,IF(MONTH(Monat.Tag1)=4,March!Monat.PDiffUeVM,IF(MONTH(Monat.Tag1)=5,April!Monat.PDiffUeVM,IF(MONTH(Monat.Tag1)=6,May!Monat.PDiffUeVM,IF(MONTH(Monat.Tag1)=7,June!Monat.PDiffUeVM,IF(MONTH(Monat.Tag1)=8,July!Monat.PDiffUeVM,IF(MONTH(Monat.Tag1)=9,August!Monat.PDiffUeVM,IF(MONTH(Monat.Tag1)=10,Monat.PDiffUeVM,IF(MONTH(Monat.Tag1)=11,October!Monat.PDiffUeVM,IF(MONTH(Monat.Tag1)=12,November!Monat.PDiffUeVM,"")))))))))))),"")</f>
        <v>10.506944445</v>
      </c>
      <c r="AL114" s="235"/>
      <c r="AM114" s="217" t="n">
        <f aca="false">AH114+AK114</f>
        <v>10.506944445</v>
      </c>
      <c r="AN114" s="235"/>
      <c r="AO114" s="235"/>
      <c r="AP114" s="39"/>
    </row>
    <row r="115" customFormat="false" ht="11.25" hidden="true" customHeight="true" outlineLevel="1" collapsed="false">
      <c r="A115" s="43"/>
      <c r="B115" s="270"/>
      <c r="C115" s="270"/>
      <c r="D115" s="270"/>
      <c r="E115" s="270"/>
      <c r="F115" s="270"/>
      <c r="G115" s="270"/>
      <c r="H115" s="270"/>
      <c r="I115" s="270"/>
      <c r="J115" s="271"/>
      <c r="K115" s="270"/>
      <c r="L115" s="270"/>
      <c r="M115" s="270"/>
      <c r="N115" s="270"/>
      <c r="O115" s="270"/>
      <c r="P115" s="270"/>
      <c r="Q115" s="270"/>
      <c r="R115" s="270"/>
      <c r="S115" s="270"/>
      <c r="T115" s="270"/>
      <c r="U115" s="270"/>
      <c r="V115" s="270"/>
      <c r="W115" s="270"/>
      <c r="X115" s="270"/>
      <c r="Y115" s="270"/>
      <c r="Z115" s="270"/>
      <c r="AA115" s="270"/>
      <c r="AB115" s="270"/>
      <c r="AC115" s="270"/>
      <c r="AD115" s="270"/>
      <c r="AE115" s="270"/>
      <c r="AF115" s="272"/>
      <c r="AG115" s="273"/>
      <c r="AH115" s="43"/>
      <c r="AI115" s="43"/>
      <c r="AJ115" s="43"/>
      <c r="AK115" s="43"/>
      <c r="AL115" s="43"/>
      <c r="AM115" s="274"/>
      <c r="AN115" s="43"/>
      <c r="AO115" s="43"/>
      <c r="AP115" s="43"/>
    </row>
    <row r="116" customFormat="false" ht="11.25" hidden="false" customHeight="true" outlineLevel="0" collapsed="false">
      <c r="A116" s="43"/>
      <c r="B116" s="270"/>
      <c r="C116" s="270"/>
      <c r="D116" s="270"/>
      <c r="E116" s="270"/>
      <c r="F116" s="270"/>
      <c r="G116" s="270"/>
      <c r="H116" s="270"/>
      <c r="I116" s="270"/>
      <c r="J116" s="270"/>
      <c r="K116" s="270"/>
      <c r="L116" s="270"/>
      <c r="M116" s="270"/>
      <c r="N116" s="270"/>
      <c r="O116" s="270"/>
      <c r="P116" s="270"/>
      <c r="Q116" s="270"/>
      <c r="R116" s="270"/>
      <c r="S116" s="270"/>
      <c r="T116" s="270"/>
      <c r="U116" s="270"/>
      <c r="V116" s="270"/>
      <c r="W116" s="270"/>
      <c r="X116" s="270"/>
      <c r="Y116" s="270"/>
      <c r="Z116" s="270"/>
      <c r="AA116" s="270"/>
      <c r="AB116" s="270"/>
      <c r="AC116" s="270"/>
      <c r="AD116" s="270"/>
      <c r="AE116" s="270"/>
      <c r="AF116" s="272"/>
      <c r="AG116" s="273"/>
      <c r="AH116" s="43"/>
      <c r="AI116" s="43"/>
      <c r="AJ116" s="43"/>
      <c r="AK116" s="43"/>
      <c r="AL116" s="43"/>
      <c r="AM116" s="274"/>
      <c r="AN116" s="43"/>
      <c r="AO116" s="43"/>
      <c r="AP116" s="43"/>
    </row>
    <row r="117" customFormat="false" ht="12" hidden="false" customHeight="true" outlineLevel="0" collapsed="false">
      <c r="A117" s="43"/>
      <c r="B117" s="275" t="s">
        <v>179</v>
      </c>
      <c r="C117" s="275"/>
      <c r="D117" s="275"/>
      <c r="E117" s="275"/>
      <c r="F117" s="275"/>
      <c r="G117" s="275"/>
      <c r="H117" s="275"/>
      <c r="I117" s="275"/>
      <c r="J117" s="275"/>
      <c r="K117" s="275"/>
      <c r="L117" s="275"/>
      <c r="M117" s="275"/>
      <c r="N117" s="275"/>
      <c r="O117" s="275"/>
      <c r="P117" s="275"/>
      <c r="Q117" s="275"/>
      <c r="R117" s="276"/>
      <c r="S117" s="276"/>
      <c r="T117" s="276"/>
      <c r="U117" s="276"/>
      <c r="V117" s="276"/>
      <c r="W117" s="276"/>
      <c r="X117" s="276"/>
      <c r="Y117" s="276"/>
      <c r="Z117" s="276"/>
      <c r="AA117" s="276"/>
      <c r="AB117" s="276"/>
      <c r="AC117" s="276"/>
      <c r="AD117" s="276"/>
      <c r="AE117" s="276"/>
      <c r="AF117" s="277"/>
      <c r="AG117" s="278"/>
      <c r="AH117" s="276"/>
      <c r="AI117" s="276"/>
      <c r="AJ117" s="276"/>
      <c r="AK117" s="276"/>
      <c r="AL117" s="276"/>
      <c r="AM117" s="279"/>
      <c r="AN117" s="265"/>
      <c r="AO117" s="265"/>
      <c r="AP117" s="43"/>
    </row>
    <row r="118" customFormat="false" ht="11.25" hidden="false" customHeight="true" outlineLevel="0" collapsed="false">
      <c r="A118" s="280"/>
      <c r="B118" s="280"/>
      <c r="C118" s="280"/>
      <c r="D118" s="280"/>
      <c r="E118" s="280"/>
      <c r="F118" s="280"/>
      <c r="G118" s="280"/>
      <c r="H118" s="280"/>
      <c r="I118" s="280"/>
      <c r="J118" s="280"/>
      <c r="K118" s="280"/>
      <c r="L118" s="280"/>
      <c r="M118" s="276"/>
      <c r="N118" s="276"/>
      <c r="O118" s="276"/>
      <c r="P118" s="276"/>
      <c r="Q118" s="276"/>
      <c r="R118" s="276"/>
      <c r="S118" s="276"/>
      <c r="T118" s="276"/>
      <c r="U118" s="276"/>
      <c r="V118" s="276"/>
      <c r="W118" s="276"/>
      <c r="X118" s="276"/>
      <c r="Y118" s="276"/>
      <c r="Z118" s="276"/>
      <c r="AA118" s="276"/>
      <c r="AB118" s="276"/>
      <c r="AC118" s="276"/>
      <c r="AD118" s="276"/>
      <c r="AE118" s="276"/>
      <c r="AF118" s="276"/>
      <c r="AG118" s="276"/>
      <c r="AH118" s="276"/>
      <c r="AI118" s="276"/>
      <c r="AJ118" s="276"/>
      <c r="AK118" s="276"/>
      <c r="AL118" s="276"/>
      <c r="AM118" s="276"/>
      <c r="AN118" s="276"/>
      <c r="AO118" s="276"/>
      <c r="AP118" s="43"/>
    </row>
    <row r="119" customFormat="false" ht="39" hidden="false" customHeight="true" outlineLevel="0" collapsed="false">
      <c r="A119" s="55" t="s">
        <v>180</v>
      </c>
      <c r="B119" s="281"/>
      <c r="C119" s="281"/>
      <c r="D119" s="281"/>
      <c r="E119" s="281"/>
      <c r="F119" s="281"/>
      <c r="G119" s="281"/>
      <c r="H119" s="281"/>
      <c r="I119" s="281"/>
      <c r="J119" s="281"/>
      <c r="K119" s="281"/>
      <c r="L119" s="281"/>
      <c r="M119" s="281"/>
      <c r="N119" s="281"/>
      <c r="O119" s="281"/>
      <c r="P119" s="281"/>
      <c r="Q119" s="281"/>
      <c r="R119" s="276"/>
      <c r="S119" s="276"/>
      <c r="T119" s="276"/>
      <c r="U119" s="276"/>
      <c r="V119" s="276"/>
      <c r="W119" s="276"/>
      <c r="X119" s="276"/>
      <c r="Y119" s="282"/>
      <c r="Z119" s="282"/>
      <c r="AA119" s="282"/>
      <c r="AB119" s="282"/>
      <c r="AC119" s="282"/>
      <c r="AD119" s="282"/>
      <c r="AE119" s="282"/>
      <c r="AF119" s="283"/>
      <c r="AG119" s="283"/>
      <c r="AH119" s="283"/>
      <c r="AI119" s="283"/>
      <c r="AJ119" s="265"/>
      <c r="AK119" s="265"/>
      <c r="AL119" s="265"/>
      <c r="AM119" s="284"/>
      <c r="AN119" s="265"/>
      <c r="AO119" s="265"/>
      <c r="AP119" s="43"/>
    </row>
    <row r="120" customFormat="false" ht="12" hidden="false" customHeight="true" outlineLevel="0" collapsed="false">
      <c r="A120" s="285" t="s">
        <v>181</v>
      </c>
      <c r="B120" s="286"/>
      <c r="C120" s="286"/>
      <c r="D120" s="286"/>
      <c r="E120" s="286"/>
      <c r="F120" s="286"/>
      <c r="G120" s="286"/>
      <c r="H120" s="286"/>
      <c r="I120" s="286"/>
      <c r="J120" s="286"/>
      <c r="K120" s="286"/>
      <c r="L120" s="286"/>
      <c r="M120" s="286"/>
      <c r="N120" s="286"/>
      <c r="O120" s="286"/>
      <c r="P120" s="286"/>
      <c r="Q120" s="286"/>
      <c r="R120" s="276"/>
      <c r="S120" s="276"/>
      <c r="T120" s="287" t="s">
        <v>182</v>
      </c>
      <c r="U120" s="287"/>
      <c r="V120" s="287"/>
      <c r="W120" s="287"/>
      <c r="X120" s="287"/>
      <c r="Y120" s="282"/>
      <c r="Z120" s="282"/>
      <c r="AA120" s="282"/>
      <c r="AB120" s="282"/>
      <c r="AC120" s="282"/>
      <c r="AD120" s="282"/>
      <c r="AE120" s="282"/>
      <c r="AF120" s="283"/>
      <c r="AG120" s="283"/>
      <c r="AH120" s="283"/>
      <c r="AI120" s="283"/>
      <c r="AJ120" s="43"/>
      <c r="AK120" s="43"/>
      <c r="AL120" s="43"/>
      <c r="AM120" s="274"/>
      <c r="AN120" s="43"/>
      <c r="AO120" s="43"/>
      <c r="AP120" s="43"/>
    </row>
    <row r="121" customFormat="false" ht="11.25" hidden="false" customHeight="true" outlineLevel="0" collapsed="false">
      <c r="A121" s="288"/>
      <c r="B121" s="289"/>
      <c r="C121" s="289"/>
      <c r="D121" s="289"/>
      <c r="E121" s="289"/>
      <c r="F121" s="289"/>
      <c r="G121" s="289"/>
      <c r="H121" s="289"/>
      <c r="I121" s="289"/>
      <c r="J121" s="289"/>
      <c r="K121" s="289"/>
      <c r="L121" s="289"/>
      <c r="M121" s="270"/>
      <c r="N121" s="270"/>
      <c r="O121" s="270"/>
      <c r="P121" s="270"/>
      <c r="Q121" s="270"/>
      <c r="R121" s="270"/>
      <c r="S121" s="276"/>
      <c r="T121" s="270"/>
      <c r="U121" s="270"/>
      <c r="V121" s="270"/>
      <c r="W121" s="270"/>
      <c r="X121" s="270"/>
      <c r="Y121" s="270"/>
      <c r="Z121" s="270"/>
      <c r="AA121" s="270"/>
      <c r="AB121" s="270"/>
      <c r="AC121" s="270"/>
      <c r="AD121" s="270"/>
      <c r="AE121" s="270"/>
      <c r="AF121" s="272"/>
      <c r="AG121" s="273"/>
      <c r="AH121" s="43"/>
      <c r="AI121" s="43"/>
      <c r="AJ121" s="43"/>
      <c r="AK121" s="43"/>
      <c r="AL121" s="43"/>
      <c r="AM121" s="274"/>
      <c r="AN121" s="43"/>
      <c r="AO121" s="43"/>
      <c r="AP121" s="43"/>
    </row>
    <row r="122" customFormat="false" ht="12" hidden="false" customHeight="true" outlineLevel="0" collapsed="false">
      <c r="A122" s="43"/>
      <c r="B122" s="290" t="s">
        <v>183</v>
      </c>
      <c r="C122" s="290"/>
      <c r="D122" s="290"/>
      <c r="E122" s="290"/>
      <c r="F122" s="290"/>
      <c r="G122" s="290"/>
      <c r="H122" s="290"/>
      <c r="I122" s="290"/>
      <c r="J122" s="290"/>
      <c r="K122" s="290"/>
      <c r="L122" s="290"/>
      <c r="M122" s="290"/>
      <c r="N122" s="290"/>
      <c r="O122" s="290"/>
      <c r="P122" s="290"/>
      <c r="Q122" s="290"/>
      <c r="R122" s="270"/>
      <c r="S122" s="270"/>
      <c r="T122" s="270"/>
      <c r="U122" s="270"/>
      <c r="V122" s="270"/>
      <c r="W122" s="270"/>
      <c r="X122" s="270"/>
      <c r="Y122" s="270"/>
      <c r="Z122" s="270"/>
      <c r="AA122" s="270"/>
      <c r="AB122" s="270"/>
      <c r="AC122" s="270"/>
      <c r="AD122" s="270"/>
      <c r="AE122" s="270"/>
      <c r="AF122" s="272"/>
      <c r="AG122" s="273"/>
      <c r="AH122" s="43"/>
      <c r="AI122" s="43"/>
      <c r="AJ122" s="43"/>
      <c r="AK122" s="43"/>
      <c r="AL122" s="43"/>
      <c r="AM122" s="274"/>
      <c r="AN122" s="43"/>
      <c r="AO122" s="43"/>
      <c r="AP122" s="43"/>
    </row>
    <row r="123" customFormat="false" ht="11.25" hidden="false" customHeight="true" outlineLevel="0" collapsed="false">
      <c r="A123" s="43"/>
      <c r="B123" s="270"/>
      <c r="C123" s="270"/>
      <c r="D123" s="270"/>
      <c r="E123" s="270"/>
      <c r="F123" s="270"/>
      <c r="G123" s="270"/>
      <c r="H123" s="270"/>
      <c r="I123" s="270"/>
      <c r="J123" s="270"/>
      <c r="K123" s="270"/>
      <c r="L123" s="270"/>
      <c r="M123" s="270"/>
      <c r="N123" s="270"/>
      <c r="O123" s="270"/>
      <c r="P123" s="270"/>
      <c r="Q123" s="270"/>
      <c r="R123" s="270"/>
      <c r="S123" s="270"/>
      <c r="T123" s="270"/>
      <c r="U123" s="270"/>
      <c r="V123" s="270"/>
      <c r="W123" s="270"/>
      <c r="X123" s="270"/>
      <c r="Y123" s="270"/>
      <c r="Z123" s="270"/>
      <c r="AA123" s="270"/>
      <c r="AB123" s="270"/>
      <c r="AC123" s="270"/>
      <c r="AD123" s="270"/>
      <c r="AE123" s="270"/>
      <c r="AF123" s="272"/>
      <c r="AG123" s="273"/>
      <c r="AH123" s="43"/>
      <c r="AI123" s="43"/>
      <c r="AJ123" s="43"/>
      <c r="AK123" s="43"/>
      <c r="AL123" s="43"/>
      <c r="AM123" s="274"/>
      <c r="AN123" s="43"/>
      <c r="AO123" s="43"/>
      <c r="AP123" s="43"/>
    </row>
    <row r="124" customFormat="false" ht="11.25" hidden="false" customHeight="true" outlineLevel="0" collapsed="false">
      <c r="A124" s="276"/>
      <c r="B124" s="276"/>
      <c r="C124" s="276"/>
      <c r="D124" s="276"/>
      <c r="E124" s="276"/>
      <c r="F124" s="276"/>
      <c r="G124" s="276"/>
      <c r="H124" s="276"/>
      <c r="I124" s="276"/>
      <c r="J124" s="276"/>
      <c r="K124" s="276"/>
      <c r="L124" s="276"/>
      <c r="M124" s="276"/>
      <c r="N124" s="276"/>
      <c r="O124" s="276"/>
      <c r="P124" s="276"/>
      <c r="Q124" s="276"/>
      <c r="R124" s="276"/>
      <c r="S124" s="276"/>
      <c r="T124" s="276"/>
      <c r="U124" s="276"/>
      <c r="V124" s="276"/>
      <c r="W124" s="276"/>
      <c r="X124" s="276"/>
      <c r="Y124" s="276"/>
      <c r="Z124" s="276"/>
      <c r="AA124" s="276"/>
      <c r="AB124" s="276"/>
      <c r="AC124" s="276"/>
      <c r="AD124" s="276"/>
      <c r="AE124" s="276"/>
      <c r="AF124" s="276"/>
      <c r="AG124" s="276"/>
      <c r="AH124" s="276"/>
      <c r="AI124" s="276"/>
      <c r="AJ124" s="276"/>
      <c r="AK124" s="276"/>
      <c r="AL124" s="276"/>
      <c r="AM124" s="276"/>
      <c r="AN124" s="276"/>
      <c r="AO124" s="276"/>
      <c r="AP124" s="43"/>
    </row>
  </sheetData>
  <sheetProtection sheet="true" objects="true" scenarios="true"/>
  <mergeCells count="25">
    <mergeCell ref="B1:L1"/>
    <mergeCell ref="AN1:AO1"/>
    <mergeCell ref="B2:E2"/>
    <mergeCell ref="F2:N2"/>
    <mergeCell ref="P2:U2"/>
    <mergeCell ref="B3:E3"/>
    <mergeCell ref="F3:N3"/>
    <mergeCell ref="P3:U3"/>
    <mergeCell ref="B4:E4"/>
    <mergeCell ref="F4:N4"/>
    <mergeCell ref="P4:U4"/>
    <mergeCell ref="B5:E5"/>
    <mergeCell ref="F5:N5"/>
    <mergeCell ref="B6:E6"/>
    <mergeCell ref="F6:N6"/>
    <mergeCell ref="B7:E7"/>
    <mergeCell ref="F7:N7"/>
    <mergeCell ref="AG10:AH10"/>
    <mergeCell ref="AN10:AO10"/>
    <mergeCell ref="B117:Q117"/>
    <mergeCell ref="B119:Q119"/>
    <mergeCell ref="Y119:AE120"/>
    <mergeCell ref="B120:Q120"/>
    <mergeCell ref="T120:X120"/>
    <mergeCell ref="B122:Q122"/>
  </mergeCells>
  <conditionalFormatting sqref="AH114 B114:AE114">
    <cfRule type="expression" priority="2" aboveAverage="0" equalAverage="0" bottom="0" percent="0" rank="0" text="" dxfId="0">
      <formula>ABS(B$114)&gt;=ROUND(1/24/60,9)</formula>
    </cfRule>
  </conditionalFormatting>
  <conditionalFormatting sqref="B13:AE22 B34:AE44 B25:AE30 B60:AE61 B67:AE67 B71:AE72 B84:AE84 B86:AE95 B97:AE111">
    <cfRule type="expression" priority="3" aboveAverage="0" equalAverage="0" bottom="0" percent="0" rank="0" text="" dxfId="1">
      <formula>WEEKDAY(B$10,2)&gt;5</formula>
    </cfRule>
    <cfRule type="expression" priority="4" aboveAverage="0" equalAverage="0" bottom="0" percent="0" rank="0" text="" dxfId="2">
      <formula>AND(NOT(ISERROR(MATCH(B$10,T.Feiertage.Bereich,0))),OFFSET(T.Feiertage.Bereich,MATCH(B$10,T.Feiertage.Bereich,0)-1,1,1,1)&gt;0)</formula>
    </cfRule>
    <cfRule type="expression" priority="5" aboveAverage="0" equalAverage="0" bottom="0" percent="0" rank="0" text="" dxfId="3">
      <formula>B$11=0</formula>
    </cfRule>
  </conditionalFormatting>
  <conditionalFormatting sqref="AM60:AN60">
    <cfRule type="expression" priority="6" aboveAverage="0" equalAverage="0" bottom="0" percent="0" rank="0" text="" dxfId="4">
      <formula>AND(T.50_Vetsuisse,AM60&gt;=T.GrenzeAngÜZ50_Vetsuisse)</formula>
    </cfRule>
    <cfRule type="expression" priority="7" aboveAverage="0" equalAverage="0" bottom="0" percent="0" rank="0" text="" dxfId="5">
      <formula>AND(T.50_Vetsuisse,AM60&gt;T.GrenzeAngÜZ50_Vetsuisse*T.AngÜZ50_Vetsuisse_orange)</formula>
    </cfRule>
  </conditionalFormatting>
  <conditionalFormatting sqref="B56:AE56">
    <cfRule type="expression" priority="8" aboveAverage="0" equalAverage="0" bottom="0" percent="0" rank="0" text="" dxfId="6">
      <formula>B$10&gt;TODAY()</formula>
    </cfRule>
    <cfRule type="expression" priority="9" aboveAverage="0" equalAverage="0" bottom="0" percent="0" rank="0" text="" dxfId="7">
      <formula>B$56&gt;99.99/24</formula>
    </cfRule>
    <cfRule type="expression" priority="10" aboveAverage="0" equalAverage="0" bottom="0" percent="0" rank="0" text="" dxfId="0">
      <formula>B$56&lt;99.99/24*-1</formula>
    </cfRule>
  </conditionalFormatting>
  <conditionalFormatting sqref="AN55:AO55">
    <cfRule type="cellIs" priority="11" operator="greaterThan" aboveAverage="0" equalAverage="0" bottom="0" percent="0" rank="0" text="" dxfId="1">
      <formula>1/24/60</formula>
    </cfRule>
    <cfRule type="expression" priority="12" aboveAverage="0" equalAverage="0" bottom="0" percent="0" rank="0" text="" dxfId="2">
      <formula>AND(AN55&lt;=1/24/60*-1,TODAY()&gt;=DATE(EB.Jahr,MONTH(12),DAY(31)))</formula>
    </cfRule>
  </conditionalFormatting>
  <conditionalFormatting sqref="AH58 B56:AE56">
    <cfRule type="expression" priority="13" aboveAverage="0" equalAverage="0" bottom="0" percent="0" rank="0" text="" dxfId="3">
      <formula>B$56&gt;1/24/60</formula>
    </cfRule>
    <cfRule type="expression" priority="14" aboveAverage="0" equalAverage="0" bottom="0" percent="0" rank="0" text="" dxfId="4">
      <formula>AND(B$56&lt;=1/24/60*-1,B$56)</formula>
    </cfRule>
  </conditionalFormatting>
  <conditionalFormatting sqref="B14:AE22 B36:AE44 B26:AE30">
    <cfRule type="expression" priority="15" aboveAverage="0" equalAverage="0" bottom="0" percent="0" rank="0" text="" dxfId="5">
      <formula>AND(B14&lt;B13,B14&lt;&gt;"")</formula>
    </cfRule>
  </conditionalFormatting>
  <conditionalFormatting sqref="B72:AE73">
    <cfRule type="expression" priority="16" aboveAverage="0" equalAverage="0" bottom="0" percent="0" rank="0" text="" dxfId="6">
      <formula>AND(T.50_Vetsuisse,OR(AND(B$72&lt;&gt;INDEX(T.JaNein.Bereich,1,1),B$72&lt;&gt;INDEX(T.JaNein.Bereich,2,1),B$73&lt;&gt;0,MOD(IFERROR(MATCH(1,B$13:B$22,0),1),2)=0),AND(B$72=INDEX(T.JaNein.Bereich,1,1),OR(B$73=0,MOD(IFERROR(MATCH(1,B$13:B$22,0),1),2)&lt;&gt;0))))</formula>
    </cfRule>
  </conditionalFormatting>
  <conditionalFormatting sqref="P4:U4">
    <cfRule type="expression" priority="17" aboveAverage="0" equalAverage="0" bottom="0" percent="0" rank="0" text="" dxfId="7">
      <formula>$P$4&lt;&gt;""</formula>
    </cfRule>
  </conditionalFormatting>
  <conditionalFormatting sqref="V4">
    <cfRule type="expression" priority="18" aboveAverage="0" equalAverage="0" bottom="0" percent="0" rank="0" text="" dxfId="8">
      <formula>$V$4&lt;&gt;""</formula>
    </cfRule>
  </conditionalFormatting>
  <conditionalFormatting sqref="AO60">
    <cfRule type="expression" priority="19" aboveAverage="0" equalAverage="0" bottom="0" percent="0" rank="0" text="" dxfId="9">
      <formula>AND(T.50_Vetsuisse,AO60&gt;=T.GrenzeAngÜZ50_Vetsuisse)</formula>
    </cfRule>
    <cfRule type="expression" priority="20" aboveAverage="0" equalAverage="0" bottom="0" percent="0" rank="0" text="" dxfId="10">
      <formula>AND(T.50_Vetsuisse,AO60&gt;T.GrenzeAngÜZ50_Vetsuisse*T.AngÜZ50_Vetsuisse_orange)</formula>
    </cfRule>
  </conditionalFormatting>
  <conditionalFormatting sqref="AI72:AI73">
    <cfRule type="expression" priority="21" aboveAverage="0" equalAverage="0" bottom="0" percent="0" rank="0" text="" dxfId="11">
      <formula>AND(T.50_Vetsuisse,$AI$72&lt;&gt;$AI$73)</formula>
    </cfRule>
    <cfRule type="expression" priority="22" aboveAverage="0" equalAverage="0" bottom="0" percent="0" rank="0" text="" dxfId="12">
      <formula>$AI$72&gt;$AI$73</formula>
    </cfRule>
  </conditionalFormatting>
  <dataValidations count="2">
    <dataValidation allowBlank="true" error="Please choose a value from the drop-down list." errorTitle="Start pl. night shift" operator="between" showDropDown="false" showErrorMessage="true" showInputMessage="true" sqref="B72:AE72" type="list">
      <formula1>T.JaNein.Bereich</formula1>
      <formula2>0</formula2>
    </dataValidation>
    <dataValidation allowBlank="true" error="Bitte wählen Sie einen Wert aus der Liste." errorTitle="Pikett Bereitschaft" operator="between" showDropDown="false" showErrorMessage="true" showInputMessage="true" sqref="B34:AE34" type="list">
      <formula1>T.Pikett.Bereich</formula1>
      <formula2>0</formula2>
    </dataValidation>
  </dataValidations>
  <printOptions headings="false" gridLines="false" gridLinesSet="true" horizontalCentered="true" verticalCentered="false"/>
  <pageMargins left="0.196527777777778" right="0.196527777777778" top="0.39375" bottom="0.393055555555556" header="0.511805555555555" footer="0.196527777777778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&amp;L&amp;"Arial,Regular"&amp;11Monatsabrechnung &amp;A&amp;C&amp;"Arial,Regular"&amp;11&amp;D&amp;R&amp;"Arial,Regular"&amp;11&amp;P / &amp;N</oddFooter>
  </headerFooter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Q124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" ySplit="10" topLeftCell="B11" activePane="bottomRight" state="frozen"/>
      <selection pane="topLeft" activeCell="A1" activeCellId="0" sqref="A1"/>
      <selection pane="topRight" activeCell="B1" activeCellId="0" sqref="B1"/>
      <selection pane="bottomLeft" activeCell="A11" activeCellId="0" sqref="A11"/>
      <selection pane="bottomRight" activeCell="B13" activeCellId="0" sqref="B13"/>
    </sheetView>
  </sheetViews>
  <sheetFormatPr defaultRowHeight="13" zeroHeight="false" outlineLevelRow="1" outlineLevelCol="1"/>
  <cols>
    <col collapsed="false" customWidth="true" hidden="false" outlineLevel="0" max="1" min="1" style="132" width="24.5"/>
    <col collapsed="false" customWidth="true" hidden="false" outlineLevel="0" max="32" min="2" style="132" width="5.66"/>
    <col collapsed="false" customWidth="true" hidden="false" outlineLevel="0" max="33" min="33" style="133" width="24.5"/>
    <col collapsed="false" customWidth="true" hidden="false" outlineLevel="0" max="34" min="34" style="134" width="2.17"/>
    <col collapsed="false" customWidth="true" hidden="false" outlineLevel="0" max="36" min="35" style="132" width="8.17"/>
    <col collapsed="false" customWidth="true" hidden="true" outlineLevel="1" max="37" min="37" style="132" width="15.83"/>
    <col collapsed="false" customWidth="true" hidden="true" outlineLevel="1" max="39" min="38" style="132" width="14.33"/>
    <col collapsed="false" customWidth="true" hidden="false" outlineLevel="0" max="40" min="40" style="135" width="9.5"/>
    <col collapsed="false" customWidth="true" hidden="false" outlineLevel="0" max="42" min="41" style="132" width="8.17"/>
    <col collapsed="false" customWidth="true" hidden="false" outlineLevel="0" max="43" min="43" style="132" width="3.66"/>
    <col collapsed="false" customWidth="true" hidden="false" outlineLevel="0" max="1025" min="44" style="0" width="10.66"/>
  </cols>
  <sheetData>
    <row r="1" s="142" customFormat="true" ht="22.5" hidden="false" customHeight="true" outlineLevel="0" collapsed="false">
      <c r="A1" s="136" t="str">
        <f aca="false">INDEX(EB.Monate.Bereich,MONTH(Monat.Tag1)) &amp; " " &amp; EB.Jahr</f>
        <v>October 2018</v>
      </c>
      <c r="B1" s="137" t="str">
        <f aca="false">Eingabeblatt!B1</f>
        <v>Employee Time Sheet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6"/>
      <c r="N1" s="6"/>
      <c r="O1" s="6"/>
      <c r="P1" s="6"/>
      <c r="Q1" s="6"/>
      <c r="R1" s="138"/>
      <c r="S1" s="6"/>
      <c r="T1" s="6"/>
      <c r="U1" s="6"/>
      <c r="V1" s="139"/>
      <c r="W1" s="139"/>
      <c r="X1" s="6"/>
      <c r="Y1" s="138"/>
      <c r="Z1" s="6"/>
      <c r="AA1" s="6"/>
      <c r="AB1" s="6"/>
      <c r="AC1" s="6"/>
      <c r="AD1" s="6"/>
      <c r="AE1" s="6"/>
      <c r="AF1" s="6"/>
      <c r="AG1" s="140"/>
      <c r="AH1" s="141"/>
      <c r="AI1" s="6"/>
      <c r="AJ1" s="6"/>
      <c r="AK1" s="6"/>
      <c r="AL1" s="6"/>
      <c r="AM1" s="6"/>
      <c r="AN1" s="7"/>
      <c r="AO1" s="7" t="str">
        <f aca="false">EB.Version</f>
        <v>Version 01.18</v>
      </c>
      <c r="AP1" s="7"/>
      <c r="AQ1" s="8" t="str">
        <f aca="false">EB.Sprache</f>
        <v>EN</v>
      </c>
    </row>
    <row r="2" s="148" customFormat="true" ht="15" hidden="false" customHeight="true" outlineLevel="0" collapsed="false">
      <c r="A2" s="55"/>
      <c r="B2" s="11" t="str">
        <f aca="false">Eingabeblatt!A3</f>
        <v>Name</v>
      </c>
      <c r="C2" s="11"/>
      <c r="D2" s="11"/>
      <c r="E2" s="11"/>
      <c r="F2" s="143" t="str">
        <f aca="false">IF(EB.Name="","?",EB.Name)</f>
        <v>Christopher Gwilliams</v>
      </c>
      <c r="G2" s="143"/>
      <c r="H2" s="143"/>
      <c r="I2" s="143"/>
      <c r="J2" s="143"/>
      <c r="K2" s="143"/>
      <c r="L2" s="143"/>
      <c r="M2" s="143"/>
      <c r="N2" s="143"/>
      <c r="O2" s="144"/>
      <c r="P2" s="11" t="str">
        <f aca="false">Eingabeblatt!J7</f>
        <v>Employment Level (FTE) in %</v>
      </c>
      <c r="Q2" s="11"/>
      <c r="R2" s="11"/>
      <c r="S2" s="11"/>
      <c r="T2" s="11"/>
      <c r="U2" s="11"/>
      <c r="V2" s="58" t="n">
        <f aca="false">IF(INDEX(EB.EffBG.Bereich,MONTH(Monat.Tag1))="","-     ",INDEX(EB.EffBG.Bereich,MONTH(Monat.Tag1)))</f>
        <v>100</v>
      </c>
      <c r="W2" s="145"/>
      <c r="X2" s="145"/>
      <c r="Y2" s="16"/>
      <c r="Z2" s="39"/>
      <c r="AA2" s="39"/>
      <c r="AB2" s="39"/>
      <c r="AC2" s="39"/>
      <c r="AD2" s="39"/>
      <c r="AE2" s="39"/>
      <c r="AF2" s="39"/>
      <c r="AG2" s="13"/>
      <c r="AH2" s="146"/>
      <c r="AI2" s="39"/>
      <c r="AJ2" s="39"/>
      <c r="AK2" s="39"/>
      <c r="AL2" s="39"/>
      <c r="AM2" s="39"/>
      <c r="AN2" s="147"/>
      <c r="AO2" s="39"/>
      <c r="AP2" s="39"/>
      <c r="AQ2" s="39"/>
    </row>
    <row r="3" s="148" customFormat="true" ht="15" hidden="false" customHeight="true" outlineLevel="0" collapsed="false">
      <c r="A3" s="149"/>
      <c r="B3" s="11" t="str">
        <f aca="false">Eingabeblatt!H2</f>
        <v>Function</v>
      </c>
      <c r="C3" s="11"/>
      <c r="D3" s="11"/>
      <c r="E3" s="11"/>
      <c r="F3" s="150" t="str">
        <f aca="false">EB.Funktion</f>
        <v>Description of Function</v>
      </c>
      <c r="G3" s="150"/>
      <c r="H3" s="150"/>
      <c r="I3" s="150"/>
      <c r="J3" s="150"/>
      <c r="K3" s="150"/>
      <c r="L3" s="150"/>
      <c r="M3" s="150"/>
      <c r="N3" s="150"/>
      <c r="O3" s="13"/>
      <c r="P3" s="11" t="str">
        <f aca="false">Eingabeblatt!J12</f>
        <v>ø Hours per day at FTE</v>
      </c>
      <c r="Q3" s="11"/>
      <c r="R3" s="11"/>
      <c r="S3" s="11"/>
      <c r="T3" s="11"/>
      <c r="U3" s="11"/>
      <c r="V3" s="151" t="n">
        <f aca="false">IF(INDEX(EB.DurchSollTAZStd.Bereich,MONTH(Monat.Tag1))="","-     ",INDEX(EB.DurchSollTAZStd.Bereich,MONTH(Monat.Tag1)))</f>
        <v>0.35</v>
      </c>
      <c r="W3" s="152"/>
      <c r="X3" s="152"/>
      <c r="Y3" s="39"/>
      <c r="Z3" s="39"/>
      <c r="AA3" s="39"/>
      <c r="AB3" s="39"/>
      <c r="AC3" s="39"/>
      <c r="AD3" s="39"/>
      <c r="AE3" s="39"/>
      <c r="AF3" s="39"/>
      <c r="AG3" s="13"/>
      <c r="AH3" s="146"/>
      <c r="AI3" s="39"/>
      <c r="AJ3" s="39"/>
      <c r="AK3" s="39"/>
      <c r="AL3" s="39"/>
      <c r="AM3" s="39"/>
      <c r="AN3" s="147"/>
      <c r="AO3" s="39"/>
      <c r="AP3" s="39"/>
      <c r="AQ3" s="39"/>
    </row>
    <row r="4" s="148" customFormat="true" ht="15" hidden="false" customHeight="true" outlineLevel="0" collapsed="false">
      <c r="A4" s="149"/>
      <c r="B4" s="11" t="str">
        <f aca="false">Eingabeblatt!H3</f>
        <v>Institute/Department</v>
      </c>
      <c r="C4" s="11"/>
      <c r="D4" s="11"/>
      <c r="E4" s="11"/>
      <c r="F4" s="150" t="str">
        <f aca="false">EB.Institut</f>
        <v>Institute/Department Name</v>
      </c>
      <c r="G4" s="150"/>
      <c r="H4" s="150"/>
      <c r="I4" s="150"/>
      <c r="J4" s="150"/>
      <c r="K4" s="150"/>
      <c r="L4" s="150"/>
      <c r="M4" s="150"/>
      <c r="N4" s="150"/>
      <c r="O4" s="13"/>
      <c r="P4" s="47" t="str">
        <f aca="true">IF(EB.ÜZZSBerechtigt=INDEX(T.JaNein.Bereich,1,1),IF(AND(OR(AND(EB.LKgr16=INDEX(T.JaNein.Bereich,1,1),EB.LKgr16ab&gt;EOMONTH(Monat.Tag1,0)),EB.LKgr16&lt;&gt;INDEX(T.JaNein.Bereich,1,1)),Monat.AZSoll.Total&gt;0),Eingabeblatt!J6,""),"")</f>
        <v/>
      </c>
      <c r="Q4" s="47"/>
      <c r="R4" s="47"/>
      <c r="S4" s="47"/>
      <c r="T4" s="47"/>
      <c r="U4" s="47"/>
      <c r="V4" s="153" t="str">
        <f aca="false">IF(P4&lt;&gt;"",EB.ÜZZSBerechtigt,"")</f>
        <v/>
      </c>
      <c r="W4" s="39"/>
      <c r="X4" s="39"/>
      <c r="Y4" s="39"/>
      <c r="Z4" s="39"/>
      <c r="AA4" s="39"/>
      <c r="AB4" s="39"/>
      <c r="AC4" s="39"/>
      <c r="AD4" s="39"/>
      <c r="AE4" s="39"/>
      <c r="AF4" s="39"/>
      <c r="AG4" s="13"/>
      <c r="AH4" s="146"/>
      <c r="AI4" s="39"/>
      <c r="AJ4" s="39"/>
      <c r="AK4" s="39"/>
      <c r="AL4" s="39"/>
      <c r="AM4" s="39"/>
      <c r="AN4" s="147"/>
      <c r="AO4" s="39"/>
      <c r="AP4" s="39"/>
      <c r="AQ4" s="39"/>
    </row>
    <row r="5" s="148" customFormat="true" ht="15" hidden="false" customHeight="true" outlineLevel="0" collapsed="false">
      <c r="A5" s="149"/>
      <c r="B5" s="11" t="str">
        <f aca="false">Eingabeblatt!A5</f>
        <v>Employee Number</v>
      </c>
      <c r="C5" s="11"/>
      <c r="D5" s="11"/>
      <c r="E5" s="11"/>
      <c r="F5" s="150" t="str">
        <f aca="false">IF(EB.Personalnummer="","?",EB.Personalnummer)</f>
        <v>?</v>
      </c>
      <c r="G5" s="150"/>
      <c r="H5" s="150"/>
      <c r="I5" s="150"/>
      <c r="J5" s="150"/>
      <c r="K5" s="150"/>
      <c r="L5" s="150"/>
      <c r="M5" s="150"/>
      <c r="N5" s="150"/>
      <c r="O5" s="13"/>
      <c r="P5" s="19" t="str">
        <f aca="false">Eingabeblatt!A38</f>
        <v>Standard working hours</v>
      </c>
      <c r="Q5" s="13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 t="s">
        <v>120</v>
      </c>
      <c r="AG5" s="13"/>
      <c r="AH5" s="146"/>
      <c r="AI5" s="39"/>
      <c r="AJ5" s="39"/>
      <c r="AK5" s="39"/>
      <c r="AL5" s="39"/>
      <c r="AM5" s="39"/>
      <c r="AN5" s="147"/>
      <c r="AO5" s="39"/>
      <c r="AP5" s="39"/>
      <c r="AQ5" s="39"/>
    </row>
    <row r="6" s="148" customFormat="true" ht="15" hidden="false" customHeight="true" outlineLevel="0" collapsed="false">
      <c r="A6" s="149"/>
      <c r="B6" s="11" t="str">
        <f aca="false">Eingabeblatt!H4</f>
        <v>Faculty</v>
      </c>
      <c r="C6" s="11"/>
      <c r="D6" s="11"/>
      <c r="E6" s="11"/>
      <c r="F6" s="150" t="str">
        <f aca="false">EB.Fakultaet</f>
        <v>Select Faculty</v>
      </c>
      <c r="G6" s="150"/>
      <c r="H6" s="150"/>
      <c r="I6" s="150"/>
      <c r="J6" s="150"/>
      <c r="K6" s="150"/>
      <c r="L6" s="150"/>
      <c r="M6" s="150"/>
      <c r="N6" s="150"/>
      <c r="O6" s="13"/>
      <c r="P6" s="154" t="str">
        <f aca="false">LEFT(INDEX(EB.RAZ_Wochentage.Bereich,1),2)</f>
        <v>Mo</v>
      </c>
      <c r="Q6" s="154" t="str">
        <f aca="false">LEFT(INDEX(EB.RAZ_Wochentage.Bereich,2),2)</f>
        <v>Tu</v>
      </c>
      <c r="R6" s="154" t="str">
        <f aca="false">LEFT(INDEX(EB.RAZ_Wochentage.Bereich,3),2)</f>
        <v>We</v>
      </c>
      <c r="S6" s="154" t="str">
        <f aca="false">LEFT(INDEX(EB.RAZ_Wochentage.Bereich,4),2)</f>
        <v>Th</v>
      </c>
      <c r="T6" s="154" t="str">
        <f aca="false">LEFT(INDEX(EB.RAZ_Wochentage.Bereich,5),2)</f>
        <v>Fr</v>
      </c>
      <c r="U6" s="154" t="str">
        <f aca="false">LEFT(INDEX(EB.RAZ_Wochentage.Bereich,6),2)</f>
        <v>Sa</v>
      </c>
      <c r="V6" s="154" t="str">
        <f aca="false">LEFT(INDEX(EB.RAZ_Wochentage.Bereich,7),2)</f>
        <v>Su</v>
      </c>
      <c r="W6" s="39"/>
      <c r="X6" s="39"/>
      <c r="Y6" s="39"/>
      <c r="Z6" s="39"/>
      <c r="AA6" s="39"/>
      <c r="AB6" s="39"/>
      <c r="AC6" s="39"/>
      <c r="AD6" s="39"/>
      <c r="AE6" s="39"/>
      <c r="AF6" s="39"/>
      <c r="AG6" s="13"/>
      <c r="AH6" s="146"/>
      <c r="AI6" s="39"/>
      <c r="AJ6" s="39"/>
      <c r="AK6" s="39"/>
      <c r="AL6" s="39"/>
      <c r="AM6" s="39"/>
      <c r="AN6" s="147"/>
      <c r="AO6" s="39"/>
      <c r="AP6" s="39"/>
      <c r="AQ6" s="39"/>
    </row>
    <row r="7" s="148" customFormat="true" ht="15" hidden="false" customHeight="true" outlineLevel="0" collapsed="false">
      <c r="A7" s="149"/>
      <c r="B7" s="11" t="str">
        <f aca="false">Eingabeblatt!H5</f>
        <v>Employee Category</v>
      </c>
      <c r="C7" s="11"/>
      <c r="D7" s="11"/>
      <c r="E7" s="11"/>
      <c r="F7" s="150" t="str">
        <f aca="false">EB.Personalkategorie</f>
        <v>Select Employee Category</v>
      </c>
      <c r="G7" s="150"/>
      <c r="H7" s="150"/>
      <c r="I7" s="150"/>
      <c r="J7" s="150"/>
      <c r="K7" s="150"/>
      <c r="L7" s="150"/>
      <c r="M7" s="150"/>
      <c r="N7" s="150"/>
      <c r="O7" s="13"/>
      <c r="P7" s="155" t="n">
        <f aca="false">IF(EB.Anwendung&lt;&gt;"",IF(MONTH(Monat.Tag1)=1,INDEX(EB.RAZ1_7.Bereich,1),INDEX(IF(MONTH(Monat.Tag1)=2,January!Monat.RAZ1_7.Bereich,IF(MONTH(Monat.Tag1)=3,February!Monat.RAZ1_7.Bereich,IF(MONTH(Monat.Tag1)=4,March!Monat.RAZ1_7.Bereich,IF(MONTH(Monat.Tag1)=5,April!Monat.RAZ1_7.Bereich,IF(MONTH(Monat.Tag1)=6,May!Monat.RAZ1_7.Bereich,IF(MONTH(Monat.Tag1)=7,June!Monat.RAZ1_7.Bereich,IF(MONTH(Monat.Tag1)=8,July!Monat.RAZ1_7.Bereich,IF(MONTH(Monat.Tag1)=9,August!Monat.RAZ1_7.Bereich,IF(MONTH(Monat.Tag1)=10,September!Monat.RAZ1_7.Bereich,IF(MONTH(Monat.Tag1)=11,Monat.RAZ1_7.Bereich,IF(MONTH(Monat.Tag1)=12,November!Monat.RAZ1_7.Bereich,""))))))))))),1)),"")</f>
        <v>0.35</v>
      </c>
      <c r="Q7" s="155" t="n">
        <f aca="false">IF(EB.Anwendung&lt;&gt;"",IF(MONTH(Monat.Tag1)=1,INDEX(EB.RAZ1_7.Bereich,2),INDEX(IF(MONTH(Monat.Tag1)=2,January!Monat.RAZ1_7.Bereich,IF(MONTH(Monat.Tag1)=3,February!Monat.RAZ1_7.Bereich,IF(MONTH(Monat.Tag1)=4,March!Monat.RAZ1_7.Bereich,IF(MONTH(Monat.Tag1)=5,April!Monat.RAZ1_7.Bereich,IF(MONTH(Monat.Tag1)=6,May!Monat.RAZ1_7.Bereich,IF(MONTH(Monat.Tag1)=7,June!Monat.RAZ1_7.Bereich,IF(MONTH(Monat.Tag1)=8,July!Monat.RAZ1_7.Bereich,IF(MONTH(Monat.Tag1)=9,August!Monat.RAZ1_7.Bereich,IF(MONTH(Monat.Tag1)=10,September!Monat.RAZ1_7.Bereich,IF(MONTH(Monat.Tag1)=11,Monat.RAZ1_7.Bereich,IF(MONTH(Monat.Tag1)=12,November!Monat.RAZ1_7.Bereich,""))))))))))),2)),"")</f>
        <v>0.35</v>
      </c>
      <c r="R7" s="155" t="n">
        <f aca="false">IF(EB.Anwendung&lt;&gt;"",IF(MONTH(Monat.Tag1)=1,INDEX(EB.RAZ1_7.Bereich,3),INDEX(IF(MONTH(Monat.Tag1)=2,January!Monat.RAZ1_7.Bereich,IF(MONTH(Monat.Tag1)=3,February!Monat.RAZ1_7.Bereich,IF(MONTH(Monat.Tag1)=4,March!Monat.RAZ1_7.Bereich,IF(MONTH(Monat.Tag1)=5,April!Monat.RAZ1_7.Bereich,IF(MONTH(Monat.Tag1)=6,May!Monat.RAZ1_7.Bereich,IF(MONTH(Monat.Tag1)=7,June!Monat.RAZ1_7.Bereich,IF(MONTH(Monat.Tag1)=8,July!Monat.RAZ1_7.Bereich,IF(MONTH(Monat.Tag1)=9,August!Monat.RAZ1_7.Bereich,IF(MONTH(Monat.Tag1)=10,September!Monat.RAZ1_7.Bereich,IF(MONTH(Monat.Tag1)=11,Monat.RAZ1_7.Bereich,IF(MONTH(Monat.Tag1)=12,November!Monat.RAZ1_7.Bereich,""))))))))))),3)),"")</f>
        <v>0.35</v>
      </c>
      <c r="S7" s="155" t="n">
        <f aca="false">IF(EB.Anwendung&lt;&gt;"",IF(MONTH(Monat.Tag1)=1,INDEX(EB.RAZ1_7.Bereich,4),INDEX(IF(MONTH(Monat.Tag1)=2,January!Monat.RAZ1_7.Bereich,IF(MONTH(Monat.Tag1)=3,February!Monat.RAZ1_7.Bereich,IF(MONTH(Monat.Tag1)=4,March!Monat.RAZ1_7.Bereich,IF(MONTH(Monat.Tag1)=5,April!Monat.RAZ1_7.Bereich,IF(MONTH(Monat.Tag1)=6,May!Monat.RAZ1_7.Bereich,IF(MONTH(Monat.Tag1)=7,June!Monat.RAZ1_7.Bereich,IF(MONTH(Monat.Tag1)=8,July!Monat.RAZ1_7.Bereich,IF(MONTH(Monat.Tag1)=9,August!Monat.RAZ1_7.Bereich,IF(MONTH(Monat.Tag1)=10,September!Monat.RAZ1_7.Bereich,IF(MONTH(Monat.Tag1)=11,Monat.RAZ1_7.Bereich,IF(MONTH(Monat.Tag1)=12,November!Monat.RAZ1_7.Bereich,""))))))))))),4)),"")</f>
        <v>0.35</v>
      </c>
      <c r="T7" s="155" t="n">
        <f aca="false">IF(EB.Anwendung&lt;&gt;"",IF(MONTH(Monat.Tag1)=1,INDEX(EB.RAZ1_7.Bereich,5),INDEX(IF(MONTH(Monat.Tag1)=2,January!Monat.RAZ1_7.Bereich,IF(MONTH(Monat.Tag1)=3,February!Monat.RAZ1_7.Bereich,IF(MONTH(Monat.Tag1)=4,March!Monat.RAZ1_7.Bereich,IF(MONTH(Monat.Tag1)=5,April!Monat.RAZ1_7.Bereich,IF(MONTH(Monat.Tag1)=6,May!Monat.RAZ1_7.Bereich,IF(MONTH(Monat.Tag1)=7,June!Monat.RAZ1_7.Bereich,IF(MONTH(Monat.Tag1)=8,July!Monat.RAZ1_7.Bereich,IF(MONTH(Monat.Tag1)=9,August!Monat.RAZ1_7.Bereich,IF(MONTH(Monat.Tag1)=10,September!Monat.RAZ1_7.Bereich,IF(MONTH(Monat.Tag1)=11,Monat.RAZ1_7.Bereich,IF(MONTH(Monat.Tag1)=12,November!Monat.RAZ1_7.Bereich,""))))))))))),5)),"")</f>
        <v>0.35</v>
      </c>
      <c r="U7" s="155" t="n">
        <f aca="false">IF(EB.Anwendung&lt;&gt;"",IF(MONTH(Monat.Tag1)=1,INDEX(EB.RAZ1_7.Bereich,6),INDEX(IF(MONTH(Monat.Tag1)=2,January!Monat.RAZ1_7.Bereich,IF(MONTH(Monat.Tag1)=3,February!Monat.RAZ1_7.Bereich,IF(MONTH(Monat.Tag1)=4,March!Monat.RAZ1_7.Bereich,IF(MONTH(Monat.Tag1)=5,April!Monat.RAZ1_7.Bereich,IF(MONTH(Monat.Tag1)=6,May!Monat.RAZ1_7.Bereich,IF(MONTH(Monat.Tag1)=7,June!Monat.RAZ1_7.Bereich,IF(MONTH(Monat.Tag1)=8,July!Monat.RAZ1_7.Bereich,IF(MONTH(Monat.Tag1)=9,August!Monat.RAZ1_7.Bereich,IF(MONTH(Monat.Tag1)=10,September!Monat.RAZ1_7.Bereich,IF(MONTH(Monat.Tag1)=11,Monat.RAZ1_7.Bereich,IF(MONTH(Monat.Tag1)=12,November!Monat.RAZ1_7.Bereich,""))))))))))),6)),"")</f>
        <v>0</v>
      </c>
      <c r="V7" s="155" t="n">
        <f aca="false">IF(EB.Anwendung&lt;&gt;"",IF(MONTH(Monat.Tag1)=1,INDEX(EB.RAZ1_7.Bereich,7),INDEX(IF(MONTH(Monat.Tag1)=2,January!Monat.RAZ1_7.Bereich,IF(MONTH(Monat.Tag1)=3,February!Monat.RAZ1_7.Bereich,IF(MONTH(Monat.Tag1)=4,March!Monat.RAZ1_7.Bereich,IF(MONTH(Monat.Tag1)=5,April!Monat.RAZ1_7.Bereich,IF(MONTH(Monat.Tag1)=6,May!Monat.RAZ1_7.Bereich,IF(MONTH(Monat.Tag1)=7,June!Monat.RAZ1_7.Bereich,IF(MONTH(Monat.Tag1)=8,July!Monat.RAZ1_7.Bereich,IF(MONTH(Monat.Tag1)=9,August!Monat.RAZ1_7.Bereich,IF(MONTH(Monat.Tag1)=10,September!Monat.RAZ1_7.Bereich,IF(MONTH(Monat.Tag1)=11,Monat.RAZ1_7.Bereich,IF(MONTH(Monat.Tag1)=12,November!Monat.RAZ1_7.Bereich,""))))))))))),7)),"")</f>
        <v>0</v>
      </c>
      <c r="W7" s="39"/>
      <c r="X7" s="39"/>
      <c r="Y7" s="39"/>
      <c r="Z7" s="39"/>
      <c r="AA7" s="39"/>
      <c r="AB7" s="39"/>
      <c r="AC7" s="39"/>
      <c r="AD7" s="39"/>
      <c r="AE7" s="39"/>
      <c r="AF7" s="39"/>
      <c r="AG7" s="13"/>
      <c r="AH7" s="146"/>
      <c r="AI7" s="39"/>
      <c r="AJ7" s="39"/>
      <c r="AK7" s="39"/>
      <c r="AL7" s="39"/>
      <c r="AM7" s="39"/>
      <c r="AN7" s="147"/>
      <c r="AO7" s="39"/>
      <c r="AP7" s="39"/>
      <c r="AQ7" s="39"/>
    </row>
    <row r="8" s="148" customFormat="true" ht="11.25" hidden="false" customHeight="true" outlineLevel="0" collapsed="false">
      <c r="A8" s="55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13"/>
      <c r="AH8" s="146"/>
      <c r="AI8" s="39"/>
      <c r="AJ8" s="39"/>
      <c r="AK8" s="39"/>
      <c r="AL8" s="39"/>
      <c r="AM8" s="39"/>
      <c r="AN8" s="147"/>
      <c r="AO8" s="39"/>
      <c r="AP8" s="39"/>
      <c r="AQ8" s="39"/>
    </row>
    <row r="9" s="148" customFormat="true" ht="15" hidden="false" customHeight="true" outlineLevel="0" collapsed="false">
      <c r="A9" s="55"/>
      <c r="B9" s="156" t="str">
        <f aca="false">INDEX(Monat.Wochentage.Bereich,1,WEEKDAY(B10,2))</f>
        <v>Mo</v>
      </c>
      <c r="C9" s="156" t="str">
        <f aca="false">INDEX(Monat.Wochentage.Bereich,1,WEEKDAY(C10,2))</f>
        <v>Tu</v>
      </c>
      <c r="D9" s="156" t="str">
        <f aca="false">INDEX(Monat.Wochentage.Bereich,1,WEEKDAY(D10,2))</f>
        <v>We</v>
      </c>
      <c r="E9" s="156" t="str">
        <f aca="false">INDEX(Monat.Wochentage.Bereich,1,WEEKDAY(E10,2))</f>
        <v>Th</v>
      </c>
      <c r="F9" s="156" t="str">
        <f aca="false">INDEX(Monat.Wochentage.Bereich,1,WEEKDAY(F10,2))</f>
        <v>Fr</v>
      </c>
      <c r="G9" s="156" t="str">
        <f aca="false">INDEX(Monat.Wochentage.Bereich,1,WEEKDAY(G10,2))</f>
        <v>Sa</v>
      </c>
      <c r="H9" s="156" t="str">
        <f aca="false">INDEX(Monat.Wochentage.Bereich,1,WEEKDAY(H10,2))</f>
        <v>Su</v>
      </c>
      <c r="I9" s="156" t="str">
        <f aca="false">INDEX(Monat.Wochentage.Bereich,1,WEEKDAY(I10,2))</f>
        <v>Mo</v>
      </c>
      <c r="J9" s="156" t="str">
        <f aca="false">INDEX(Monat.Wochentage.Bereich,1,WEEKDAY(J10,2))</f>
        <v>Tu</v>
      </c>
      <c r="K9" s="156" t="str">
        <f aca="false">INDEX(Monat.Wochentage.Bereich,1,WEEKDAY(K10,2))</f>
        <v>We</v>
      </c>
      <c r="L9" s="156" t="str">
        <f aca="false">INDEX(Monat.Wochentage.Bereich,1,WEEKDAY(L10,2))</f>
        <v>Th</v>
      </c>
      <c r="M9" s="156" t="str">
        <f aca="false">INDEX(Monat.Wochentage.Bereich,1,WEEKDAY(M10,2))</f>
        <v>Fr</v>
      </c>
      <c r="N9" s="156" t="str">
        <f aca="false">INDEX(Monat.Wochentage.Bereich,1,WEEKDAY(N10,2))</f>
        <v>Sa</v>
      </c>
      <c r="O9" s="156" t="str">
        <f aca="false">INDEX(Monat.Wochentage.Bereich,1,WEEKDAY(O10,2))</f>
        <v>Su</v>
      </c>
      <c r="P9" s="156" t="str">
        <f aca="false">INDEX(Monat.Wochentage.Bereich,1,WEEKDAY(P10,2))</f>
        <v>Mo</v>
      </c>
      <c r="Q9" s="156" t="str">
        <f aca="false">INDEX(Monat.Wochentage.Bereich,1,WEEKDAY(Q10,2))</f>
        <v>Tu</v>
      </c>
      <c r="R9" s="156" t="str">
        <f aca="false">INDEX(Monat.Wochentage.Bereich,1,WEEKDAY(R10,2))</f>
        <v>We</v>
      </c>
      <c r="S9" s="156" t="str">
        <f aca="false">INDEX(Monat.Wochentage.Bereich,1,WEEKDAY(S10,2))</f>
        <v>Th</v>
      </c>
      <c r="T9" s="156" t="str">
        <f aca="false">INDEX(Monat.Wochentage.Bereich,1,WEEKDAY(T10,2))</f>
        <v>Fr</v>
      </c>
      <c r="U9" s="156" t="str">
        <f aca="false">INDEX(Monat.Wochentage.Bereich,1,WEEKDAY(U10,2))</f>
        <v>Sa</v>
      </c>
      <c r="V9" s="156" t="str">
        <f aca="false">INDEX(Monat.Wochentage.Bereich,1,WEEKDAY(V10,2))</f>
        <v>Su</v>
      </c>
      <c r="W9" s="156" t="str">
        <f aca="false">INDEX(Monat.Wochentage.Bereich,1,WEEKDAY(W10,2))</f>
        <v>Mo</v>
      </c>
      <c r="X9" s="156" t="str">
        <f aca="false">INDEX(Monat.Wochentage.Bereich,1,WEEKDAY(X10,2))</f>
        <v>Tu</v>
      </c>
      <c r="Y9" s="156" t="str">
        <f aca="false">INDEX(Monat.Wochentage.Bereich,1,WEEKDAY(Y10,2))</f>
        <v>We</v>
      </c>
      <c r="Z9" s="156" t="str">
        <f aca="false">INDEX(Monat.Wochentage.Bereich,1,WEEKDAY(Z10,2))</f>
        <v>Th</v>
      </c>
      <c r="AA9" s="156" t="str">
        <f aca="false">INDEX(Monat.Wochentage.Bereich,1,WEEKDAY(AA10,2))</f>
        <v>Fr</v>
      </c>
      <c r="AB9" s="156" t="str">
        <f aca="false">INDEX(Monat.Wochentage.Bereich,1,WEEKDAY(AB10,2))</f>
        <v>Sa</v>
      </c>
      <c r="AC9" s="156" t="str">
        <f aca="false">INDEX(Monat.Wochentage.Bereich,1,WEEKDAY(AC10,2))</f>
        <v>Su</v>
      </c>
      <c r="AD9" s="156" t="str">
        <f aca="false">INDEX(Monat.Wochentage.Bereich,1,WEEKDAY(AD10,2))</f>
        <v>Mo</v>
      </c>
      <c r="AE9" s="156" t="str">
        <f aca="false">INDEX(Monat.Wochentage.Bereich,1,WEEKDAY(AE10,2))</f>
        <v>Tu</v>
      </c>
      <c r="AF9" s="156" t="str">
        <f aca="false">INDEX(Monat.Wochentage.Bereich,1,WEEKDAY(AF10,2))</f>
        <v>We</v>
      </c>
      <c r="AG9" s="13"/>
      <c r="AH9" s="146"/>
      <c r="AI9" s="39"/>
      <c r="AJ9" s="39"/>
      <c r="AK9" s="39"/>
      <c r="AL9" s="39"/>
      <c r="AM9" s="39"/>
      <c r="AN9" s="147"/>
      <c r="AO9" s="39"/>
      <c r="AP9" s="39"/>
      <c r="AQ9" s="39"/>
    </row>
    <row r="10" s="164" customFormat="true" ht="39" hidden="false" customHeight="false" outlineLevel="0" collapsed="false">
      <c r="A10" s="157" t="s">
        <v>121</v>
      </c>
      <c r="B10" s="158" t="n">
        <v>41912</v>
      </c>
      <c r="C10" s="158" t="n">
        <f aca="false">B10+1</f>
        <v>41913</v>
      </c>
      <c r="D10" s="158" t="n">
        <f aca="false">C10+1</f>
        <v>41914</v>
      </c>
      <c r="E10" s="158" t="n">
        <f aca="false">D10+1</f>
        <v>41915</v>
      </c>
      <c r="F10" s="158" t="n">
        <f aca="false">E10+1</f>
        <v>41916</v>
      </c>
      <c r="G10" s="158" t="n">
        <f aca="false">F10+1</f>
        <v>41917</v>
      </c>
      <c r="H10" s="158" t="n">
        <f aca="false">G10+1</f>
        <v>41918</v>
      </c>
      <c r="I10" s="158" t="n">
        <f aca="false">H10+1</f>
        <v>41919</v>
      </c>
      <c r="J10" s="158" t="n">
        <f aca="false">I10+1</f>
        <v>41920</v>
      </c>
      <c r="K10" s="158" t="n">
        <f aca="false">J10+1</f>
        <v>41921</v>
      </c>
      <c r="L10" s="158" t="n">
        <f aca="false">K10+1</f>
        <v>41922</v>
      </c>
      <c r="M10" s="158" t="n">
        <f aca="false">L10+1</f>
        <v>41923</v>
      </c>
      <c r="N10" s="158" t="n">
        <f aca="false">M10+1</f>
        <v>41924</v>
      </c>
      <c r="O10" s="158" t="n">
        <f aca="false">N10+1</f>
        <v>41925</v>
      </c>
      <c r="P10" s="158" t="n">
        <f aca="false">O10+1</f>
        <v>41926</v>
      </c>
      <c r="Q10" s="158" t="n">
        <f aca="false">P10+1</f>
        <v>41927</v>
      </c>
      <c r="R10" s="158" t="n">
        <f aca="false">Q10+1</f>
        <v>41928</v>
      </c>
      <c r="S10" s="158" t="n">
        <f aca="false">R10+1</f>
        <v>41929</v>
      </c>
      <c r="T10" s="158" t="n">
        <f aca="false">S10+1</f>
        <v>41930</v>
      </c>
      <c r="U10" s="158" t="n">
        <f aca="false">T10+1</f>
        <v>41931</v>
      </c>
      <c r="V10" s="158" t="n">
        <f aca="false">U10+1</f>
        <v>41932</v>
      </c>
      <c r="W10" s="158" t="n">
        <f aca="false">V10+1</f>
        <v>41933</v>
      </c>
      <c r="X10" s="158" t="n">
        <f aca="false">W10+1</f>
        <v>41934</v>
      </c>
      <c r="Y10" s="158" t="n">
        <f aca="false">X10+1</f>
        <v>41935</v>
      </c>
      <c r="Z10" s="158" t="n">
        <f aca="false">Y10+1</f>
        <v>41936</v>
      </c>
      <c r="AA10" s="158" t="n">
        <f aca="false">Z10+1</f>
        <v>41937</v>
      </c>
      <c r="AB10" s="158" t="n">
        <f aca="false">AA10+1</f>
        <v>41938</v>
      </c>
      <c r="AC10" s="158" t="n">
        <f aca="false">AB10+1</f>
        <v>41939</v>
      </c>
      <c r="AD10" s="158" t="n">
        <f aca="false">AC10+1</f>
        <v>41940</v>
      </c>
      <c r="AE10" s="158" t="n">
        <f aca="false">AD10+1</f>
        <v>41941</v>
      </c>
      <c r="AF10" s="158" t="n">
        <f aca="false">AE10+1</f>
        <v>41942</v>
      </c>
      <c r="AG10" s="159" t="str">
        <f aca="false">A10</f>
        <v>Day</v>
      </c>
      <c r="AH10" s="160" t="str">
        <f aca="false">"Total " &amp; INDEX(EB.Monate.Bereich,MONTH(Monat.Tag1))</f>
        <v>Total October</v>
      </c>
      <c r="AI10" s="160"/>
      <c r="AJ10" s="160" t="s">
        <v>122</v>
      </c>
      <c r="AK10" s="161" t="s">
        <v>123</v>
      </c>
      <c r="AL10" s="161" t="s">
        <v>124</v>
      </c>
      <c r="AM10" s="161" t="s">
        <v>125</v>
      </c>
      <c r="AN10" s="162" t="s">
        <v>68</v>
      </c>
      <c r="AO10" s="156" t="str">
        <f aca="true">IF(EB.Sprache="DE","Jahressaldo per" &amp; CHAR(10) &amp; "    ME       " &amp; IFERROR(TEXT(TODAY(),"[$-0007]"&amp;"TT.MM.JJ"),TEXT(TODAY(),"[$-0007]"&amp;"DD.MM.YY")), "Yearly balance by" &amp; CHAR(10) &amp; "   eom      " &amp; IFERROR(TEXT(TODAY(),"[$-0809]"&amp;"DD.MM.YY"),TEXT(TODAY(),"[$-0809]"&amp;"TT.MM.JJ")))</f>
        <v>Yearly balance by
   eom      22.05.18</v>
      </c>
      <c r="AP10" s="156"/>
      <c r="AQ10" s="163"/>
    </row>
    <row r="11" s="164" customFormat="true" ht="12" hidden="true" customHeight="true" outlineLevel="0" collapsed="false">
      <c r="A11" s="157" t="s">
        <v>126</v>
      </c>
      <c r="B11" s="165" t="n">
        <f aca="true">IFERROR(OFFSET(T.Feiertage.Bereich,MATCH(B$10,T.Feiertage.Bereich,0)-1,1,1,1),1)</f>
        <v>1</v>
      </c>
      <c r="C11" s="165" t="n">
        <f aca="true">IFERROR(OFFSET(T.Feiertage.Bereich,MATCH(C$10,T.Feiertage.Bereich,0)-1,1,1,1),1)</f>
        <v>1</v>
      </c>
      <c r="D11" s="165" t="n">
        <f aca="true">IFERROR(OFFSET(T.Feiertage.Bereich,MATCH(D$10,T.Feiertage.Bereich,0)-1,1,1,1),1)</f>
        <v>1</v>
      </c>
      <c r="E11" s="166" t="n">
        <f aca="true">IFERROR(OFFSET(T.Feiertage.Bereich,MATCH(E$10,T.Feiertage.Bereich,0)-1,1,1,1),1)</f>
        <v>1</v>
      </c>
      <c r="F11" s="165" t="n">
        <f aca="true">IFERROR(OFFSET(T.Feiertage.Bereich,MATCH(F$10,T.Feiertage.Bereich,0)-1,1,1,1),1)</f>
        <v>1</v>
      </c>
      <c r="G11" s="165" t="n">
        <f aca="true">IFERROR(OFFSET(T.Feiertage.Bereich,MATCH(G$10,T.Feiertage.Bereich,0)-1,1,1,1),1)</f>
        <v>1</v>
      </c>
      <c r="H11" s="165" t="n">
        <f aca="true">IFERROR(OFFSET(T.Feiertage.Bereich,MATCH(H$10,T.Feiertage.Bereich,0)-1,1,1,1),1)</f>
        <v>1</v>
      </c>
      <c r="I11" s="165" t="n">
        <f aca="true">IFERROR(OFFSET(T.Feiertage.Bereich,MATCH(I$10,T.Feiertage.Bereich,0)-1,1,1,1),1)</f>
        <v>1</v>
      </c>
      <c r="J11" s="166" t="n">
        <f aca="true">IFERROR(OFFSET(T.Feiertage.Bereich,MATCH(J$10,T.Feiertage.Bereich,0)-1,1,1,1),1)</f>
        <v>1</v>
      </c>
      <c r="K11" s="165" t="n">
        <f aca="true">IFERROR(OFFSET(T.Feiertage.Bereich,MATCH(K$10,T.Feiertage.Bereich,0)-1,1,1,1),1)</f>
        <v>1</v>
      </c>
      <c r="L11" s="166" t="n">
        <f aca="true">IFERROR(OFFSET(T.Feiertage.Bereich,MATCH(L$10,T.Feiertage.Bereich,0)-1,1,1,1),1)</f>
        <v>1</v>
      </c>
      <c r="M11" s="165" t="n">
        <f aca="true">IFERROR(OFFSET(T.Feiertage.Bereich,MATCH(M$10,T.Feiertage.Bereich,0)-1,1,1,1),1)</f>
        <v>1</v>
      </c>
      <c r="N11" s="165" t="n">
        <f aca="true">IFERROR(OFFSET(T.Feiertage.Bereich,MATCH(N$10,T.Feiertage.Bereich,0)-1,1,1,1),1)</f>
        <v>1</v>
      </c>
      <c r="O11" s="165" t="n">
        <f aca="true">IFERROR(OFFSET(T.Feiertage.Bereich,MATCH(O$10,T.Feiertage.Bereich,0)-1,1,1,1),1)</f>
        <v>1</v>
      </c>
      <c r="P11" s="165" t="n">
        <f aca="true">IFERROR(OFFSET(T.Feiertage.Bereich,MATCH(P$10,T.Feiertage.Bereich,0)-1,1,1,1),1)</f>
        <v>1</v>
      </c>
      <c r="Q11" s="166" t="n">
        <f aca="true">IFERROR(OFFSET(T.Feiertage.Bereich,MATCH(Q$10,T.Feiertage.Bereich,0)-1,1,1,1),1)</f>
        <v>1</v>
      </c>
      <c r="R11" s="165" t="n">
        <f aca="true">IFERROR(OFFSET(T.Feiertage.Bereich,MATCH(R$10,T.Feiertage.Bereich,0)-1,1,1,1),1)</f>
        <v>1</v>
      </c>
      <c r="S11" s="166" t="n">
        <f aca="true">IFERROR(OFFSET(T.Feiertage.Bereich,MATCH(S$10,T.Feiertage.Bereich,0)-1,1,1,1),1)</f>
        <v>1</v>
      </c>
      <c r="T11" s="166" t="n">
        <f aca="true">IFERROR(OFFSET(T.Feiertage.Bereich,MATCH(T$10,T.Feiertage.Bereich,0)-1,1,1,1),1)</f>
        <v>1</v>
      </c>
      <c r="U11" s="165" t="n">
        <f aca="true">IFERROR(OFFSET(T.Feiertage.Bereich,MATCH(U$10,T.Feiertage.Bereich,0)-1,1,1,1),1)</f>
        <v>1</v>
      </c>
      <c r="V11" s="165" t="n">
        <f aca="true">IFERROR(OFFSET(T.Feiertage.Bereich,MATCH(V$10,T.Feiertage.Bereich,0)-1,1,1,1),1)</f>
        <v>1</v>
      </c>
      <c r="W11" s="165" t="n">
        <f aca="true">IFERROR(OFFSET(T.Feiertage.Bereich,MATCH(W$10,T.Feiertage.Bereich,0)-1,1,1,1),1)</f>
        <v>1</v>
      </c>
      <c r="X11" s="166" t="n">
        <f aca="true">IFERROR(OFFSET(T.Feiertage.Bereich,MATCH(X$10,T.Feiertage.Bereich,0)-1,1,1,1),1)</f>
        <v>1</v>
      </c>
      <c r="Y11" s="165" t="n">
        <f aca="true">IFERROR(OFFSET(T.Feiertage.Bereich,MATCH(Y$10,T.Feiertage.Bereich,0)-1,1,1,1),1)</f>
        <v>1</v>
      </c>
      <c r="Z11" s="167" t="n">
        <f aca="true">IFERROR(OFFSET(T.Feiertage.Bereich,MATCH(Z$10,T.Feiertage.Bereich,0)-1,1,1,1),1)</f>
        <v>1</v>
      </c>
      <c r="AA11" s="165" t="n">
        <f aca="true">IFERROR(OFFSET(T.Feiertage.Bereich,MATCH(AA$10,T.Feiertage.Bereich,0)-1,1,1,1),1)</f>
        <v>1</v>
      </c>
      <c r="AB11" s="165" t="n">
        <f aca="true">IFERROR(OFFSET(T.Feiertage.Bereich,MATCH(AB$10,T.Feiertage.Bereich,0)-1,1,1,1),1)</f>
        <v>1</v>
      </c>
      <c r="AC11" s="165" t="n">
        <f aca="true">IFERROR(OFFSET(T.Feiertage.Bereich,MATCH(AC$10,T.Feiertage.Bereich,0)-1,1,1,1),1)</f>
        <v>1</v>
      </c>
      <c r="AD11" s="165" t="n">
        <f aca="true">IFERROR(OFFSET(T.Feiertage.Bereich,MATCH(AD$10,T.Feiertage.Bereich,0)-1,1,1,1),1)</f>
        <v>1</v>
      </c>
      <c r="AE11" s="166" t="n">
        <f aca="true">IFERROR(OFFSET(T.Feiertage.Bereich,MATCH(AE$10,T.Feiertage.Bereich,0)-1,1,1,1),1)</f>
        <v>1</v>
      </c>
      <c r="AF11" s="165" t="n">
        <f aca="true">IFERROR(OFFSET(T.Feiertage.Bereich,MATCH(AF$10,T.Feiertage.Bereich,0)-1,1,1,1),1)</f>
        <v>1</v>
      </c>
      <c r="AG11" s="168"/>
      <c r="AH11" s="146"/>
      <c r="AI11" s="169"/>
      <c r="AJ11" s="170"/>
      <c r="AK11" s="171"/>
      <c r="AL11" s="172"/>
      <c r="AM11" s="172"/>
      <c r="AN11" s="171"/>
      <c r="AO11" s="172"/>
      <c r="AP11" s="172"/>
      <c r="AQ11" s="163"/>
    </row>
    <row r="12" s="164" customFormat="true" ht="12" hidden="true" customHeight="true" outlineLevel="0" collapsed="false">
      <c r="A12" s="157" t="s">
        <v>127</v>
      </c>
      <c r="B12" s="173" t="n">
        <f aca="false">IF(OR(AND(ISNUMBER(EB.UJEintritt),EB.UJEintritt&gt;=B$10+1),AND(ISNUMBER(EB.UJAustritt),EB.UJAustritt&lt;=B$10-1)),0,1)</f>
        <v>1</v>
      </c>
      <c r="C12" s="173" t="n">
        <f aca="false">IF(OR(AND(ISNUMBER(EB.UJEintritt),EB.UJEintritt&gt;=C$10+1),AND(ISNUMBER(EB.UJAustritt),EB.UJAustritt&lt;=C$10-1)),0,1)</f>
        <v>1</v>
      </c>
      <c r="D12" s="173" t="n">
        <f aca="false">IF(OR(AND(ISNUMBER(EB.UJEintritt),EB.UJEintritt&gt;=D$10+1),AND(ISNUMBER(EB.UJAustritt),EB.UJAustritt&lt;=D$10-1)),0,1)</f>
        <v>1</v>
      </c>
      <c r="E12" s="156" t="n">
        <f aca="false">IF(OR(AND(ISNUMBER(EB.UJEintritt),EB.UJEintritt&gt;=E$10+1),AND(ISNUMBER(EB.UJAustritt),EB.UJAustritt&lt;=E$10-1)),0,1)</f>
        <v>1</v>
      </c>
      <c r="F12" s="173" t="n">
        <f aca="false">IF(OR(AND(ISNUMBER(EB.UJEintritt),EB.UJEintritt&gt;=F$10+1),AND(ISNUMBER(EB.UJAustritt),EB.UJAustritt&lt;=F$10-1)),0,1)</f>
        <v>1</v>
      </c>
      <c r="G12" s="173" t="n">
        <f aca="false">IF(OR(AND(ISNUMBER(EB.UJEintritt),EB.UJEintritt&gt;=G$10+1),AND(ISNUMBER(EB.UJAustritt),EB.UJAustritt&lt;=G$10-1)),0,1)</f>
        <v>1</v>
      </c>
      <c r="H12" s="173" t="n">
        <f aca="false">IF(OR(AND(ISNUMBER(EB.UJEintritt),EB.UJEintritt&gt;=H$10+1),AND(ISNUMBER(EB.UJAustritt),EB.UJAustritt&lt;=H$10-1)),0,1)</f>
        <v>1</v>
      </c>
      <c r="I12" s="173" t="n">
        <f aca="false">IF(OR(AND(ISNUMBER(EB.UJEintritt),EB.UJEintritt&gt;=I$10+1),AND(ISNUMBER(EB.UJAustritt),EB.UJAustritt&lt;=I$10-1)),0,1)</f>
        <v>1</v>
      </c>
      <c r="J12" s="156" t="n">
        <f aca="false">IF(OR(AND(ISNUMBER(EB.UJEintritt),EB.UJEintritt&gt;=J$10+1),AND(ISNUMBER(EB.UJAustritt),EB.UJAustritt&lt;=J$10-1)),0,1)</f>
        <v>1</v>
      </c>
      <c r="K12" s="173" t="n">
        <f aca="false">IF(OR(AND(ISNUMBER(EB.UJEintritt),EB.UJEintritt&gt;=K$10+1),AND(ISNUMBER(EB.UJAustritt),EB.UJAustritt&lt;=K$10-1)),0,1)</f>
        <v>1</v>
      </c>
      <c r="L12" s="156" t="n">
        <f aca="false">IF(OR(AND(ISNUMBER(EB.UJEintritt),EB.UJEintritt&gt;=L$10+1),AND(ISNUMBER(EB.UJAustritt),EB.UJAustritt&lt;=L$10-1)),0,1)</f>
        <v>1</v>
      </c>
      <c r="M12" s="173" t="n">
        <f aca="false">IF(OR(AND(ISNUMBER(EB.UJEintritt),EB.UJEintritt&gt;=M$10+1),AND(ISNUMBER(EB.UJAustritt),EB.UJAustritt&lt;=M$10-1)),0,1)</f>
        <v>1</v>
      </c>
      <c r="N12" s="173" t="n">
        <f aca="false">IF(OR(AND(ISNUMBER(EB.UJEintritt),EB.UJEintritt&gt;=N$10+1),AND(ISNUMBER(EB.UJAustritt),EB.UJAustritt&lt;=N$10-1)),0,1)</f>
        <v>1</v>
      </c>
      <c r="O12" s="173" t="n">
        <f aca="false">IF(OR(AND(ISNUMBER(EB.UJEintritt),EB.UJEintritt&gt;=O$10+1),AND(ISNUMBER(EB.UJAustritt),EB.UJAustritt&lt;=O$10-1)),0,1)</f>
        <v>1</v>
      </c>
      <c r="P12" s="173" t="n">
        <f aca="false">IF(OR(AND(ISNUMBER(EB.UJEintritt),EB.UJEintritt&gt;=P$10+1),AND(ISNUMBER(EB.UJAustritt),EB.UJAustritt&lt;=P$10-1)),0,1)</f>
        <v>1</v>
      </c>
      <c r="Q12" s="156" t="n">
        <f aca="false">IF(OR(AND(ISNUMBER(EB.UJEintritt),EB.UJEintritt&gt;=Q$10+1),AND(ISNUMBER(EB.UJAustritt),EB.UJAustritt&lt;=Q$10-1)),0,1)</f>
        <v>1</v>
      </c>
      <c r="R12" s="173" t="n">
        <f aca="false">IF(OR(AND(ISNUMBER(EB.UJEintritt),EB.UJEintritt&gt;=R$10+1),AND(ISNUMBER(EB.UJAustritt),EB.UJAustritt&lt;=R$10-1)),0,1)</f>
        <v>1</v>
      </c>
      <c r="S12" s="156" t="n">
        <f aca="false">IF(OR(AND(ISNUMBER(EB.UJEintritt),EB.UJEintritt&gt;=S$10+1),AND(ISNUMBER(EB.UJAustritt),EB.UJAustritt&lt;=S$10-1)),0,1)</f>
        <v>1</v>
      </c>
      <c r="T12" s="156" t="n">
        <f aca="false">IF(OR(AND(ISNUMBER(EB.UJEintritt),EB.UJEintritt&gt;=T$10+1),AND(ISNUMBER(EB.UJAustritt),EB.UJAustritt&lt;=T$10-1)),0,1)</f>
        <v>1</v>
      </c>
      <c r="U12" s="173" t="n">
        <f aca="false">IF(OR(AND(ISNUMBER(EB.UJEintritt),EB.UJEintritt&gt;=U$10+1),AND(ISNUMBER(EB.UJAustritt),EB.UJAustritt&lt;=U$10-1)),0,1)</f>
        <v>1</v>
      </c>
      <c r="V12" s="173" t="n">
        <f aca="false">IF(OR(AND(ISNUMBER(EB.UJEintritt),EB.UJEintritt&gt;=V$10+1),AND(ISNUMBER(EB.UJAustritt),EB.UJAustritt&lt;=V$10-1)),0,1)</f>
        <v>1</v>
      </c>
      <c r="W12" s="173" t="n">
        <f aca="false">IF(OR(AND(ISNUMBER(EB.UJEintritt),EB.UJEintritt&gt;=W$10+1),AND(ISNUMBER(EB.UJAustritt),EB.UJAustritt&lt;=W$10-1)),0,1)</f>
        <v>1</v>
      </c>
      <c r="X12" s="156" t="n">
        <f aca="false">IF(OR(AND(ISNUMBER(EB.UJEintritt),EB.UJEintritt&gt;=X$10+1),AND(ISNUMBER(EB.UJAustritt),EB.UJAustritt&lt;=X$10-1)),0,1)</f>
        <v>1</v>
      </c>
      <c r="Y12" s="173" t="n">
        <f aca="false">IF(OR(AND(ISNUMBER(EB.UJEintritt),EB.UJEintritt&gt;=Y$10+1),AND(ISNUMBER(EB.UJAustritt),EB.UJAustritt&lt;=Y$10-1)),0,1)</f>
        <v>1</v>
      </c>
      <c r="Z12" s="174" t="n">
        <f aca="false">IF(OR(AND(ISNUMBER(EB.UJEintritt),EB.UJEintritt&gt;=Z$10+1),AND(ISNUMBER(EB.UJAustritt),EB.UJAustritt&lt;=Z$10-1)),0,1)</f>
        <v>1</v>
      </c>
      <c r="AA12" s="173" t="n">
        <f aca="false">IF(OR(AND(ISNUMBER(EB.UJEintritt),EB.UJEintritt&gt;=AA$10+1),AND(ISNUMBER(EB.UJAustritt),EB.UJAustritt&lt;=AA$10-1)),0,1)</f>
        <v>1</v>
      </c>
      <c r="AB12" s="173" t="n">
        <f aca="false">IF(OR(AND(ISNUMBER(EB.UJEintritt),EB.UJEintritt&gt;=AB$10+1),AND(ISNUMBER(EB.UJAustritt),EB.UJAustritt&lt;=AB$10-1)),0,1)</f>
        <v>1</v>
      </c>
      <c r="AC12" s="173" t="n">
        <f aca="false">IF(OR(AND(ISNUMBER(EB.UJEintritt),EB.UJEintritt&gt;=AC$10+1),AND(ISNUMBER(EB.UJAustritt),EB.UJAustritt&lt;=AC$10-1)),0,1)</f>
        <v>1</v>
      </c>
      <c r="AD12" s="173" t="n">
        <f aca="false">IF(OR(AND(ISNUMBER(EB.UJEintritt),EB.UJEintritt&gt;=AD$10+1),AND(ISNUMBER(EB.UJAustritt),EB.UJAustritt&lt;=AD$10-1)),0,1)</f>
        <v>1</v>
      </c>
      <c r="AE12" s="156" t="n">
        <f aca="false">IF(OR(AND(ISNUMBER(EB.UJEintritt),EB.UJEintritt&gt;=AE$10+1),AND(ISNUMBER(EB.UJAustritt),EB.UJAustritt&lt;=AE$10-1)),0,1)</f>
        <v>1</v>
      </c>
      <c r="AF12" s="173" t="n">
        <f aca="false">IF(OR(AND(ISNUMBER(EB.UJEintritt),EB.UJEintritt&gt;=AF$10+1),AND(ISNUMBER(EB.UJAustritt),EB.UJAustritt&lt;=AF$10-1)),0,1)</f>
        <v>1</v>
      </c>
      <c r="AG12" s="168"/>
      <c r="AH12" s="146"/>
      <c r="AI12" s="169"/>
      <c r="AJ12" s="170"/>
      <c r="AK12" s="171"/>
      <c r="AL12" s="172"/>
      <c r="AM12" s="172"/>
      <c r="AN12" s="171"/>
      <c r="AO12" s="172"/>
      <c r="AP12" s="172"/>
      <c r="AQ12" s="163"/>
    </row>
    <row r="13" s="148" customFormat="true" ht="15" hidden="false" customHeight="true" outlineLevel="0" collapsed="false">
      <c r="A13" s="175" t="s">
        <v>128</v>
      </c>
      <c r="B13" s="176"/>
      <c r="C13" s="176"/>
      <c r="D13" s="176"/>
      <c r="E13" s="177"/>
      <c r="F13" s="176"/>
      <c r="G13" s="176"/>
      <c r="H13" s="176"/>
      <c r="I13" s="176"/>
      <c r="J13" s="177"/>
      <c r="K13" s="176"/>
      <c r="L13" s="177"/>
      <c r="M13" s="176"/>
      <c r="N13" s="176"/>
      <c r="O13" s="176"/>
      <c r="P13" s="176"/>
      <c r="Q13" s="177"/>
      <c r="R13" s="176"/>
      <c r="S13" s="177"/>
      <c r="T13" s="177"/>
      <c r="U13" s="176"/>
      <c r="V13" s="176"/>
      <c r="W13" s="176"/>
      <c r="X13" s="177"/>
      <c r="Y13" s="176"/>
      <c r="Z13" s="178"/>
      <c r="AA13" s="176"/>
      <c r="AB13" s="176"/>
      <c r="AC13" s="176"/>
      <c r="AD13" s="176"/>
      <c r="AE13" s="177"/>
      <c r="AF13" s="176"/>
      <c r="AG13" s="168" t="str">
        <f aca="false">A13</f>
        <v>in</v>
      </c>
      <c r="AH13" s="146"/>
      <c r="AI13" s="169"/>
      <c r="AJ13" s="170"/>
      <c r="AK13" s="171"/>
      <c r="AL13" s="172"/>
      <c r="AM13" s="172"/>
      <c r="AN13" s="171"/>
      <c r="AO13" s="172"/>
      <c r="AP13" s="172"/>
      <c r="AQ13" s="39"/>
    </row>
    <row r="14" s="148" customFormat="true" ht="15" hidden="false" customHeight="true" outlineLevel="0" collapsed="false">
      <c r="A14" s="175" t="s">
        <v>129</v>
      </c>
      <c r="B14" s="176"/>
      <c r="C14" s="176"/>
      <c r="D14" s="176"/>
      <c r="E14" s="177"/>
      <c r="F14" s="176"/>
      <c r="G14" s="176"/>
      <c r="H14" s="176"/>
      <c r="I14" s="176"/>
      <c r="J14" s="177"/>
      <c r="K14" s="176"/>
      <c r="L14" s="177"/>
      <c r="M14" s="176"/>
      <c r="N14" s="176"/>
      <c r="O14" s="176"/>
      <c r="P14" s="176"/>
      <c r="Q14" s="177"/>
      <c r="R14" s="176"/>
      <c r="S14" s="177"/>
      <c r="T14" s="177"/>
      <c r="U14" s="176"/>
      <c r="V14" s="176"/>
      <c r="W14" s="176"/>
      <c r="X14" s="177"/>
      <c r="Y14" s="176"/>
      <c r="Z14" s="178"/>
      <c r="AA14" s="176"/>
      <c r="AB14" s="176"/>
      <c r="AC14" s="176"/>
      <c r="AD14" s="176"/>
      <c r="AE14" s="177"/>
      <c r="AF14" s="176"/>
      <c r="AG14" s="168" t="str">
        <f aca="false">A14</f>
        <v>out</v>
      </c>
      <c r="AH14" s="146"/>
      <c r="AI14" s="169"/>
      <c r="AJ14" s="170"/>
      <c r="AK14" s="171"/>
      <c r="AL14" s="172"/>
      <c r="AM14" s="172"/>
      <c r="AN14" s="171"/>
      <c r="AO14" s="172"/>
      <c r="AP14" s="172"/>
      <c r="AQ14" s="39"/>
    </row>
    <row r="15" s="148" customFormat="true" ht="15" hidden="false" customHeight="true" outlineLevel="0" collapsed="false">
      <c r="A15" s="175" t="s">
        <v>128</v>
      </c>
      <c r="B15" s="176"/>
      <c r="C15" s="176"/>
      <c r="D15" s="176"/>
      <c r="E15" s="177"/>
      <c r="F15" s="176"/>
      <c r="G15" s="176"/>
      <c r="H15" s="176"/>
      <c r="I15" s="176"/>
      <c r="J15" s="177"/>
      <c r="K15" s="176"/>
      <c r="L15" s="177"/>
      <c r="M15" s="176"/>
      <c r="N15" s="176"/>
      <c r="O15" s="176"/>
      <c r="P15" s="176"/>
      <c r="Q15" s="177"/>
      <c r="R15" s="176"/>
      <c r="S15" s="177"/>
      <c r="T15" s="177"/>
      <c r="U15" s="176"/>
      <c r="V15" s="176"/>
      <c r="W15" s="176"/>
      <c r="X15" s="177"/>
      <c r="Y15" s="176"/>
      <c r="Z15" s="178"/>
      <c r="AA15" s="176"/>
      <c r="AB15" s="176"/>
      <c r="AC15" s="176"/>
      <c r="AD15" s="176"/>
      <c r="AE15" s="177"/>
      <c r="AF15" s="176"/>
      <c r="AG15" s="168" t="str">
        <f aca="false">A15</f>
        <v>in</v>
      </c>
      <c r="AH15" s="146"/>
      <c r="AI15" s="169"/>
      <c r="AJ15" s="170"/>
      <c r="AK15" s="171"/>
      <c r="AL15" s="172"/>
      <c r="AM15" s="172"/>
      <c r="AN15" s="171"/>
      <c r="AO15" s="172"/>
      <c r="AP15" s="172"/>
      <c r="AQ15" s="39"/>
    </row>
    <row r="16" s="148" customFormat="true" ht="15" hidden="false" customHeight="true" outlineLevel="0" collapsed="false">
      <c r="A16" s="175" t="s">
        <v>129</v>
      </c>
      <c r="B16" s="176"/>
      <c r="C16" s="176"/>
      <c r="D16" s="176"/>
      <c r="E16" s="177"/>
      <c r="F16" s="176"/>
      <c r="G16" s="176"/>
      <c r="H16" s="176"/>
      <c r="I16" s="176"/>
      <c r="J16" s="177"/>
      <c r="K16" s="176"/>
      <c r="L16" s="177"/>
      <c r="M16" s="176"/>
      <c r="N16" s="176"/>
      <c r="O16" s="176"/>
      <c r="P16" s="176"/>
      <c r="Q16" s="177"/>
      <c r="R16" s="176"/>
      <c r="S16" s="177"/>
      <c r="T16" s="177"/>
      <c r="U16" s="176"/>
      <c r="V16" s="176"/>
      <c r="W16" s="176"/>
      <c r="X16" s="177"/>
      <c r="Y16" s="176"/>
      <c r="Z16" s="178"/>
      <c r="AA16" s="176"/>
      <c r="AB16" s="176"/>
      <c r="AC16" s="176"/>
      <c r="AD16" s="176"/>
      <c r="AE16" s="177"/>
      <c r="AF16" s="176"/>
      <c r="AG16" s="168" t="str">
        <f aca="false">A16</f>
        <v>out</v>
      </c>
      <c r="AH16" s="146"/>
      <c r="AI16" s="179"/>
      <c r="AJ16" s="180"/>
      <c r="AK16" s="172"/>
      <c r="AL16" s="172"/>
      <c r="AM16" s="172"/>
      <c r="AN16" s="171"/>
      <c r="AO16" s="172"/>
      <c r="AP16" s="172"/>
      <c r="AQ16" s="39"/>
    </row>
    <row r="17" s="148" customFormat="true" ht="15" hidden="false" customHeight="true" outlineLevel="0" collapsed="false">
      <c r="A17" s="175" t="s">
        <v>128</v>
      </c>
      <c r="B17" s="176"/>
      <c r="C17" s="176"/>
      <c r="D17" s="176"/>
      <c r="E17" s="177"/>
      <c r="F17" s="176"/>
      <c r="G17" s="176"/>
      <c r="H17" s="176"/>
      <c r="I17" s="176"/>
      <c r="J17" s="177"/>
      <c r="K17" s="176"/>
      <c r="L17" s="177"/>
      <c r="M17" s="176"/>
      <c r="N17" s="176"/>
      <c r="O17" s="176"/>
      <c r="P17" s="176"/>
      <c r="Q17" s="177"/>
      <c r="R17" s="176"/>
      <c r="S17" s="177"/>
      <c r="T17" s="177"/>
      <c r="U17" s="176"/>
      <c r="V17" s="176"/>
      <c r="W17" s="176"/>
      <c r="X17" s="177"/>
      <c r="Y17" s="176"/>
      <c r="Z17" s="178"/>
      <c r="AA17" s="176"/>
      <c r="AB17" s="176"/>
      <c r="AC17" s="176"/>
      <c r="AD17" s="176"/>
      <c r="AE17" s="177"/>
      <c r="AF17" s="176"/>
      <c r="AG17" s="168" t="str">
        <f aca="false">A17</f>
        <v>in</v>
      </c>
      <c r="AH17" s="146"/>
      <c r="AI17" s="179"/>
      <c r="AJ17" s="180"/>
      <c r="AK17" s="172"/>
      <c r="AL17" s="172"/>
      <c r="AM17" s="172"/>
      <c r="AN17" s="171"/>
      <c r="AO17" s="172"/>
      <c r="AP17" s="172"/>
      <c r="AQ17" s="39"/>
    </row>
    <row r="18" s="148" customFormat="true" ht="15" hidden="false" customHeight="true" outlineLevel="0" collapsed="false">
      <c r="A18" s="175" t="s">
        <v>129</v>
      </c>
      <c r="B18" s="176"/>
      <c r="C18" s="176"/>
      <c r="D18" s="176"/>
      <c r="E18" s="177"/>
      <c r="F18" s="176"/>
      <c r="G18" s="176"/>
      <c r="H18" s="176"/>
      <c r="I18" s="176"/>
      <c r="J18" s="177"/>
      <c r="K18" s="176"/>
      <c r="L18" s="177"/>
      <c r="M18" s="176"/>
      <c r="N18" s="176"/>
      <c r="O18" s="176"/>
      <c r="P18" s="176"/>
      <c r="Q18" s="177"/>
      <c r="R18" s="176"/>
      <c r="S18" s="177"/>
      <c r="T18" s="177"/>
      <c r="U18" s="176"/>
      <c r="V18" s="176"/>
      <c r="W18" s="176"/>
      <c r="X18" s="177"/>
      <c r="Y18" s="176"/>
      <c r="Z18" s="178"/>
      <c r="AA18" s="176"/>
      <c r="AB18" s="176"/>
      <c r="AC18" s="176"/>
      <c r="AD18" s="176"/>
      <c r="AE18" s="177"/>
      <c r="AF18" s="176"/>
      <c r="AG18" s="168" t="str">
        <f aca="false">A18</f>
        <v>out</v>
      </c>
      <c r="AH18" s="146"/>
      <c r="AI18" s="179"/>
      <c r="AJ18" s="180"/>
      <c r="AK18" s="172"/>
      <c r="AL18" s="172"/>
      <c r="AM18" s="172"/>
      <c r="AN18" s="171"/>
      <c r="AO18" s="172"/>
      <c r="AP18" s="172"/>
      <c r="AQ18" s="39"/>
    </row>
    <row r="19" s="148" customFormat="true" ht="15" hidden="true" customHeight="true" outlineLevel="1" collapsed="false">
      <c r="A19" s="175" t="s">
        <v>128</v>
      </c>
      <c r="B19" s="176"/>
      <c r="C19" s="176"/>
      <c r="D19" s="176"/>
      <c r="E19" s="177"/>
      <c r="F19" s="176"/>
      <c r="G19" s="176"/>
      <c r="H19" s="176"/>
      <c r="I19" s="176"/>
      <c r="J19" s="177"/>
      <c r="K19" s="176"/>
      <c r="L19" s="177"/>
      <c r="M19" s="176"/>
      <c r="N19" s="176"/>
      <c r="O19" s="176"/>
      <c r="P19" s="176"/>
      <c r="Q19" s="177"/>
      <c r="R19" s="176"/>
      <c r="S19" s="177"/>
      <c r="T19" s="177"/>
      <c r="U19" s="176"/>
      <c r="V19" s="176"/>
      <c r="W19" s="176"/>
      <c r="X19" s="177"/>
      <c r="Y19" s="176"/>
      <c r="Z19" s="178"/>
      <c r="AA19" s="176"/>
      <c r="AB19" s="176"/>
      <c r="AC19" s="176"/>
      <c r="AD19" s="176"/>
      <c r="AE19" s="177"/>
      <c r="AF19" s="176"/>
      <c r="AG19" s="168" t="str">
        <f aca="false">A19</f>
        <v>in</v>
      </c>
      <c r="AH19" s="146"/>
      <c r="AI19" s="179"/>
      <c r="AJ19" s="180"/>
      <c r="AK19" s="172"/>
      <c r="AL19" s="172"/>
      <c r="AM19" s="172"/>
      <c r="AN19" s="171"/>
      <c r="AO19" s="172"/>
      <c r="AP19" s="172"/>
      <c r="AQ19" s="39"/>
    </row>
    <row r="20" s="148" customFormat="true" ht="15" hidden="true" customHeight="true" outlineLevel="1" collapsed="false">
      <c r="A20" s="175" t="s">
        <v>129</v>
      </c>
      <c r="B20" s="176"/>
      <c r="C20" s="176"/>
      <c r="D20" s="176"/>
      <c r="E20" s="177"/>
      <c r="F20" s="176"/>
      <c r="G20" s="176"/>
      <c r="H20" s="176"/>
      <c r="I20" s="176"/>
      <c r="J20" s="177"/>
      <c r="K20" s="176"/>
      <c r="L20" s="177"/>
      <c r="M20" s="176"/>
      <c r="N20" s="176"/>
      <c r="O20" s="176"/>
      <c r="P20" s="176"/>
      <c r="Q20" s="177"/>
      <c r="R20" s="176"/>
      <c r="S20" s="177"/>
      <c r="T20" s="177"/>
      <c r="U20" s="176"/>
      <c r="V20" s="176"/>
      <c r="W20" s="176"/>
      <c r="X20" s="177"/>
      <c r="Y20" s="176"/>
      <c r="Z20" s="178"/>
      <c r="AA20" s="176"/>
      <c r="AB20" s="176"/>
      <c r="AC20" s="176"/>
      <c r="AD20" s="176"/>
      <c r="AE20" s="177"/>
      <c r="AF20" s="176"/>
      <c r="AG20" s="168" t="str">
        <f aca="false">A20</f>
        <v>out</v>
      </c>
      <c r="AH20" s="146"/>
      <c r="AI20" s="179"/>
      <c r="AJ20" s="180"/>
      <c r="AK20" s="172"/>
      <c r="AL20" s="172"/>
      <c r="AM20" s="172"/>
      <c r="AN20" s="171"/>
      <c r="AO20" s="172"/>
      <c r="AP20" s="172"/>
      <c r="AQ20" s="39"/>
    </row>
    <row r="21" s="148" customFormat="true" ht="15" hidden="true" customHeight="true" outlineLevel="1" collapsed="false">
      <c r="A21" s="175" t="s">
        <v>128</v>
      </c>
      <c r="B21" s="176"/>
      <c r="C21" s="176"/>
      <c r="D21" s="176"/>
      <c r="E21" s="177"/>
      <c r="F21" s="176"/>
      <c r="G21" s="176"/>
      <c r="H21" s="176"/>
      <c r="I21" s="176"/>
      <c r="J21" s="177"/>
      <c r="K21" s="176"/>
      <c r="L21" s="177"/>
      <c r="M21" s="176"/>
      <c r="N21" s="176"/>
      <c r="O21" s="176"/>
      <c r="P21" s="176"/>
      <c r="Q21" s="177"/>
      <c r="R21" s="176"/>
      <c r="S21" s="177"/>
      <c r="T21" s="177"/>
      <c r="U21" s="176"/>
      <c r="V21" s="176"/>
      <c r="W21" s="176"/>
      <c r="X21" s="177"/>
      <c r="Y21" s="176"/>
      <c r="Z21" s="178"/>
      <c r="AA21" s="176"/>
      <c r="AB21" s="176"/>
      <c r="AC21" s="176"/>
      <c r="AD21" s="176"/>
      <c r="AE21" s="177"/>
      <c r="AF21" s="176"/>
      <c r="AG21" s="168" t="str">
        <f aca="false">A21</f>
        <v>in</v>
      </c>
      <c r="AH21" s="146"/>
      <c r="AI21" s="179"/>
      <c r="AJ21" s="180"/>
      <c r="AK21" s="172"/>
      <c r="AL21" s="172"/>
      <c r="AM21" s="172"/>
      <c r="AN21" s="171"/>
      <c r="AO21" s="172"/>
      <c r="AP21" s="172"/>
      <c r="AQ21" s="39"/>
    </row>
    <row r="22" s="148" customFormat="true" ht="15" hidden="true" customHeight="true" outlineLevel="1" collapsed="false">
      <c r="A22" s="175" t="s">
        <v>129</v>
      </c>
      <c r="B22" s="176"/>
      <c r="C22" s="176"/>
      <c r="D22" s="176"/>
      <c r="E22" s="177"/>
      <c r="F22" s="176"/>
      <c r="G22" s="176"/>
      <c r="H22" s="176"/>
      <c r="I22" s="176"/>
      <c r="J22" s="177"/>
      <c r="K22" s="176"/>
      <c r="L22" s="177"/>
      <c r="M22" s="176"/>
      <c r="N22" s="176"/>
      <c r="O22" s="176"/>
      <c r="P22" s="176"/>
      <c r="Q22" s="177"/>
      <c r="R22" s="176"/>
      <c r="S22" s="177"/>
      <c r="T22" s="177"/>
      <c r="U22" s="176"/>
      <c r="V22" s="176"/>
      <c r="W22" s="176"/>
      <c r="X22" s="177"/>
      <c r="Y22" s="176"/>
      <c r="Z22" s="178"/>
      <c r="AA22" s="176"/>
      <c r="AB22" s="176"/>
      <c r="AC22" s="176"/>
      <c r="AD22" s="176"/>
      <c r="AE22" s="177"/>
      <c r="AF22" s="176"/>
      <c r="AG22" s="168" t="str">
        <f aca="false">A22</f>
        <v>out</v>
      </c>
      <c r="AH22" s="146"/>
      <c r="AI22" s="179"/>
      <c r="AJ22" s="180"/>
      <c r="AK22" s="172"/>
      <c r="AL22" s="172"/>
      <c r="AM22" s="172"/>
      <c r="AN22" s="171"/>
      <c r="AO22" s="172"/>
      <c r="AP22" s="172"/>
      <c r="AQ22" s="39"/>
    </row>
    <row r="23" s="148" customFormat="true" ht="15" hidden="false" customHeight="true" outlineLevel="0" collapsed="false">
      <c r="A23" s="181" t="s">
        <v>130</v>
      </c>
      <c r="B23" s="182" t="n">
        <f aca="false">ROUND((B14-B13)+(B16-B15)+(B18-B17)+(B20-B19)+(B22-B21),9)</f>
        <v>0</v>
      </c>
      <c r="C23" s="182" t="n">
        <f aca="false">ROUND((C14-C13)+(C16-C15)+(C18-C17)+(C20-C19)+(C22-C21),9)</f>
        <v>0</v>
      </c>
      <c r="D23" s="182" t="n">
        <f aca="false">ROUND((D14-D13)+(D16-D15)+(D18-D17)+(D20-D19)+(D22-D21),9)</f>
        <v>0</v>
      </c>
      <c r="E23" s="182" t="n">
        <f aca="false">ROUND((E14-E13)+(E16-E15)+(E18-E17)+(E20-E19)+(E22-E21),9)</f>
        <v>0</v>
      </c>
      <c r="F23" s="182" t="n">
        <f aca="false">ROUND((F14-F13)+(F16-F15)+(F18-F17)+(F20-F19)+(F22-F21),9)</f>
        <v>0</v>
      </c>
      <c r="G23" s="182" t="n">
        <f aca="false">ROUND((G14-G13)+(G16-G15)+(G18-G17)+(G20-G19)+(G22-G21),9)</f>
        <v>0</v>
      </c>
      <c r="H23" s="182" t="n">
        <f aca="false">ROUND((H14-H13)+(H16-H15)+(H18-H17)+(H20-H19)+(H22-H21),9)</f>
        <v>0</v>
      </c>
      <c r="I23" s="182" t="n">
        <f aca="false">ROUND((I14-I13)+(I16-I15)+(I18-I17)+(I20-I19)+(I22-I21),9)</f>
        <v>0</v>
      </c>
      <c r="J23" s="182" t="n">
        <f aca="false">ROUND((J14-J13)+(J16-J15)+(J18-J17)+(J20-J19)+(J22-J21),9)</f>
        <v>0</v>
      </c>
      <c r="K23" s="182" t="n">
        <f aca="false">ROUND((K14-K13)+(K16-K15)+(K18-K17)+(K20-K19)+(K22-K21),9)</f>
        <v>0</v>
      </c>
      <c r="L23" s="182" t="n">
        <f aca="false">ROUND((L14-L13)+(L16-L15)+(L18-L17)+(L20-L19)+(L22-L21),9)</f>
        <v>0</v>
      </c>
      <c r="M23" s="182" t="n">
        <f aca="false">ROUND((M14-M13)+(M16-M15)+(M18-M17)+(M20-M19)+(M22-M21),9)</f>
        <v>0</v>
      </c>
      <c r="N23" s="182" t="n">
        <f aca="false">ROUND((N14-N13)+(N16-N15)+(N18-N17)+(N20-N19)+(N22-N21),9)</f>
        <v>0</v>
      </c>
      <c r="O23" s="182" t="n">
        <f aca="false">ROUND((O14-O13)+(O16-O15)+(O18-O17)+(O20-O19)+(O22-O21),9)</f>
        <v>0</v>
      </c>
      <c r="P23" s="182" t="n">
        <f aca="false">ROUND((P14-P13)+(P16-P15)+(P18-P17)+(P20-P19)+(P22-P21),9)</f>
        <v>0</v>
      </c>
      <c r="Q23" s="182" t="n">
        <f aca="false">ROUND((Q14-Q13)+(Q16-Q15)+(Q18-Q17)+(Q20-Q19)+(Q22-Q21),9)</f>
        <v>0</v>
      </c>
      <c r="R23" s="182" t="n">
        <f aca="false">ROUND((R14-R13)+(R16-R15)+(R18-R17)+(R20-R19)+(R22-R21),9)</f>
        <v>0</v>
      </c>
      <c r="S23" s="182" t="n">
        <f aca="false">ROUND((S14-S13)+(S16-S15)+(S18-S17)+(S20-S19)+(S22-S21),9)</f>
        <v>0</v>
      </c>
      <c r="T23" s="182" t="n">
        <f aca="false">ROUND((T14-T13)+(T16-T15)+(T18-T17)+(T20-T19)+(T22-T21),9)</f>
        <v>0</v>
      </c>
      <c r="U23" s="182" t="n">
        <f aca="false">ROUND((U14-U13)+(U16-U15)+(U18-U17)+(U20-U19)+(U22-U21),9)</f>
        <v>0</v>
      </c>
      <c r="V23" s="182" t="n">
        <f aca="false">ROUND((V14-V13)+(V16-V15)+(V18-V17)+(V20-V19)+(V22-V21),9)</f>
        <v>0</v>
      </c>
      <c r="W23" s="182" t="n">
        <f aca="false">ROUND((W14-W13)+(W16-W15)+(W18-W17)+(W20-W19)+(W22-W21),9)</f>
        <v>0</v>
      </c>
      <c r="X23" s="182" t="n">
        <f aca="false">ROUND((X14-X13)+(X16-X15)+(X18-X17)+(X20-X19)+(X22-X21),9)</f>
        <v>0</v>
      </c>
      <c r="Y23" s="182" t="n">
        <f aca="false">ROUND((Y14-Y13)+(Y16-Y15)+(Y18-Y17)+(Y20-Y19)+(Y22-Y21),9)</f>
        <v>0</v>
      </c>
      <c r="Z23" s="182" t="n">
        <f aca="false">ROUND((Z14-Z13)+(Z16-Z15)+(Z18-Z17)+(Z20-Z19)+(Z22-Z21),9)</f>
        <v>0</v>
      </c>
      <c r="AA23" s="182" t="n">
        <f aca="false">ROUND((AA14-AA13)+(AA16-AA15)+(AA18-AA17)+(AA20-AA19)+(AA22-AA21),9)</f>
        <v>0</v>
      </c>
      <c r="AB23" s="182" t="n">
        <f aca="false">ROUND((AB14-AB13)+(AB16-AB15)+(AB18-AB17)+(AB20-AB19)+(AB22-AB21),9)</f>
        <v>0</v>
      </c>
      <c r="AC23" s="182" t="n">
        <f aca="false">ROUND((AC14-AC13)+(AC16-AC15)+(AC18-AC17)+(AC20-AC19)+(AC22-AC21),9)</f>
        <v>0</v>
      </c>
      <c r="AD23" s="182" t="n">
        <f aca="false">ROUND((AD14-AD13)+(AD16-AD15)+(AD18-AD17)+(AD20-AD19)+(AD22-AD21),9)</f>
        <v>0</v>
      </c>
      <c r="AE23" s="182" t="n">
        <f aca="false">ROUND((AE14-AE13)+(AE16-AE15)+(AE18-AE17)+(AE20-AE19)+(AE22-AE21),9)</f>
        <v>0</v>
      </c>
      <c r="AF23" s="182" t="n">
        <f aca="false">ROUND((AF14-AF13)+(AF16-AF15)+(AF18-AF17)+(AF20-AF19)+(AF22-AF21),9)</f>
        <v>0</v>
      </c>
      <c r="AG23" s="183" t="str">
        <f aca="false">A23</f>
        <v>Total in/out</v>
      </c>
      <c r="AH23" s="184"/>
      <c r="AI23" s="185" t="n">
        <f aca="false">SUM(B23:AF23)</f>
        <v>0</v>
      </c>
      <c r="AJ23" s="180"/>
      <c r="AK23" s="172"/>
      <c r="AL23" s="172"/>
      <c r="AM23" s="172"/>
      <c r="AN23" s="171"/>
      <c r="AO23" s="172"/>
      <c r="AP23" s="172"/>
      <c r="AQ23" s="39"/>
    </row>
    <row r="24" s="148" customFormat="true" ht="3.75" hidden="true" customHeight="true" outlineLevel="1" collapsed="false">
      <c r="A24" s="186"/>
      <c r="B24" s="187"/>
      <c r="C24" s="187"/>
      <c r="D24" s="187"/>
      <c r="E24" s="187"/>
      <c r="F24" s="187"/>
      <c r="G24" s="187"/>
      <c r="H24" s="187"/>
      <c r="I24" s="187"/>
      <c r="J24" s="187"/>
      <c r="K24" s="187"/>
      <c r="L24" s="187"/>
      <c r="M24" s="187"/>
      <c r="N24" s="187"/>
      <c r="O24" s="187"/>
      <c r="P24" s="187"/>
      <c r="Q24" s="187"/>
      <c r="R24" s="187"/>
      <c r="S24" s="187"/>
      <c r="T24" s="187"/>
      <c r="U24" s="187"/>
      <c r="V24" s="187"/>
      <c r="W24" s="187"/>
      <c r="X24" s="187"/>
      <c r="Y24" s="187"/>
      <c r="Z24" s="187"/>
      <c r="AA24" s="187"/>
      <c r="AB24" s="187"/>
      <c r="AC24" s="187"/>
      <c r="AD24" s="187"/>
      <c r="AE24" s="187"/>
      <c r="AF24" s="188"/>
      <c r="AG24" s="168"/>
      <c r="AH24" s="146"/>
      <c r="AI24" s="179"/>
      <c r="AJ24" s="180"/>
      <c r="AK24" s="172"/>
      <c r="AL24" s="172"/>
      <c r="AM24" s="172"/>
      <c r="AN24" s="171"/>
      <c r="AO24" s="172"/>
      <c r="AP24" s="172"/>
      <c r="AQ24" s="39"/>
    </row>
    <row r="25" s="148" customFormat="true" ht="15" hidden="true" customHeight="true" outlineLevel="1" collapsed="false">
      <c r="A25" s="175" t="s">
        <v>131</v>
      </c>
      <c r="B25" s="176"/>
      <c r="C25" s="176"/>
      <c r="D25" s="176"/>
      <c r="E25" s="189"/>
      <c r="F25" s="176"/>
      <c r="G25" s="176"/>
      <c r="H25" s="176"/>
      <c r="I25" s="176"/>
      <c r="J25" s="176"/>
      <c r="K25" s="176"/>
      <c r="L25" s="176"/>
      <c r="M25" s="176"/>
      <c r="N25" s="176"/>
      <c r="O25" s="176"/>
      <c r="P25" s="176"/>
      <c r="Q25" s="176"/>
      <c r="R25" s="176"/>
      <c r="S25" s="176"/>
      <c r="T25" s="176"/>
      <c r="U25" s="176"/>
      <c r="V25" s="176"/>
      <c r="W25" s="176"/>
      <c r="X25" s="176"/>
      <c r="Y25" s="176"/>
      <c r="Z25" s="190"/>
      <c r="AA25" s="176"/>
      <c r="AB25" s="176"/>
      <c r="AC25" s="176"/>
      <c r="AD25" s="176"/>
      <c r="AE25" s="176"/>
      <c r="AF25" s="176"/>
      <c r="AG25" s="168" t="str">
        <f aca="false">A25</f>
        <v>paid break in</v>
      </c>
      <c r="AH25" s="146"/>
      <c r="AI25" s="179"/>
      <c r="AJ25" s="180"/>
      <c r="AK25" s="172"/>
      <c r="AL25" s="172"/>
      <c r="AM25" s="172"/>
      <c r="AN25" s="171"/>
      <c r="AO25" s="172"/>
      <c r="AP25" s="172"/>
      <c r="AQ25" s="39"/>
    </row>
    <row r="26" s="148" customFormat="true" ht="15" hidden="true" customHeight="true" outlineLevel="1" collapsed="false">
      <c r="A26" s="175" t="s">
        <v>132</v>
      </c>
      <c r="B26" s="176"/>
      <c r="C26" s="176"/>
      <c r="D26" s="176"/>
      <c r="E26" s="176"/>
      <c r="F26" s="176"/>
      <c r="G26" s="176"/>
      <c r="H26" s="176"/>
      <c r="I26" s="176"/>
      <c r="J26" s="176"/>
      <c r="K26" s="176"/>
      <c r="L26" s="176"/>
      <c r="M26" s="176"/>
      <c r="N26" s="176"/>
      <c r="O26" s="176"/>
      <c r="P26" s="176"/>
      <c r="Q26" s="176"/>
      <c r="R26" s="176"/>
      <c r="S26" s="176"/>
      <c r="T26" s="176"/>
      <c r="U26" s="176"/>
      <c r="V26" s="176"/>
      <c r="W26" s="176"/>
      <c r="X26" s="176"/>
      <c r="Y26" s="176"/>
      <c r="Z26" s="190"/>
      <c r="AA26" s="176"/>
      <c r="AB26" s="176"/>
      <c r="AC26" s="176"/>
      <c r="AD26" s="176"/>
      <c r="AE26" s="176"/>
      <c r="AF26" s="176"/>
      <c r="AG26" s="168" t="str">
        <f aca="false">A26</f>
        <v>paid break out</v>
      </c>
      <c r="AH26" s="146"/>
      <c r="AI26" s="179"/>
      <c r="AJ26" s="180"/>
      <c r="AK26" s="172"/>
      <c r="AL26" s="172"/>
      <c r="AM26" s="172"/>
      <c r="AN26" s="171"/>
      <c r="AO26" s="172"/>
      <c r="AP26" s="172"/>
      <c r="AQ26" s="39"/>
    </row>
    <row r="27" s="148" customFormat="true" ht="15" hidden="true" customHeight="true" outlineLevel="1" collapsed="false">
      <c r="A27" s="175" t="s">
        <v>131</v>
      </c>
      <c r="B27" s="176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90"/>
      <c r="AA27" s="176"/>
      <c r="AB27" s="176"/>
      <c r="AC27" s="176"/>
      <c r="AD27" s="176"/>
      <c r="AE27" s="176"/>
      <c r="AF27" s="176"/>
      <c r="AG27" s="168" t="str">
        <f aca="false">A27</f>
        <v>paid break in</v>
      </c>
      <c r="AH27" s="146"/>
      <c r="AI27" s="179"/>
      <c r="AJ27" s="180"/>
      <c r="AK27" s="172"/>
      <c r="AL27" s="172"/>
      <c r="AM27" s="172"/>
      <c r="AN27" s="171"/>
      <c r="AO27" s="172"/>
      <c r="AP27" s="172"/>
      <c r="AQ27" s="39"/>
    </row>
    <row r="28" s="148" customFormat="true" ht="15" hidden="true" customHeight="true" outlineLevel="1" collapsed="false">
      <c r="A28" s="175" t="s">
        <v>132</v>
      </c>
      <c r="B28" s="176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90"/>
      <c r="AA28" s="176"/>
      <c r="AB28" s="176"/>
      <c r="AC28" s="176"/>
      <c r="AD28" s="176"/>
      <c r="AE28" s="176"/>
      <c r="AF28" s="176"/>
      <c r="AG28" s="168" t="str">
        <f aca="false">A28</f>
        <v>paid break out</v>
      </c>
      <c r="AH28" s="146"/>
      <c r="AI28" s="179"/>
      <c r="AJ28" s="180"/>
      <c r="AK28" s="172"/>
      <c r="AL28" s="172"/>
      <c r="AM28" s="172"/>
      <c r="AN28" s="171"/>
      <c r="AO28" s="172"/>
      <c r="AP28" s="172"/>
      <c r="AQ28" s="39"/>
    </row>
    <row r="29" s="148" customFormat="true" ht="15" hidden="true" customHeight="true" outlineLevel="1" collapsed="false">
      <c r="A29" s="175" t="s">
        <v>131</v>
      </c>
      <c r="B29" s="176"/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90"/>
      <c r="AA29" s="176"/>
      <c r="AB29" s="176"/>
      <c r="AC29" s="176"/>
      <c r="AD29" s="176"/>
      <c r="AE29" s="176"/>
      <c r="AF29" s="176"/>
      <c r="AG29" s="168" t="str">
        <f aca="false">A29</f>
        <v>paid break in</v>
      </c>
      <c r="AH29" s="146"/>
      <c r="AI29" s="179"/>
      <c r="AJ29" s="180"/>
      <c r="AK29" s="172"/>
      <c r="AL29" s="172"/>
      <c r="AM29" s="172"/>
      <c r="AN29" s="171"/>
      <c r="AO29" s="172"/>
      <c r="AP29" s="172"/>
      <c r="AQ29" s="39"/>
    </row>
    <row r="30" s="148" customFormat="true" ht="15" hidden="true" customHeight="true" outlineLevel="1" collapsed="false">
      <c r="A30" s="175" t="s">
        <v>132</v>
      </c>
      <c r="B30" s="176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90"/>
      <c r="AA30" s="176"/>
      <c r="AB30" s="176"/>
      <c r="AC30" s="176"/>
      <c r="AD30" s="176"/>
      <c r="AE30" s="176"/>
      <c r="AF30" s="176"/>
      <c r="AG30" s="168" t="str">
        <f aca="false">A30</f>
        <v>paid break out</v>
      </c>
      <c r="AH30" s="146"/>
      <c r="AI30" s="179"/>
      <c r="AJ30" s="180"/>
      <c r="AK30" s="172"/>
      <c r="AL30" s="172"/>
      <c r="AM30" s="172"/>
      <c r="AN30" s="171"/>
      <c r="AO30" s="172"/>
      <c r="AP30" s="172"/>
      <c r="AQ30" s="39"/>
    </row>
    <row r="31" s="148" customFormat="true" ht="3.75" hidden="true" customHeight="true" outlineLevel="1" collapsed="false">
      <c r="A31" s="186"/>
      <c r="B31" s="191"/>
      <c r="C31" s="191"/>
      <c r="D31" s="191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  <c r="AA31" s="191"/>
      <c r="AB31" s="191"/>
      <c r="AC31" s="191"/>
      <c r="AD31" s="191"/>
      <c r="AE31" s="191"/>
      <c r="AF31" s="192"/>
      <c r="AG31" s="168"/>
      <c r="AH31" s="146"/>
      <c r="AI31" s="179"/>
      <c r="AJ31" s="180"/>
      <c r="AK31" s="172"/>
      <c r="AL31" s="172"/>
      <c r="AM31" s="172"/>
      <c r="AN31" s="171"/>
      <c r="AO31" s="172"/>
      <c r="AP31" s="172"/>
      <c r="AQ31" s="39"/>
    </row>
    <row r="32" s="148" customFormat="true" ht="15" hidden="true" customHeight="true" outlineLevel="1" collapsed="false">
      <c r="A32" s="181" t="s">
        <v>133</v>
      </c>
      <c r="B32" s="193" t="n">
        <f aca="false">ROUND(IF(MAX(0,B15-B14)&lt;1/24/60*180,MAX(0,B15-B14),0)+IF(MAX(0,B17-B16)&lt;1/24/60*180,MAX(0,B17-B16),0)+IF(MAX(0,B19-B18)&lt;1/24/60*180,MAX(0,B19-B18),0)+IF(MAX(0,B21-B20)&lt;1/24/60*180,MAX(0,B21-B20))+MAX(0,B26-B25)+MAX(0,B28-B27)+MAX(0,B30-B29),9)</f>
        <v>0</v>
      </c>
      <c r="C32" s="193" t="n">
        <f aca="false">ROUND(IF(MAX(0,C15-C14)&lt;1/24/60*180,MAX(0,C15-C14),0)+IF(MAX(0,C17-C16)&lt;1/24/60*180,MAX(0,C17-C16),0)+IF(MAX(0,C19-C18)&lt;1/24/60*180,MAX(0,C19-C18),0)+IF(MAX(0,C21-C20)&lt;1/24/60*180,MAX(0,C21-C20))+MAX(0,C26-C25)+MAX(0,C28-C27)+MAX(0,C30-C29),9)</f>
        <v>0</v>
      </c>
      <c r="D32" s="193" t="n">
        <f aca="false">ROUND(IF(MAX(0,D15-D14)&lt;1/24/60*180,MAX(0,D15-D14),0)+IF(MAX(0,D17-D16)&lt;1/24/60*180,MAX(0,D17-D16),0)+IF(MAX(0,D19-D18)&lt;1/24/60*180,MAX(0,D19-D18),0)+IF(MAX(0,D21-D20)&lt;1/24/60*180,MAX(0,D21-D20))+MAX(0,D26-D25)+MAX(0,D28-D27)+MAX(0,D30-D29),9)</f>
        <v>0</v>
      </c>
      <c r="E32" s="193" t="n">
        <f aca="false">ROUND(IF(MAX(0,E15-E14)&lt;1/24/60*180,MAX(0,E15-E14),0)+IF(MAX(0,E17-E16)&lt;1/24/60*180,MAX(0,E17-E16),0)+IF(MAX(0,E19-E18)&lt;1/24/60*180,MAX(0,E19-E18),0)+IF(MAX(0,E21-E20)&lt;1/24/60*180,MAX(0,E21-E20))+MAX(0,E26-E25)+MAX(0,E28-E27)+MAX(0,E30-E29),9)</f>
        <v>0</v>
      </c>
      <c r="F32" s="193" t="n">
        <f aca="false">ROUND(IF(MAX(0,F15-F14)&lt;1/24/60*180,MAX(0,F15-F14),0)+IF(MAX(0,F17-F16)&lt;1/24/60*180,MAX(0,F17-F16),0)+IF(MAX(0,F19-F18)&lt;1/24/60*180,MAX(0,F19-F18),0)+IF(MAX(0,F21-F20)&lt;1/24/60*180,MAX(0,F21-F20))+MAX(0,F26-F25)+MAX(0,F28-F27)+MAX(0,F30-F29),9)</f>
        <v>0</v>
      </c>
      <c r="G32" s="193" t="n">
        <f aca="false">ROUND(IF(MAX(0,G15-G14)&lt;1/24/60*180,MAX(0,G15-G14),0)+IF(MAX(0,G17-G16)&lt;1/24/60*180,MAX(0,G17-G16),0)+IF(MAX(0,G19-G18)&lt;1/24/60*180,MAX(0,G19-G18),0)+IF(MAX(0,G21-G20)&lt;1/24/60*180,MAX(0,G21-G20))+MAX(0,G26-G25)+MAX(0,G28-G27)+MAX(0,G30-G29),9)</f>
        <v>0</v>
      </c>
      <c r="H32" s="193" t="n">
        <f aca="false">ROUND(IF(MAX(0,H15-H14)&lt;1/24/60*180,MAX(0,H15-H14),0)+IF(MAX(0,H17-H16)&lt;1/24/60*180,MAX(0,H17-H16),0)+IF(MAX(0,H19-H18)&lt;1/24/60*180,MAX(0,H19-H18),0)+IF(MAX(0,H21-H20)&lt;1/24/60*180,MAX(0,H21-H20))+MAX(0,H26-H25)+MAX(0,H28-H27)+MAX(0,H30-H29),9)</f>
        <v>0</v>
      </c>
      <c r="I32" s="193" t="n">
        <f aca="false">ROUND(IF(MAX(0,I15-I14)&lt;1/24/60*180,MAX(0,I15-I14),0)+IF(MAX(0,I17-I16)&lt;1/24/60*180,MAX(0,I17-I16),0)+IF(MAX(0,I19-I18)&lt;1/24/60*180,MAX(0,I19-I18),0)+IF(MAX(0,I21-I20)&lt;1/24/60*180,MAX(0,I21-I20))+MAX(0,I26-I25)+MAX(0,I28-I27)+MAX(0,I30-I29),9)</f>
        <v>0</v>
      </c>
      <c r="J32" s="193" t="n">
        <f aca="false">ROUND(IF(MAX(0,J15-J14)&lt;1/24/60*180,MAX(0,J15-J14),0)+IF(MAX(0,J17-J16)&lt;1/24/60*180,MAX(0,J17-J16),0)+IF(MAX(0,J19-J18)&lt;1/24/60*180,MAX(0,J19-J18),0)+IF(MAX(0,J21-J20)&lt;1/24/60*180,MAX(0,J21-J20))+MAX(0,J26-J25)+MAX(0,J28-J27)+MAX(0,J30-J29),9)</f>
        <v>0</v>
      </c>
      <c r="K32" s="193" t="n">
        <f aca="false">ROUND(IF(MAX(0,K15-K14)&lt;1/24/60*180,MAX(0,K15-K14),0)+IF(MAX(0,K17-K16)&lt;1/24/60*180,MAX(0,K17-K16),0)+IF(MAX(0,K19-K18)&lt;1/24/60*180,MAX(0,K19-K18),0)+IF(MAX(0,K21-K20)&lt;1/24/60*180,MAX(0,K21-K20))+MAX(0,K26-K25)+MAX(0,K28-K27)+MAX(0,K30-K29),9)</f>
        <v>0</v>
      </c>
      <c r="L32" s="193" t="n">
        <f aca="false">ROUND(IF(MAX(0,L15-L14)&lt;1/24/60*180,MAX(0,L15-L14),0)+IF(MAX(0,L17-L16)&lt;1/24/60*180,MAX(0,L17-L16),0)+IF(MAX(0,L19-L18)&lt;1/24/60*180,MAX(0,L19-L18),0)+IF(MAX(0,L21-L20)&lt;1/24/60*180,MAX(0,L21-L20))+MAX(0,L26-L25)+MAX(0,L28-L27)+MAX(0,L30-L29),9)</f>
        <v>0</v>
      </c>
      <c r="M32" s="193" t="n">
        <f aca="false">ROUND(IF(MAX(0,M15-M14)&lt;1/24/60*180,MAX(0,M15-M14),0)+IF(MAX(0,M17-M16)&lt;1/24/60*180,MAX(0,M17-M16),0)+IF(MAX(0,M19-M18)&lt;1/24/60*180,MAX(0,M19-M18),0)+IF(MAX(0,M21-M20)&lt;1/24/60*180,MAX(0,M21-M20))+MAX(0,M26-M25)+MAX(0,M28-M27)+MAX(0,M30-M29),9)</f>
        <v>0</v>
      </c>
      <c r="N32" s="193" t="n">
        <f aca="false">ROUND(IF(MAX(0,N15-N14)&lt;1/24/60*180,MAX(0,N15-N14),0)+IF(MAX(0,N17-N16)&lt;1/24/60*180,MAX(0,N17-N16),0)+IF(MAX(0,N19-N18)&lt;1/24/60*180,MAX(0,N19-N18),0)+IF(MAX(0,N21-N20)&lt;1/24/60*180,MAX(0,N21-N20))+MAX(0,N26-N25)+MAX(0,N28-N27)+MAX(0,N30-N29),9)</f>
        <v>0</v>
      </c>
      <c r="O32" s="193" t="n">
        <f aca="false">ROUND(IF(MAX(0,O15-O14)&lt;1/24/60*180,MAX(0,O15-O14),0)+IF(MAX(0,O17-O16)&lt;1/24/60*180,MAX(0,O17-O16),0)+IF(MAX(0,O19-O18)&lt;1/24/60*180,MAX(0,O19-O18),0)+IF(MAX(0,O21-O20)&lt;1/24/60*180,MAX(0,O21-O20))+MAX(0,O26-O25)+MAX(0,O28-O27)+MAX(0,O30-O29),9)</f>
        <v>0</v>
      </c>
      <c r="P32" s="193" t="n">
        <f aca="false">ROUND(IF(MAX(0,P15-P14)&lt;1/24/60*180,MAX(0,P15-P14),0)+IF(MAX(0,P17-P16)&lt;1/24/60*180,MAX(0,P17-P16),0)+IF(MAX(0,P19-P18)&lt;1/24/60*180,MAX(0,P19-P18),0)+IF(MAX(0,P21-P20)&lt;1/24/60*180,MAX(0,P21-P20))+MAX(0,P26-P25)+MAX(0,P28-P27)+MAX(0,P30-P29),9)</f>
        <v>0</v>
      </c>
      <c r="Q32" s="193" t="n">
        <f aca="false">ROUND(IF(MAX(0,Q15-Q14)&lt;1/24/60*180,MAX(0,Q15-Q14),0)+IF(MAX(0,Q17-Q16)&lt;1/24/60*180,MAX(0,Q17-Q16),0)+IF(MAX(0,Q19-Q18)&lt;1/24/60*180,MAX(0,Q19-Q18),0)+IF(MAX(0,Q21-Q20)&lt;1/24/60*180,MAX(0,Q21-Q20))+MAX(0,Q26-Q25)+MAX(0,Q28-Q27)+MAX(0,Q30-Q29),9)</f>
        <v>0</v>
      </c>
      <c r="R32" s="193" t="n">
        <f aca="false">ROUND(IF(MAX(0,R15-R14)&lt;1/24/60*180,MAX(0,R15-R14),0)+IF(MAX(0,R17-R16)&lt;1/24/60*180,MAX(0,R17-R16),0)+IF(MAX(0,R19-R18)&lt;1/24/60*180,MAX(0,R19-R18),0)+IF(MAX(0,R21-R20)&lt;1/24/60*180,MAX(0,R21-R20))+MAX(0,R26-R25)+MAX(0,R28-R27)+MAX(0,R30-R29),9)</f>
        <v>0</v>
      </c>
      <c r="S32" s="193" t="n">
        <f aca="false">ROUND(IF(MAX(0,S15-S14)&lt;1/24/60*180,MAX(0,S15-S14),0)+IF(MAX(0,S17-S16)&lt;1/24/60*180,MAX(0,S17-S16),0)+IF(MAX(0,S19-S18)&lt;1/24/60*180,MAX(0,S19-S18),0)+IF(MAX(0,S21-S20)&lt;1/24/60*180,MAX(0,S21-S20))+MAX(0,S26-S25)+MAX(0,S28-S27)+MAX(0,S30-S29),9)</f>
        <v>0</v>
      </c>
      <c r="T32" s="193" t="n">
        <f aca="false">ROUND(IF(MAX(0,T15-T14)&lt;1/24/60*180,MAX(0,T15-T14),0)+IF(MAX(0,T17-T16)&lt;1/24/60*180,MAX(0,T17-T16),0)+IF(MAX(0,T19-T18)&lt;1/24/60*180,MAX(0,T19-T18),0)+IF(MAX(0,T21-T20)&lt;1/24/60*180,MAX(0,T21-T20))+MAX(0,T26-T25)+MAX(0,T28-T27)+MAX(0,T30-T29),9)</f>
        <v>0</v>
      </c>
      <c r="U32" s="193" t="n">
        <f aca="false">ROUND(IF(MAX(0,U15-U14)&lt;1/24/60*180,MAX(0,U15-U14),0)+IF(MAX(0,U17-U16)&lt;1/24/60*180,MAX(0,U17-U16),0)+IF(MAX(0,U19-U18)&lt;1/24/60*180,MAX(0,U19-U18),0)+IF(MAX(0,U21-U20)&lt;1/24/60*180,MAX(0,U21-U20))+MAX(0,U26-U25)+MAX(0,U28-U27)+MAX(0,U30-U29),9)</f>
        <v>0</v>
      </c>
      <c r="V32" s="193" t="n">
        <f aca="false">ROUND(IF(MAX(0,V15-V14)&lt;1/24/60*180,MAX(0,V15-V14),0)+IF(MAX(0,V17-V16)&lt;1/24/60*180,MAX(0,V17-V16),0)+IF(MAX(0,V19-V18)&lt;1/24/60*180,MAX(0,V19-V18),0)+IF(MAX(0,V21-V20)&lt;1/24/60*180,MAX(0,V21-V20))+MAX(0,V26-V25)+MAX(0,V28-V27)+MAX(0,V30-V29),9)</f>
        <v>0</v>
      </c>
      <c r="W32" s="193" t="n">
        <f aca="false">ROUND(IF(MAX(0,W15-W14)&lt;1/24/60*180,MAX(0,W15-W14),0)+IF(MAX(0,W17-W16)&lt;1/24/60*180,MAX(0,W17-W16),0)+IF(MAX(0,W19-W18)&lt;1/24/60*180,MAX(0,W19-W18),0)+IF(MAX(0,W21-W20)&lt;1/24/60*180,MAX(0,W21-W20))+MAX(0,W26-W25)+MAX(0,W28-W27)+MAX(0,W30-W29),9)</f>
        <v>0</v>
      </c>
      <c r="X32" s="193" t="n">
        <f aca="false">ROUND(IF(MAX(0,X15-X14)&lt;1/24/60*180,MAX(0,X15-X14),0)+IF(MAX(0,X17-X16)&lt;1/24/60*180,MAX(0,X17-X16),0)+IF(MAX(0,X19-X18)&lt;1/24/60*180,MAX(0,X19-X18),0)+IF(MAX(0,X21-X20)&lt;1/24/60*180,MAX(0,X21-X20))+MAX(0,X26-X25)+MAX(0,X28-X27)+MAX(0,X30-X29),9)</f>
        <v>0</v>
      </c>
      <c r="Y32" s="193" t="n">
        <f aca="false">ROUND(IF(MAX(0,Y15-Y14)&lt;1/24/60*180,MAX(0,Y15-Y14),0)+IF(MAX(0,Y17-Y16)&lt;1/24/60*180,MAX(0,Y17-Y16),0)+IF(MAX(0,Y19-Y18)&lt;1/24/60*180,MAX(0,Y19-Y18),0)+IF(MAX(0,Y21-Y20)&lt;1/24/60*180,MAX(0,Y21-Y20))+MAX(0,Y26-Y25)+MAX(0,Y28-Y27)+MAX(0,Y30-Y29),9)</f>
        <v>0</v>
      </c>
      <c r="Z32" s="193" t="n">
        <f aca="false">ROUND(IF(MAX(0,Z15-Z14)&lt;1/24/60*180,MAX(0,Z15-Z14),0)+IF(MAX(0,Z17-Z16)&lt;1/24/60*180,MAX(0,Z17-Z16),0)+IF(MAX(0,Z19-Z18)&lt;1/24/60*180,MAX(0,Z19-Z18),0)+IF(MAX(0,Z21-Z20)&lt;1/24/60*180,MAX(0,Z21-Z20))+MAX(0,Z26-Z25)+MAX(0,Z28-Z27)+MAX(0,Z30-Z29),9)</f>
        <v>0</v>
      </c>
      <c r="AA32" s="193" t="n">
        <f aca="false">ROUND(IF(MAX(0,AA15-AA14)&lt;1/24/60*180,MAX(0,AA15-AA14),0)+IF(MAX(0,AA17-AA16)&lt;1/24/60*180,MAX(0,AA17-AA16),0)+IF(MAX(0,AA19-AA18)&lt;1/24/60*180,MAX(0,AA19-AA18),0)+IF(MAX(0,AA21-AA20)&lt;1/24/60*180,MAX(0,AA21-AA20))+MAX(0,AA26-AA25)+MAX(0,AA28-AA27)+MAX(0,AA30-AA29),9)</f>
        <v>0</v>
      </c>
      <c r="AB32" s="193" t="n">
        <f aca="false">ROUND(IF(MAX(0,AB15-AB14)&lt;1/24/60*180,MAX(0,AB15-AB14),0)+IF(MAX(0,AB17-AB16)&lt;1/24/60*180,MAX(0,AB17-AB16),0)+IF(MAX(0,AB19-AB18)&lt;1/24/60*180,MAX(0,AB19-AB18),0)+IF(MAX(0,AB21-AB20)&lt;1/24/60*180,MAX(0,AB21-AB20))+MAX(0,AB26-AB25)+MAX(0,AB28-AB27)+MAX(0,AB30-AB29),9)</f>
        <v>0</v>
      </c>
      <c r="AC32" s="193" t="n">
        <f aca="false">ROUND(IF(MAX(0,AC15-AC14)&lt;1/24/60*180,MAX(0,AC15-AC14),0)+IF(MAX(0,AC17-AC16)&lt;1/24/60*180,MAX(0,AC17-AC16),0)+IF(MAX(0,AC19-AC18)&lt;1/24/60*180,MAX(0,AC19-AC18),0)+IF(MAX(0,AC21-AC20)&lt;1/24/60*180,MAX(0,AC21-AC20))+MAX(0,AC26-AC25)+MAX(0,AC28-AC27)+MAX(0,AC30-AC29),9)</f>
        <v>0</v>
      </c>
      <c r="AD32" s="193" t="n">
        <f aca="false">ROUND(IF(MAX(0,AD15-AD14)&lt;1/24/60*180,MAX(0,AD15-AD14),0)+IF(MAX(0,AD17-AD16)&lt;1/24/60*180,MAX(0,AD17-AD16),0)+IF(MAX(0,AD19-AD18)&lt;1/24/60*180,MAX(0,AD19-AD18),0)+IF(MAX(0,AD21-AD20)&lt;1/24/60*180,MAX(0,AD21-AD20))+MAX(0,AD26-AD25)+MAX(0,AD28-AD27)+MAX(0,AD30-AD29),9)</f>
        <v>0</v>
      </c>
      <c r="AE32" s="193" t="n">
        <f aca="false">ROUND(IF(MAX(0,AE15-AE14)&lt;1/24/60*180,MAX(0,AE15-AE14),0)+IF(MAX(0,AE17-AE16)&lt;1/24/60*180,MAX(0,AE17-AE16),0)+IF(MAX(0,AE19-AE18)&lt;1/24/60*180,MAX(0,AE19-AE18),0)+IF(MAX(0,AE21-AE20)&lt;1/24/60*180,MAX(0,AE21-AE20))+MAX(0,AE26-AE25)+MAX(0,AE28-AE27)+MAX(0,AE30-AE29),9)</f>
        <v>0</v>
      </c>
      <c r="AF32" s="193" t="n">
        <f aca="false">ROUND(IF(MAX(0,AF15-AF14)&lt;1/24/60*180,MAX(0,AF15-AF14),0)+IF(MAX(0,AF17-AF16)&lt;1/24/60*180,MAX(0,AF17-AF16),0)+IF(MAX(0,AF19-AF18)&lt;1/24/60*180,MAX(0,AF19-AF18),0)+IF(MAX(0,AF21-AF20)&lt;1/24/60*180,MAX(0,AF21-AF20))+MAX(0,AF26-AF25)+MAX(0,AF28-AF27)+MAX(0,AF30-AF29),9)</f>
        <v>0</v>
      </c>
      <c r="AG32" s="183" t="str">
        <f aca="false">A32</f>
        <v>Total breaks (in out/paid)</v>
      </c>
      <c r="AH32" s="184"/>
      <c r="AI32" s="185" t="n">
        <f aca="false">SUM(B32:AF32)</f>
        <v>0</v>
      </c>
      <c r="AJ32" s="180"/>
      <c r="AK32" s="172"/>
      <c r="AL32" s="172"/>
      <c r="AM32" s="172"/>
      <c r="AN32" s="171"/>
      <c r="AO32" s="172"/>
      <c r="AP32" s="172"/>
      <c r="AQ32" s="39"/>
    </row>
    <row r="33" s="148" customFormat="true" ht="3.75" hidden="false" customHeight="true" outlineLevel="0" collapsed="false">
      <c r="A33" s="186"/>
      <c r="B33" s="194"/>
      <c r="C33" s="194"/>
      <c r="D33" s="194"/>
      <c r="E33" s="194"/>
      <c r="F33" s="194"/>
      <c r="G33" s="194"/>
      <c r="H33" s="194"/>
      <c r="I33" s="194"/>
      <c r="J33" s="194"/>
      <c r="K33" s="194"/>
      <c r="L33" s="194"/>
      <c r="M33" s="194"/>
      <c r="N33" s="194"/>
      <c r="O33" s="194"/>
      <c r="P33" s="194"/>
      <c r="Q33" s="194"/>
      <c r="R33" s="194"/>
      <c r="S33" s="194"/>
      <c r="T33" s="194"/>
      <c r="U33" s="194"/>
      <c r="V33" s="194"/>
      <c r="W33" s="194"/>
      <c r="X33" s="194"/>
      <c r="Y33" s="194"/>
      <c r="Z33" s="194"/>
      <c r="AA33" s="194"/>
      <c r="AB33" s="194"/>
      <c r="AC33" s="194"/>
      <c r="AD33" s="194"/>
      <c r="AE33" s="194"/>
      <c r="AF33" s="195"/>
      <c r="AG33" s="168"/>
      <c r="AH33" s="146"/>
      <c r="AI33" s="179"/>
      <c r="AJ33" s="180"/>
      <c r="AK33" s="172"/>
      <c r="AL33" s="172"/>
      <c r="AM33" s="172"/>
      <c r="AN33" s="171"/>
      <c r="AO33" s="172"/>
      <c r="AP33" s="172"/>
      <c r="AQ33" s="39"/>
    </row>
    <row r="34" s="148" customFormat="true" ht="15" hidden="false" customHeight="true" outlineLevel="1" collapsed="false">
      <c r="A34" s="175" t="s">
        <v>134</v>
      </c>
      <c r="B34" s="196" t="str">
        <f aca="true">IF(EB.Anwendung&lt;&gt;"",IF(EB.Wochenarbeitszeit=50/24,INDEX(T.Pikett.Bereich,1),IF(DAY(B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Monat.Pikett,IF(MONTH(Monat.Tag1)=12,November!Monat.Pikett,"")))))))))))),IF(A34="B",INDEX(T.Pikett.Bereich,4),IF(A34="E",INDEX(T.Pikett.Bereich,1),A34)))),"")</f>
        <v>No</v>
      </c>
      <c r="C34" s="196" t="str">
        <f aca="true">IF(EB.Anwendung&lt;&gt;"",IF(EB.Wochenarbeitszeit=50/24,INDEX(T.Pikett.Bereich,1),IF(DAY(C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Monat.Pikett,IF(MONTH(Monat.Tag1)=12,November!Monat.Pikett,"")))))))))))),IF(B34="B",INDEX(T.Pikett.Bereich,4),IF(B34="E",INDEX(T.Pikett.Bereich,1),B34)))),"")</f>
        <v>No</v>
      </c>
      <c r="D34" s="196" t="str">
        <f aca="true">IF(EB.Anwendung&lt;&gt;"",IF(EB.Wochenarbeitszeit=50/24,INDEX(T.Pikett.Bereich,1),IF(DAY(D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Monat.Pikett,IF(MONTH(Monat.Tag1)=12,November!Monat.Pikett,"")))))))))))),IF(C34="B",INDEX(T.Pikett.Bereich,4),IF(C34="E",INDEX(T.Pikett.Bereich,1),C34)))),"")</f>
        <v>No</v>
      </c>
      <c r="E34" s="196" t="str">
        <f aca="true">IF(EB.Anwendung&lt;&gt;"",IF(EB.Wochenarbeitszeit=50/24,INDEX(T.Pikett.Bereich,1),IF(DAY(E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Monat.Pikett,IF(MONTH(Monat.Tag1)=12,November!Monat.Pikett,"")))))))))))),IF(D34="B",INDEX(T.Pikett.Bereich,4),IF(D34="E",INDEX(T.Pikett.Bereich,1),D34)))),"")</f>
        <v>No</v>
      </c>
      <c r="F34" s="196" t="str">
        <f aca="true">IF(EB.Anwendung&lt;&gt;"",IF(EB.Wochenarbeitszeit=50/24,INDEX(T.Pikett.Bereich,1),IF(DAY(F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Monat.Pikett,IF(MONTH(Monat.Tag1)=12,November!Monat.Pikett,"")))))))))))),IF(E34="B",INDEX(T.Pikett.Bereich,4),IF(E34="E",INDEX(T.Pikett.Bereich,1),E34)))),"")</f>
        <v>No</v>
      </c>
      <c r="G34" s="196" t="str">
        <f aca="true">IF(EB.Anwendung&lt;&gt;"",IF(EB.Wochenarbeitszeit=50/24,INDEX(T.Pikett.Bereich,1),IF(DAY(G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Monat.Pikett,IF(MONTH(Monat.Tag1)=12,November!Monat.Pikett,"")))))))))))),IF(F34="B",INDEX(T.Pikett.Bereich,4),IF(F34="E",INDEX(T.Pikett.Bereich,1),F34)))),"")</f>
        <v>No</v>
      </c>
      <c r="H34" s="196" t="str">
        <f aca="true">IF(EB.Anwendung&lt;&gt;"",IF(EB.Wochenarbeitszeit=50/24,INDEX(T.Pikett.Bereich,1),IF(DAY(H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Monat.Pikett,IF(MONTH(Monat.Tag1)=12,November!Monat.Pikett,"")))))))))))),IF(G34="B",INDEX(T.Pikett.Bereich,4),IF(G34="E",INDEX(T.Pikett.Bereich,1),G34)))),"")</f>
        <v>No</v>
      </c>
      <c r="I34" s="196" t="str">
        <f aca="true">IF(EB.Anwendung&lt;&gt;"",IF(EB.Wochenarbeitszeit=50/24,INDEX(T.Pikett.Bereich,1),IF(DAY(I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Monat.Pikett,IF(MONTH(Monat.Tag1)=12,November!Monat.Pikett,"")))))))))))),IF(H34="B",INDEX(T.Pikett.Bereich,4),IF(H34="E",INDEX(T.Pikett.Bereich,1),H34)))),"")</f>
        <v>No</v>
      </c>
      <c r="J34" s="196" t="str">
        <f aca="true">IF(EB.Anwendung&lt;&gt;"",IF(EB.Wochenarbeitszeit=50/24,INDEX(T.Pikett.Bereich,1),IF(DAY(J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Monat.Pikett,IF(MONTH(Monat.Tag1)=12,November!Monat.Pikett,"")))))))))))),IF(I34="B",INDEX(T.Pikett.Bereich,4),IF(I34="E",INDEX(T.Pikett.Bereich,1),I34)))),"")</f>
        <v>No</v>
      </c>
      <c r="K34" s="196" t="str">
        <f aca="true">IF(EB.Anwendung&lt;&gt;"",IF(EB.Wochenarbeitszeit=50/24,INDEX(T.Pikett.Bereich,1),IF(DAY(K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Monat.Pikett,IF(MONTH(Monat.Tag1)=12,November!Monat.Pikett,"")))))))))))),IF(J34="B",INDEX(T.Pikett.Bereich,4),IF(J34="E",INDEX(T.Pikett.Bereich,1),J34)))),"")</f>
        <v>No</v>
      </c>
      <c r="L34" s="196" t="str">
        <f aca="true">IF(EB.Anwendung&lt;&gt;"",IF(EB.Wochenarbeitszeit=50/24,INDEX(T.Pikett.Bereich,1),IF(DAY(L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Monat.Pikett,IF(MONTH(Monat.Tag1)=12,November!Monat.Pikett,"")))))))))))),IF(K34="B",INDEX(T.Pikett.Bereich,4),IF(K34="E",INDEX(T.Pikett.Bereich,1),K34)))),"")</f>
        <v>No</v>
      </c>
      <c r="M34" s="196" t="str">
        <f aca="true">IF(EB.Anwendung&lt;&gt;"",IF(EB.Wochenarbeitszeit=50/24,INDEX(T.Pikett.Bereich,1),IF(DAY(M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Monat.Pikett,IF(MONTH(Monat.Tag1)=12,November!Monat.Pikett,"")))))))))))),IF(L34="B",INDEX(T.Pikett.Bereich,4),IF(L34="E",INDEX(T.Pikett.Bereich,1),L34)))),"")</f>
        <v>No</v>
      </c>
      <c r="N34" s="196" t="str">
        <f aca="true">IF(EB.Anwendung&lt;&gt;"",IF(EB.Wochenarbeitszeit=50/24,INDEX(T.Pikett.Bereich,1),IF(DAY(N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Monat.Pikett,IF(MONTH(Monat.Tag1)=12,November!Monat.Pikett,"")))))))))))),IF(M34="B",INDEX(T.Pikett.Bereich,4),IF(M34="E",INDEX(T.Pikett.Bereich,1),M34)))),"")</f>
        <v>No</v>
      </c>
      <c r="O34" s="196" t="str">
        <f aca="true">IF(EB.Anwendung&lt;&gt;"",IF(EB.Wochenarbeitszeit=50/24,INDEX(T.Pikett.Bereich,1),IF(DAY(O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Monat.Pikett,IF(MONTH(Monat.Tag1)=12,November!Monat.Pikett,"")))))))))))),IF(N34="B",INDEX(T.Pikett.Bereich,4),IF(N34="E",INDEX(T.Pikett.Bereich,1),N34)))),"")</f>
        <v>No</v>
      </c>
      <c r="P34" s="196" t="str">
        <f aca="true">IF(EB.Anwendung&lt;&gt;"",IF(EB.Wochenarbeitszeit=50/24,INDEX(T.Pikett.Bereich,1),IF(DAY(P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Monat.Pikett,IF(MONTH(Monat.Tag1)=12,November!Monat.Pikett,"")))))))))))),IF(O34="B",INDEX(T.Pikett.Bereich,4),IF(O34="E",INDEX(T.Pikett.Bereich,1),O34)))),"")</f>
        <v>No</v>
      </c>
      <c r="Q34" s="196" t="str">
        <f aca="true">IF(EB.Anwendung&lt;&gt;"",IF(EB.Wochenarbeitszeit=50/24,INDEX(T.Pikett.Bereich,1),IF(DAY(Q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Monat.Pikett,IF(MONTH(Monat.Tag1)=12,November!Monat.Pikett,"")))))))))))),IF(P34="B",INDEX(T.Pikett.Bereich,4),IF(P34="E",INDEX(T.Pikett.Bereich,1),P34)))),"")</f>
        <v>No</v>
      </c>
      <c r="R34" s="196" t="str">
        <f aca="true">IF(EB.Anwendung&lt;&gt;"",IF(EB.Wochenarbeitszeit=50/24,INDEX(T.Pikett.Bereich,1),IF(DAY(R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Monat.Pikett,IF(MONTH(Monat.Tag1)=12,November!Monat.Pikett,"")))))))))))),IF(Q34="B",INDEX(T.Pikett.Bereich,4),IF(Q34="E",INDEX(T.Pikett.Bereich,1),Q34)))),"")</f>
        <v>No</v>
      </c>
      <c r="S34" s="196" t="str">
        <f aca="true">IF(EB.Anwendung&lt;&gt;"",IF(EB.Wochenarbeitszeit=50/24,INDEX(T.Pikett.Bereich,1),IF(DAY(S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Monat.Pikett,IF(MONTH(Monat.Tag1)=12,November!Monat.Pikett,"")))))))))))),IF(R34="B",INDEX(T.Pikett.Bereich,4),IF(R34="E",INDEX(T.Pikett.Bereich,1),R34)))),"")</f>
        <v>No</v>
      </c>
      <c r="T34" s="196" t="str">
        <f aca="true">IF(EB.Anwendung&lt;&gt;"",IF(EB.Wochenarbeitszeit=50/24,INDEX(T.Pikett.Bereich,1),IF(DAY(T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Monat.Pikett,IF(MONTH(Monat.Tag1)=12,November!Monat.Pikett,"")))))))))))),IF(S34="B",INDEX(T.Pikett.Bereich,4),IF(S34="E",INDEX(T.Pikett.Bereich,1),S34)))),"")</f>
        <v>No</v>
      </c>
      <c r="U34" s="196" t="str">
        <f aca="true">IF(EB.Anwendung&lt;&gt;"",IF(EB.Wochenarbeitszeit=50/24,INDEX(T.Pikett.Bereich,1),IF(DAY(U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Monat.Pikett,IF(MONTH(Monat.Tag1)=12,November!Monat.Pikett,"")))))))))))),IF(T34="B",INDEX(T.Pikett.Bereich,4),IF(T34="E",INDEX(T.Pikett.Bereich,1),T34)))),"")</f>
        <v>No</v>
      </c>
      <c r="V34" s="196" t="str">
        <f aca="true">IF(EB.Anwendung&lt;&gt;"",IF(EB.Wochenarbeitszeit=50/24,INDEX(T.Pikett.Bereich,1),IF(DAY(V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Monat.Pikett,IF(MONTH(Monat.Tag1)=12,November!Monat.Pikett,"")))))))))))),IF(U34="B",INDEX(T.Pikett.Bereich,4),IF(U34="E",INDEX(T.Pikett.Bereich,1),U34)))),"")</f>
        <v>No</v>
      </c>
      <c r="W34" s="196" t="str">
        <f aca="true">IF(EB.Anwendung&lt;&gt;"",IF(EB.Wochenarbeitszeit=50/24,INDEX(T.Pikett.Bereich,1),IF(DAY(W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Monat.Pikett,IF(MONTH(Monat.Tag1)=12,November!Monat.Pikett,"")))))))))))),IF(V34="B",INDEX(T.Pikett.Bereich,4),IF(V34="E",INDEX(T.Pikett.Bereich,1),V34)))),"")</f>
        <v>No</v>
      </c>
      <c r="X34" s="196" t="str">
        <f aca="true">IF(EB.Anwendung&lt;&gt;"",IF(EB.Wochenarbeitszeit=50/24,INDEX(T.Pikett.Bereich,1),IF(DAY(X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Monat.Pikett,IF(MONTH(Monat.Tag1)=12,November!Monat.Pikett,"")))))))))))),IF(W34="B",INDEX(T.Pikett.Bereich,4),IF(W34="E",INDEX(T.Pikett.Bereich,1),W34)))),"")</f>
        <v>No</v>
      </c>
      <c r="Y34" s="196" t="str">
        <f aca="true">IF(EB.Anwendung&lt;&gt;"",IF(EB.Wochenarbeitszeit=50/24,INDEX(T.Pikett.Bereich,1),IF(DAY(Y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Monat.Pikett,IF(MONTH(Monat.Tag1)=12,November!Monat.Pikett,"")))))))))))),IF(X34="B",INDEX(T.Pikett.Bereich,4),IF(X34="E",INDEX(T.Pikett.Bereich,1),X34)))),"")</f>
        <v>No</v>
      </c>
      <c r="Z34" s="196" t="str">
        <f aca="true">IF(EB.Anwendung&lt;&gt;"",IF(EB.Wochenarbeitszeit=50/24,INDEX(T.Pikett.Bereich,1),IF(DAY(Z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Monat.Pikett,IF(MONTH(Monat.Tag1)=12,November!Monat.Pikett,"")))))))))))),IF(Y34="B",INDEX(T.Pikett.Bereich,4),IF(Y34="E",INDEX(T.Pikett.Bereich,1),Y34)))),"")</f>
        <v>No</v>
      </c>
      <c r="AA34" s="196" t="str">
        <f aca="true">IF(EB.Anwendung&lt;&gt;"",IF(EB.Wochenarbeitszeit=50/24,INDEX(T.Pikett.Bereich,1),IF(DAY(AA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Monat.Pikett,IF(MONTH(Monat.Tag1)=12,November!Monat.Pikett,"")))))))))))),IF(Z34="B",INDEX(T.Pikett.Bereich,4),IF(Z34="E",INDEX(T.Pikett.Bereich,1),Z34)))),"")</f>
        <v>No</v>
      </c>
      <c r="AB34" s="196" t="str">
        <f aca="true">IF(EB.Anwendung&lt;&gt;"",IF(EB.Wochenarbeitszeit=50/24,INDEX(T.Pikett.Bereich,1),IF(DAY(AB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Monat.Pikett,IF(MONTH(Monat.Tag1)=12,November!Monat.Pikett,"")))))))))))),IF(AA34="B",INDEX(T.Pikett.Bereich,4),IF(AA34="E",INDEX(T.Pikett.Bereich,1),AA34)))),"")</f>
        <v>No</v>
      </c>
      <c r="AC34" s="196" t="str">
        <f aca="true">IF(EB.Anwendung&lt;&gt;"",IF(EB.Wochenarbeitszeit=50/24,INDEX(T.Pikett.Bereich,1),IF(DAY(AC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Monat.Pikett,IF(MONTH(Monat.Tag1)=12,November!Monat.Pikett,"")))))))))))),IF(AB34="B",INDEX(T.Pikett.Bereich,4),IF(AB34="E",INDEX(T.Pikett.Bereich,1),AB34)))),"")</f>
        <v>No</v>
      </c>
      <c r="AD34" s="196" t="str">
        <f aca="true">IF(EB.Anwendung&lt;&gt;"",IF(EB.Wochenarbeitszeit=50/24,INDEX(T.Pikett.Bereich,1),IF(DAY(AD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Monat.Pikett,IF(MONTH(Monat.Tag1)=12,November!Monat.Pikett,"")))))))))))),IF(AC34="B",INDEX(T.Pikett.Bereich,4),IF(AC34="E",INDEX(T.Pikett.Bereich,1),AC34)))),"")</f>
        <v>No</v>
      </c>
      <c r="AE34" s="196" t="str">
        <f aca="true">IF(EB.Anwendung&lt;&gt;"",IF(EB.Wochenarbeitszeit=50/24,INDEX(T.Pikett.Bereich,1),IF(DAY(AE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Monat.Pikett,IF(MONTH(Monat.Tag1)=12,November!Monat.Pikett,"")))))))))))),IF(AD34="B",INDEX(T.Pikett.Bereich,4),IF(AD34="E",INDEX(T.Pikett.Bereich,1),AD34)))),"")</f>
        <v>No</v>
      </c>
      <c r="AF34" s="196" t="str">
        <f aca="true">IF(EB.Anwendung&lt;&gt;"",IF(EB.Wochenarbeitszeit=50/24,INDEX(T.Pikett.Bereich,1),IF(DAY(AF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Monat.Pikett,IF(MONTH(Monat.Tag1)=12,November!Monat.Pikett,"")))))))))))),IF(AE34="B",INDEX(T.Pikett.Bereich,4),IF(AE34="E",INDEX(T.Pikett.Bereich,1),AE34)))),"")</f>
        <v>No</v>
      </c>
      <c r="AG34" s="183" t="str">
        <f aca="true">IF(OFFSET(B34,0,DAY(EOMONTH(Monat.Tag1,0))-1,1,1)="B",INDEX(T.Pikett.Bereich,4),IF(OFFSET(B34,0,DAY(EOMONTH(Monat.Tag1,0))-1,1,1)="E",INDEX(T.Pikett.Bereich,1),OFFSET(B34,0,DAY(EOMONTH(Monat.Tag1,0))-1,1,1)))</f>
        <v>No</v>
      </c>
      <c r="AH34" s="197"/>
      <c r="AI34" s="192"/>
      <c r="AJ34" s="198" t="str">
        <f aca="true">IF(T.50_Vetsuisse,IFERROR(SUMPRODUCT((B34:AF34=INDEX(T.Pikett.Bereich,4))*((B49:AF49)&lt;1/24*5)),0) &amp; " / " &amp; IFERROR(SUMPRODUCT((B34:AF34=INDEX(T.Pikett.Bereich,4))*((B49:AF49)&gt;=1/24*5)),0) &amp; " / " &amp; IFERROR(SUMPRODUCT((B34:AF34=INDEX(T.Pikett.Bereich,4))*((B49:AF49)&lt;1/24*5)),0) + IFERROR(SUMPRODUCT((B34:AF34=INDEX(T.Pikett.Bereich,4))*((B49:AF49)&gt;=1/24*5)),0), IFERROR(SUMPRODUCT((B34:AF34=INDEX(T.Pikett.Bereich,4))*(WEEKDAY(B10:AF10,2)&lt;6)*(B11:AF11&lt;&gt;0)),0) &amp; " / " &amp; IFERROR(SUMPRODUCT((B34:AF34=INDEX(T.Pikett.Bereich,4))*(WEEKDAY(B10:AF10,2)&gt;5)*(B11:AF11&lt;&gt;0))+SUMPRODUCT((B34:AF34=INDEX(T.Pikett.Bereich,4))*(B11:AF11=0)),0) &amp; " / " &amp; IFERROR(SUMPRODUCT((B34:AF34=INDEX(T.Pikett.Bereich,4))*(WEEKDAY(B10:AF10,2)&lt;6)*(B11:AF11&lt;&gt;0)),0) + IFERROR(SUMPRODUCT((B34:AF34=INDEX(T.Pikett.Bereich,4))*(WEEKDAY(B10:AF10,2)&gt;5)*(B11:AF11&lt;&gt;0))+SUMPRODUCT((B34:AF34=INDEX(T.Pikett.Bereich,4))*(B11:AF11=0)),0))</f>
        <v>0 / 0 / 0</v>
      </c>
      <c r="AK34" s="172"/>
      <c r="AL34" s="172"/>
      <c r="AM34" s="172"/>
      <c r="AN34" s="171"/>
      <c r="AO34" s="172"/>
      <c r="AP34" s="172"/>
      <c r="AQ34" s="39"/>
    </row>
    <row r="35" s="148" customFormat="true" ht="15" hidden="false" customHeight="true" outlineLevel="1" collapsed="false">
      <c r="A35" s="175" t="s">
        <v>128</v>
      </c>
      <c r="B35" s="176"/>
      <c r="C35" s="176"/>
      <c r="D35" s="176"/>
      <c r="E35" s="177"/>
      <c r="F35" s="176"/>
      <c r="G35" s="176"/>
      <c r="H35" s="176"/>
      <c r="I35" s="176"/>
      <c r="J35" s="177"/>
      <c r="K35" s="176"/>
      <c r="L35" s="177"/>
      <c r="M35" s="176"/>
      <c r="N35" s="176"/>
      <c r="O35" s="176"/>
      <c r="P35" s="176"/>
      <c r="Q35" s="177"/>
      <c r="R35" s="176"/>
      <c r="S35" s="177"/>
      <c r="T35" s="177"/>
      <c r="U35" s="176"/>
      <c r="V35" s="176"/>
      <c r="W35" s="176"/>
      <c r="X35" s="177"/>
      <c r="Y35" s="176"/>
      <c r="Z35" s="178"/>
      <c r="AA35" s="176"/>
      <c r="AB35" s="176"/>
      <c r="AC35" s="176"/>
      <c r="AD35" s="176"/>
      <c r="AE35" s="177"/>
      <c r="AF35" s="176"/>
      <c r="AG35" s="168" t="str">
        <f aca="false">A35</f>
        <v>in</v>
      </c>
      <c r="AH35" s="146"/>
      <c r="AI35" s="179"/>
      <c r="AJ35" s="180"/>
      <c r="AK35" s="172"/>
      <c r="AL35" s="172"/>
      <c r="AM35" s="172"/>
      <c r="AN35" s="171"/>
      <c r="AO35" s="172"/>
      <c r="AP35" s="172"/>
      <c r="AQ35" s="39"/>
    </row>
    <row r="36" s="148" customFormat="true" ht="15" hidden="false" customHeight="true" outlineLevel="1" collapsed="false">
      <c r="A36" s="175" t="s">
        <v>129</v>
      </c>
      <c r="B36" s="176"/>
      <c r="C36" s="176"/>
      <c r="D36" s="176"/>
      <c r="E36" s="177"/>
      <c r="F36" s="176"/>
      <c r="G36" s="176"/>
      <c r="H36" s="176"/>
      <c r="I36" s="176"/>
      <c r="J36" s="177"/>
      <c r="K36" s="176"/>
      <c r="L36" s="177"/>
      <c r="M36" s="176"/>
      <c r="N36" s="176"/>
      <c r="O36" s="176"/>
      <c r="P36" s="176"/>
      <c r="Q36" s="177"/>
      <c r="R36" s="176"/>
      <c r="S36" s="177"/>
      <c r="T36" s="177"/>
      <c r="U36" s="176"/>
      <c r="V36" s="176"/>
      <c r="W36" s="176"/>
      <c r="X36" s="177"/>
      <c r="Y36" s="176"/>
      <c r="Z36" s="178"/>
      <c r="AA36" s="176"/>
      <c r="AB36" s="176"/>
      <c r="AC36" s="176"/>
      <c r="AD36" s="176"/>
      <c r="AE36" s="177"/>
      <c r="AF36" s="176"/>
      <c r="AG36" s="168" t="str">
        <f aca="false">A36</f>
        <v>out</v>
      </c>
      <c r="AH36" s="146"/>
      <c r="AI36" s="179"/>
      <c r="AJ36" s="180"/>
      <c r="AK36" s="172"/>
      <c r="AL36" s="172"/>
      <c r="AM36" s="172"/>
      <c r="AN36" s="171"/>
      <c r="AO36" s="172"/>
      <c r="AP36" s="172"/>
      <c r="AQ36" s="39"/>
    </row>
    <row r="37" s="148" customFormat="true" ht="15" hidden="false" customHeight="true" outlineLevel="1" collapsed="false">
      <c r="A37" s="175" t="s">
        <v>128</v>
      </c>
      <c r="B37" s="176"/>
      <c r="C37" s="176"/>
      <c r="D37" s="176"/>
      <c r="E37" s="177"/>
      <c r="F37" s="176"/>
      <c r="G37" s="176"/>
      <c r="H37" s="176"/>
      <c r="I37" s="176"/>
      <c r="J37" s="177"/>
      <c r="K37" s="176"/>
      <c r="L37" s="177"/>
      <c r="M37" s="176"/>
      <c r="N37" s="176"/>
      <c r="O37" s="176"/>
      <c r="P37" s="176"/>
      <c r="Q37" s="177"/>
      <c r="R37" s="176"/>
      <c r="S37" s="177"/>
      <c r="T37" s="177"/>
      <c r="U37" s="176"/>
      <c r="V37" s="176"/>
      <c r="W37" s="176"/>
      <c r="X37" s="177"/>
      <c r="Y37" s="176"/>
      <c r="Z37" s="178"/>
      <c r="AA37" s="176"/>
      <c r="AB37" s="176"/>
      <c r="AC37" s="176"/>
      <c r="AD37" s="176"/>
      <c r="AE37" s="177"/>
      <c r="AF37" s="176"/>
      <c r="AG37" s="168" t="str">
        <f aca="false">A37</f>
        <v>in</v>
      </c>
      <c r="AH37" s="146"/>
      <c r="AI37" s="179"/>
      <c r="AJ37" s="180"/>
      <c r="AK37" s="172"/>
      <c r="AL37" s="172"/>
      <c r="AM37" s="172"/>
      <c r="AN37" s="171"/>
      <c r="AO37" s="172"/>
      <c r="AP37" s="172"/>
      <c r="AQ37" s="39"/>
    </row>
    <row r="38" s="148" customFormat="true" ht="15" hidden="false" customHeight="true" outlineLevel="1" collapsed="false">
      <c r="A38" s="175" t="s">
        <v>129</v>
      </c>
      <c r="B38" s="176"/>
      <c r="C38" s="176"/>
      <c r="D38" s="176"/>
      <c r="E38" s="177"/>
      <c r="F38" s="176"/>
      <c r="G38" s="176"/>
      <c r="H38" s="176"/>
      <c r="I38" s="176"/>
      <c r="J38" s="177"/>
      <c r="K38" s="176"/>
      <c r="L38" s="177"/>
      <c r="M38" s="176"/>
      <c r="N38" s="176"/>
      <c r="O38" s="176"/>
      <c r="P38" s="176"/>
      <c r="Q38" s="177"/>
      <c r="R38" s="176"/>
      <c r="S38" s="177"/>
      <c r="T38" s="177"/>
      <c r="U38" s="176"/>
      <c r="V38" s="176"/>
      <c r="W38" s="176"/>
      <c r="X38" s="177"/>
      <c r="Y38" s="176"/>
      <c r="Z38" s="178"/>
      <c r="AA38" s="176"/>
      <c r="AB38" s="176"/>
      <c r="AC38" s="176"/>
      <c r="AD38" s="176"/>
      <c r="AE38" s="177"/>
      <c r="AF38" s="176"/>
      <c r="AG38" s="168" t="str">
        <f aca="false">A38</f>
        <v>out</v>
      </c>
      <c r="AH38" s="146"/>
      <c r="AI38" s="179"/>
      <c r="AJ38" s="180"/>
      <c r="AK38" s="172"/>
      <c r="AL38" s="172"/>
      <c r="AM38" s="172"/>
      <c r="AN38" s="171"/>
      <c r="AO38" s="172"/>
      <c r="AP38" s="172"/>
      <c r="AQ38" s="39"/>
    </row>
    <row r="39" s="148" customFormat="true" ht="15" hidden="false" customHeight="true" outlineLevel="1" collapsed="false">
      <c r="A39" s="175" t="s">
        <v>128</v>
      </c>
      <c r="B39" s="176"/>
      <c r="C39" s="176"/>
      <c r="D39" s="176"/>
      <c r="E39" s="177"/>
      <c r="F39" s="176"/>
      <c r="G39" s="176"/>
      <c r="H39" s="176"/>
      <c r="I39" s="176"/>
      <c r="J39" s="177"/>
      <c r="K39" s="176"/>
      <c r="L39" s="177"/>
      <c r="M39" s="176"/>
      <c r="N39" s="176"/>
      <c r="O39" s="176"/>
      <c r="P39" s="176"/>
      <c r="Q39" s="177"/>
      <c r="R39" s="176"/>
      <c r="S39" s="177"/>
      <c r="T39" s="177"/>
      <c r="U39" s="176"/>
      <c r="V39" s="176"/>
      <c r="W39" s="176"/>
      <c r="X39" s="177"/>
      <c r="Y39" s="176"/>
      <c r="Z39" s="178"/>
      <c r="AA39" s="176"/>
      <c r="AB39" s="176"/>
      <c r="AC39" s="176"/>
      <c r="AD39" s="176"/>
      <c r="AE39" s="177"/>
      <c r="AF39" s="176"/>
      <c r="AG39" s="168" t="str">
        <f aca="false">A39</f>
        <v>in</v>
      </c>
      <c r="AH39" s="146"/>
      <c r="AI39" s="179"/>
      <c r="AJ39" s="180"/>
      <c r="AK39" s="172"/>
      <c r="AL39" s="172"/>
      <c r="AM39" s="172"/>
      <c r="AN39" s="171"/>
      <c r="AO39" s="172"/>
      <c r="AP39" s="172"/>
      <c r="AQ39" s="39"/>
    </row>
    <row r="40" s="148" customFormat="true" ht="15" hidden="false" customHeight="true" outlineLevel="1" collapsed="false">
      <c r="A40" s="175" t="s">
        <v>129</v>
      </c>
      <c r="B40" s="176"/>
      <c r="C40" s="176"/>
      <c r="D40" s="176"/>
      <c r="E40" s="177"/>
      <c r="F40" s="176"/>
      <c r="G40" s="176"/>
      <c r="H40" s="176"/>
      <c r="I40" s="176"/>
      <c r="J40" s="177"/>
      <c r="K40" s="176"/>
      <c r="L40" s="177"/>
      <c r="M40" s="176"/>
      <c r="N40" s="176"/>
      <c r="O40" s="176"/>
      <c r="P40" s="176"/>
      <c r="Q40" s="177"/>
      <c r="R40" s="176"/>
      <c r="S40" s="177"/>
      <c r="T40" s="177"/>
      <c r="U40" s="176"/>
      <c r="V40" s="176"/>
      <c r="W40" s="176"/>
      <c r="X40" s="177"/>
      <c r="Y40" s="176"/>
      <c r="Z40" s="178"/>
      <c r="AA40" s="176"/>
      <c r="AB40" s="176"/>
      <c r="AC40" s="176"/>
      <c r="AD40" s="176"/>
      <c r="AE40" s="177"/>
      <c r="AF40" s="176"/>
      <c r="AG40" s="168" t="str">
        <f aca="false">A40</f>
        <v>out</v>
      </c>
      <c r="AH40" s="146"/>
      <c r="AI40" s="179"/>
      <c r="AJ40" s="180"/>
      <c r="AK40" s="172"/>
      <c r="AL40" s="172"/>
      <c r="AM40" s="172"/>
      <c r="AN40" s="171"/>
      <c r="AO40" s="172"/>
      <c r="AP40" s="172"/>
      <c r="AQ40" s="39"/>
    </row>
    <row r="41" s="148" customFormat="true" ht="15" hidden="true" customHeight="true" outlineLevel="1" collapsed="false">
      <c r="A41" s="175" t="s">
        <v>128</v>
      </c>
      <c r="B41" s="176"/>
      <c r="C41" s="176"/>
      <c r="D41" s="176"/>
      <c r="E41" s="177"/>
      <c r="F41" s="176"/>
      <c r="G41" s="176"/>
      <c r="H41" s="176"/>
      <c r="I41" s="176"/>
      <c r="J41" s="177"/>
      <c r="K41" s="176"/>
      <c r="L41" s="177"/>
      <c r="M41" s="176"/>
      <c r="N41" s="176"/>
      <c r="O41" s="176"/>
      <c r="P41" s="176"/>
      <c r="Q41" s="177"/>
      <c r="R41" s="176"/>
      <c r="S41" s="177"/>
      <c r="T41" s="177"/>
      <c r="U41" s="176"/>
      <c r="V41" s="176"/>
      <c r="W41" s="176"/>
      <c r="X41" s="177"/>
      <c r="Y41" s="176"/>
      <c r="Z41" s="178"/>
      <c r="AA41" s="176"/>
      <c r="AB41" s="176"/>
      <c r="AC41" s="176"/>
      <c r="AD41" s="176"/>
      <c r="AE41" s="177"/>
      <c r="AF41" s="176"/>
      <c r="AG41" s="168" t="str">
        <f aca="false">A41</f>
        <v>in</v>
      </c>
      <c r="AH41" s="146"/>
      <c r="AI41" s="179"/>
      <c r="AJ41" s="180"/>
      <c r="AK41" s="172"/>
      <c r="AL41" s="172"/>
      <c r="AM41" s="172"/>
      <c r="AN41" s="171"/>
      <c r="AO41" s="172"/>
      <c r="AP41" s="172"/>
      <c r="AQ41" s="39"/>
    </row>
    <row r="42" s="148" customFormat="true" ht="15" hidden="true" customHeight="true" outlineLevel="1" collapsed="false">
      <c r="A42" s="175" t="s">
        <v>129</v>
      </c>
      <c r="B42" s="176"/>
      <c r="C42" s="176"/>
      <c r="D42" s="176"/>
      <c r="E42" s="177"/>
      <c r="F42" s="176"/>
      <c r="G42" s="176"/>
      <c r="H42" s="176"/>
      <c r="I42" s="176"/>
      <c r="J42" s="177"/>
      <c r="K42" s="176"/>
      <c r="L42" s="177"/>
      <c r="M42" s="176"/>
      <c r="N42" s="176"/>
      <c r="O42" s="176"/>
      <c r="P42" s="176"/>
      <c r="Q42" s="177"/>
      <c r="R42" s="176"/>
      <c r="S42" s="177"/>
      <c r="T42" s="177"/>
      <c r="U42" s="176"/>
      <c r="V42" s="176"/>
      <c r="W42" s="176"/>
      <c r="X42" s="177"/>
      <c r="Y42" s="176"/>
      <c r="Z42" s="178"/>
      <c r="AA42" s="176"/>
      <c r="AB42" s="176"/>
      <c r="AC42" s="176"/>
      <c r="AD42" s="176"/>
      <c r="AE42" s="177"/>
      <c r="AF42" s="176"/>
      <c r="AG42" s="168" t="str">
        <f aca="false">A42</f>
        <v>out</v>
      </c>
      <c r="AH42" s="146"/>
      <c r="AI42" s="179"/>
      <c r="AJ42" s="180"/>
      <c r="AK42" s="172"/>
      <c r="AL42" s="172"/>
      <c r="AM42" s="172"/>
      <c r="AN42" s="171"/>
      <c r="AO42" s="172"/>
      <c r="AP42" s="172"/>
      <c r="AQ42" s="39"/>
    </row>
    <row r="43" s="148" customFormat="true" ht="15" hidden="true" customHeight="true" outlineLevel="1" collapsed="false">
      <c r="A43" s="175" t="s">
        <v>128</v>
      </c>
      <c r="B43" s="176"/>
      <c r="C43" s="176"/>
      <c r="D43" s="176"/>
      <c r="E43" s="177"/>
      <c r="F43" s="176"/>
      <c r="G43" s="176"/>
      <c r="H43" s="176"/>
      <c r="I43" s="176"/>
      <c r="J43" s="177"/>
      <c r="K43" s="176"/>
      <c r="L43" s="177"/>
      <c r="M43" s="176"/>
      <c r="N43" s="176"/>
      <c r="O43" s="176"/>
      <c r="P43" s="176"/>
      <c r="Q43" s="177"/>
      <c r="R43" s="176"/>
      <c r="S43" s="177"/>
      <c r="T43" s="177"/>
      <c r="U43" s="176"/>
      <c r="V43" s="176"/>
      <c r="W43" s="176"/>
      <c r="X43" s="177"/>
      <c r="Y43" s="176"/>
      <c r="Z43" s="178"/>
      <c r="AA43" s="176"/>
      <c r="AB43" s="176"/>
      <c r="AC43" s="176"/>
      <c r="AD43" s="176"/>
      <c r="AE43" s="177"/>
      <c r="AF43" s="176"/>
      <c r="AG43" s="168" t="str">
        <f aca="false">A43</f>
        <v>in</v>
      </c>
      <c r="AH43" s="146"/>
      <c r="AI43" s="179"/>
      <c r="AJ43" s="180"/>
      <c r="AK43" s="172"/>
      <c r="AL43" s="172"/>
      <c r="AM43" s="172"/>
      <c r="AN43" s="171"/>
      <c r="AO43" s="172"/>
      <c r="AP43" s="172"/>
      <c r="AQ43" s="39"/>
    </row>
    <row r="44" s="148" customFormat="true" ht="15" hidden="true" customHeight="true" outlineLevel="1" collapsed="false">
      <c r="A44" s="175" t="s">
        <v>129</v>
      </c>
      <c r="B44" s="176"/>
      <c r="C44" s="176"/>
      <c r="D44" s="176"/>
      <c r="E44" s="177"/>
      <c r="F44" s="176"/>
      <c r="G44" s="176"/>
      <c r="H44" s="176"/>
      <c r="I44" s="176"/>
      <c r="J44" s="177"/>
      <c r="K44" s="176"/>
      <c r="L44" s="177"/>
      <c r="M44" s="176"/>
      <c r="N44" s="176"/>
      <c r="O44" s="176"/>
      <c r="P44" s="176"/>
      <c r="Q44" s="177"/>
      <c r="R44" s="176"/>
      <c r="S44" s="177"/>
      <c r="T44" s="177"/>
      <c r="U44" s="176"/>
      <c r="V44" s="176"/>
      <c r="W44" s="176"/>
      <c r="X44" s="177"/>
      <c r="Y44" s="176"/>
      <c r="Z44" s="178"/>
      <c r="AA44" s="176"/>
      <c r="AB44" s="176"/>
      <c r="AC44" s="176"/>
      <c r="AD44" s="176"/>
      <c r="AE44" s="177"/>
      <c r="AF44" s="176"/>
      <c r="AG44" s="168" t="str">
        <f aca="false">A44</f>
        <v>out</v>
      </c>
      <c r="AH44" s="146"/>
      <c r="AI44" s="179"/>
      <c r="AJ44" s="180"/>
      <c r="AK44" s="172"/>
      <c r="AL44" s="172"/>
      <c r="AM44" s="172"/>
      <c r="AN44" s="171"/>
      <c r="AO44" s="172"/>
      <c r="AP44" s="172"/>
      <c r="AQ44" s="39"/>
    </row>
    <row r="45" s="148" customFormat="true" ht="15" hidden="false" customHeight="true" outlineLevel="1" collapsed="false">
      <c r="A45" s="181" t="s">
        <v>135</v>
      </c>
      <c r="B45" s="182" t="n">
        <f aca="false">ROUND((B36-B35)+(B38-B37)+(B40-B39)+(B42-B41)+(B44-B43),9)</f>
        <v>0</v>
      </c>
      <c r="C45" s="182" t="n">
        <f aca="false">ROUND((C36-C35)+(C38-C37)+(C40-C39)+(C42-C41)+(C44-C43),9)</f>
        <v>0</v>
      </c>
      <c r="D45" s="182" t="n">
        <f aca="false">ROUND((D36-D35)+(D38-D37)+(D40-D39)+(D42-D41)+(D44-D43),9)</f>
        <v>0</v>
      </c>
      <c r="E45" s="182" t="n">
        <f aca="false">ROUND((E36-E35)+(E38-E37)+(E40-E39)+(E42-E41)+(E44-E43),9)</f>
        <v>0</v>
      </c>
      <c r="F45" s="182" t="n">
        <f aca="false">ROUND((F36-F35)+(F38-F37)+(F40-F39)+(F42-F41)+(F44-F43),9)</f>
        <v>0</v>
      </c>
      <c r="G45" s="182" t="n">
        <f aca="false">ROUND((G36-G35)+(G38-G37)+(G40-G39)+(G42-G41)+(G44-G43),9)</f>
        <v>0</v>
      </c>
      <c r="H45" s="182" t="n">
        <f aca="false">ROUND((H36-H35)+(H38-H37)+(H40-H39)+(H42-H41)+(H44-H43),9)</f>
        <v>0</v>
      </c>
      <c r="I45" s="182" t="n">
        <f aca="false">ROUND((I36-I35)+(I38-I37)+(I40-I39)+(I42-I41)+(I44-I43),9)</f>
        <v>0</v>
      </c>
      <c r="J45" s="182" t="n">
        <f aca="false">ROUND((J36-J35)+(J38-J37)+(J40-J39)+(J42-J41)+(J44-J43),9)</f>
        <v>0</v>
      </c>
      <c r="K45" s="182" t="n">
        <f aca="false">ROUND((K36-K35)+(K38-K37)+(K40-K39)+(K42-K41)+(K44-K43),9)</f>
        <v>0</v>
      </c>
      <c r="L45" s="182" t="n">
        <f aca="false">ROUND((L36-L35)+(L38-L37)+(L40-L39)+(L42-L41)+(L44-L43),9)</f>
        <v>0</v>
      </c>
      <c r="M45" s="182" t="n">
        <f aca="false">ROUND((M36-M35)+(M38-M37)+(M40-M39)+(M42-M41)+(M44-M43),9)</f>
        <v>0</v>
      </c>
      <c r="N45" s="182" t="n">
        <f aca="false">ROUND((N36-N35)+(N38-N37)+(N40-N39)+(N42-N41)+(N44-N43),9)</f>
        <v>0</v>
      </c>
      <c r="O45" s="182" t="n">
        <f aca="false">ROUND((O36-O35)+(O38-O37)+(O40-O39)+(O42-O41)+(O44-O43),9)</f>
        <v>0</v>
      </c>
      <c r="P45" s="182" t="n">
        <f aca="false">ROUND((P36-P35)+(P38-P37)+(P40-P39)+(P42-P41)+(P44-P43),9)</f>
        <v>0</v>
      </c>
      <c r="Q45" s="182" t="n">
        <f aca="false">ROUND((Q36-Q35)+(Q38-Q37)+(Q40-Q39)+(Q42-Q41)+(Q44-Q43),9)</f>
        <v>0</v>
      </c>
      <c r="R45" s="182" t="n">
        <f aca="false">ROUND((R36-R35)+(R38-R37)+(R40-R39)+(R42-R41)+(R44-R43),9)</f>
        <v>0</v>
      </c>
      <c r="S45" s="182" t="n">
        <f aca="false">ROUND((S36-S35)+(S38-S37)+(S40-S39)+(S42-S41)+(S44-S43),9)</f>
        <v>0</v>
      </c>
      <c r="T45" s="182" t="n">
        <f aca="false">ROUND((T36-T35)+(T38-T37)+(T40-T39)+(T42-T41)+(T44-T43),9)</f>
        <v>0</v>
      </c>
      <c r="U45" s="182" t="n">
        <f aca="false">ROUND((U36-U35)+(U38-U37)+(U40-U39)+(U42-U41)+(U44-U43),9)</f>
        <v>0</v>
      </c>
      <c r="V45" s="182" t="n">
        <f aca="false">ROUND((V36-V35)+(V38-V37)+(V40-V39)+(V42-V41)+(V44-V43),9)</f>
        <v>0</v>
      </c>
      <c r="W45" s="182" t="n">
        <f aca="false">ROUND((W36-W35)+(W38-W37)+(W40-W39)+(W42-W41)+(W44-W43),9)</f>
        <v>0</v>
      </c>
      <c r="X45" s="182" t="n">
        <f aca="false">ROUND((X36-X35)+(X38-X37)+(X40-X39)+(X42-X41)+(X44-X43),9)</f>
        <v>0</v>
      </c>
      <c r="Y45" s="182" t="n">
        <f aca="false">ROUND((Y36-Y35)+(Y38-Y37)+(Y40-Y39)+(Y42-Y41)+(Y44-Y43),9)</f>
        <v>0</v>
      </c>
      <c r="Z45" s="182" t="n">
        <f aca="false">ROUND((Z36-Z35)+(Z38-Z37)+(Z40-Z39)+(Z42-Z41)+(Z44-Z43),9)</f>
        <v>0</v>
      </c>
      <c r="AA45" s="182" t="n">
        <f aca="false">ROUND((AA36-AA35)+(AA38-AA37)+(AA40-AA39)+(AA42-AA41)+(AA44-AA43),9)</f>
        <v>0</v>
      </c>
      <c r="AB45" s="182" t="n">
        <f aca="false">ROUND((AB36-AB35)+(AB38-AB37)+(AB40-AB39)+(AB42-AB41)+(AB44-AB43),9)</f>
        <v>0</v>
      </c>
      <c r="AC45" s="182" t="n">
        <f aca="false">ROUND((AC36-AC35)+(AC38-AC37)+(AC40-AC39)+(AC42-AC41)+(AC44-AC43),9)</f>
        <v>0</v>
      </c>
      <c r="AD45" s="182" t="n">
        <f aca="false">ROUND((AD36-AD35)+(AD38-AD37)+(AD40-AD39)+(AD42-AD41)+(AD44-AD43),9)</f>
        <v>0</v>
      </c>
      <c r="AE45" s="182" t="n">
        <f aca="false">ROUND((AE36-AE35)+(AE38-AE37)+(AE40-AE39)+(AE42-AE41)+(AE44-AE43),9)</f>
        <v>0</v>
      </c>
      <c r="AF45" s="182" t="n">
        <f aca="false">ROUND((AF36-AF35)+(AF38-AF37)+(AF40-AF39)+(AF42-AF41)+(AF44-AF43),9)</f>
        <v>0</v>
      </c>
      <c r="AG45" s="183" t="str">
        <f aca="false">A45</f>
        <v>Total on call standby in/out</v>
      </c>
      <c r="AH45" s="184"/>
      <c r="AI45" s="185" t="n">
        <f aca="false">SUM(B45:AF45)</f>
        <v>0</v>
      </c>
      <c r="AJ45" s="180"/>
      <c r="AK45" s="172"/>
      <c r="AL45" s="172"/>
      <c r="AM45" s="172"/>
      <c r="AN45" s="171"/>
      <c r="AO45" s="172"/>
      <c r="AP45" s="172"/>
      <c r="AQ45" s="39"/>
    </row>
    <row r="46" s="148" customFormat="true" ht="3.75" hidden="false" customHeight="true" outlineLevel="0" collapsed="false">
      <c r="A46" s="186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179"/>
      <c r="AG46" s="168"/>
      <c r="AH46" s="146"/>
      <c r="AI46" s="179"/>
      <c r="AJ46" s="180"/>
      <c r="AK46" s="172"/>
      <c r="AL46" s="172"/>
      <c r="AM46" s="172"/>
      <c r="AN46" s="171"/>
      <c r="AO46" s="172"/>
      <c r="AP46" s="172"/>
      <c r="AQ46" s="39"/>
    </row>
    <row r="47" s="148" customFormat="true" ht="16.5" hidden="true" customHeight="true" outlineLevel="1" collapsed="false">
      <c r="A47" s="181" t="s">
        <v>136</v>
      </c>
      <c r="B47" s="182" t="n">
        <f aca="false">IF(B45&gt;0,ROUND(B45- IF(B35&lt;T.PikettVetsuissebis,MIN(T.PikettVetsuissebis-B35,B36-B35)+IF(B37&lt;T.PikettVetsuissebis,MIN(T.PikettVetsuissebis-B37,B38-B37)+IF(B39&lt;T.PikettVetsuissebis,MIN(T.PikettVetsuissebis-B39,B40-B39)+IF(B41&lt;T.PikettVetsuissebis,MIN(T.PikettVetsuissebis-B41,B42-B41)+IF(B43&lt;T.PikettVetsuissebis,MIN(T.PikettVetsuissebis-B43,B44-B43),0),0),0),0),0),9),0)</f>
        <v>0</v>
      </c>
      <c r="C47" s="182" t="n">
        <f aca="false">IF(C45&gt;0,ROUND(C45- IF(C35&lt;T.PikettVetsuissebis,MIN(T.PikettVetsuissebis-C35,C36-C35)+IF(C37&lt;T.PikettVetsuissebis,MIN(T.PikettVetsuissebis-C37,C38-C37)+IF(C39&lt;T.PikettVetsuissebis,MIN(T.PikettVetsuissebis-C39,C40-C39)+IF(C41&lt;T.PikettVetsuissebis,MIN(T.PikettVetsuissebis-C41,C42-C41)+IF(C43&lt;T.PikettVetsuissebis,MIN(T.PikettVetsuissebis-C43,C44-C43),0),0),0),0),0),9),0)</f>
        <v>0</v>
      </c>
      <c r="D47" s="182" t="n">
        <f aca="false">IF(D45&gt;0,ROUND(D45- IF(D35&lt;T.PikettVetsuissebis,MIN(T.PikettVetsuissebis-D35,D36-D35)+IF(D37&lt;T.PikettVetsuissebis,MIN(T.PikettVetsuissebis-D37,D38-D37)+IF(D39&lt;T.PikettVetsuissebis,MIN(T.PikettVetsuissebis-D39,D40-D39)+IF(D41&lt;T.PikettVetsuissebis,MIN(T.PikettVetsuissebis-D41,D42-D41)+IF(D43&lt;T.PikettVetsuissebis,MIN(T.PikettVetsuissebis-D43,D44-D43),0),0),0),0),0),9),0)</f>
        <v>0</v>
      </c>
      <c r="E47" s="182" t="n">
        <f aca="false">IF(E45&gt;0,ROUND(E45- IF(E35&lt;T.PikettVetsuissebis,MIN(T.PikettVetsuissebis-E35,E36-E35)+IF(E37&lt;T.PikettVetsuissebis,MIN(T.PikettVetsuissebis-E37,E38-E37)+IF(E39&lt;T.PikettVetsuissebis,MIN(T.PikettVetsuissebis-E39,E40-E39)+IF(E41&lt;T.PikettVetsuissebis,MIN(T.PikettVetsuissebis-E41,E42-E41)+IF(E43&lt;T.PikettVetsuissebis,MIN(T.PikettVetsuissebis-E43,E44-E43),0),0),0),0),0),9),0)</f>
        <v>0</v>
      </c>
      <c r="F47" s="182" t="n">
        <f aca="false">IF(F45&gt;0,ROUND(F45- IF(F35&lt;T.PikettVetsuissebis,MIN(T.PikettVetsuissebis-F35,F36-F35)+IF(F37&lt;T.PikettVetsuissebis,MIN(T.PikettVetsuissebis-F37,F38-F37)+IF(F39&lt;T.PikettVetsuissebis,MIN(T.PikettVetsuissebis-F39,F40-F39)+IF(F41&lt;T.PikettVetsuissebis,MIN(T.PikettVetsuissebis-F41,F42-F41)+IF(F43&lt;T.PikettVetsuissebis,MIN(T.PikettVetsuissebis-F43,F44-F43),0),0),0),0),0),9),0)</f>
        <v>0</v>
      </c>
      <c r="G47" s="182" t="n">
        <f aca="false">IF(G45&gt;0,ROUND(G45- IF(G35&lt;T.PikettVetsuissebis,MIN(T.PikettVetsuissebis-G35,G36-G35)+IF(G37&lt;T.PikettVetsuissebis,MIN(T.PikettVetsuissebis-G37,G38-G37)+IF(G39&lt;T.PikettVetsuissebis,MIN(T.PikettVetsuissebis-G39,G40-G39)+IF(G41&lt;T.PikettVetsuissebis,MIN(T.PikettVetsuissebis-G41,G42-G41)+IF(G43&lt;T.PikettVetsuissebis,MIN(T.PikettVetsuissebis-G43,G44-G43),0),0),0),0),0),9),0)</f>
        <v>0</v>
      </c>
      <c r="H47" s="182" t="n">
        <f aca="false">IF(H45&gt;0,ROUND(H45- IF(H35&lt;T.PikettVetsuissebis,MIN(T.PikettVetsuissebis-H35,H36-H35)+IF(H37&lt;T.PikettVetsuissebis,MIN(T.PikettVetsuissebis-H37,H38-H37)+IF(H39&lt;T.PikettVetsuissebis,MIN(T.PikettVetsuissebis-H39,H40-H39)+IF(H41&lt;T.PikettVetsuissebis,MIN(T.PikettVetsuissebis-H41,H42-H41)+IF(H43&lt;T.PikettVetsuissebis,MIN(T.PikettVetsuissebis-H43,H44-H43),0),0),0),0),0),9),0)</f>
        <v>0</v>
      </c>
      <c r="I47" s="182" t="n">
        <f aca="false">IF(I45&gt;0,ROUND(I45- IF(I35&lt;T.PikettVetsuissebis,MIN(T.PikettVetsuissebis-I35,I36-I35)+IF(I37&lt;T.PikettVetsuissebis,MIN(T.PikettVetsuissebis-I37,I38-I37)+IF(I39&lt;T.PikettVetsuissebis,MIN(T.PikettVetsuissebis-I39,I40-I39)+IF(I41&lt;T.PikettVetsuissebis,MIN(T.PikettVetsuissebis-I41,I42-I41)+IF(I43&lt;T.PikettVetsuissebis,MIN(T.PikettVetsuissebis-I43,I44-I43),0),0),0),0),0),9),0)</f>
        <v>0</v>
      </c>
      <c r="J47" s="182" t="n">
        <f aca="false">IF(J45&gt;0,ROUND(J45- IF(J35&lt;T.PikettVetsuissebis,MIN(T.PikettVetsuissebis-J35,J36-J35)+IF(J37&lt;T.PikettVetsuissebis,MIN(T.PikettVetsuissebis-J37,J38-J37)+IF(J39&lt;T.PikettVetsuissebis,MIN(T.PikettVetsuissebis-J39,J40-J39)+IF(J41&lt;T.PikettVetsuissebis,MIN(T.PikettVetsuissebis-J41,J42-J41)+IF(J43&lt;T.PikettVetsuissebis,MIN(T.PikettVetsuissebis-J43,J44-J43),0),0),0),0),0),9),0)</f>
        <v>0</v>
      </c>
      <c r="K47" s="182" t="n">
        <f aca="false">IF(K45&gt;0,ROUND(K45- IF(K35&lt;T.PikettVetsuissebis,MIN(T.PikettVetsuissebis-K35,K36-K35)+IF(K37&lt;T.PikettVetsuissebis,MIN(T.PikettVetsuissebis-K37,K38-K37)+IF(K39&lt;T.PikettVetsuissebis,MIN(T.PikettVetsuissebis-K39,K40-K39)+IF(K41&lt;T.PikettVetsuissebis,MIN(T.PikettVetsuissebis-K41,K42-K41)+IF(K43&lt;T.PikettVetsuissebis,MIN(T.PikettVetsuissebis-K43,K44-K43),0),0),0),0),0),9),0)</f>
        <v>0</v>
      </c>
      <c r="L47" s="182" t="n">
        <f aca="false">IF(L45&gt;0,ROUND(L45- IF(L35&lt;T.PikettVetsuissebis,MIN(T.PikettVetsuissebis-L35,L36-L35)+IF(L37&lt;T.PikettVetsuissebis,MIN(T.PikettVetsuissebis-L37,L38-L37)+IF(L39&lt;T.PikettVetsuissebis,MIN(T.PikettVetsuissebis-L39,L40-L39)+IF(L41&lt;T.PikettVetsuissebis,MIN(T.PikettVetsuissebis-L41,L42-L41)+IF(L43&lt;T.PikettVetsuissebis,MIN(T.PikettVetsuissebis-L43,L44-L43),0),0),0),0),0),9),0)</f>
        <v>0</v>
      </c>
      <c r="M47" s="182" t="n">
        <f aca="false">IF(M45&gt;0,ROUND(M45- IF(M35&lt;T.PikettVetsuissebis,MIN(T.PikettVetsuissebis-M35,M36-M35)+IF(M37&lt;T.PikettVetsuissebis,MIN(T.PikettVetsuissebis-M37,M38-M37)+IF(M39&lt;T.PikettVetsuissebis,MIN(T.PikettVetsuissebis-M39,M40-M39)+IF(M41&lt;T.PikettVetsuissebis,MIN(T.PikettVetsuissebis-M41,M42-M41)+IF(M43&lt;T.PikettVetsuissebis,MIN(T.PikettVetsuissebis-M43,M44-M43),0),0),0),0),0),9),0)</f>
        <v>0</v>
      </c>
      <c r="N47" s="182" t="n">
        <f aca="false">IF(N45&gt;0,ROUND(N45- IF(N35&lt;T.PikettVetsuissebis,MIN(T.PikettVetsuissebis-N35,N36-N35)+IF(N37&lt;T.PikettVetsuissebis,MIN(T.PikettVetsuissebis-N37,N38-N37)+IF(N39&lt;T.PikettVetsuissebis,MIN(T.PikettVetsuissebis-N39,N40-N39)+IF(N41&lt;T.PikettVetsuissebis,MIN(T.PikettVetsuissebis-N41,N42-N41)+IF(N43&lt;T.PikettVetsuissebis,MIN(T.PikettVetsuissebis-N43,N44-N43),0),0),0),0),0),9),0)</f>
        <v>0</v>
      </c>
      <c r="O47" s="182" t="n">
        <f aca="false">IF(O45&gt;0,ROUND(O45- IF(O35&lt;T.PikettVetsuissebis,MIN(T.PikettVetsuissebis-O35,O36-O35)+IF(O37&lt;T.PikettVetsuissebis,MIN(T.PikettVetsuissebis-O37,O38-O37)+IF(O39&lt;T.PikettVetsuissebis,MIN(T.PikettVetsuissebis-O39,O40-O39)+IF(O41&lt;T.PikettVetsuissebis,MIN(T.PikettVetsuissebis-O41,O42-O41)+IF(O43&lt;T.PikettVetsuissebis,MIN(T.PikettVetsuissebis-O43,O44-O43),0),0),0),0),0),9),0)</f>
        <v>0</v>
      </c>
      <c r="P47" s="182" t="n">
        <f aca="false">IF(P45&gt;0,ROUND(P45- IF(P35&lt;T.PikettVetsuissebis,MIN(T.PikettVetsuissebis-P35,P36-P35)+IF(P37&lt;T.PikettVetsuissebis,MIN(T.PikettVetsuissebis-P37,P38-P37)+IF(P39&lt;T.PikettVetsuissebis,MIN(T.PikettVetsuissebis-P39,P40-P39)+IF(P41&lt;T.PikettVetsuissebis,MIN(T.PikettVetsuissebis-P41,P42-P41)+IF(P43&lt;T.PikettVetsuissebis,MIN(T.PikettVetsuissebis-P43,P44-P43),0),0),0),0),0),9),0)</f>
        <v>0</v>
      </c>
      <c r="Q47" s="182" t="n">
        <f aca="false">IF(Q45&gt;0,ROUND(Q45- IF(Q35&lt;T.PikettVetsuissebis,MIN(T.PikettVetsuissebis-Q35,Q36-Q35)+IF(Q37&lt;T.PikettVetsuissebis,MIN(T.PikettVetsuissebis-Q37,Q38-Q37)+IF(Q39&lt;T.PikettVetsuissebis,MIN(T.PikettVetsuissebis-Q39,Q40-Q39)+IF(Q41&lt;T.PikettVetsuissebis,MIN(T.PikettVetsuissebis-Q41,Q42-Q41)+IF(Q43&lt;T.PikettVetsuissebis,MIN(T.PikettVetsuissebis-Q43,Q44-Q43),0),0),0),0),0),9),0)</f>
        <v>0</v>
      </c>
      <c r="R47" s="182" t="n">
        <f aca="false">IF(R45&gt;0,ROUND(R45- IF(R35&lt;T.PikettVetsuissebis,MIN(T.PikettVetsuissebis-R35,R36-R35)+IF(R37&lt;T.PikettVetsuissebis,MIN(T.PikettVetsuissebis-R37,R38-R37)+IF(R39&lt;T.PikettVetsuissebis,MIN(T.PikettVetsuissebis-R39,R40-R39)+IF(R41&lt;T.PikettVetsuissebis,MIN(T.PikettVetsuissebis-R41,R42-R41)+IF(R43&lt;T.PikettVetsuissebis,MIN(T.PikettVetsuissebis-R43,R44-R43),0),0),0),0),0),9),0)</f>
        <v>0</v>
      </c>
      <c r="S47" s="182" t="n">
        <f aca="false">IF(S45&gt;0,ROUND(S45- IF(S35&lt;T.PikettVetsuissebis,MIN(T.PikettVetsuissebis-S35,S36-S35)+IF(S37&lt;T.PikettVetsuissebis,MIN(T.PikettVetsuissebis-S37,S38-S37)+IF(S39&lt;T.PikettVetsuissebis,MIN(T.PikettVetsuissebis-S39,S40-S39)+IF(S41&lt;T.PikettVetsuissebis,MIN(T.PikettVetsuissebis-S41,S42-S41)+IF(S43&lt;T.PikettVetsuissebis,MIN(T.PikettVetsuissebis-S43,S44-S43),0),0),0),0),0),9),0)</f>
        <v>0</v>
      </c>
      <c r="T47" s="182" t="n">
        <f aca="false">IF(T45&gt;0,ROUND(T45- IF(T35&lt;T.PikettVetsuissebis,MIN(T.PikettVetsuissebis-T35,T36-T35)+IF(T37&lt;T.PikettVetsuissebis,MIN(T.PikettVetsuissebis-T37,T38-T37)+IF(T39&lt;T.PikettVetsuissebis,MIN(T.PikettVetsuissebis-T39,T40-T39)+IF(T41&lt;T.PikettVetsuissebis,MIN(T.PikettVetsuissebis-T41,T42-T41)+IF(T43&lt;T.PikettVetsuissebis,MIN(T.PikettVetsuissebis-T43,T44-T43),0),0),0),0),0),9),0)</f>
        <v>0</v>
      </c>
      <c r="U47" s="182" t="n">
        <f aca="false">IF(U45&gt;0,ROUND(U45- IF(U35&lt;T.PikettVetsuissebis,MIN(T.PikettVetsuissebis-U35,U36-U35)+IF(U37&lt;T.PikettVetsuissebis,MIN(T.PikettVetsuissebis-U37,U38-U37)+IF(U39&lt;T.PikettVetsuissebis,MIN(T.PikettVetsuissebis-U39,U40-U39)+IF(U41&lt;T.PikettVetsuissebis,MIN(T.PikettVetsuissebis-U41,U42-U41)+IF(U43&lt;T.PikettVetsuissebis,MIN(T.PikettVetsuissebis-U43,U44-U43),0),0),0),0),0),9),0)</f>
        <v>0</v>
      </c>
      <c r="V47" s="182" t="n">
        <f aca="false">IF(V45&gt;0,ROUND(V45- IF(V35&lt;T.PikettVetsuissebis,MIN(T.PikettVetsuissebis-V35,V36-V35)+IF(V37&lt;T.PikettVetsuissebis,MIN(T.PikettVetsuissebis-V37,V38-V37)+IF(V39&lt;T.PikettVetsuissebis,MIN(T.PikettVetsuissebis-V39,V40-V39)+IF(V41&lt;T.PikettVetsuissebis,MIN(T.PikettVetsuissebis-V41,V42-V41)+IF(V43&lt;T.PikettVetsuissebis,MIN(T.PikettVetsuissebis-V43,V44-V43),0),0),0),0),0),9),0)</f>
        <v>0</v>
      </c>
      <c r="W47" s="182" t="n">
        <f aca="false">IF(W45&gt;0,ROUND(W45- IF(W35&lt;T.PikettVetsuissebis,MIN(T.PikettVetsuissebis-W35,W36-W35)+IF(W37&lt;T.PikettVetsuissebis,MIN(T.PikettVetsuissebis-W37,W38-W37)+IF(W39&lt;T.PikettVetsuissebis,MIN(T.PikettVetsuissebis-W39,W40-W39)+IF(W41&lt;T.PikettVetsuissebis,MIN(T.PikettVetsuissebis-W41,W42-W41)+IF(W43&lt;T.PikettVetsuissebis,MIN(T.PikettVetsuissebis-W43,W44-W43),0),0),0),0),0),9),0)</f>
        <v>0</v>
      </c>
      <c r="X47" s="182" t="n">
        <f aca="false">IF(X45&gt;0,ROUND(X45- IF(X35&lt;T.PikettVetsuissebis,MIN(T.PikettVetsuissebis-X35,X36-X35)+IF(X37&lt;T.PikettVetsuissebis,MIN(T.PikettVetsuissebis-X37,X38-X37)+IF(X39&lt;T.PikettVetsuissebis,MIN(T.PikettVetsuissebis-X39,X40-X39)+IF(X41&lt;T.PikettVetsuissebis,MIN(T.PikettVetsuissebis-X41,X42-X41)+IF(X43&lt;T.PikettVetsuissebis,MIN(T.PikettVetsuissebis-X43,X44-X43),0),0),0),0),0),9),0)</f>
        <v>0</v>
      </c>
      <c r="Y47" s="182" t="n">
        <f aca="false">IF(Y45&gt;0,ROUND(Y45- IF(Y35&lt;T.PikettVetsuissebis,MIN(T.PikettVetsuissebis-Y35,Y36-Y35)+IF(Y37&lt;T.PikettVetsuissebis,MIN(T.PikettVetsuissebis-Y37,Y38-Y37)+IF(Y39&lt;T.PikettVetsuissebis,MIN(T.PikettVetsuissebis-Y39,Y40-Y39)+IF(Y41&lt;T.PikettVetsuissebis,MIN(T.PikettVetsuissebis-Y41,Y42-Y41)+IF(Y43&lt;T.PikettVetsuissebis,MIN(T.PikettVetsuissebis-Y43,Y44-Y43),0),0),0),0),0),9),0)</f>
        <v>0</v>
      </c>
      <c r="Z47" s="182" t="n">
        <f aca="false">IF(Z45&gt;0,ROUND(Z45- IF(Z35&lt;T.PikettVetsuissebis,MIN(T.PikettVetsuissebis-Z35,Z36-Z35)+IF(Z37&lt;T.PikettVetsuissebis,MIN(T.PikettVetsuissebis-Z37,Z38-Z37)+IF(Z39&lt;T.PikettVetsuissebis,MIN(T.PikettVetsuissebis-Z39,Z40-Z39)+IF(Z41&lt;T.PikettVetsuissebis,MIN(T.PikettVetsuissebis-Z41,Z42-Z41)+IF(Z43&lt;T.PikettVetsuissebis,MIN(T.PikettVetsuissebis-Z43,Z44-Z43),0),0),0),0),0),9),0)</f>
        <v>0</v>
      </c>
      <c r="AA47" s="182" t="n">
        <f aca="false">IF(AA45&gt;0,ROUND(AA45- IF(AA35&lt;T.PikettVetsuissebis,MIN(T.PikettVetsuissebis-AA35,AA36-AA35)+IF(AA37&lt;T.PikettVetsuissebis,MIN(T.PikettVetsuissebis-AA37,AA38-AA37)+IF(AA39&lt;T.PikettVetsuissebis,MIN(T.PikettVetsuissebis-AA39,AA40-AA39)+IF(AA41&lt;T.PikettVetsuissebis,MIN(T.PikettVetsuissebis-AA41,AA42-AA41)+IF(AA43&lt;T.PikettVetsuissebis,MIN(T.PikettVetsuissebis-AA43,AA44-AA43),0),0),0),0),0),9),0)</f>
        <v>0</v>
      </c>
      <c r="AB47" s="182" t="n">
        <f aca="false">IF(AB45&gt;0,ROUND(AB45- IF(AB35&lt;T.PikettVetsuissebis,MIN(T.PikettVetsuissebis-AB35,AB36-AB35)+IF(AB37&lt;T.PikettVetsuissebis,MIN(T.PikettVetsuissebis-AB37,AB38-AB37)+IF(AB39&lt;T.PikettVetsuissebis,MIN(T.PikettVetsuissebis-AB39,AB40-AB39)+IF(AB41&lt;T.PikettVetsuissebis,MIN(T.PikettVetsuissebis-AB41,AB42-AB41)+IF(AB43&lt;T.PikettVetsuissebis,MIN(T.PikettVetsuissebis-AB43,AB44-AB43),0),0),0),0),0),9),0)</f>
        <v>0</v>
      </c>
      <c r="AC47" s="182" t="n">
        <f aca="false">IF(AC45&gt;0,ROUND(AC45- IF(AC35&lt;T.PikettVetsuissebis,MIN(T.PikettVetsuissebis-AC35,AC36-AC35)+IF(AC37&lt;T.PikettVetsuissebis,MIN(T.PikettVetsuissebis-AC37,AC38-AC37)+IF(AC39&lt;T.PikettVetsuissebis,MIN(T.PikettVetsuissebis-AC39,AC40-AC39)+IF(AC41&lt;T.PikettVetsuissebis,MIN(T.PikettVetsuissebis-AC41,AC42-AC41)+IF(AC43&lt;T.PikettVetsuissebis,MIN(T.PikettVetsuissebis-AC43,AC44-AC43),0),0),0),0),0),9),0)</f>
        <v>0</v>
      </c>
      <c r="AD47" s="182" t="n">
        <f aca="false">IF(AD45&gt;0,ROUND(AD45- IF(AD35&lt;T.PikettVetsuissebis,MIN(T.PikettVetsuissebis-AD35,AD36-AD35)+IF(AD37&lt;T.PikettVetsuissebis,MIN(T.PikettVetsuissebis-AD37,AD38-AD37)+IF(AD39&lt;T.PikettVetsuissebis,MIN(T.PikettVetsuissebis-AD39,AD40-AD39)+IF(AD41&lt;T.PikettVetsuissebis,MIN(T.PikettVetsuissebis-AD41,AD42-AD41)+IF(AD43&lt;T.PikettVetsuissebis,MIN(T.PikettVetsuissebis-AD43,AD44-AD43),0),0),0),0),0),9),0)</f>
        <v>0</v>
      </c>
      <c r="AE47" s="182" t="n">
        <f aca="false">IF(AE45&gt;0,ROUND(AE45- IF(AE35&lt;T.PikettVetsuissebis,MIN(T.PikettVetsuissebis-AE35,AE36-AE35)+IF(AE37&lt;T.PikettVetsuissebis,MIN(T.PikettVetsuissebis-AE37,AE38-AE37)+IF(AE39&lt;T.PikettVetsuissebis,MIN(T.PikettVetsuissebis-AE39,AE40-AE39)+IF(AE41&lt;T.PikettVetsuissebis,MIN(T.PikettVetsuissebis-AE41,AE42-AE41)+IF(AE43&lt;T.PikettVetsuissebis,MIN(T.PikettVetsuissebis-AE43,AE44-AE43),0),0),0),0),0),9),0)</f>
        <v>0</v>
      </c>
      <c r="AF47" s="182" t="n">
        <f aca="false">IF(AF45&gt;0,ROUND(AF45- IF(AF35&lt;T.PikettVetsuissebis,MIN(T.PikettVetsuissebis-AF35,AF36-AF35)+IF(AF37&lt;T.PikettVetsuissebis,MIN(T.PikettVetsuissebis-AF37,AF38-AF37)+IF(AF39&lt;T.PikettVetsuissebis,MIN(T.PikettVetsuissebis-AF39,AF40-AF39)+IF(AF41&lt;T.PikettVetsuissebis,MIN(T.PikettVetsuissebis-AF41,AF42-AF41)+IF(AF43&lt;T.PikettVetsuissebis,MIN(T.PikettVetsuissebis-AF43,AF44-AF43),0),0),0),0),0),9),0)</f>
        <v>0</v>
      </c>
      <c r="AG47" s="183" t="str">
        <f aca="false">A47</f>
        <v>Total on call hours today</v>
      </c>
      <c r="AH47" s="146"/>
      <c r="AI47" s="179"/>
      <c r="AJ47" s="180"/>
      <c r="AK47" s="172"/>
      <c r="AL47" s="172"/>
      <c r="AM47" s="172"/>
      <c r="AN47" s="171"/>
      <c r="AO47" s="172"/>
      <c r="AP47" s="172"/>
      <c r="AQ47" s="39"/>
    </row>
    <row r="48" s="148" customFormat="true" ht="16.5" hidden="true" customHeight="true" outlineLevel="1" collapsed="false">
      <c r="A48" s="181" t="s">
        <v>137</v>
      </c>
      <c r="B48" s="193" t="n">
        <f aca="false">B45-B47</f>
        <v>0</v>
      </c>
      <c r="C48" s="193" t="n">
        <f aca="false">C45-C47</f>
        <v>0</v>
      </c>
      <c r="D48" s="193" t="n">
        <f aca="false">D45-D47</f>
        <v>0</v>
      </c>
      <c r="E48" s="193" t="n">
        <f aca="false">E45-E47</f>
        <v>0</v>
      </c>
      <c r="F48" s="193" t="n">
        <f aca="false">F45-F47</f>
        <v>0</v>
      </c>
      <c r="G48" s="193" t="n">
        <f aca="false">G45-G47</f>
        <v>0</v>
      </c>
      <c r="H48" s="193" t="n">
        <f aca="false">H45-H47</f>
        <v>0</v>
      </c>
      <c r="I48" s="193" t="n">
        <f aca="false">I45-I47</f>
        <v>0</v>
      </c>
      <c r="J48" s="193" t="n">
        <f aca="false">J45-J47</f>
        <v>0</v>
      </c>
      <c r="K48" s="193" t="n">
        <f aca="false">K45-K47</f>
        <v>0</v>
      </c>
      <c r="L48" s="193" t="n">
        <f aca="false">L45-L47</f>
        <v>0</v>
      </c>
      <c r="M48" s="193" t="n">
        <f aca="false">M45-M47</f>
        <v>0</v>
      </c>
      <c r="N48" s="193" t="n">
        <f aca="false">N45-N47</f>
        <v>0</v>
      </c>
      <c r="O48" s="193" t="n">
        <f aca="false">O45-O47</f>
        <v>0</v>
      </c>
      <c r="P48" s="193" t="n">
        <f aca="false">P45-P47</f>
        <v>0</v>
      </c>
      <c r="Q48" s="193" t="n">
        <f aca="false">Q45-Q47</f>
        <v>0</v>
      </c>
      <c r="R48" s="193" t="n">
        <f aca="false">R45-R47</f>
        <v>0</v>
      </c>
      <c r="S48" s="193" t="n">
        <f aca="false">S45-S47</f>
        <v>0</v>
      </c>
      <c r="T48" s="193" t="n">
        <f aca="false">T45-T47</f>
        <v>0</v>
      </c>
      <c r="U48" s="193" t="n">
        <f aca="false">U45-U47</f>
        <v>0</v>
      </c>
      <c r="V48" s="193" t="n">
        <f aca="false">V45-V47</f>
        <v>0</v>
      </c>
      <c r="W48" s="193" t="n">
        <f aca="false">W45-W47</f>
        <v>0</v>
      </c>
      <c r="X48" s="193" t="n">
        <f aca="false">X45-X47</f>
        <v>0</v>
      </c>
      <c r="Y48" s="193" t="n">
        <f aca="false">Y45-Y47</f>
        <v>0</v>
      </c>
      <c r="Z48" s="193" t="n">
        <f aca="false">Z45-Z47</f>
        <v>0</v>
      </c>
      <c r="AA48" s="193" t="n">
        <f aca="false">AA45-AA47</f>
        <v>0</v>
      </c>
      <c r="AB48" s="193" t="n">
        <f aca="false">AB45-AB47</f>
        <v>0</v>
      </c>
      <c r="AC48" s="193" t="n">
        <f aca="false">AC45-AC47</f>
        <v>0</v>
      </c>
      <c r="AD48" s="193" t="n">
        <f aca="false">AD45-AD47</f>
        <v>0</v>
      </c>
      <c r="AE48" s="193" t="n">
        <f aca="false">AE45-AE47</f>
        <v>0</v>
      </c>
      <c r="AF48" s="193" t="n">
        <f aca="false">AF45-AF47</f>
        <v>0</v>
      </c>
      <c r="AG48" s="183" t="str">
        <f aca="false">A48</f>
        <v>Total on call hours yesterday</v>
      </c>
      <c r="AH48" s="146"/>
      <c r="AI48" s="179"/>
      <c r="AJ48" s="180"/>
      <c r="AK48" s="172"/>
      <c r="AL48" s="172"/>
      <c r="AM48" s="199" t="n">
        <f aca="false">IF(EB.Anwendung&lt;&gt;"",IF(MONTH(Monat.Tag1)=12,0,IF(MONTH(Monat.Tag1)=1,February!Monat.PikettgesternTag1,IF(MONTH(Monat.Tag1)=2,March!Monat.PikettgesternTag1,IF(MONTH(Monat.Tag1)=3,April!Monat.PikettgesternTag1,IF(MONTH(Monat.Tag1)=4,May!Monat.PikettgesternTag1,IF(MONTH(Monat.Tag1)=5,June!Monat.PikettgesternTag1,IF(MONTH(Monat.Tag1)=6,July!Monat.PikettgesternTag1,IF(MONTH(Monat.Tag1)=7,August!Monat.PikettgesternTag1,IF(MONTH(Monat.Tag1)=8,September!Monat.PikettgesternTag1,IF(MONTH(Monat.Tag1)=9,Monat.PikettgesternTag1,IF(MONTH(Monat.Tag1)=10,November!Monat.PikettgesternTag1,IF(MONTH(Monat.Tag1)=11,December!Monat.PikettgesternTag1,"")))))))))))),"")</f>
        <v>0</v>
      </c>
      <c r="AN48" s="171"/>
      <c r="AO48" s="172"/>
      <c r="AP48" s="172"/>
      <c r="AQ48" s="39"/>
    </row>
    <row r="49" s="148" customFormat="true" ht="16.5" hidden="true" customHeight="true" outlineLevel="1" collapsed="false">
      <c r="A49" s="181" t="s">
        <v>138</v>
      </c>
      <c r="B49" s="182" t="n">
        <f aca="false">B47+IF(B$10=EOMONTH(B$10,0),$AM48,C48)</f>
        <v>0</v>
      </c>
      <c r="C49" s="182" t="n">
        <f aca="false">C47+IF(C$10=EOMONTH(C$10,0),$AM48,D48)</f>
        <v>0</v>
      </c>
      <c r="D49" s="182" t="n">
        <f aca="false">D47+IF(D$10=EOMONTH(D$10,0),$AM48,E48)</f>
        <v>0</v>
      </c>
      <c r="E49" s="182" t="n">
        <f aca="false">E47+IF(E$10=EOMONTH(E$10,0),$AM48,F48)</f>
        <v>0</v>
      </c>
      <c r="F49" s="182" t="n">
        <f aca="false">F47+IF(F$10=EOMONTH(F$10,0),$AM48,G48)</f>
        <v>0</v>
      </c>
      <c r="G49" s="182" t="n">
        <f aca="false">G47+IF(G$10=EOMONTH(G$10,0),$AM48,H48)</f>
        <v>0</v>
      </c>
      <c r="H49" s="182" t="n">
        <f aca="false">H47+IF(H$10=EOMONTH(H$10,0),$AM48,I48)</f>
        <v>0</v>
      </c>
      <c r="I49" s="182" t="n">
        <f aca="false">I47+IF(I$10=EOMONTH(I$10,0),$AM48,J48)</f>
        <v>0</v>
      </c>
      <c r="J49" s="182" t="n">
        <f aca="false">J47+IF(J$10=EOMONTH(J$10,0),$AM48,K48)</f>
        <v>0</v>
      </c>
      <c r="K49" s="182" t="n">
        <f aca="false">K47+IF(K$10=EOMONTH(K$10,0),$AM48,L48)</f>
        <v>0</v>
      </c>
      <c r="L49" s="182" t="n">
        <f aca="false">L47+IF(L$10=EOMONTH(L$10,0),$AM48,M48)</f>
        <v>0</v>
      </c>
      <c r="M49" s="182" t="n">
        <f aca="false">M47+IF(M$10=EOMONTH(M$10,0),$AM48,N48)</f>
        <v>0</v>
      </c>
      <c r="N49" s="182" t="n">
        <f aca="false">N47+IF(N$10=EOMONTH(N$10,0),$AM48,O48)</f>
        <v>0</v>
      </c>
      <c r="O49" s="182" t="n">
        <f aca="false">O47+IF(O$10=EOMONTH(O$10,0),$AM48,P48)</f>
        <v>0</v>
      </c>
      <c r="P49" s="182" t="n">
        <f aca="false">P47+IF(P$10=EOMONTH(P$10,0),$AM48,Q48)</f>
        <v>0</v>
      </c>
      <c r="Q49" s="182" t="n">
        <f aca="false">Q47+IF(Q$10=EOMONTH(Q$10,0),$AM48,R48)</f>
        <v>0</v>
      </c>
      <c r="R49" s="182" t="n">
        <f aca="false">R47+IF(R$10=EOMONTH(R$10,0),$AM48,S48)</f>
        <v>0</v>
      </c>
      <c r="S49" s="182" t="n">
        <f aca="false">S47+IF(S$10=EOMONTH(S$10,0),$AM48,T48)</f>
        <v>0</v>
      </c>
      <c r="T49" s="182" t="n">
        <f aca="false">T47+IF(T$10=EOMONTH(T$10,0),$AM48,U48)</f>
        <v>0</v>
      </c>
      <c r="U49" s="182" t="n">
        <f aca="false">U47+IF(U$10=EOMONTH(U$10,0),$AM48,V48)</f>
        <v>0</v>
      </c>
      <c r="V49" s="182" t="n">
        <f aca="false">V47+IF(V$10=EOMONTH(V$10,0),$AM48,W48)</f>
        <v>0</v>
      </c>
      <c r="W49" s="182" t="n">
        <f aca="false">W47+IF(W$10=EOMONTH(W$10,0),$AM48,X48)</f>
        <v>0</v>
      </c>
      <c r="X49" s="182" t="n">
        <f aca="false">X47+IF(X$10=EOMONTH(X$10,0),$AM48,Y48)</f>
        <v>0</v>
      </c>
      <c r="Y49" s="182" t="n">
        <f aca="false">Y47+IF(Y$10=EOMONTH(Y$10,0),$AM48,Z48)</f>
        <v>0</v>
      </c>
      <c r="Z49" s="182" t="n">
        <f aca="false">Z47+IF(Z$10=EOMONTH(Z$10,0),$AM48,AA48)</f>
        <v>0</v>
      </c>
      <c r="AA49" s="182" t="n">
        <f aca="false">AA47+IF(AA$10=EOMONTH(AA$10,0),$AM48,AB48)</f>
        <v>0</v>
      </c>
      <c r="AB49" s="182" t="n">
        <f aca="false">AB47+IF(AB$10=EOMONTH(AB$10,0),$AM48,AC48)</f>
        <v>0</v>
      </c>
      <c r="AC49" s="182" t="n">
        <f aca="false">AC47+IF(AC$10=EOMONTH(AC$10,0),$AM48,AD48)</f>
        <v>0</v>
      </c>
      <c r="AD49" s="182" t="n">
        <f aca="false">AD47+IF(AD$10=EOMONTH(AD$10,0),$AM48,AE48)</f>
        <v>0</v>
      </c>
      <c r="AE49" s="182" t="n">
        <f aca="false">AE47+IF(AE$10=EOMONTH(AE$10,0),$AM48,AF48)</f>
        <v>0</v>
      </c>
      <c r="AF49" s="182" t="n">
        <f aca="false">AF47+IF(AF$10=EOMONTH(AF$10,0),$AM48,AG48)</f>
        <v>0</v>
      </c>
      <c r="AG49" s="183" t="str">
        <f aca="false">A49</f>
        <v>Total on call standby hours</v>
      </c>
      <c r="AH49" s="184"/>
      <c r="AI49" s="185" t="n">
        <f aca="false">SUM(B49:AF49)</f>
        <v>0</v>
      </c>
      <c r="AJ49" s="180"/>
      <c r="AK49" s="172"/>
      <c r="AL49" s="172"/>
      <c r="AM49" s="172"/>
      <c r="AN49" s="171"/>
      <c r="AO49" s="172"/>
      <c r="AP49" s="172"/>
      <c r="AQ49" s="39"/>
    </row>
    <row r="50" s="148" customFormat="true" ht="3.75" hidden="false" customHeight="true" outlineLevel="0" collapsed="false">
      <c r="A50" s="200"/>
      <c r="B50" s="187"/>
      <c r="C50" s="187"/>
      <c r="D50" s="187"/>
      <c r="E50" s="187"/>
      <c r="F50" s="187"/>
      <c r="G50" s="187"/>
      <c r="H50" s="187"/>
      <c r="I50" s="187"/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87"/>
      <c r="U50" s="187"/>
      <c r="V50" s="187"/>
      <c r="W50" s="187"/>
      <c r="X50" s="187"/>
      <c r="Y50" s="187"/>
      <c r="Z50" s="187"/>
      <c r="AA50" s="187"/>
      <c r="AB50" s="187"/>
      <c r="AC50" s="187"/>
      <c r="AD50" s="187"/>
      <c r="AE50" s="187"/>
      <c r="AF50" s="188"/>
      <c r="AG50" s="201"/>
      <c r="AH50" s="202"/>
      <c r="AI50" s="188"/>
      <c r="AJ50" s="180"/>
      <c r="AK50" s="172"/>
      <c r="AL50" s="172"/>
      <c r="AM50" s="172"/>
      <c r="AN50" s="171"/>
      <c r="AO50" s="172"/>
      <c r="AP50" s="172"/>
      <c r="AQ50" s="39"/>
    </row>
    <row r="51" s="148" customFormat="true" ht="15" hidden="false" customHeight="true" outlineLevel="0" collapsed="false">
      <c r="A51" s="181" t="s">
        <v>139</v>
      </c>
      <c r="B51" s="203" t="n">
        <f aca="false">ROUND(B23+B45+B84+SUM(B86:B95)+IF(T.50_Vetsuisse,B71,0),9)</f>
        <v>0</v>
      </c>
      <c r="C51" s="203" t="n">
        <f aca="false">ROUND(C23+C45+C84+SUM(C86:C95)+IF(T.50_Vetsuisse,C71,0),9)</f>
        <v>0</v>
      </c>
      <c r="D51" s="203" t="n">
        <f aca="false">ROUND(D23+D45+D84+SUM(D86:D95)+IF(T.50_Vetsuisse,D71,0),9)</f>
        <v>0</v>
      </c>
      <c r="E51" s="204" t="n">
        <f aca="false">ROUND(E23+E45+E84+SUM(E86:E95)+IF(T.50_Vetsuisse,E71,0),9)</f>
        <v>0</v>
      </c>
      <c r="F51" s="203" t="n">
        <f aca="false">ROUND(F23+F45+F84+SUM(F86:F95)+IF(T.50_Vetsuisse,F71,0),9)</f>
        <v>0</v>
      </c>
      <c r="G51" s="203" t="n">
        <f aca="false">ROUND(G23+G45+G84+SUM(G86:G95)+IF(T.50_Vetsuisse,G71,0),9)</f>
        <v>0</v>
      </c>
      <c r="H51" s="203" t="n">
        <f aca="false">ROUND(H23+H45+H84+SUM(H86:H95)+IF(T.50_Vetsuisse,H71,0),9)</f>
        <v>0</v>
      </c>
      <c r="I51" s="203" t="n">
        <f aca="false">ROUND(I23+I45+I84+SUM(I86:I95)+IF(T.50_Vetsuisse,I71,0),9)</f>
        <v>0</v>
      </c>
      <c r="J51" s="205" t="n">
        <f aca="false">ROUND(J23+J45+J84+SUM(J86:J95)+IF(T.50_Vetsuisse,J71,0),9)</f>
        <v>0</v>
      </c>
      <c r="K51" s="203" t="n">
        <f aca="false">ROUND(K23+K45+K84+SUM(K86:K95)+IF(T.50_Vetsuisse,K71,0),9)</f>
        <v>0</v>
      </c>
      <c r="L51" s="205" t="n">
        <f aca="false">ROUND(L23+L45+L84+SUM(L86:L95)+IF(T.50_Vetsuisse,L71,0),9)</f>
        <v>0</v>
      </c>
      <c r="M51" s="203" t="n">
        <f aca="false">ROUND(M23+M45+M84+SUM(M86:M95)+IF(T.50_Vetsuisse,M71,0),9)</f>
        <v>0</v>
      </c>
      <c r="N51" s="203" t="n">
        <f aca="false">ROUND(N23+N45+N84+SUM(N86:N95)+IF(T.50_Vetsuisse,N71,0),9)</f>
        <v>0</v>
      </c>
      <c r="O51" s="203" t="n">
        <f aca="false">ROUND(O23+O45+O84+SUM(O86:O95)+IF(T.50_Vetsuisse,O71,0),9)</f>
        <v>0</v>
      </c>
      <c r="P51" s="203" t="n">
        <f aca="false">ROUND(P23+P45+P84+SUM(P86:P95)+IF(T.50_Vetsuisse,P71,0),9)</f>
        <v>0</v>
      </c>
      <c r="Q51" s="205" t="n">
        <f aca="false">ROUND(Q23+Q45+Q84+SUM(Q86:Q95)+IF(T.50_Vetsuisse,Q71,0),9)</f>
        <v>0</v>
      </c>
      <c r="R51" s="203" t="n">
        <f aca="false">ROUND(R23+R45+R84+SUM(R86:R95)+IF(T.50_Vetsuisse,R71,0),9)</f>
        <v>0</v>
      </c>
      <c r="S51" s="205" t="n">
        <f aca="false">ROUND(S23+S45+S84+SUM(S86:S95)+IF(T.50_Vetsuisse,S71,0),9)</f>
        <v>0</v>
      </c>
      <c r="T51" s="205" t="n">
        <f aca="false">ROUND(T23+T45+T84+SUM(T86:T95)+IF(T.50_Vetsuisse,T71,0),9)</f>
        <v>0</v>
      </c>
      <c r="U51" s="203" t="n">
        <f aca="false">ROUND(U23+U45+U84+SUM(U86:U95)+IF(T.50_Vetsuisse,U71,0),9)</f>
        <v>0</v>
      </c>
      <c r="V51" s="203" t="n">
        <f aca="false">ROUND(V23+V45+V84+SUM(V86:V95)+IF(T.50_Vetsuisse,V71,0),9)</f>
        <v>0</v>
      </c>
      <c r="W51" s="203" t="n">
        <f aca="false">ROUND(W23+W45+W84+SUM(W86:W95)+IF(T.50_Vetsuisse,W71,0),9)</f>
        <v>0</v>
      </c>
      <c r="X51" s="205" t="n">
        <f aca="false">ROUND(X23+X45+X84+SUM(X86:X95)+IF(T.50_Vetsuisse,X71,0),9)</f>
        <v>0</v>
      </c>
      <c r="Y51" s="203" t="n">
        <f aca="false">ROUND(Y23+Y45+Y84+SUM(Y86:Y95)+IF(T.50_Vetsuisse,Y71,0),9)</f>
        <v>0</v>
      </c>
      <c r="Z51" s="206" t="n">
        <f aca="false">ROUND(Z23+Z45+Z84+SUM(Z86:Z95)+IF(T.50_Vetsuisse,Z71,0),9)</f>
        <v>0</v>
      </c>
      <c r="AA51" s="203" t="n">
        <f aca="false">ROUND(AA23+AA45+AA84+SUM(AA86:AA95)+IF(T.50_Vetsuisse,AA71,0),9)</f>
        <v>0</v>
      </c>
      <c r="AB51" s="203" t="n">
        <f aca="false">ROUND(AB23+AB45+AB84+SUM(AB86:AB95)+IF(T.50_Vetsuisse,AB71,0),9)</f>
        <v>0</v>
      </c>
      <c r="AC51" s="203" t="n">
        <f aca="false">ROUND(AC23+AC45+AC84+SUM(AC86:AC95)+IF(T.50_Vetsuisse,AC71,0),9)</f>
        <v>0</v>
      </c>
      <c r="AD51" s="203" t="n">
        <f aca="false">ROUND(AD23+AD45+AD84+SUM(AD86:AD95)+IF(T.50_Vetsuisse,AD71,0),9)</f>
        <v>0</v>
      </c>
      <c r="AE51" s="205" t="n">
        <f aca="false">ROUND(AE23+AE45+AE84+SUM(AE86:AE95)+IF(T.50_Vetsuisse,AE71,0),9)</f>
        <v>0</v>
      </c>
      <c r="AF51" s="203" t="n">
        <f aca="false">ROUND(AF23+AF45+AF84+SUM(AF86:AF95)+IF(T.50_Vetsuisse,AF71,0),9)</f>
        <v>0</v>
      </c>
      <c r="AG51" s="183" t="str">
        <f aca="false">A51</f>
        <v>Actual hours worked</v>
      </c>
      <c r="AH51" s="184"/>
      <c r="AI51" s="207" t="n">
        <f aca="false">SUM(B51:AF51)</f>
        <v>0</v>
      </c>
      <c r="AJ51" s="180"/>
      <c r="AK51" s="172"/>
      <c r="AL51" s="172"/>
      <c r="AM51" s="172"/>
      <c r="AN51" s="208" t="n">
        <f aca="true">IF(WEEKDAY(EOMONTH(Monat.Tag1,0),2)=7,0,MAX(0,SUM(OFFSET(B51,0,DAY(EOMONTH(Monat.Tag1,0))-WEEKDAY(EOMONTH(Monat.Tag1,0),2),1,WEEKDAY(EOMONTH(Monat.Tag1,0),2)))))</f>
        <v>0</v>
      </c>
      <c r="AO51" s="172"/>
      <c r="AP51" s="172"/>
      <c r="AQ51" s="39"/>
    </row>
    <row r="52" s="148" customFormat="true" ht="15" hidden="false" customHeight="true" outlineLevel="1" collapsed="false">
      <c r="A52" s="175" t="s">
        <v>140</v>
      </c>
      <c r="B52" s="209" t="n">
        <f aca="false">IF(B$12=0,0,ROUND(INDEX(Monat.RAZ1_7.Bereich,WEEKDAY(B$10,2))*B$11,9))</f>
        <v>0.35</v>
      </c>
      <c r="C52" s="209" t="n">
        <f aca="false">IF(C$12=0,0,ROUND(INDEX(Monat.RAZ1_7.Bereich,WEEKDAY(C$10,2))*C$11,9))</f>
        <v>0.35</v>
      </c>
      <c r="D52" s="210" t="n">
        <f aca="false">IF(D$12=0,0,ROUND(INDEX(Monat.RAZ1_7.Bereich,WEEKDAY(D$10,2))*D$11,9))</f>
        <v>0.35</v>
      </c>
      <c r="E52" s="209" t="n">
        <f aca="false">IF(E$12=0,0,ROUND(INDEX(Monat.RAZ1_7.Bereich,WEEKDAY(E$10,2))*E$11,9))</f>
        <v>0.35</v>
      </c>
      <c r="F52" s="210" t="n">
        <f aca="false">IF(F$12=0,0,ROUND(INDEX(Monat.RAZ1_7.Bereich,WEEKDAY(F$10,2))*F$11,9))</f>
        <v>0.35</v>
      </c>
      <c r="G52" s="210" t="n">
        <f aca="false">IF(G$12=0,0,ROUND(INDEX(Monat.RAZ1_7.Bereich,WEEKDAY(G$10,2))*G$11,9))</f>
        <v>0</v>
      </c>
      <c r="H52" s="210" t="n">
        <f aca="false">IF(H$12=0,0,ROUND(INDEX(Monat.RAZ1_7.Bereich,WEEKDAY(H$10,2))*H$11,9))</f>
        <v>0</v>
      </c>
      <c r="I52" s="210" t="n">
        <f aca="false">IF(I$12=0,0,ROUND(INDEX(Monat.RAZ1_7.Bereich,WEEKDAY(I$10,2))*I$11,9))</f>
        <v>0.35</v>
      </c>
      <c r="J52" s="209" t="n">
        <f aca="false">IF(J$12=0,0,ROUND(INDEX(Monat.RAZ1_7.Bereich,WEEKDAY(J$10,2))*J$11,9))</f>
        <v>0.35</v>
      </c>
      <c r="K52" s="210" t="n">
        <f aca="false">IF(K$12=0,0,ROUND(INDEX(Monat.RAZ1_7.Bereich,WEEKDAY(K$10,2))*K$11,9))</f>
        <v>0.35</v>
      </c>
      <c r="L52" s="209" t="n">
        <f aca="false">IF(L$12=0,0,ROUND(INDEX(Monat.RAZ1_7.Bereich,WEEKDAY(L$10,2))*L$11,9))</f>
        <v>0.35</v>
      </c>
      <c r="M52" s="210" t="n">
        <f aca="false">IF(M$12=0,0,ROUND(INDEX(Monat.RAZ1_7.Bereich,WEEKDAY(M$10,2))*M$11,9))</f>
        <v>0.35</v>
      </c>
      <c r="N52" s="210" t="n">
        <f aca="false">IF(N$12=0,0,ROUND(INDEX(Monat.RAZ1_7.Bereich,WEEKDAY(N$10,2))*N$11,9))</f>
        <v>0</v>
      </c>
      <c r="O52" s="210" t="n">
        <f aca="false">IF(O$12=0,0,ROUND(INDEX(Monat.RAZ1_7.Bereich,WEEKDAY(O$10,2))*O$11,9))</f>
        <v>0</v>
      </c>
      <c r="P52" s="210" t="n">
        <f aca="false">IF(P$12=0,0,ROUND(INDEX(Monat.RAZ1_7.Bereich,WEEKDAY(P$10,2))*P$11,9))</f>
        <v>0.35</v>
      </c>
      <c r="Q52" s="209" t="n">
        <f aca="false">IF(Q$12=0,0,ROUND(INDEX(Monat.RAZ1_7.Bereich,WEEKDAY(Q$10,2))*Q$11,9))</f>
        <v>0.35</v>
      </c>
      <c r="R52" s="210" t="n">
        <f aca="false">IF(R$12=0,0,ROUND(INDEX(Monat.RAZ1_7.Bereich,WEEKDAY(R$10,2))*R$11,9))</f>
        <v>0.35</v>
      </c>
      <c r="S52" s="209" t="n">
        <f aca="false">IF(S$12=0,0,ROUND(INDEX(Monat.RAZ1_7.Bereich,WEEKDAY(S$10,2))*S$11,9))</f>
        <v>0.35</v>
      </c>
      <c r="T52" s="209" t="n">
        <f aca="false">IF(T$12=0,0,ROUND(INDEX(Monat.RAZ1_7.Bereich,WEEKDAY(T$10,2))*T$11,9))</f>
        <v>0.35</v>
      </c>
      <c r="U52" s="210" t="n">
        <f aca="false">IF(U$12=0,0,ROUND(INDEX(Monat.RAZ1_7.Bereich,WEEKDAY(U$10,2))*U$11,9))</f>
        <v>0</v>
      </c>
      <c r="V52" s="210" t="n">
        <f aca="false">IF(V$12=0,0,ROUND(INDEX(Monat.RAZ1_7.Bereich,WEEKDAY(V$10,2))*V$11,9))</f>
        <v>0</v>
      </c>
      <c r="W52" s="210" t="n">
        <f aca="false">IF(W$12=0,0,ROUND(INDEX(Monat.RAZ1_7.Bereich,WEEKDAY(W$10,2))*W$11,9))</f>
        <v>0.35</v>
      </c>
      <c r="X52" s="209" t="n">
        <f aca="false">IF(X$12=0,0,ROUND(INDEX(Monat.RAZ1_7.Bereich,WEEKDAY(X$10,2))*X$11,9))</f>
        <v>0.35</v>
      </c>
      <c r="Y52" s="210" t="n">
        <f aca="false">IF(Y$12=0,0,ROUND(INDEX(Monat.RAZ1_7.Bereich,WEEKDAY(Y$10,2))*Y$11,9))</f>
        <v>0.35</v>
      </c>
      <c r="Z52" s="211" t="n">
        <f aca="false">IF(Z$12=0,0,ROUND(INDEX(Monat.RAZ1_7.Bereich,WEEKDAY(Z$10,2))*Z$11,9))</f>
        <v>0.35</v>
      </c>
      <c r="AA52" s="210" t="n">
        <f aca="false">IF(AA$12=0,0,ROUND(INDEX(Monat.RAZ1_7.Bereich,WEEKDAY(AA$10,2))*AA$11,9))</f>
        <v>0.35</v>
      </c>
      <c r="AB52" s="210" t="n">
        <f aca="false">IF(AB$12=0,0,ROUND(INDEX(Monat.RAZ1_7.Bereich,WEEKDAY(AB$10,2))*AB$11,9))</f>
        <v>0</v>
      </c>
      <c r="AC52" s="210" t="n">
        <f aca="false">IF(AC$12=0,0,ROUND(INDEX(Monat.RAZ1_7.Bereich,WEEKDAY(AC$10,2))*AC$11,9))</f>
        <v>0</v>
      </c>
      <c r="AD52" s="210" t="n">
        <f aca="false">IF(AD$12=0,0,ROUND(INDEX(Monat.RAZ1_7.Bereich,WEEKDAY(AD$10,2))*AD$11,9))</f>
        <v>0.35</v>
      </c>
      <c r="AE52" s="209" t="n">
        <f aca="false">IF(AE$12=0,0,ROUND(INDEX(Monat.RAZ1_7.Bereich,WEEKDAY(AE$10,2))*AE$11,9))</f>
        <v>0.35</v>
      </c>
      <c r="AF52" s="210" t="n">
        <f aca="false">IF(AF$12=0,0,ROUND(INDEX(Monat.RAZ1_7.Bereich,WEEKDAY(AF$10,2))*AF$11,9))</f>
        <v>0.35</v>
      </c>
      <c r="AG52" s="212" t="str">
        <f aca="false">A52</f>
        <v>Standardized hours (Info)</v>
      </c>
      <c r="AH52" s="184"/>
      <c r="AI52" s="179"/>
      <c r="AJ52" s="180"/>
      <c r="AK52" s="172"/>
      <c r="AL52" s="172"/>
      <c r="AM52" s="172"/>
      <c r="AN52" s="171"/>
      <c r="AO52" s="172"/>
      <c r="AP52" s="172"/>
      <c r="AQ52" s="39"/>
    </row>
    <row r="53" s="148" customFormat="true" ht="15" hidden="false" customHeight="true" outlineLevel="0" collapsed="false">
      <c r="A53" s="175" t="s">
        <v>141</v>
      </c>
      <c r="B53" s="213" t="n">
        <f aca="false">IF(B$12=0,0,ROUND(INDEX(EB.AZSOLLTag100.Bereich,MATCH(INDEX(EB.Monate.Bereich,MONTH(Monat.Tag1)),EB.Monate.Bereich,0))*B$11*IF(WEEKDAY(B$10,2)&gt;5,0,1)*$V$2/100,9))</f>
        <v>0.35</v>
      </c>
      <c r="C53" s="213" t="n">
        <f aca="false">IF(C$12=0,0,ROUND(INDEX(EB.AZSOLLTag100.Bereich,MATCH(INDEX(EB.Monate.Bereich,MONTH(Monat.Tag1)),EB.Monate.Bereich,0))*C$11*IF(WEEKDAY(C$10,2)&gt;5,0,1)*$V$2/100,9))</f>
        <v>0.35</v>
      </c>
      <c r="D53" s="213" t="n">
        <f aca="false">IF(D$12=0,0,ROUND(INDEX(EB.AZSOLLTag100.Bereich,MATCH(INDEX(EB.Monate.Bereich,MONTH(Monat.Tag1)),EB.Monate.Bereich,0))*D$11*IF(WEEKDAY(D$10,2)&gt;5,0,1)*$V$2/100,9))</f>
        <v>0.35</v>
      </c>
      <c r="E53" s="213" t="n">
        <f aca="false">IF(E$12=0,0,ROUND(INDEX(EB.AZSOLLTag100.Bereich,MATCH(INDEX(EB.Monate.Bereich,MONTH(Monat.Tag1)),EB.Monate.Bereich,0))*E$11*IF(WEEKDAY(E$10,2)&gt;5,0,1)*$V$2/100,9))</f>
        <v>0.35</v>
      </c>
      <c r="F53" s="213" t="n">
        <f aca="false">IF(F$12=0,0,ROUND(INDEX(EB.AZSOLLTag100.Bereich,MATCH(INDEX(EB.Monate.Bereich,MONTH(Monat.Tag1)),EB.Monate.Bereich,0))*F$11*IF(WEEKDAY(F$10,2)&gt;5,0,1)*$V$2/100,9))</f>
        <v>0.35</v>
      </c>
      <c r="G53" s="213" t="n">
        <f aca="false">IF(G$12=0,0,ROUND(INDEX(EB.AZSOLLTag100.Bereich,MATCH(INDEX(EB.Monate.Bereich,MONTH(Monat.Tag1)),EB.Monate.Bereich,0))*G$11*IF(WEEKDAY(G$10,2)&gt;5,0,1)*$V$2/100,9))</f>
        <v>0</v>
      </c>
      <c r="H53" s="213" t="n">
        <f aca="false">IF(H$12=0,0,ROUND(INDEX(EB.AZSOLLTag100.Bereich,MATCH(INDEX(EB.Monate.Bereich,MONTH(Monat.Tag1)),EB.Monate.Bereich,0))*H$11*IF(WEEKDAY(H$10,2)&gt;5,0,1)*$V$2/100,9))</f>
        <v>0</v>
      </c>
      <c r="I53" s="213" t="n">
        <f aca="false">IF(I$12=0,0,ROUND(INDEX(EB.AZSOLLTag100.Bereich,MATCH(INDEX(EB.Monate.Bereich,MONTH(Monat.Tag1)),EB.Monate.Bereich,0))*I$11*IF(WEEKDAY(I$10,2)&gt;5,0,1)*$V$2/100,9))</f>
        <v>0.35</v>
      </c>
      <c r="J53" s="213" t="n">
        <f aca="false">IF(J$12=0,0,ROUND(INDEX(EB.AZSOLLTag100.Bereich,MATCH(INDEX(EB.Monate.Bereich,MONTH(Monat.Tag1)),EB.Monate.Bereich,0))*J$11*IF(WEEKDAY(J$10,2)&gt;5,0,1)*$V$2/100,9))</f>
        <v>0.35</v>
      </c>
      <c r="K53" s="213" t="n">
        <f aca="false">IF(K$12=0,0,ROUND(INDEX(EB.AZSOLLTag100.Bereich,MATCH(INDEX(EB.Monate.Bereich,MONTH(Monat.Tag1)),EB.Monate.Bereich,0))*K$11*IF(WEEKDAY(K$10,2)&gt;5,0,1)*$V$2/100,9))</f>
        <v>0.35</v>
      </c>
      <c r="L53" s="213" t="n">
        <f aca="false">IF(L$12=0,0,ROUND(INDEX(EB.AZSOLLTag100.Bereich,MATCH(INDEX(EB.Monate.Bereich,MONTH(Monat.Tag1)),EB.Monate.Bereich,0))*L$11*IF(WEEKDAY(L$10,2)&gt;5,0,1)*$V$2/100,9))</f>
        <v>0.35</v>
      </c>
      <c r="M53" s="213" t="n">
        <f aca="false">IF(M$12=0,0,ROUND(INDEX(EB.AZSOLLTag100.Bereich,MATCH(INDEX(EB.Monate.Bereich,MONTH(Monat.Tag1)),EB.Monate.Bereich,0))*M$11*IF(WEEKDAY(M$10,2)&gt;5,0,1)*$V$2/100,9))</f>
        <v>0.35</v>
      </c>
      <c r="N53" s="213" t="n">
        <f aca="false">IF(N$12=0,0,ROUND(INDEX(EB.AZSOLLTag100.Bereich,MATCH(INDEX(EB.Monate.Bereich,MONTH(Monat.Tag1)),EB.Monate.Bereich,0))*N$11*IF(WEEKDAY(N$10,2)&gt;5,0,1)*$V$2/100,9))</f>
        <v>0</v>
      </c>
      <c r="O53" s="213" t="n">
        <f aca="false">IF(O$12=0,0,ROUND(INDEX(EB.AZSOLLTag100.Bereich,MATCH(INDEX(EB.Monate.Bereich,MONTH(Monat.Tag1)),EB.Monate.Bereich,0))*O$11*IF(WEEKDAY(O$10,2)&gt;5,0,1)*$V$2/100,9))</f>
        <v>0</v>
      </c>
      <c r="P53" s="213" t="n">
        <f aca="false">IF(P$12=0,0,ROUND(INDEX(EB.AZSOLLTag100.Bereich,MATCH(INDEX(EB.Monate.Bereich,MONTH(Monat.Tag1)),EB.Monate.Bereich,0))*P$11*IF(WEEKDAY(P$10,2)&gt;5,0,1)*$V$2/100,9))</f>
        <v>0.35</v>
      </c>
      <c r="Q53" s="213" t="n">
        <f aca="false">IF(Q$12=0,0,ROUND(INDEX(EB.AZSOLLTag100.Bereich,MATCH(INDEX(EB.Monate.Bereich,MONTH(Monat.Tag1)),EB.Monate.Bereich,0))*Q$11*IF(WEEKDAY(Q$10,2)&gt;5,0,1)*$V$2/100,9))</f>
        <v>0.35</v>
      </c>
      <c r="R53" s="213" t="n">
        <f aca="false">IF(R$12=0,0,ROUND(INDEX(EB.AZSOLLTag100.Bereich,MATCH(INDEX(EB.Monate.Bereich,MONTH(Monat.Tag1)),EB.Monate.Bereich,0))*R$11*IF(WEEKDAY(R$10,2)&gt;5,0,1)*$V$2/100,9))</f>
        <v>0.35</v>
      </c>
      <c r="S53" s="213" t="n">
        <f aca="false">IF(S$12=0,0,ROUND(INDEX(EB.AZSOLLTag100.Bereich,MATCH(INDEX(EB.Monate.Bereich,MONTH(Monat.Tag1)),EB.Monate.Bereich,0))*S$11*IF(WEEKDAY(S$10,2)&gt;5,0,1)*$V$2/100,9))</f>
        <v>0.35</v>
      </c>
      <c r="T53" s="213" t="n">
        <f aca="false">IF(T$12=0,0,ROUND(INDEX(EB.AZSOLLTag100.Bereich,MATCH(INDEX(EB.Monate.Bereich,MONTH(Monat.Tag1)),EB.Monate.Bereich,0))*T$11*IF(WEEKDAY(T$10,2)&gt;5,0,1)*$V$2/100,9))</f>
        <v>0.35</v>
      </c>
      <c r="U53" s="213" t="n">
        <f aca="false">IF(U$12=0,0,ROUND(INDEX(EB.AZSOLLTag100.Bereich,MATCH(INDEX(EB.Monate.Bereich,MONTH(Monat.Tag1)),EB.Monate.Bereich,0))*U$11*IF(WEEKDAY(U$10,2)&gt;5,0,1)*$V$2/100,9))</f>
        <v>0</v>
      </c>
      <c r="V53" s="213" t="n">
        <f aca="false">IF(V$12=0,0,ROUND(INDEX(EB.AZSOLLTag100.Bereich,MATCH(INDEX(EB.Monate.Bereich,MONTH(Monat.Tag1)),EB.Monate.Bereich,0))*V$11*IF(WEEKDAY(V$10,2)&gt;5,0,1)*$V$2/100,9))</f>
        <v>0</v>
      </c>
      <c r="W53" s="213" t="n">
        <f aca="false">IF(W$12=0,0,ROUND(INDEX(EB.AZSOLLTag100.Bereich,MATCH(INDEX(EB.Monate.Bereich,MONTH(Monat.Tag1)),EB.Monate.Bereich,0))*W$11*IF(WEEKDAY(W$10,2)&gt;5,0,1)*$V$2/100,9))</f>
        <v>0.35</v>
      </c>
      <c r="X53" s="213" t="n">
        <f aca="false">IF(X$12=0,0,ROUND(INDEX(EB.AZSOLLTag100.Bereich,MATCH(INDEX(EB.Monate.Bereich,MONTH(Monat.Tag1)),EB.Monate.Bereich,0))*X$11*IF(WEEKDAY(X$10,2)&gt;5,0,1)*$V$2/100,9))</f>
        <v>0.35</v>
      </c>
      <c r="Y53" s="213" t="n">
        <f aca="false">IF(Y$12=0,0,ROUND(INDEX(EB.AZSOLLTag100.Bereich,MATCH(INDEX(EB.Monate.Bereich,MONTH(Monat.Tag1)),EB.Monate.Bereich,0))*Y$11*IF(WEEKDAY(Y$10,2)&gt;5,0,1)*$V$2/100,9))</f>
        <v>0.35</v>
      </c>
      <c r="Z53" s="213" t="n">
        <f aca="false">IF(Z$12=0,0,ROUND(INDEX(EB.AZSOLLTag100.Bereich,MATCH(INDEX(EB.Monate.Bereich,MONTH(Monat.Tag1)),EB.Monate.Bereich,0))*Z$11*IF(WEEKDAY(Z$10,2)&gt;5,0,1)*$V$2/100,9))</f>
        <v>0.35</v>
      </c>
      <c r="AA53" s="213" t="n">
        <f aca="false">IF(AA$12=0,0,ROUND(INDEX(EB.AZSOLLTag100.Bereich,MATCH(INDEX(EB.Monate.Bereich,MONTH(Monat.Tag1)),EB.Monate.Bereich,0))*AA$11*IF(WEEKDAY(AA$10,2)&gt;5,0,1)*$V$2/100,9))</f>
        <v>0.35</v>
      </c>
      <c r="AB53" s="213" t="n">
        <f aca="false">IF(AB$12=0,0,ROUND(INDEX(EB.AZSOLLTag100.Bereich,MATCH(INDEX(EB.Monate.Bereich,MONTH(Monat.Tag1)),EB.Monate.Bereich,0))*AB$11*IF(WEEKDAY(AB$10,2)&gt;5,0,1)*$V$2/100,9))</f>
        <v>0</v>
      </c>
      <c r="AC53" s="213" t="n">
        <f aca="false">IF(AC$12=0,0,ROUND(INDEX(EB.AZSOLLTag100.Bereich,MATCH(INDEX(EB.Monate.Bereich,MONTH(Monat.Tag1)),EB.Monate.Bereich,0))*AC$11*IF(WEEKDAY(AC$10,2)&gt;5,0,1)*$V$2/100,9))</f>
        <v>0</v>
      </c>
      <c r="AD53" s="213" t="n">
        <f aca="false">IF(AD$12=0,0,ROUND(INDEX(EB.AZSOLLTag100.Bereich,MATCH(INDEX(EB.Monate.Bereich,MONTH(Monat.Tag1)),EB.Monate.Bereich,0))*AD$11*IF(WEEKDAY(AD$10,2)&gt;5,0,1)*$V$2/100,9))</f>
        <v>0.35</v>
      </c>
      <c r="AE53" s="213" t="n">
        <f aca="false">IF(AE$12=0,0,ROUND(INDEX(EB.AZSOLLTag100.Bereich,MATCH(INDEX(EB.Monate.Bereich,MONTH(Monat.Tag1)),EB.Monate.Bereich,0))*AE$11*IF(WEEKDAY(AE$10,2)&gt;5,0,1)*$V$2/100,9))</f>
        <v>0.35</v>
      </c>
      <c r="AF53" s="213" t="n">
        <f aca="false">IF(AF$12=0,0,ROUND(INDEX(EB.AZSOLLTag100.Bereich,MATCH(INDEX(EB.Monate.Bereich,MONTH(Monat.Tag1)),EB.Monate.Bereich,0))*AF$11*IF(WEEKDAY(AF$10,2)&gt;5,0,1)*$V$2/100,9))</f>
        <v>0.35</v>
      </c>
      <c r="AG53" s="168" t="str">
        <f aca="false">A53</f>
        <v>Req. hours of work FTE</v>
      </c>
      <c r="AH53" s="184"/>
      <c r="AI53" s="207" t="n">
        <f aca="false">SUM(B53:AF53)</f>
        <v>8.05</v>
      </c>
      <c r="AJ53" s="180"/>
      <c r="AK53" s="172"/>
      <c r="AL53" s="172"/>
      <c r="AM53" s="172"/>
      <c r="AN53" s="171"/>
      <c r="AO53" s="172"/>
      <c r="AP53" s="172"/>
      <c r="AQ53" s="39"/>
    </row>
    <row r="54" s="148" customFormat="true" ht="15" hidden="true" customHeight="true" outlineLevel="1" collapsed="false">
      <c r="A54" s="175" t="s">
        <v>142</v>
      </c>
      <c r="B54" s="213" t="n">
        <f aca="false">ROUND(INDEX(EB.AZSOLLTag100.Bereich,MATCH(INDEX(EB.Monate.Bereich,MONTH(Monat.Tag1)),EB.Monate.Bereich,0))*B$11*IF(WEEKDAY(B$10,2)&gt;5,0,1),9)</f>
        <v>0.35</v>
      </c>
      <c r="C54" s="213" t="n">
        <f aca="false">ROUND(INDEX(EB.AZSOLLTag100.Bereich,MATCH(INDEX(EB.Monate.Bereich,MONTH(Monat.Tag1)),EB.Monate.Bereich,0))*C$11*IF(WEEKDAY(C$10,2)&gt;5,0,1),9)</f>
        <v>0.35</v>
      </c>
      <c r="D54" s="214" t="n">
        <f aca="false">ROUND(INDEX(EB.AZSOLLTag100.Bereich,MATCH(INDEX(EB.Monate.Bereich,MONTH(Monat.Tag1)),EB.Monate.Bereich,0))*D$11*IF(WEEKDAY(D$10,2)&gt;5,0,1),9)</f>
        <v>0.35</v>
      </c>
      <c r="E54" s="213" t="n">
        <f aca="false">ROUND(INDEX(EB.AZSOLLTag100.Bereich,MATCH(INDEX(EB.Monate.Bereich,MONTH(Monat.Tag1)),EB.Monate.Bereich,0))*E$11*IF(WEEKDAY(E$10,2)&gt;5,0,1),9)</f>
        <v>0.35</v>
      </c>
      <c r="F54" s="214" t="n">
        <f aca="false">ROUND(INDEX(EB.AZSOLLTag100.Bereich,MATCH(INDEX(EB.Monate.Bereich,MONTH(Monat.Tag1)),EB.Monate.Bereich,0))*F$11*IF(WEEKDAY(F$10,2)&gt;5,0,1),9)</f>
        <v>0.35</v>
      </c>
      <c r="G54" s="214" t="n">
        <f aca="false">ROUND(INDEX(EB.AZSOLLTag100.Bereich,MATCH(INDEX(EB.Monate.Bereich,MONTH(Monat.Tag1)),EB.Monate.Bereich,0))*G$11*IF(WEEKDAY(G$10,2)&gt;5,0,1),9)</f>
        <v>0</v>
      </c>
      <c r="H54" s="214" t="n">
        <f aca="false">ROUND(INDEX(EB.AZSOLLTag100.Bereich,MATCH(INDEX(EB.Monate.Bereich,MONTH(Monat.Tag1)),EB.Monate.Bereich,0))*H$11*IF(WEEKDAY(H$10,2)&gt;5,0,1),9)</f>
        <v>0</v>
      </c>
      <c r="I54" s="214" t="n">
        <f aca="false">ROUND(INDEX(EB.AZSOLLTag100.Bereich,MATCH(INDEX(EB.Monate.Bereich,MONTH(Monat.Tag1)),EB.Monate.Bereich,0))*I$11*IF(WEEKDAY(I$10,2)&gt;5,0,1),9)</f>
        <v>0.35</v>
      </c>
      <c r="J54" s="213" t="n">
        <f aca="false">ROUND(INDEX(EB.AZSOLLTag100.Bereich,MATCH(INDEX(EB.Monate.Bereich,MONTH(Monat.Tag1)),EB.Monate.Bereich,0))*J$11*IF(WEEKDAY(J$10,2)&gt;5,0,1),9)</f>
        <v>0.35</v>
      </c>
      <c r="K54" s="214" t="n">
        <f aca="false">ROUND(INDEX(EB.AZSOLLTag100.Bereich,MATCH(INDEX(EB.Monate.Bereich,MONTH(Monat.Tag1)),EB.Monate.Bereich,0))*K$11*IF(WEEKDAY(K$10,2)&gt;5,0,1),9)</f>
        <v>0.35</v>
      </c>
      <c r="L54" s="213" t="n">
        <f aca="false">ROUND(INDEX(EB.AZSOLLTag100.Bereich,MATCH(INDEX(EB.Monate.Bereich,MONTH(Monat.Tag1)),EB.Monate.Bereich,0))*L$11*IF(WEEKDAY(L$10,2)&gt;5,0,1),9)</f>
        <v>0.35</v>
      </c>
      <c r="M54" s="214" t="n">
        <f aca="false">ROUND(INDEX(EB.AZSOLLTag100.Bereich,MATCH(INDEX(EB.Monate.Bereich,MONTH(Monat.Tag1)),EB.Monate.Bereich,0))*M$11*IF(WEEKDAY(M$10,2)&gt;5,0,1),9)</f>
        <v>0.35</v>
      </c>
      <c r="N54" s="214" t="n">
        <f aca="false">ROUND(INDEX(EB.AZSOLLTag100.Bereich,MATCH(INDEX(EB.Monate.Bereich,MONTH(Monat.Tag1)),EB.Monate.Bereich,0))*N$11*IF(WEEKDAY(N$10,2)&gt;5,0,1),9)</f>
        <v>0</v>
      </c>
      <c r="O54" s="214" t="n">
        <f aca="false">ROUND(INDEX(EB.AZSOLLTag100.Bereich,MATCH(INDEX(EB.Monate.Bereich,MONTH(Monat.Tag1)),EB.Monate.Bereich,0))*O$11*IF(WEEKDAY(O$10,2)&gt;5,0,1),9)</f>
        <v>0</v>
      </c>
      <c r="P54" s="214" t="n">
        <f aca="false">ROUND(INDEX(EB.AZSOLLTag100.Bereich,MATCH(INDEX(EB.Monate.Bereich,MONTH(Monat.Tag1)),EB.Monate.Bereich,0))*P$11*IF(WEEKDAY(P$10,2)&gt;5,0,1),9)</f>
        <v>0.35</v>
      </c>
      <c r="Q54" s="213" t="n">
        <f aca="false">ROUND(INDEX(EB.AZSOLLTag100.Bereich,MATCH(INDEX(EB.Monate.Bereich,MONTH(Monat.Tag1)),EB.Monate.Bereich,0))*Q$11*IF(WEEKDAY(Q$10,2)&gt;5,0,1),9)</f>
        <v>0.35</v>
      </c>
      <c r="R54" s="214" t="n">
        <f aca="false">ROUND(INDEX(EB.AZSOLLTag100.Bereich,MATCH(INDEX(EB.Monate.Bereich,MONTH(Monat.Tag1)),EB.Monate.Bereich,0))*R$11*IF(WEEKDAY(R$10,2)&gt;5,0,1),9)</f>
        <v>0.35</v>
      </c>
      <c r="S54" s="213" t="n">
        <f aca="false">ROUND(INDEX(EB.AZSOLLTag100.Bereich,MATCH(INDEX(EB.Monate.Bereich,MONTH(Monat.Tag1)),EB.Monate.Bereich,0))*S$11*IF(WEEKDAY(S$10,2)&gt;5,0,1),9)</f>
        <v>0.35</v>
      </c>
      <c r="T54" s="213" t="n">
        <f aca="false">ROUND(INDEX(EB.AZSOLLTag100.Bereich,MATCH(INDEX(EB.Monate.Bereich,MONTH(Monat.Tag1)),EB.Monate.Bereich,0))*T$11*IF(WEEKDAY(T$10,2)&gt;5,0,1),9)</f>
        <v>0.35</v>
      </c>
      <c r="U54" s="214" t="n">
        <f aca="false">ROUND(INDEX(EB.AZSOLLTag100.Bereich,MATCH(INDEX(EB.Monate.Bereich,MONTH(Monat.Tag1)),EB.Monate.Bereich,0))*U$11*IF(WEEKDAY(U$10,2)&gt;5,0,1),9)</f>
        <v>0</v>
      </c>
      <c r="V54" s="214" t="n">
        <f aca="false">ROUND(INDEX(EB.AZSOLLTag100.Bereich,MATCH(INDEX(EB.Monate.Bereich,MONTH(Monat.Tag1)),EB.Monate.Bereich,0))*V$11*IF(WEEKDAY(V$10,2)&gt;5,0,1),9)</f>
        <v>0</v>
      </c>
      <c r="W54" s="214" t="n">
        <f aca="false">ROUND(INDEX(EB.AZSOLLTag100.Bereich,MATCH(INDEX(EB.Monate.Bereich,MONTH(Monat.Tag1)),EB.Monate.Bereich,0))*W$11*IF(WEEKDAY(W$10,2)&gt;5,0,1),9)</f>
        <v>0.35</v>
      </c>
      <c r="X54" s="213" t="n">
        <f aca="false">ROUND(INDEX(EB.AZSOLLTag100.Bereich,MATCH(INDEX(EB.Monate.Bereich,MONTH(Monat.Tag1)),EB.Monate.Bereich,0))*X$11*IF(WEEKDAY(X$10,2)&gt;5,0,1),9)</f>
        <v>0.35</v>
      </c>
      <c r="Y54" s="214" t="n">
        <f aca="false">ROUND(INDEX(EB.AZSOLLTag100.Bereich,MATCH(INDEX(EB.Monate.Bereich,MONTH(Monat.Tag1)),EB.Monate.Bereich,0))*Y$11*IF(WEEKDAY(Y$10,2)&gt;5,0,1),9)</f>
        <v>0.35</v>
      </c>
      <c r="Z54" s="215" t="n">
        <f aca="false">ROUND(INDEX(EB.AZSOLLTag100.Bereich,MATCH(INDEX(EB.Monate.Bereich,MONTH(Monat.Tag1)),EB.Monate.Bereich,0))*Z$11*IF(WEEKDAY(Z$10,2)&gt;5,0,1),9)</f>
        <v>0.35</v>
      </c>
      <c r="AA54" s="214" t="n">
        <f aca="false">ROUND(INDEX(EB.AZSOLLTag100.Bereich,MATCH(INDEX(EB.Monate.Bereich,MONTH(Monat.Tag1)),EB.Monate.Bereich,0))*AA$11*IF(WEEKDAY(AA$10,2)&gt;5,0,1),9)</f>
        <v>0.35</v>
      </c>
      <c r="AB54" s="214" t="n">
        <f aca="false">ROUND(INDEX(EB.AZSOLLTag100.Bereich,MATCH(INDEX(EB.Monate.Bereich,MONTH(Monat.Tag1)),EB.Monate.Bereich,0))*AB$11*IF(WEEKDAY(AB$10,2)&gt;5,0,1),9)</f>
        <v>0</v>
      </c>
      <c r="AC54" s="214" t="n">
        <f aca="false">ROUND(INDEX(EB.AZSOLLTag100.Bereich,MATCH(INDEX(EB.Monate.Bereich,MONTH(Monat.Tag1)),EB.Monate.Bereich,0))*AC$11*IF(WEEKDAY(AC$10,2)&gt;5,0,1),9)</f>
        <v>0</v>
      </c>
      <c r="AD54" s="214" t="n">
        <f aca="false">ROUND(INDEX(EB.AZSOLLTag100.Bereich,MATCH(INDEX(EB.Monate.Bereich,MONTH(Monat.Tag1)),EB.Monate.Bereich,0))*AD$11*IF(WEEKDAY(AD$10,2)&gt;5,0,1),9)</f>
        <v>0.35</v>
      </c>
      <c r="AE54" s="213" t="n">
        <f aca="false">ROUND(INDEX(EB.AZSOLLTag100.Bereich,MATCH(INDEX(EB.Monate.Bereich,MONTH(Monat.Tag1)),EB.Monate.Bereich,0))*AE$11*IF(WEEKDAY(AE$10,2)&gt;5,0,1),9)</f>
        <v>0.35</v>
      </c>
      <c r="AF54" s="214" t="n">
        <f aca="false">ROUND(INDEX(EB.AZSOLLTag100.Bereich,MATCH(INDEX(EB.Monate.Bereich,MONTH(Monat.Tag1)),EB.Monate.Bereich,0))*AF$11*IF(WEEKDAY(AF$10,2)&gt;5,0,1),9)</f>
        <v>0.35</v>
      </c>
      <c r="AG54" s="168" t="str">
        <f aca="false">A54</f>
        <v>Req. hours of work 100%</v>
      </c>
      <c r="AH54" s="184"/>
      <c r="AI54" s="207" t="n">
        <f aca="false">SUM(B54:AF54)</f>
        <v>8.05</v>
      </c>
      <c r="AJ54" s="180"/>
      <c r="AK54" s="172"/>
      <c r="AL54" s="172"/>
      <c r="AM54" s="172"/>
      <c r="AN54" s="171"/>
      <c r="AO54" s="172"/>
      <c r="AP54" s="172"/>
      <c r="AQ54" s="39"/>
    </row>
    <row r="55" s="148" customFormat="true" ht="15" hidden="false" customHeight="true" outlineLevel="0" collapsed="false">
      <c r="A55" s="175" t="s">
        <v>143</v>
      </c>
      <c r="B55" s="203" t="n">
        <f aca="false">ROUND(B51-B53,9)</f>
        <v>-0.35</v>
      </c>
      <c r="C55" s="203" t="n">
        <f aca="false">ROUND(C51-C53,9)</f>
        <v>-0.35</v>
      </c>
      <c r="D55" s="203" t="n">
        <f aca="false">ROUND(D51-D53,9)</f>
        <v>-0.35</v>
      </c>
      <c r="E55" s="205" t="n">
        <f aca="false">ROUND(E51-E53,9)</f>
        <v>-0.35</v>
      </c>
      <c r="F55" s="203" t="n">
        <f aca="false">ROUND(F51-F53,9)</f>
        <v>-0.35</v>
      </c>
      <c r="G55" s="203" t="n">
        <f aca="false">ROUND(G51-G53,9)</f>
        <v>0</v>
      </c>
      <c r="H55" s="203" t="n">
        <f aca="false">ROUND(H51-H53,9)</f>
        <v>0</v>
      </c>
      <c r="I55" s="203" t="n">
        <f aca="false">ROUND(I51-I53,9)</f>
        <v>-0.35</v>
      </c>
      <c r="J55" s="205" t="n">
        <f aca="false">ROUND(J51-J53,9)</f>
        <v>-0.35</v>
      </c>
      <c r="K55" s="203" t="n">
        <f aca="false">ROUND(K51-K53,9)</f>
        <v>-0.35</v>
      </c>
      <c r="L55" s="205" t="n">
        <f aca="false">ROUND(L51-L53,9)</f>
        <v>-0.35</v>
      </c>
      <c r="M55" s="203" t="n">
        <f aca="false">ROUND(M51-M53,9)</f>
        <v>-0.35</v>
      </c>
      <c r="N55" s="203" t="n">
        <f aca="false">ROUND(N51-N53,9)</f>
        <v>0</v>
      </c>
      <c r="O55" s="203" t="n">
        <f aca="false">ROUND(O51-O53,9)</f>
        <v>0</v>
      </c>
      <c r="P55" s="203" t="n">
        <f aca="false">ROUND(P51-P53,9)</f>
        <v>-0.35</v>
      </c>
      <c r="Q55" s="205" t="n">
        <f aca="false">ROUND(Q51-Q53,9)</f>
        <v>-0.35</v>
      </c>
      <c r="R55" s="203" t="n">
        <f aca="false">ROUND(R51-R53,9)</f>
        <v>-0.35</v>
      </c>
      <c r="S55" s="205" t="n">
        <f aca="false">ROUND(S51-S53,9)</f>
        <v>-0.35</v>
      </c>
      <c r="T55" s="205" t="n">
        <f aca="false">ROUND(T51-T53,9)</f>
        <v>-0.35</v>
      </c>
      <c r="U55" s="203" t="n">
        <f aca="false">ROUND(U51-U53,9)</f>
        <v>0</v>
      </c>
      <c r="V55" s="203" t="n">
        <f aca="false">ROUND(V51-V53,9)</f>
        <v>0</v>
      </c>
      <c r="W55" s="203" t="n">
        <f aca="false">ROUND(W51-W53,9)</f>
        <v>-0.35</v>
      </c>
      <c r="X55" s="205" t="n">
        <f aca="false">ROUND(X51-X53,9)</f>
        <v>-0.35</v>
      </c>
      <c r="Y55" s="203" t="n">
        <f aca="false">ROUND(Y51-Y53,9)</f>
        <v>-0.35</v>
      </c>
      <c r="Z55" s="206" t="n">
        <f aca="false">ROUND(Z51-Z53,9)</f>
        <v>-0.35</v>
      </c>
      <c r="AA55" s="203" t="n">
        <f aca="false">ROUND(AA51-AA53,9)</f>
        <v>-0.35</v>
      </c>
      <c r="AB55" s="203" t="n">
        <f aca="false">ROUND(AB51-AB53,9)</f>
        <v>0</v>
      </c>
      <c r="AC55" s="203" t="n">
        <f aca="false">ROUND(AC51-AC53,9)</f>
        <v>0</v>
      </c>
      <c r="AD55" s="203" t="n">
        <f aca="false">ROUND(AD51-AD53,9)</f>
        <v>-0.35</v>
      </c>
      <c r="AE55" s="205" t="n">
        <f aca="false">ROUND(AE51-AE53,9)</f>
        <v>-0.35</v>
      </c>
      <c r="AF55" s="203" t="n">
        <f aca="false">ROUND(AF51-AF53,9)</f>
        <v>-0.35</v>
      </c>
      <c r="AG55" s="168" t="str">
        <f aca="false">A55</f>
        <v>+/- required/actual hours daily</v>
      </c>
      <c r="AH55" s="184"/>
      <c r="AI55" s="207" t="n">
        <f aca="false">SUM(B55:AF55)</f>
        <v>-8.05</v>
      </c>
      <c r="AJ55" s="180"/>
      <c r="AK55" s="172"/>
      <c r="AL55" s="216" t="n">
        <f aca="false">IF(EB.Anwendung&lt;&gt;"",IF(MONTH(Monat.Tag1)=1,0,IF(MONTH(Monat.Tag1)=2,January!Monat.Soll_Ist_UeVM,IF(MONTH(Monat.Tag1)=3,February!Monat.Soll_Ist_UeVM,IF(MONTH(Monat.Tag1)=4,March!Monat.Soll_Ist_UeVM,IF(MONTH(Monat.Tag1)=5,April!Monat.Soll_Ist_UeVM,IF(MONTH(Monat.Tag1)=6,May!Monat.Soll_Ist_UeVM,IF(MONTH(Monat.Tag1)=7,June!Monat.Soll_Ist_UeVM,IF(MONTH(Monat.Tag1)=8,July!Monat.Soll_Ist_UeVM,IF(MONTH(Monat.Tag1)=9,August!Monat.Soll_Ist_UeVM,IF(MONTH(Monat.Tag1)=10,September!Monat.Soll_Ist_UeVM,IF(MONTH(Monat.Tag1)=11,Monat.Soll_Ist_UeVM,IF(MONTH(Monat.Tag1)=12,November!Monat.Soll_Ist_UeVM,"")))))))))))),"")</f>
        <v>-6.825</v>
      </c>
      <c r="AM55" s="172"/>
      <c r="AN55" s="217" t="n">
        <f aca="false">IF(AH57="+",(AI55+AI57),(AI55-AI57))</f>
        <v>-8.05</v>
      </c>
      <c r="AO55" s="217" t="n">
        <f aca="true">SUM(OFFSET(J.AZSaldo.Total,-12,0,MONTH(Monat.Tag1),1))</f>
        <v>-40.843055555</v>
      </c>
      <c r="AP55" s="217" t="n">
        <f aca="false">J.AZSaldo.Total</f>
        <v>-54.918055555</v>
      </c>
      <c r="AQ55" s="39"/>
    </row>
    <row r="56" s="148" customFormat="true" ht="15" hidden="false" customHeight="true" outlineLevel="0" collapsed="false">
      <c r="A56" s="175" t="s">
        <v>144</v>
      </c>
      <c r="B56" s="218" t="n">
        <f aca="true">IF(EB.Anwendung&lt;&gt;"",IF(DAY(B$10)=1,IF(MONTH(Monat.Tag1)=1,ROUND(EB.ÜVMMS,9),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Monat.MMS.UeVM,IF(MONTH(Monat.Tag1)=12,November!Monat.MMS.UeVM,""))))))))))))+IF(B$10&gt;TODAY(),0,B55), IF(B$10&gt;TODAY(),A56,A56+B55)),"")</f>
        <v>-0.768055555</v>
      </c>
      <c r="C56" s="218" t="n">
        <f aca="true">IF(EB.Anwendung&lt;&gt;"",IF(DAY(C$10)=1,IF(MONTH(Monat.Tag1)=1,ROUND(EB.ÜVMMS,9),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Monat.MMS.UeVM,IF(MONTH(Monat.Tag1)=12,November!Monat.MMS.UeVM,""))))))))))))+IF(C$10&gt;TODAY(),0,C55), IF(C$10&gt;TODAY(),B56,B56+C55)),"")</f>
        <v>-0.768055555</v>
      </c>
      <c r="D56" s="218" t="n">
        <f aca="true">IF(EB.Anwendung&lt;&gt;"",IF(DAY(D$10)=1,IF(MONTH(Monat.Tag1)=1,ROUND(EB.ÜVMMS,9),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Monat.MMS.UeVM,IF(MONTH(Monat.Tag1)=12,November!Monat.MMS.UeVM,""))))))))))))+IF(D$10&gt;TODAY(),0,D55), IF(D$10&gt;TODAY(),C56,C56+D55)),"")</f>
        <v>-0.768055555</v>
      </c>
      <c r="E56" s="218" t="n">
        <f aca="true">IF(EB.Anwendung&lt;&gt;"",IF(DAY(E$10)=1,IF(MONTH(Monat.Tag1)=1,ROUND(EB.ÜVMMS,9),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Monat.MMS.UeVM,IF(MONTH(Monat.Tag1)=12,November!Monat.MMS.UeVM,""))))))))))))+IF(E$10&gt;TODAY(),0,E55), IF(E$10&gt;TODAY(),D56,D56+E55)),"")</f>
        <v>-0.768055555</v>
      </c>
      <c r="F56" s="218" t="n">
        <f aca="true">IF(EB.Anwendung&lt;&gt;"",IF(DAY(F$10)=1,IF(MONTH(Monat.Tag1)=1,ROUND(EB.ÜVMMS,9),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Monat.MMS.UeVM,IF(MONTH(Monat.Tag1)=12,November!Monat.MMS.UeVM,""))))))))))))+IF(F$10&gt;TODAY(),0,F55), IF(F$10&gt;TODAY(),E56,E56+F55)),"")</f>
        <v>-0.768055555</v>
      </c>
      <c r="G56" s="218" t="n">
        <f aca="true">IF(EB.Anwendung&lt;&gt;"",IF(DAY(G$10)=1,IF(MONTH(Monat.Tag1)=1,ROUND(EB.ÜVMMS,9),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Monat.MMS.UeVM,IF(MONTH(Monat.Tag1)=12,November!Monat.MMS.UeVM,""))))))))))))+IF(G$10&gt;TODAY(),0,G55), IF(G$10&gt;TODAY(),F56,F56+G55)),"")</f>
        <v>-0.768055555</v>
      </c>
      <c r="H56" s="218" t="n">
        <f aca="true">IF(EB.Anwendung&lt;&gt;"",IF(DAY(H$10)=1,IF(MONTH(Monat.Tag1)=1,ROUND(EB.ÜVMMS,9),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Monat.MMS.UeVM,IF(MONTH(Monat.Tag1)=12,November!Monat.MMS.UeVM,""))))))))))))+IF(H$10&gt;TODAY(),0,H55), IF(H$10&gt;TODAY(),G56,G56+H55)),"")</f>
        <v>-0.768055555</v>
      </c>
      <c r="I56" s="218" t="n">
        <f aca="true">IF(EB.Anwendung&lt;&gt;"",IF(DAY(I$10)=1,IF(MONTH(Monat.Tag1)=1,ROUND(EB.ÜVMMS,9),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Monat.MMS.UeVM,IF(MONTH(Monat.Tag1)=12,November!Monat.MMS.UeVM,""))))))))))))+IF(I$10&gt;TODAY(),0,I55), IF(I$10&gt;TODAY(),H56,H56+I55)),"")</f>
        <v>-0.768055555</v>
      </c>
      <c r="J56" s="218" t="n">
        <f aca="true">IF(EB.Anwendung&lt;&gt;"",IF(DAY(J$10)=1,IF(MONTH(Monat.Tag1)=1,ROUND(EB.ÜVMMS,9),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Monat.MMS.UeVM,IF(MONTH(Monat.Tag1)=12,November!Monat.MMS.UeVM,""))))))))))))+IF(J$10&gt;TODAY(),0,J55), IF(J$10&gt;TODAY(),I56,I56+J55)),"")</f>
        <v>-0.768055555</v>
      </c>
      <c r="K56" s="218" t="n">
        <f aca="true">IF(EB.Anwendung&lt;&gt;"",IF(DAY(K$10)=1,IF(MONTH(Monat.Tag1)=1,ROUND(EB.ÜVMMS,9),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Monat.MMS.UeVM,IF(MONTH(Monat.Tag1)=12,November!Monat.MMS.UeVM,""))))))))))))+IF(K$10&gt;TODAY(),0,K55), IF(K$10&gt;TODAY(),J56,J56+K55)),"")</f>
        <v>-0.768055555</v>
      </c>
      <c r="L56" s="218" t="n">
        <f aca="true">IF(EB.Anwendung&lt;&gt;"",IF(DAY(L$10)=1,IF(MONTH(Monat.Tag1)=1,ROUND(EB.ÜVMMS,9),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Monat.MMS.UeVM,IF(MONTH(Monat.Tag1)=12,November!Monat.MMS.UeVM,""))))))))))))+IF(L$10&gt;TODAY(),0,L55), IF(L$10&gt;TODAY(),K56,K56+L55)),"")</f>
        <v>-0.768055555</v>
      </c>
      <c r="M56" s="218" t="n">
        <f aca="true">IF(EB.Anwendung&lt;&gt;"",IF(DAY(M$10)=1,IF(MONTH(Monat.Tag1)=1,ROUND(EB.ÜVMMS,9),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Monat.MMS.UeVM,IF(MONTH(Monat.Tag1)=12,November!Monat.MMS.UeVM,""))))))))))))+IF(M$10&gt;TODAY(),0,M55), IF(M$10&gt;TODAY(),L56,L56+M55)),"")</f>
        <v>-0.768055555</v>
      </c>
      <c r="N56" s="218" t="n">
        <f aca="true">IF(EB.Anwendung&lt;&gt;"",IF(DAY(N$10)=1,IF(MONTH(Monat.Tag1)=1,ROUND(EB.ÜVMMS,9),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Monat.MMS.UeVM,IF(MONTH(Monat.Tag1)=12,November!Monat.MMS.UeVM,""))))))))))))+IF(N$10&gt;TODAY(),0,N55), IF(N$10&gt;TODAY(),M56,M56+N55)),"")</f>
        <v>-0.768055555</v>
      </c>
      <c r="O56" s="218" t="n">
        <f aca="true">IF(EB.Anwendung&lt;&gt;"",IF(DAY(O$10)=1,IF(MONTH(Monat.Tag1)=1,ROUND(EB.ÜVMMS,9),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Monat.MMS.UeVM,IF(MONTH(Monat.Tag1)=12,November!Monat.MMS.UeVM,""))))))))))))+IF(O$10&gt;TODAY(),0,O55), IF(O$10&gt;TODAY(),N56,N56+O55)),"")</f>
        <v>-0.768055555</v>
      </c>
      <c r="P56" s="218" t="n">
        <f aca="true">IF(EB.Anwendung&lt;&gt;"",IF(DAY(P$10)=1,IF(MONTH(Monat.Tag1)=1,ROUND(EB.ÜVMMS,9),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Monat.MMS.UeVM,IF(MONTH(Monat.Tag1)=12,November!Monat.MMS.UeVM,""))))))))))))+IF(P$10&gt;TODAY(),0,P55), IF(P$10&gt;TODAY(),O56,O56+P55)),"")</f>
        <v>-0.768055555</v>
      </c>
      <c r="Q56" s="218" t="n">
        <f aca="true">IF(EB.Anwendung&lt;&gt;"",IF(DAY(Q$10)=1,IF(MONTH(Monat.Tag1)=1,ROUND(EB.ÜVMMS,9),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Monat.MMS.UeVM,IF(MONTH(Monat.Tag1)=12,November!Monat.MMS.UeVM,""))))))))))))+IF(Q$10&gt;TODAY(),0,Q55), IF(Q$10&gt;TODAY(),P56,P56+Q55)),"")</f>
        <v>-0.768055555</v>
      </c>
      <c r="R56" s="218" t="n">
        <f aca="true">IF(EB.Anwendung&lt;&gt;"",IF(DAY(R$10)=1,IF(MONTH(Monat.Tag1)=1,ROUND(EB.ÜVMMS,9),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Monat.MMS.UeVM,IF(MONTH(Monat.Tag1)=12,November!Monat.MMS.UeVM,""))))))))))))+IF(R$10&gt;TODAY(),0,R55), IF(R$10&gt;TODAY(),Q56,Q56+R55)),"")</f>
        <v>-0.768055555</v>
      </c>
      <c r="S56" s="218" t="n">
        <f aca="true">IF(EB.Anwendung&lt;&gt;"",IF(DAY(S$10)=1,IF(MONTH(Monat.Tag1)=1,ROUND(EB.ÜVMMS,9),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Monat.MMS.UeVM,IF(MONTH(Monat.Tag1)=12,November!Monat.MMS.UeVM,""))))))))))))+IF(S$10&gt;TODAY(),0,S55), IF(S$10&gt;TODAY(),R56,R56+S55)),"")</f>
        <v>-0.768055555</v>
      </c>
      <c r="T56" s="218" t="n">
        <f aca="true">IF(EB.Anwendung&lt;&gt;"",IF(DAY(T$10)=1,IF(MONTH(Monat.Tag1)=1,ROUND(EB.ÜVMMS,9),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Monat.MMS.UeVM,IF(MONTH(Monat.Tag1)=12,November!Monat.MMS.UeVM,""))))))))))))+IF(T$10&gt;TODAY(),0,T55), IF(T$10&gt;TODAY(),S56,S56+T55)),"")</f>
        <v>-0.768055555</v>
      </c>
      <c r="U56" s="218" t="n">
        <f aca="true">IF(EB.Anwendung&lt;&gt;"",IF(DAY(U$10)=1,IF(MONTH(Monat.Tag1)=1,ROUND(EB.ÜVMMS,9),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Monat.MMS.UeVM,IF(MONTH(Monat.Tag1)=12,November!Monat.MMS.UeVM,""))))))))))))+IF(U$10&gt;TODAY(),0,U55), IF(U$10&gt;TODAY(),T56,T56+U55)),"")</f>
        <v>-0.768055555</v>
      </c>
      <c r="V56" s="218" t="n">
        <f aca="true">IF(EB.Anwendung&lt;&gt;"",IF(DAY(V$10)=1,IF(MONTH(Monat.Tag1)=1,ROUND(EB.ÜVMMS,9),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Monat.MMS.UeVM,IF(MONTH(Monat.Tag1)=12,November!Monat.MMS.UeVM,""))))))))))))+IF(V$10&gt;TODAY(),0,V55), IF(V$10&gt;TODAY(),U56,U56+V55)),"")</f>
        <v>-0.768055555</v>
      </c>
      <c r="W56" s="218" t="n">
        <f aca="true">IF(EB.Anwendung&lt;&gt;"",IF(DAY(W$10)=1,IF(MONTH(Monat.Tag1)=1,ROUND(EB.ÜVMMS,9),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Monat.MMS.UeVM,IF(MONTH(Monat.Tag1)=12,November!Monat.MMS.UeVM,""))))))))))))+IF(W$10&gt;TODAY(),0,W55), IF(W$10&gt;TODAY(),V56,V56+W55)),"")</f>
        <v>-0.768055555</v>
      </c>
      <c r="X56" s="218" t="n">
        <f aca="true">IF(EB.Anwendung&lt;&gt;"",IF(DAY(X$10)=1,IF(MONTH(Monat.Tag1)=1,ROUND(EB.ÜVMMS,9),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Monat.MMS.UeVM,IF(MONTH(Monat.Tag1)=12,November!Monat.MMS.UeVM,""))))))))))))+IF(X$10&gt;TODAY(),0,X55), IF(X$10&gt;TODAY(),W56,W56+X55)),"")</f>
        <v>-0.768055555</v>
      </c>
      <c r="Y56" s="218" t="n">
        <f aca="true">IF(EB.Anwendung&lt;&gt;"",IF(DAY(Y$10)=1,IF(MONTH(Monat.Tag1)=1,ROUND(EB.ÜVMMS,9),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Monat.MMS.UeVM,IF(MONTH(Monat.Tag1)=12,November!Monat.MMS.UeVM,""))))))))))))+IF(Y$10&gt;TODAY(),0,Y55), IF(Y$10&gt;TODAY(),X56,X56+Y55)),"")</f>
        <v>-0.768055555</v>
      </c>
      <c r="Z56" s="218" t="n">
        <f aca="true">IF(EB.Anwendung&lt;&gt;"",IF(DAY(Z$10)=1,IF(MONTH(Monat.Tag1)=1,ROUND(EB.ÜVMMS,9),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Monat.MMS.UeVM,IF(MONTH(Monat.Tag1)=12,November!Monat.MMS.UeVM,""))))))))))))+IF(Z$10&gt;TODAY(),0,Z55), IF(Z$10&gt;TODAY(),Y56,Y56+Z55)),"")</f>
        <v>-0.768055555</v>
      </c>
      <c r="AA56" s="218" t="n">
        <f aca="true">IF(EB.Anwendung&lt;&gt;"",IF(DAY(AA$10)=1,IF(MONTH(Monat.Tag1)=1,ROUND(EB.ÜVMMS,9),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Monat.MMS.UeVM,IF(MONTH(Monat.Tag1)=12,November!Monat.MMS.UeVM,""))))))))))))+IF(AA$10&gt;TODAY(),0,AA55), IF(AA$10&gt;TODAY(),Z56,Z56+AA55)),"")</f>
        <v>-0.768055555</v>
      </c>
      <c r="AB56" s="218" t="n">
        <f aca="true">IF(EB.Anwendung&lt;&gt;"",IF(DAY(AB$10)=1,IF(MONTH(Monat.Tag1)=1,ROUND(EB.ÜVMMS,9),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Monat.MMS.UeVM,IF(MONTH(Monat.Tag1)=12,November!Monat.MMS.UeVM,""))))))))))))+IF(AB$10&gt;TODAY(),0,AB55), IF(AB$10&gt;TODAY(),AA56,AA56+AB55)),"")</f>
        <v>-0.768055555</v>
      </c>
      <c r="AC56" s="218" t="n">
        <f aca="true">IF(EB.Anwendung&lt;&gt;"",IF(DAY(AC$10)=1,IF(MONTH(Monat.Tag1)=1,ROUND(EB.ÜVMMS,9),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Monat.MMS.UeVM,IF(MONTH(Monat.Tag1)=12,November!Monat.MMS.UeVM,""))))))))))))+IF(AC$10&gt;TODAY(),0,AC55), IF(AC$10&gt;TODAY(),AB56,AB56+AC55)),"")</f>
        <v>-0.768055555</v>
      </c>
      <c r="AD56" s="218" t="n">
        <f aca="true">IF(EB.Anwendung&lt;&gt;"",IF(DAY(AD$10)=1,IF(MONTH(Monat.Tag1)=1,ROUND(EB.ÜVMMS,9),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Monat.MMS.UeVM,IF(MONTH(Monat.Tag1)=12,November!Monat.MMS.UeVM,""))))))))))))+IF(AD$10&gt;TODAY(),0,AD55), IF(AD$10&gt;TODAY(),AC56,AC56+AD55)),"")</f>
        <v>-0.768055555</v>
      </c>
      <c r="AE56" s="218" t="n">
        <f aca="true">IF(EB.Anwendung&lt;&gt;"",IF(DAY(AE$10)=1,IF(MONTH(Monat.Tag1)=1,ROUND(EB.ÜVMMS,9),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Monat.MMS.UeVM,IF(MONTH(Monat.Tag1)=12,November!Monat.MMS.UeVM,""))))))))))))+IF(AE$10&gt;TODAY(),0,AE55), IF(AE$10&gt;TODAY(),AD56,AD56+AE55)),"")</f>
        <v>-0.768055555</v>
      </c>
      <c r="AF56" s="218" t="n">
        <f aca="true">IF(EB.Anwendung&lt;&gt;"",IF(DAY(AF$10)=1,IF(MONTH(Monat.Tag1)=1,ROUND(EB.ÜVMMS,9),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Monat.MMS.UeVM,IF(MONTH(Monat.Tag1)=12,November!Monat.MMS.UeVM,""))))))))))))+IF(AF$10&gt;TODAY(),0,AF55), IF(AF$10&gt;TODAY(),AE56,AE56+AF55)),"")</f>
        <v>-0.768055555</v>
      </c>
      <c r="AG56" s="168" t="str">
        <f aca="false">A56</f>
        <v>current extra/minus hours</v>
      </c>
      <c r="AH56" s="184"/>
      <c r="AI56" s="207" t="n">
        <f aca="true">OFFSET(B56,0,DAY(EOMONTH(Monat.Tag1,0))-1,1,1)</f>
        <v>-0.768055555</v>
      </c>
      <c r="AJ56" s="180"/>
      <c r="AK56" s="172"/>
      <c r="AL56" s="172"/>
      <c r="AM56" s="172"/>
      <c r="AN56" s="171"/>
      <c r="AO56" s="172"/>
      <c r="AP56" s="172"/>
      <c r="AQ56" s="39"/>
    </row>
    <row r="57" s="231" customFormat="true" ht="15" hidden="false" customHeight="true" outlineLevel="1" collapsed="false">
      <c r="A57" s="219"/>
      <c r="B57" s="220"/>
      <c r="C57" s="220"/>
      <c r="D57" s="220"/>
      <c r="E57" s="152"/>
      <c r="F57" s="220"/>
      <c r="G57" s="220"/>
      <c r="H57" s="221"/>
      <c r="I57" s="220"/>
      <c r="J57" s="222"/>
      <c r="K57" s="220"/>
      <c r="L57" s="223"/>
      <c r="M57" s="220"/>
      <c r="N57" s="220"/>
      <c r="O57" s="221"/>
      <c r="P57" s="220"/>
      <c r="Q57" s="152"/>
      <c r="R57" s="220"/>
      <c r="S57" s="223"/>
      <c r="T57" s="220"/>
      <c r="U57" s="220"/>
      <c r="V57" s="221"/>
      <c r="W57" s="220"/>
      <c r="X57" s="224"/>
      <c r="Y57" s="220"/>
      <c r="Z57" s="152"/>
      <c r="AA57" s="220"/>
      <c r="AB57" s="220"/>
      <c r="AC57" s="221"/>
      <c r="AD57" s="220"/>
      <c r="AE57" s="152"/>
      <c r="AF57" s="225"/>
      <c r="AG57" s="175" t="s">
        <v>145</v>
      </c>
      <c r="AH57" s="226" t="s">
        <v>146</v>
      </c>
      <c r="AI57" s="227"/>
      <c r="AJ57" s="228"/>
      <c r="AK57" s="229"/>
      <c r="AL57" s="172"/>
      <c r="AM57" s="172"/>
      <c r="AN57" s="171"/>
      <c r="AO57" s="230"/>
      <c r="AP57" s="230"/>
      <c r="AQ57" s="96"/>
    </row>
    <row r="58" s="236" customFormat="true" ht="15" hidden="false" customHeight="true" outlineLevel="0" collapsed="false">
      <c r="A58" s="232"/>
      <c r="B58" s="223"/>
      <c r="C58" s="223"/>
      <c r="D58" s="223"/>
      <c r="E58" s="152"/>
      <c r="F58" s="223"/>
      <c r="G58" s="223"/>
      <c r="H58" s="223"/>
      <c r="I58" s="223"/>
      <c r="J58" s="152"/>
      <c r="K58" s="223"/>
      <c r="L58" s="223"/>
      <c r="M58" s="223"/>
      <c r="N58" s="223"/>
      <c r="O58" s="223"/>
      <c r="P58" s="223"/>
      <c r="Q58" s="152"/>
      <c r="R58" s="223"/>
      <c r="S58" s="223"/>
      <c r="T58" s="223"/>
      <c r="U58" s="223"/>
      <c r="V58" s="223"/>
      <c r="W58" s="223"/>
      <c r="X58" s="224"/>
      <c r="Y58" s="223"/>
      <c r="Z58" s="152"/>
      <c r="AA58" s="223"/>
      <c r="AB58" s="223"/>
      <c r="AC58" s="223"/>
      <c r="AD58" s="223"/>
      <c r="AE58" s="152"/>
      <c r="AF58" s="233"/>
      <c r="AG58" s="234" t="s">
        <v>147</v>
      </c>
      <c r="AH58" s="184"/>
      <c r="AI58" s="207" t="n">
        <f aca="false">IF(AH57="+",(Monat.ZUeZ.Total+AI57),(Monat.ZUeZ.Total-AI57))</f>
        <v>-0.768055555</v>
      </c>
      <c r="AJ58" s="33"/>
      <c r="AK58" s="235"/>
      <c r="AL58" s="216" t="n">
        <f aca="false">IF(EB.Anwendung&lt;&gt;"",IF(MONTH(Monat.Tag1)=1,EB.MMS,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Monat.MMS.UeVM,IF(MONTH(Monat.Tag1)=12,November!Monat.MMS.UeVM,"")))))))))))),"")</f>
        <v>-0.768055555</v>
      </c>
      <c r="AM58" s="172"/>
      <c r="AN58" s="217" t="n">
        <f aca="false">AI58</f>
        <v>-0.768055555</v>
      </c>
      <c r="AO58" s="172"/>
      <c r="AP58" s="172"/>
      <c r="AQ58" s="51"/>
    </row>
    <row r="59" s="148" customFormat="true" ht="11.25" hidden="false" customHeight="true" outlineLevel="0" collapsed="false">
      <c r="A59" s="186"/>
      <c r="B59" s="187"/>
      <c r="C59" s="187"/>
      <c r="D59" s="187"/>
      <c r="E59" s="187"/>
      <c r="F59" s="187"/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  <c r="U59" s="187"/>
      <c r="V59" s="187"/>
      <c r="W59" s="187"/>
      <c r="X59" s="187"/>
      <c r="Y59" s="187"/>
      <c r="Z59" s="187"/>
      <c r="AA59" s="187"/>
      <c r="AB59" s="187"/>
      <c r="AC59" s="187"/>
      <c r="AD59" s="187"/>
      <c r="AE59" s="187"/>
      <c r="AF59" s="188"/>
      <c r="AG59" s="168"/>
      <c r="AH59" s="146"/>
      <c r="AI59" s="179"/>
      <c r="AJ59" s="180"/>
      <c r="AK59" s="172"/>
      <c r="AL59" s="172"/>
      <c r="AM59" s="172"/>
      <c r="AN59" s="171"/>
      <c r="AO59" s="172"/>
      <c r="AP59" s="172"/>
      <c r="AQ59" s="39"/>
    </row>
    <row r="60" s="148" customFormat="true" ht="15" hidden="false" customHeight="true" outlineLevel="0" collapsed="false">
      <c r="A60" s="175" t="s">
        <v>148</v>
      </c>
      <c r="B60" s="237" t="str">
        <f aca="true">IF(EB.Wochenarbeitszeit=50/24,IF(T.50_Vetsuisse,IF(WEEKDAY(B$10,2)=7,MAX(0,SUM(OFFSET(B51,0,-MIN(6,DAY(B$10)-1),1,MIN(7,DAY(B$10))))+IF(AND(MONTH(Monat.Tag1)&lt;&gt;1,DAY(B$10)&lt;7),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Monat.AZIstWRestUeVM,IF(MONTH(Monat.Tag1)=12,November!Monat.AZIstWRestUeVM,""))))))))))),0) -1/24*50),""),""),IF(B45=0,"",B45))</f>
        <v/>
      </c>
      <c r="C60" s="237" t="str">
        <f aca="true">IF(EB.Wochenarbeitszeit=50/24,IF(T.50_Vetsuisse,IF(WEEKDAY(C$10,2)=7,MAX(0,SUM(OFFSET(C51,0,-MIN(6,DAY(C$10)-1),1,MIN(7,DAY(C$10))))+IF(AND(MONTH(Monat.Tag1)&lt;&gt;1,DAY(C$10)&lt;7),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Monat.AZIstWRestUeVM,IF(MONTH(Monat.Tag1)=12,November!Monat.AZIstWRestUeVM,""))))))))))),0) -1/24*50),""),""),IF(C45=0,"",C45))</f>
        <v/>
      </c>
      <c r="D60" s="237" t="str">
        <f aca="true">IF(EB.Wochenarbeitszeit=50/24,IF(T.50_Vetsuisse,IF(WEEKDAY(D$10,2)=7,MAX(0,SUM(OFFSET(D51,0,-MIN(6,DAY(D$10)-1),1,MIN(7,DAY(D$10))))+IF(AND(MONTH(Monat.Tag1)&lt;&gt;1,DAY(D$10)&lt;7),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Monat.AZIstWRestUeVM,IF(MONTH(Monat.Tag1)=12,November!Monat.AZIstWRestUeVM,""))))))))))),0) -1/24*50),""),""),IF(D45=0,"",D45))</f>
        <v/>
      </c>
      <c r="E60" s="238" t="str">
        <f aca="true">IF(EB.Wochenarbeitszeit=50/24,IF(T.50_Vetsuisse,IF(WEEKDAY(E$10,2)=7,MAX(0,SUM(OFFSET(E51,0,-MIN(6,DAY(E$10)-1),1,MIN(7,DAY(E$10))))+IF(AND(MONTH(Monat.Tag1)&lt;&gt;1,DAY(E$10)&lt;7),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Monat.AZIstWRestUeVM,IF(MONTH(Monat.Tag1)=12,November!Monat.AZIstWRestUeVM,""))))))))))),0) -1/24*50),""),""),IF(E45=0,"",E45))</f>
        <v/>
      </c>
      <c r="F60" s="237" t="str">
        <f aca="true">IF(EB.Wochenarbeitszeit=50/24,IF(T.50_Vetsuisse,IF(WEEKDAY(F$10,2)=7,MAX(0,SUM(OFFSET(F51,0,-MIN(6,DAY(F$10)-1),1,MIN(7,DAY(F$10))))+IF(AND(MONTH(Monat.Tag1)&lt;&gt;1,DAY(F$10)&lt;7),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Monat.AZIstWRestUeVM,IF(MONTH(Monat.Tag1)=12,November!Monat.AZIstWRestUeVM,""))))))))))),0) -1/24*50),""),""),IF(F45=0,"",F45))</f>
        <v/>
      </c>
      <c r="G60" s="237" t="str">
        <f aca="true">IF(EB.Wochenarbeitszeit=50/24,IF(T.50_Vetsuisse,IF(WEEKDAY(G$10,2)=7,MAX(0,SUM(OFFSET(G51,0,-MIN(6,DAY(G$10)-1),1,MIN(7,DAY(G$10))))+IF(AND(MONTH(Monat.Tag1)&lt;&gt;1,DAY(G$10)&lt;7),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Monat.AZIstWRestUeVM,IF(MONTH(Monat.Tag1)=12,November!Monat.AZIstWRestUeVM,""))))))))))),0) -1/24*50),""),""),IF(G45=0,"",G45))</f>
        <v/>
      </c>
      <c r="H60" s="237" t="str">
        <f aca="true">IF(EB.Wochenarbeitszeit=50/24,IF(T.50_Vetsuisse,IF(WEEKDAY(H$10,2)=7,MAX(0,SUM(OFFSET(H51,0,-MIN(6,DAY(H$10)-1),1,MIN(7,DAY(H$10))))+IF(AND(MONTH(Monat.Tag1)&lt;&gt;1,DAY(H$10)&lt;7),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Monat.AZIstWRestUeVM,IF(MONTH(Monat.Tag1)=12,November!Monat.AZIstWRestUeVM,""))))))))))),0) -1/24*50),""),""),IF(H45=0,"",H45))</f>
        <v/>
      </c>
      <c r="I60" s="237" t="str">
        <f aca="true">IF(EB.Wochenarbeitszeit=50/24,IF(T.50_Vetsuisse,IF(WEEKDAY(I$10,2)=7,MAX(0,SUM(OFFSET(I51,0,-MIN(6,DAY(I$10)-1),1,MIN(7,DAY(I$10))))+IF(AND(MONTH(Monat.Tag1)&lt;&gt;1,DAY(I$10)&lt;7),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Monat.AZIstWRestUeVM,IF(MONTH(Monat.Tag1)=12,November!Monat.AZIstWRestUeVM,""))))))))))),0) -1/24*50),""),""),IF(I45=0,"",I45))</f>
        <v/>
      </c>
      <c r="J60" s="238" t="str">
        <f aca="true">IF(EB.Wochenarbeitszeit=50/24,IF(T.50_Vetsuisse,IF(WEEKDAY(J$10,2)=7,MAX(0,SUM(OFFSET(J51,0,-MIN(6,DAY(J$10)-1),1,MIN(7,DAY(J$10))))+IF(AND(MONTH(Monat.Tag1)&lt;&gt;1,DAY(J$10)&lt;7),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Monat.AZIstWRestUeVM,IF(MONTH(Monat.Tag1)=12,November!Monat.AZIstWRestUeVM,""))))))))))),0) -1/24*50),""),""),IF(J45=0,"",J45))</f>
        <v/>
      </c>
      <c r="K60" s="237" t="str">
        <f aca="true">IF(EB.Wochenarbeitszeit=50/24,IF(T.50_Vetsuisse,IF(WEEKDAY(K$10,2)=7,MAX(0,SUM(OFFSET(K51,0,-MIN(6,DAY(K$10)-1),1,MIN(7,DAY(K$10))))+IF(AND(MONTH(Monat.Tag1)&lt;&gt;1,DAY(K$10)&lt;7),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Monat.AZIstWRestUeVM,IF(MONTH(Monat.Tag1)=12,November!Monat.AZIstWRestUeVM,""))))))))))),0) -1/24*50),""),""),IF(K45=0,"",K45))</f>
        <v/>
      </c>
      <c r="L60" s="238" t="str">
        <f aca="true">IF(EB.Wochenarbeitszeit=50/24,IF(T.50_Vetsuisse,IF(WEEKDAY(L$10,2)=7,MAX(0,SUM(OFFSET(L51,0,-MIN(6,DAY(L$10)-1),1,MIN(7,DAY(L$10))))+IF(AND(MONTH(Monat.Tag1)&lt;&gt;1,DAY(L$10)&lt;7),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Monat.AZIstWRestUeVM,IF(MONTH(Monat.Tag1)=12,November!Monat.AZIstWRestUeVM,""))))))))))),0) -1/24*50),""),""),IF(L45=0,"",L45))</f>
        <v/>
      </c>
      <c r="M60" s="237" t="str">
        <f aca="true">IF(EB.Wochenarbeitszeit=50/24,IF(T.50_Vetsuisse,IF(WEEKDAY(M$10,2)=7,MAX(0,SUM(OFFSET(M51,0,-MIN(6,DAY(M$10)-1),1,MIN(7,DAY(M$10))))+IF(AND(MONTH(Monat.Tag1)&lt;&gt;1,DAY(M$10)&lt;7),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Monat.AZIstWRestUeVM,IF(MONTH(Monat.Tag1)=12,November!Monat.AZIstWRestUeVM,""))))))))))),0) -1/24*50),""),""),IF(M45=0,"",M45))</f>
        <v/>
      </c>
      <c r="N60" s="237" t="str">
        <f aca="true">IF(EB.Wochenarbeitszeit=50/24,IF(T.50_Vetsuisse,IF(WEEKDAY(N$10,2)=7,MAX(0,SUM(OFFSET(N51,0,-MIN(6,DAY(N$10)-1),1,MIN(7,DAY(N$10))))+IF(AND(MONTH(Monat.Tag1)&lt;&gt;1,DAY(N$10)&lt;7),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Monat.AZIstWRestUeVM,IF(MONTH(Monat.Tag1)=12,November!Monat.AZIstWRestUeVM,""))))))))))),0) -1/24*50),""),""),IF(N45=0,"",N45))</f>
        <v/>
      </c>
      <c r="O60" s="237" t="str">
        <f aca="true">IF(EB.Wochenarbeitszeit=50/24,IF(T.50_Vetsuisse,IF(WEEKDAY(O$10,2)=7,MAX(0,SUM(OFFSET(O51,0,-MIN(6,DAY(O$10)-1),1,MIN(7,DAY(O$10))))+IF(AND(MONTH(Monat.Tag1)&lt;&gt;1,DAY(O$10)&lt;7),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Monat.AZIstWRestUeVM,IF(MONTH(Monat.Tag1)=12,November!Monat.AZIstWRestUeVM,""))))))))))),0) -1/24*50),""),""),IF(O45=0,"",O45))</f>
        <v/>
      </c>
      <c r="P60" s="237" t="str">
        <f aca="true">IF(EB.Wochenarbeitszeit=50/24,IF(T.50_Vetsuisse,IF(WEEKDAY(P$10,2)=7,MAX(0,SUM(OFFSET(P51,0,-MIN(6,DAY(P$10)-1),1,MIN(7,DAY(P$10))))+IF(AND(MONTH(Monat.Tag1)&lt;&gt;1,DAY(P$10)&lt;7),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Monat.AZIstWRestUeVM,IF(MONTH(Monat.Tag1)=12,November!Monat.AZIstWRestUeVM,""))))))))))),0) -1/24*50),""),""),IF(P45=0,"",P45))</f>
        <v/>
      </c>
      <c r="Q60" s="238" t="str">
        <f aca="true">IF(EB.Wochenarbeitszeit=50/24,IF(T.50_Vetsuisse,IF(WEEKDAY(Q$10,2)=7,MAX(0,SUM(OFFSET(Q51,0,-MIN(6,DAY(Q$10)-1),1,MIN(7,DAY(Q$10))))+IF(AND(MONTH(Monat.Tag1)&lt;&gt;1,DAY(Q$10)&lt;7),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Monat.AZIstWRestUeVM,IF(MONTH(Monat.Tag1)=12,November!Monat.AZIstWRestUeVM,""))))))))))),0) -1/24*50),""),""),IF(Q45=0,"",Q45))</f>
        <v/>
      </c>
      <c r="R60" s="237" t="str">
        <f aca="true">IF(EB.Wochenarbeitszeit=50/24,IF(T.50_Vetsuisse,IF(WEEKDAY(R$10,2)=7,MAX(0,SUM(OFFSET(R51,0,-MIN(6,DAY(R$10)-1),1,MIN(7,DAY(R$10))))+IF(AND(MONTH(Monat.Tag1)&lt;&gt;1,DAY(R$10)&lt;7),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Monat.AZIstWRestUeVM,IF(MONTH(Monat.Tag1)=12,November!Monat.AZIstWRestUeVM,""))))))))))),0) -1/24*50),""),""),IF(R45=0,"",R45))</f>
        <v/>
      </c>
      <c r="S60" s="238" t="str">
        <f aca="true">IF(EB.Wochenarbeitszeit=50/24,IF(T.50_Vetsuisse,IF(WEEKDAY(S$10,2)=7,MAX(0,SUM(OFFSET(S51,0,-MIN(6,DAY(S$10)-1),1,MIN(7,DAY(S$10))))+IF(AND(MONTH(Monat.Tag1)&lt;&gt;1,DAY(S$10)&lt;7),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Monat.AZIstWRestUeVM,IF(MONTH(Monat.Tag1)=12,November!Monat.AZIstWRestUeVM,""))))))))))),0) -1/24*50),""),""),IF(S45=0,"",S45))</f>
        <v/>
      </c>
      <c r="T60" s="238" t="str">
        <f aca="true">IF(EB.Wochenarbeitszeit=50/24,IF(T.50_Vetsuisse,IF(WEEKDAY(T$10,2)=7,MAX(0,SUM(OFFSET(T51,0,-MIN(6,DAY(T$10)-1),1,MIN(7,DAY(T$10))))+IF(AND(MONTH(Monat.Tag1)&lt;&gt;1,DAY(T$10)&lt;7),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Monat.AZIstWRestUeVM,IF(MONTH(Monat.Tag1)=12,November!Monat.AZIstWRestUeVM,""))))))))))),0) -1/24*50),""),""),IF(T45=0,"",T45))</f>
        <v/>
      </c>
      <c r="U60" s="237" t="str">
        <f aca="true">IF(EB.Wochenarbeitszeit=50/24,IF(T.50_Vetsuisse,IF(WEEKDAY(U$10,2)=7,MAX(0,SUM(OFFSET(U51,0,-MIN(6,DAY(U$10)-1),1,MIN(7,DAY(U$10))))+IF(AND(MONTH(Monat.Tag1)&lt;&gt;1,DAY(U$10)&lt;7),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Monat.AZIstWRestUeVM,IF(MONTH(Monat.Tag1)=12,November!Monat.AZIstWRestUeVM,""))))))))))),0) -1/24*50),""),""),IF(U45=0,"",U45))</f>
        <v/>
      </c>
      <c r="V60" s="237" t="str">
        <f aca="true">IF(EB.Wochenarbeitszeit=50/24,IF(T.50_Vetsuisse,IF(WEEKDAY(V$10,2)=7,MAX(0,SUM(OFFSET(V51,0,-MIN(6,DAY(V$10)-1),1,MIN(7,DAY(V$10))))+IF(AND(MONTH(Monat.Tag1)&lt;&gt;1,DAY(V$10)&lt;7),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Monat.AZIstWRestUeVM,IF(MONTH(Monat.Tag1)=12,November!Monat.AZIstWRestUeVM,""))))))))))),0) -1/24*50),""),""),IF(V45=0,"",V45))</f>
        <v/>
      </c>
      <c r="W60" s="237" t="str">
        <f aca="true">IF(EB.Wochenarbeitszeit=50/24,IF(T.50_Vetsuisse,IF(WEEKDAY(W$10,2)=7,MAX(0,SUM(OFFSET(W51,0,-MIN(6,DAY(W$10)-1),1,MIN(7,DAY(W$10))))+IF(AND(MONTH(Monat.Tag1)&lt;&gt;1,DAY(W$10)&lt;7),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Monat.AZIstWRestUeVM,IF(MONTH(Monat.Tag1)=12,November!Monat.AZIstWRestUeVM,""))))))))))),0) -1/24*50),""),""),IF(W45=0,"",W45))</f>
        <v/>
      </c>
      <c r="X60" s="238" t="str">
        <f aca="true">IF(EB.Wochenarbeitszeit=50/24,IF(T.50_Vetsuisse,IF(WEEKDAY(X$10,2)=7,MAX(0,SUM(OFFSET(X51,0,-MIN(6,DAY(X$10)-1),1,MIN(7,DAY(X$10))))+IF(AND(MONTH(Monat.Tag1)&lt;&gt;1,DAY(X$10)&lt;7),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Monat.AZIstWRestUeVM,IF(MONTH(Monat.Tag1)=12,November!Monat.AZIstWRestUeVM,""))))))))))),0) -1/24*50),""),""),IF(X45=0,"",X45))</f>
        <v/>
      </c>
      <c r="Y60" s="237" t="str">
        <f aca="true">IF(EB.Wochenarbeitszeit=50/24,IF(T.50_Vetsuisse,IF(WEEKDAY(Y$10,2)=7,MAX(0,SUM(OFFSET(Y51,0,-MIN(6,DAY(Y$10)-1),1,MIN(7,DAY(Y$10))))+IF(AND(MONTH(Monat.Tag1)&lt;&gt;1,DAY(Y$10)&lt;7),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Monat.AZIstWRestUeVM,IF(MONTH(Monat.Tag1)=12,November!Monat.AZIstWRestUeVM,""))))))))))),0) -1/24*50),""),""),IF(Y45=0,"",Y45))</f>
        <v/>
      </c>
      <c r="Z60" s="239" t="str">
        <f aca="true">IF(EB.Wochenarbeitszeit=50/24,IF(T.50_Vetsuisse,IF(WEEKDAY(Z$10,2)=7,MAX(0,SUM(OFFSET(Z51,0,-MIN(6,DAY(Z$10)-1),1,MIN(7,DAY(Z$10))))+IF(AND(MONTH(Monat.Tag1)&lt;&gt;1,DAY(Z$10)&lt;7),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Monat.AZIstWRestUeVM,IF(MONTH(Monat.Tag1)=12,November!Monat.AZIstWRestUeVM,""))))))))))),0) -1/24*50),""),""),IF(Z45=0,"",Z45))</f>
        <v/>
      </c>
      <c r="AA60" s="237" t="str">
        <f aca="true">IF(EB.Wochenarbeitszeit=50/24,IF(T.50_Vetsuisse,IF(WEEKDAY(AA$10,2)=7,MAX(0,SUM(OFFSET(AA51,0,-MIN(6,DAY(AA$10)-1),1,MIN(7,DAY(AA$10))))+IF(AND(MONTH(Monat.Tag1)&lt;&gt;1,DAY(AA$10)&lt;7),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Monat.AZIstWRestUeVM,IF(MONTH(Monat.Tag1)=12,November!Monat.AZIstWRestUeVM,""))))))))))),0) -1/24*50),""),""),IF(AA45=0,"",AA45))</f>
        <v/>
      </c>
      <c r="AB60" s="237" t="str">
        <f aca="true">IF(EB.Wochenarbeitszeit=50/24,IF(T.50_Vetsuisse,IF(WEEKDAY(AB$10,2)=7,MAX(0,SUM(OFFSET(AB51,0,-MIN(6,DAY(AB$10)-1),1,MIN(7,DAY(AB$10))))+IF(AND(MONTH(Monat.Tag1)&lt;&gt;1,DAY(AB$10)&lt;7),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Monat.AZIstWRestUeVM,IF(MONTH(Monat.Tag1)=12,November!Monat.AZIstWRestUeVM,""))))))))))),0) -1/24*50),""),""),IF(AB45=0,"",AB45))</f>
        <v/>
      </c>
      <c r="AC60" s="237" t="str">
        <f aca="true">IF(EB.Wochenarbeitszeit=50/24,IF(T.50_Vetsuisse,IF(WEEKDAY(AC$10,2)=7,MAX(0,SUM(OFFSET(AC51,0,-MIN(6,DAY(AC$10)-1),1,MIN(7,DAY(AC$10))))+IF(AND(MONTH(Monat.Tag1)&lt;&gt;1,DAY(AC$10)&lt;7),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Monat.AZIstWRestUeVM,IF(MONTH(Monat.Tag1)=12,November!Monat.AZIstWRestUeVM,""))))))))))),0) -1/24*50),""),""),IF(AC45=0,"",AC45))</f>
        <v/>
      </c>
      <c r="AD60" s="237" t="str">
        <f aca="true">IF(EB.Wochenarbeitszeit=50/24,IF(T.50_Vetsuisse,IF(WEEKDAY(AD$10,2)=7,MAX(0,SUM(OFFSET(AD51,0,-MIN(6,DAY(AD$10)-1),1,MIN(7,DAY(AD$10))))+IF(AND(MONTH(Monat.Tag1)&lt;&gt;1,DAY(AD$10)&lt;7),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Monat.AZIstWRestUeVM,IF(MONTH(Monat.Tag1)=12,November!Monat.AZIstWRestUeVM,""))))))))))),0) -1/24*50),""),""),IF(AD45=0,"",AD45))</f>
        <v/>
      </c>
      <c r="AE60" s="238" t="str">
        <f aca="true">IF(EB.Wochenarbeitszeit=50/24,IF(T.50_Vetsuisse,IF(WEEKDAY(AE$10,2)=7,MAX(0,SUM(OFFSET(AE51,0,-MIN(6,DAY(AE$10)-1),1,MIN(7,DAY(AE$10))))+IF(AND(MONTH(Monat.Tag1)&lt;&gt;1,DAY(AE$10)&lt;7),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Monat.AZIstWRestUeVM,IF(MONTH(Monat.Tag1)=12,November!Monat.AZIstWRestUeVM,""))))))))))),0) -1/24*50),""),""),IF(AE45=0,"",AE45))</f>
        <v/>
      </c>
      <c r="AF60" s="237" t="str">
        <f aca="true">IF(EB.Wochenarbeitszeit=50/24,IF(T.50_Vetsuisse,IF(WEEKDAY(AF$10,2)=7,MAX(0,SUM(OFFSET(AF51,0,-MIN(6,DAY(AF$10)-1),1,MIN(7,DAY(AF$10))))+IF(AND(MONTH(Monat.Tag1)&lt;&gt;1,DAY(AF$10)&lt;7),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Monat.AZIstWRestUeVM,IF(MONTH(Monat.Tag1)=12,November!Monat.AZIstWRestUeVM,""))))))))))),0) -1/24*50),""),""),IF(AF45=0,"",AF45))</f>
        <v/>
      </c>
      <c r="AG60" s="168" t="str">
        <f aca="false">A60</f>
        <v>Ordered overtime</v>
      </c>
      <c r="AH60" s="184"/>
      <c r="AI60" s="207" t="n">
        <f aca="false">SUM(B60:AF60)</f>
        <v>0</v>
      </c>
      <c r="AJ60" s="180"/>
      <c r="AK60" s="172"/>
      <c r="AL60" s="216" t="n">
        <f aca="false">IF(EB.Anwendung&lt;&gt;"",IF(MONTH(Monat.Tag1)=1,0,IF(MONTH(Monat.Tag1)=2,January!Monat.AnUeZUeVM,IF(MONTH(Monat.Tag1)=3,February!Monat.AnUeZUeVM,IF(MONTH(Monat.Tag1)=4,March!Monat.AnUeZUeVM,IF(MONTH(Monat.Tag1)=5,April!Monat.AnUeZUeVM,IF(MONTH(Monat.Tag1)=6,May!Monat.AnUeZUeVM,IF(MONTH(Monat.Tag1)=7,June!Monat.AnUeZUeVM,IF(MONTH(Monat.Tag1)=8,July!Monat.AnUeZUeVM,IF(MONTH(Monat.Tag1)=9,August!Monat.AnUeZUeVM,IF(MONTH(Monat.Tag1)=10,September!Monat.AnUeZUeVM,IF(MONTH(Monat.Tag1)=11,Monat.AnUeZUeVM,IF(MONTH(Monat.Tag1)=12,November!Monat.AnUeZUeVM,"")))))))))))),"")</f>
        <v>0</v>
      </c>
      <c r="AM60" s="172"/>
      <c r="AN60" s="217" t="n">
        <f aca="false">AI60+AL60</f>
        <v>0</v>
      </c>
      <c r="AO60" s="217" t="n">
        <f aca="true">SUM(OFFSET(Jahr.AngÜZ,-12,0,MONTH(Monat.Tag1),1))</f>
        <v>0</v>
      </c>
      <c r="AP60" s="217" t="n">
        <f aca="false">Jahr.AngÜZ</f>
        <v>0</v>
      </c>
      <c r="AQ60" s="39"/>
    </row>
    <row r="61" s="148" customFormat="true" ht="15" hidden="false" customHeight="true" outlineLevel="0" collapsed="false">
      <c r="A61" s="175" t="s">
        <v>149</v>
      </c>
      <c r="B61" s="177"/>
      <c r="C61" s="177"/>
      <c r="D61" s="177"/>
      <c r="E61" s="177"/>
      <c r="F61" s="177"/>
      <c r="G61" s="177"/>
      <c r="H61" s="177"/>
      <c r="I61" s="177"/>
      <c r="J61" s="177"/>
      <c r="K61" s="177"/>
      <c r="L61" s="177"/>
      <c r="M61" s="177"/>
      <c r="N61" s="177"/>
      <c r="O61" s="177"/>
      <c r="P61" s="177"/>
      <c r="Q61" s="177"/>
      <c r="R61" s="177"/>
      <c r="S61" s="177"/>
      <c r="T61" s="177"/>
      <c r="U61" s="177"/>
      <c r="V61" s="177"/>
      <c r="W61" s="177"/>
      <c r="X61" s="177"/>
      <c r="Y61" s="177"/>
      <c r="Z61" s="178"/>
      <c r="AA61" s="177"/>
      <c r="AB61" s="177"/>
      <c r="AC61" s="177"/>
      <c r="AD61" s="177"/>
      <c r="AE61" s="177"/>
      <c r="AF61" s="177"/>
      <c r="AG61" s="168" t="str">
        <f aca="false">A61</f>
        <v>Compensation overtime</v>
      </c>
      <c r="AH61" s="184"/>
      <c r="AI61" s="207" t="n">
        <f aca="false">SUM(B61:AF61)</f>
        <v>0</v>
      </c>
      <c r="AJ61" s="180"/>
      <c r="AK61" s="172"/>
      <c r="AL61" s="172"/>
      <c r="AM61" s="172"/>
      <c r="AN61" s="171"/>
      <c r="AO61" s="172"/>
      <c r="AP61" s="172"/>
      <c r="AQ61" s="39"/>
    </row>
    <row r="62" s="231" customFormat="true" ht="15" hidden="true" customHeight="true" outlineLevel="1" collapsed="false">
      <c r="A62" s="219"/>
      <c r="B62" s="224"/>
      <c r="C62" s="224"/>
      <c r="D62" s="224"/>
      <c r="E62" s="152"/>
      <c r="F62" s="224"/>
      <c r="G62" s="224"/>
      <c r="H62" s="224"/>
      <c r="I62" s="224"/>
      <c r="J62" s="222"/>
      <c r="K62" s="224"/>
      <c r="L62" s="223"/>
      <c r="M62" s="224"/>
      <c r="N62" s="224"/>
      <c r="O62" s="224"/>
      <c r="P62" s="224"/>
      <c r="Q62" s="152"/>
      <c r="R62" s="224"/>
      <c r="S62" s="223"/>
      <c r="T62" s="224"/>
      <c r="U62" s="224"/>
      <c r="V62" s="224"/>
      <c r="W62" s="224"/>
      <c r="X62" s="224"/>
      <c r="Y62" s="224"/>
      <c r="Z62" s="152"/>
      <c r="AA62" s="224"/>
      <c r="AB62" s="224"/>
      <c r="AC62" s="224"/>
      <c r="AD62" s="224"/>
      <c r="AE62" s="152"/>
      <c r="AF62" s="240"/>
      <c r="AG62" s="241" t="s">
        <v>150</v>
      </c>
      <c r="AH62" s="242"/>
      <c r="AI62" s="207" t="n">
        <f aca="false">Monat.AnUeZ.Total-Monat.KomUeZ.Total</f>
        <v>0</v>
      </c>
      <c r="AJ62" s="180"/>
      <c r="AK62" s="230"/>
      <c r="AL62" s="230"/>
      <c r="AM62" s="172"/>
      <c r="AN62" s="230"/>
      <c r="AO62" s="230"/>
      <c r="AP62" s="230"/>
      <c r="AQ62" s="96"/>
    </row>
    <row r="63" s="148" customFormat="true" ht="15" hidden="false" customHeight="true" outlineLevel="0" collapsed="false">
      <c r="A63" s="186"/>
      <c r="B63" s="152"/>
      <c r="C63" s="152"/>
      <c r="D63" s="152"/>
      <c r="E63" s="152"/>
      <c r="F63" s="152"/>
      <c r="G63" s="152"/>
      <c r="H63" s="152"/>
      <c r="I63" s="152"/>
      <c r="J63" s="152"/>
      <c r="K63" s="152"/>
      <c r="L63" s="223"/>
      <c r="M63" s="152"/>
      <c r="N63" s="152"/>
      <c r="O63" s="152"/>
      <c r="P63" s="152"/>
      <c r="Q63" s="152"/>
      <c r="R63" s="152"/>
      <c r="S63" s="223"/>
      <c r="T63" s="152"/>
      <c r="U63" s="152"/>
      <c r="V63" s="152"/>
      <c r="W63" s="152"/>
      <c r="X63" s="224"/>
      <c r="Y63" s="152"/>
      <c r="Z63" s="152"/>
      <c r="AA63" s="152"/>
      <c r="AB63" s="152"/>
      <c r="AC63" s="152"/>
      <c r="AD63" s="152"/>
      <c r="AE63" s="152"/>
      <c r="AF63" s="243"/>
      <c r="AG63" s="175" t="s">
        <v>151</v>
      </c>
      <c r="AH63" s="184"/>
      <c r="AI63" s="207" t="n">
        <f aca="true">IF(T.50_Vetsuisse,0,IF(AND(AI62&gt;0,Monat.ÜZZSBerechtigt=INDEX(T.JaNein.Bereich,1,1)),(AI62*0.25),0))</f>
        <v>0</v>
      </c>
      <c r="AJ63" s="180"/>
      <c r="AK63" s="172"/>
      <c r="AL63" s="230"/>
      <c r="AM63" s="172"/>
      <c r="AN63" s="230"/>
      <c r="AO63" s="230"/>
      <c r="AP63" s="230"/>
      <c r="AQ63" s="39"/>
    </row>
    <row r="64" s="148" customFormat="true" ht="15" hidden="true" customHeight="true" outlineLevel="1" collapsed="false">
      <c r="A64" s="186"/>
      <c r="B64" s="152"/>
      <c r="C64" s="152"/>
      <c r="D64" s="152"/>
      <c r="E64" s="152"/>
      <c r="F64" s="152"/>
      <c r="G64" s="152"/>
      <c r="H64" s="152"/>
      <c r="I64" s="152"/>
      <c r="J64" s="152"/>
      <c r="K64" s="152"/>
      <c r="L64" s="223"/>
      <c r="M64" s="152"/>
      <c r="N64" s="152"/>
      <c r="O64" s="152"/>
      <c r="P64" s="152"/>
      <c r="Q64" s="152"/>
      <c r="R64" s="152"/>
      <c r="S64" s="223"/>
      <c r="T64" s="152"/>
      <c r="U64" s="152"/>
      <c r="V64" s="152"/>
      <c r="W64" s="152"/>
      <c r="X64" s="224"/>
      <c r="Y64" s="152"/>
      <c r="Z64" s="152"/>
      <c r="AA64" s="152"/>
      <c r="AB64" s="152"/>
      <c r="AC64" s="152"/>
      <c r="AD64" s="152"/>
      <c r="AE64" s="152"/>
      <c r="AF64" s="243"/>
      <c r="AG64" s="175" t="s">
        <v>152</v>
      </c>
      <c r="AH64" s="244" t="s">
        <v>146</v>
      </c>
      <c r="AI64" s="245"/>
      <c r="AJ64" s="246"/>
      <c r="AK64" s="172"/>
      <c r="AL64" s="230"/>
      <c r="AM64" s="172"/>
      <c r="AN64" s="230"/>
      <c r="AO64" s="230"/>
      <c r="AP64" s="230"/>
      <c r="AQ64" s="39"/>
    </row>
    <row r="65" s="231" customFormat="true" ht="15" hidden="false" customHeight="true" outlineLevel="0" collapsed="false">
      <c r="A65" s="219"/>
      <c r="B65" s="224"/>
      <c r="C65" s="224"/>
      <c r="D65" s="224"/>
      <c r="E65" s="152"/>
      <c r="F65" s="224"/>
      <c r="G65" s="224"/>
      <c r="H65" s="224"/>
      <c r="I65" s="224"/>
      <c r="J65" s="152"/>
      <c r="K65" s="224"/>
      <c r="L65" s="223"/>
      <c r="M65" s="224"/>
      <c r="N65" s="224"/>
      <c r="O65" s="224"/>
      <c r="P65" s="224"/>
      <c r="Q65" s="152"/>
      <c r="R65" s="224"/>
      <c r="S65" s="223"/>
      <c r="T65" s="224"/>
      <c r="U65" s="224"/>
      <c r="V65" s="224"/>
      <c r="W65" s="224"/>
      <c r="X65" s="224"/>
      <c r="Y65" s="224"/>
      <c r="Z65" s="152"/>
      <c r="AA65" s="224"/>
      <c r="AB65" s="224"/>
      <c r="AC65" s="224"/>
      <c r="AD65" s="224"/>
      <c r="AE65" s="152"/>
      <c r="AF65" s="240"/>
      <c r="AG65" s="234" t="s">
        <v>153</v>
      </c>
      <c r="AH65" s="242"/>
      <c r="AI65" s="207" t="n">
        <f aca="false">IF(AH64="+",(AI62+AI63+AI64),(AI62+AI63-AI64))</f>
        <v>0</v>
      </c>
      <c r="AJ65" s="33"/>
      <c r="AK65" s="247"/>
      <c r="AL65" s="216" t="n">
        <f aca="false">IF(EB.Anwendung&lt;&gt;"",IF(MONTH(Monat.Tag1)=1,EB.UeZ,IF(MONTH(Monat.Tag1)=2,January!Monat.UeZUeVM,IF(MONTH(Monat.Tag1)=3,February!Monat.UeZUeVM,IF(MONTH(Monat.Tag1)=4,March!Monat.UeZUeVM,IF(MONTH(Monat.Tag1)=5,April!Monat.UeZUeVM,IF(MONTH(Monat.Tag1)=6,May!Monat.UeZUeVM,IF(MONTH(Monat.Tag1)=7,June!Monat.UeZUeVM,IF(MONTH(Monat.Tag1)=8,July!Monat.UeZUeVM,IF(MONTH(Monat.Tag1)=9,August!Monat.UeZUeVM,IF(MONTH(Monat.Tag1)=10,September!Monat.UeZUeVM,IF(MONTH(Monat.Tag1)=11,Monat.UeZUeVM,IF(MONTH(Monat.Tag1)=12,November!Monat.UeZUeVM,"")))))))))))),"")</f>
        <v>0</v>
      </c>
      <c r="AM65" s="172"/>
      <c r="AN65" s="217" t="n">
        <f aca="false">AI65+AL65</f>
        <v>0</v>
      </c>
      <c r="AO65" s="217" t="n">
        <f aca="true">SUM(OFFSET(J.UeZ.Total,-12,0,MONTH(Monat.Tag1),1))</f>
        <v>0</v>
      </c>
      <c r="AP65" s="217" t="n">
        <f aca="false">J.UeZ.Total</f>
        <v>0</v>
      </c>
      <c r="AQ65" s="96"/>
    </row>
    <row r="66" s="148" customFormat="true" ht="11.25" hidden="false" customHeight="true" outlineLevel="1" collapsed="false">
      <c r="A66" s="186"/>
      <c r="B66" s="57"/>
      <c r="C66" s="57"/>
      <c r="D66" s="57"/>
      <c r="E66" s="152"/>
      <c r="F66" s="57"/>
      <c r="G66" s="57"/>
      <c r="H66" s="57"/>
      <c r="I66" s="57"/>
      <c r="J66" s="152"/>
      <c r="K66" s="57"/>
      <c r="L66" s="223"/>
      <c r="M66" s="57"/>
      <c r="N66" s="57"/>
      <c r="O66" s="57"/>
      <c r="P66" s="57"/>
      <c r="Q66" s="152"/>
      <c r="R66" s="57"/>
      <c r="S66" s="223"/>
      <c r="T66" s="57"/>
      <c r="U66" s="57"/>
      <c r="V66" s="57"/>
      <c r="W66" s="57"/>
      <c r="X66" s="224"/>
      <c r="Y66" s="57"/>
      <c r="Z66" s="152"/>
      <c r="AA66" s="57"/>
      <c r="AB66" s="57"/>
      <c r="AC66" s="57"/>
      <c r="AD66" s="57"/>
      <c r="AE66" s="152"/>
      <c r="AF66" s="179"/>
      <c r="AG66" s="175"/>
      <c r="AH66" s="146"/>
      <c r="AI66" s="179"/>
      <c r="AJ66" s="180"/>
      <c r="AK66" s="172"/>
      <c r="AL66" s="172"/>
      <c r="AM66" s="172"/>
      <c r="AN66" s="171"/>
      <c r="AO66" s="172"/>
      <c r="AP66" s="172"/>
      <c r="AQ66" s="39"/>
    </row>
    <row r="67" s="148" customFormat="true" ht="15" hidden="false" customHeight="true" outlineLevel="1" collapsed="false">
      <c r="A67" s="175" t="s">
        <v>154</v>
      </c>
      <c r="B67" s="177"/>
      <c r="C67" s="177"/>
      <c r="D67" s="177"/>
      <c r="E67" s="177"/>
      <c r="F67" s="177"/>
      <c r="G67" s="177"/>
      <c r="H67" s="177"/>
      <c r="I67" s="177"/>
      <c r="J67" s="177"/>
      <c r="K67" s="177"/>
      <c r="L67" s="177"/>
      <c r="M67" s="177"/>
      <c r="N67" s="177"/>
      <c r="O67" s="177"/>
      <c r="P67" s="177"/>
      <c r="Q67" s="177"/>
      <c r="R67" s="177"/>
      <c r="S67" s="177"/>
      <c r="T67" s="177"/>
      <c r="U67" s="177"/>
      <c r="V67" s="177"/>
      <c r="W67" s="177"/>
      <c r="X67" s="177"/>
      <c r="Y67" s="177"/>
      <c r="Z67" s="178"/>
      <c r="AA67" s="177"/>
      <c r="AB67" s="177"/>
      <c r="AC67" s="177"/>
      <c r="AD67" s="177"/>
      <c r="AE67" s="177"/>
      <c r="AF67" s="177"/>
      <c r="AG67" s="168" t="str">
        <f aca="false">A67</f>
        <v>Compensation working hours</v>
      </c>
      <c r="AH67" s="184"/>
      <c r="AI67" s="207" t="n">
        <f aca="false">SUM(B67:AF67)</f>
        <v>0</v>
      </c>
      <c r="AJ67" s="33"/>
      <c r="AK67" s="216" t="n">
        <f aca="true">OFFSET(EB.MKAStd.Knoten,MONTH(Monat.Tag1),0,1,1)</f>
        <v>0.4375</v>
      </c>
      <c r="AL67" s="248" t="n">
        <f aca="false">IF(EB.Anwendung&lt;&gt;"",IF(MONTH(Monat.Tag1)=1,0,IF(MONTH(Monat.Tag1)=2,January!Monat.KomUeVM,IF(MONTH(Monat.Tag1)=3,February!Monat.KomUeVM,IF(MONTH(Monat.Tag1)=4,March!Monat.KomUeVM,IF(MONTH(Monat.Tag1)=5,April!Monat.KomUeVM,IF(MONTH(Monat.Tag1)=6,May!Monat.KomUeVM,IF(MONTH(Monat.Tag1)=7,June!Monat.KomUeVM,IF(MONTH(Monat.Tag1)=8,July!Monat.KomUeVM,IF(MONTH(Monat.Tag1)=9,August!Monat.KomUeVM,IF(MONTH(Monat.Tag1)=10,September!Monat.KomUeVM,IF(MONTH(Monat.Tag1)=11,Monat.KomUeVM,IF(MONTH(Monat.Tag1)=12,November!Monat.KomUeVM,"")))))))))))),"")</f>
        <v>2.625</v>
      </c>
      <c r="AM67" s="172"/>
      <c r="AN67" s="217" t="n">
        <f aca="false">AK67+AL67-Monat.KomAZ.Total</f>
        <v>3.0625</v>
      </c>
      <c r="AO67" s="217" t="n">
        <f aca="true">Jahresabrechnung!P12-SUM(OFFSET(Jahresabrechnung!P15,0,0,MONTH(Monat.Tag1),1))</f>
        <v>3.9375</v>
      </c>
      <c r="AP67" s="217" t="n">
        <f aca="false">Jahresabrechnung!P28</f>
        <v>3.9375</v>
      </c>
      <c r="AQ67" s="39"/>
    </row>
    <row r="68" s="148" customFormat="true" ht="11.25" hidden="false" customHeight="true" outlineLevel="0" collapsed="false">
      <c r="A68" s="186"/>
      <c r="B68" s="187"/>
      <c r="C68" s="187"/>
      <c r="D68" s="187"/>
      <c r="E68" s="187"/>
      <c r="F68" s="187"/>
      <c r="G68" s="187"/>
      <c r="H68" s="187"/>
      <c r="I68" s="187"/>
      <c r="J68" s="187"/>
      <c r="K68" s="187"/>
      <c r="L68" s="187"/>
      <c r="M68" s="187"/>
      <c r="N68" s="187"/>
      <c r="O68" s="187"/>
      <c r="P68" s="187"/>
      <c r="Q68" s="187"/>
      <c r="R68" s="187"/>
      <c r="S68" s="187"/>
      <c r="T68" s="187"/>
      <c r="U68" s="187"/>
      <c r="V68" s="187"/>
      <c r="W68" s="187"/>
      <c r="X68" s="187"/>
      <c r="Y68" s="187"/>
      <c r="Z68" s="187"/>
      <c r="AA68" s="187"/>
      <c r="AB68" s="187"/>
      <c r="AC68" s="187"/>
      <c r="AD68" s="187"/>
      <c r="AE68" s="187"/>
      <c r="AF68" s="188"/>
      <c r="AG68" s="168"/>
      <c r="AH68" s="146"/>
      <c r="AI68" s="179"/>
      <c r="AJ68" s="180"/>
      <c r="AK68" s="172"/>
      <c r="AL68" s="172"/>
      <c r="AM68" s="172"/>
      <c r="AN68" s="171"/>
      <c r="AO68" s="172"/>
      <c r="AP68" s="172"/>
      <c r="AQ68" s="39"/>
    </row>
    <row r="69" s="148" customFormat="true" ht="15" hidden="true" customHeight="true" outlineLevel="0" collapsed="false">
      <c r="A69" s="175" t="s">
        <v>155</v>
      </c>
      <c r="B69" s="249" t="n">
        <f aca="true">IF(AND(T.50_Vetsuisse,B72=INDEX(T.JaNein.Bereich,1,1),B73&gt;0,MOD(IFERROR(MATCH(1,B13:B22,0),1),2)=0),1, IF(AND(T.ServiceCenterIrchel,B72=INDEX(T.JaNein.Bereich,1,1),B77&gt;0),1, IF(AND(T.50_Vetsuisse=0,T.ServiceCenterIrchel=0,B77&gt;0),1,0)))</f>
        <v>0</v>
      </c>
      <c r="C69" s="249" t="n">
        <f aca="true">IF(AND(T.50_Vetsuisse,C72=INDEX(T.JaNein.Bereich,1,1),C73&gt;0,MOD(IFERROR(MATCH(1,C13:C22,0),1),2)=0),1, IF(AND(T.ServiceCenterIrchel,C72=INDEX(T.JaNein.Bereich,1,1),C77&gt;0),1, IF(AND(T.50_Vetsuisse=0,T.ServiceCenterIrchel=0,C77&gt;0),1,0)))</f>
        <v>0</v>
      </c>
      <c r="D69" s="249" t="n">
        <f aca="true">IF(AND(T.50_Vetsuisse,D72=INDEX(T.JaNein.Bereich,1,1),D73&gt;0,MOD(IFERROR(MATCH(1,D13:D22,0),1),2)=0),1, IF(AND(T.ServiceCenterIrchel,D72=INDEX(T.JaNein.Bereich,1,1),D77&gt;0),1, IF(AND(T.50_Vetsuisse=0,T.ServiceCenterIrchel=0,D77&gt;0),1,0)))</f>
        <v>0</v>
      </c>
      <c r="E69" s="249" t="n">
        <f aca="true">IF(AND(T.50_Vetsuisse,E72=INDEX(T.JaNein.Bereich,1,1),E73&gt;0,MOD(IFERROR(MATCH(1,E13:E22,0),1),2)=0),1, IF(AND(T.ServiceCenterIrchel,E72=INDEX(T.JaNein.Bereich,1,1),E77&gt;0),1, IF(AND(T.50_Vetsuisse=0,T.ServiceCenterIrchel=0,E77&gt;0),1,0)))</f>
        <v>0</v>
      </c>
      <c r="F69" s="249" t="n">
        <f aca="true">IF(AND(T.50_Vetsuisse,F72=INDEX(T.JaNein.Bereich,1,1),F73&gt;0,MOD(IFERROR(MATCH(1,F13:F22,0),1),2)=0),1, IF(AND(T.ServiceCenterIrchel,F72=INDEX(T.JaNein.Bereich,1,1),F77&gt;0),1, IF(AND(T.50_Vetsuisse=0,T.ServiceCenterIrchel=0,F77&gt;0),1,0)))</f>
        <v>0</v>
      </c>
      <c r="G69" s="249" t="n">
        <f aca="true">IF(AND(T.50_Vetsuisse,G72=INDEX(T.JaNein.Bereich,1,1),G73&gt;0,MOD(IFERROR(MATCH(1,G13:G22,0),1),2)=0),1, IF(AND(T.ServiceCenterIrchel,G72=INDEX(T.JaNein.Bereich,1,1),G77&gt;0),1, IF(AND(T.50_Vetsuisse=0,T.ServiceCenterIrchel=0,G77&gt;0),1,0)))</f>
        <v>0</v>
      </c>
      <c r="H69" s="249" t="n">
        <f aca="true">IF(AND(T.50_Vetsuisse,H72=INDEX(T.JaNein.Bereich,1,1),H73&gt;0,MOD(IFERROR(MATCH(1,H13:H22,0),1),2)=0),1, IF(AND(T.ServiceCenterIrchel,H72=INDEX(T.JaNein.Bereich,1,1),H77&gt;0),1, IF(AND(T.50_Vetsuisse=0,T.ServiceCenterIrchel=0,H77&gt;0),1,0)))</f>
        <v>0</v>
      </c>
      <c r="I69" s="249" t="n">
        <f aca="true">IF(AND(T.50_Vetsuisse,I72=INDEX(T.JaNein.Bereich,1,1),I73&gt;0,MOD(IFERROR(MATCH(1,I13:I22,0),1),2)=0),1, IF(AND(T.ServiceCenterIrchel,I72=INDEX(T.JaNein.Bereich,1,1),I77&gt;0),1, IF(AND(T.50_Vetsuisse=0,T.ServiceCenterIrchel=0,I77&gt;0),1,0)))</f>
        <v>0</v>
      </c>
      <c r="J69" s="249" t="n">
        <f aca="true">IF(AND(T.50_Vetsuisse,J72=INDEX(T.JaNein.Bereich,1,1),J73&gt;0,MOD(IFERROR(MATCH(1,J13:J22,0),1),2)=0),1, IF(AND(T.ServiceCenterIrchel,J72=INDEX(T.JaNein.Bereich,1,1),J77&gt;0),1, IF(AND(T.50_Vetsuisse=0,T.ServiceCenterIrchel=0,J77&gt;0),1,0)))</f>
        <v>0</v>
      </c>
      <c r="K69" s="249" t="n">
        <f aca="true">IF(AND(T.50_Vetsuisse,K72=INDEX(T.JaNein.Bereich,1,1),K73&gt;0,MOD(IFERROR(MATCH(1,K13:K22,0),1),2)=0),1, IF(AND(T.ServiceCenterIrchel,K72=INDEX(T.JaNein.Bereich,1,1),K77&gt;0),1, IF(AND(T.50_Vetsuisse=0,T.ServiceCenterIrchel=0,K77&gt;0),1,0)))</f>
        <v>0</v>
      </c>
      <c r="L69" s="249" t="n">
        <f aca="true">IF(AND(T.50_Vetsuisse,L72=INDEX(T.JaNein.Bereich,1,1),L73&gt;0,MOD(IFERROR(MATCH(1,L13:L22,0),1),2)=0),1, IF(AND(T.ServiceCenterIrchel,L72=INDEX(T.JaNein.Bereich,1,1),L77&gt;0),1, IF(AND(T.50_Vetsuisse=0,T.ServiceCenterIrchel=0,L77&gt;0),1,0)))</f>
        <v>0</v>
      </c>
      <c r="M69" s="249" t="n">
        <f aca="true">IF(AND(T.50_Vetsuisse,M72=INDEX(T.JaNein.Bereich,1,1),M73&gt;0,MOD(IFERROR(MATCH(1,M13:M22,0),1),2)=0),1, IF(AND(T.ServiceCenterIrchel,M72=INDEX(T.JaNein.Bereich,1,1),M77&gt;0),1, IF(AND(T.50_Vetsuisse=0,T.ServiceCenterIrchel=0,M77&gt;0),1,0)))</f>
        <v>0</v>
      </c>
      <c r="N69" s="249" t="n">
        <f aca="true">IF(AND(T.50_Vetsuisse,N72=INDEX(T.JaNein.Bereich,1,1),N73&gt;0,MOD(IFERROR(MATCH(1,N13:N22,0),1),2)=0),1, IF(AND(T.ServiceCenterIrchel,N72=INDEX(T.JaNein.Bereich,1,1),N77&gt;0),1, IF(AND(T.50_Vetsuisse=0,T.ServiceCenterIrchel=0,N77&gt;0),1,0)))</f>
        <v>0</v>
      </c>
      <c r="O69" s="249" t="n">
        <f aca="true">IF(AND(T.50_Vetsuisse,O72=INDEX(T.JaNein.Bereich,1,1),O73&gt;0,MOD(IFERROR(MATCH(1,O13:O22,0),1),2)=0),1, IF(AND(T.ServiceCenterIrchel,O72=INDEX(T.JaNein.Bereich,1,1),O77&gt;0),1, IF(AND(T.50_Vetsuisse=0,T.ServiceCenterIrchel=0,O77&gt;0),1,0)))</f>
        <v>0</v>
      </c>
      <c r="P69" s="249" t="n">
        <f aca="true">IF(AND(T.50_Vetsuisse,P72=INDEX(T.JaNein.Bereich,1,1),P73&gt;0,MOD(IFERROR(MATCH(1,P13:P22,0),1),2)=0),1, IF(AND(T.ServiceCenterIrchel,P72=INDEX(T.JaNein.Bereich,1,1),P77&gt;0),1, IF(AND(T.50_Vetsuisse=0,T.ServiceCenterIrchel=0,P77&gt;0),1,0)))</f>
        <v>0</v>
      </c>
      <c r="Q69" s="249" t="n">
        <f aca="true">IF(AND(T.50_Vetsuisse,Q72=INDEX(T.JaNein.Bereich,1,1),Q73&gt;0,MOD(IFERROR(MATCH(1,Q13:Q22,0),1),2)=0),1, IF(AND(T.ServiceCenterIrchel,Q72=INDEX(T.JaNein.Bereich,1,1),Q77&gt;0),1, IF(AND(T.50_Vetsuisse=0,T.ServiceCenterIrchel=0,Q77&gt;0),1,0)))</f>
        <v>0</v>
      </c>
      <c r="R69" s="249" t="n">
        <f aca="true">IF(AND(T.50_Vetsuisse,R72=INDEX(T.JaNein.Bereich,1,1),R73&gt;0,MOD(IFERROR(MATCH(1,R13:R22,0),1),2)=0),1, IF(AND(T.ServiceCenterIrchel,R72=INDEX(T.JaNein.Bereich,1,1),R77&gt;0),1, IF(AND(T.50_Vetsuisse=0,T.ServiceCenterIrchel=0,R77&gt;0),1,0)))</f>
        <v>0</v>
      </c>
      <c r="S69" s="249" t="n">
        <f aca="true">IF(AND(T.50_Vetsuisse,S72=INDEX(T.JaNein.Bereich,1,1),S73&gt;0,MOD(IFERROR(MATCH(1,S13:S22,0),1),2)=0),1, IF(AND(T.ServiceCenterIrchel,S72=INDEX(T.JaNein.Bereich,1,1),S77&gt;0),1, IF(AND(T.50_Vetsuisse=0,T.ServiceCenterIrchel=0,S77&gt;0),1,0)))</f>
        <v>0</v>
      </c>
      <c r="T69" s="249" t="n">
        <f aca="true">IF(AND(T.50_Vetsuisse,T72=INDEX(T.JaNein.Bereich,1,1),T73&gt;0,MOD(IFERROR(MATCH(1,T13:T22,0),1),2)=0),1, IF(AND(T.ServiceCenterIrchel,T72=INDEX(T.JaNein.Bereich,1,1),T77&gt;0),1, IF(AND(T.50_Vetsuisse=0,T.ServiceCenterIrchel=0,T77&gt;0),1,0)))</f>
        <v>0</v>
      </c>
      <c r="U69" s="249" t="n">
        <f aca="true">IF(AND(T.50_Vetsuisse,U72=INDEX(T.JaNein.Bereich,1,1),U73&gt;0,MOD(IFERROR(MATCH(1,U13:U22,0),1),2)=0),1, IF(AND(T.ServiceCenterIrchel,U72=INDEX(T.JaNein.Bereich,1,1),U77&gt;0),1, IF(AND(T.50_Vetsuisse=0,T.ServiceCenterIrchel=0,U77&gt;0),1,0)))</f>
        <v>0</v>
      </c>
      <c r="V69" s="249" t="n">
        <f aca="true">IF(AND(T.50_Vetsuisse,V72=INDEX(T.JaNein.Bereich,1,1),V73&gt;0,MOD(IFERROR(MATCH(1,V13:V22,0),1),2)=0),1, IF(AND(T.ServiceCenterIrchel,V72=INDEX(T.JaNein.Bereich,1,1),V77&gt;0),1, IF(AND(T.50_Vetsuisse=0,T.ServiceCenterIrchel=0,V77&gt;0),1,0)))</f>
        <v>0</v>
      </c>
      <c r="W69" s="249" t="n">
        <f aca="true">IF(AND(T.50_Vetsuisse,W72=INDEX(T.JaNein.Bereich,1,1),W73&gt;0,MOD(IFERROR(MATCH(1,W13:W22,0),1),2)=0),1, IF(AND(T.ServiceCenterIrchel,W72=INDEX(T.JaNein.Bereich,1,1),W77&gt;0),1, IF(AND(T.50_Vetsuisse=0,T.ServiceCenterIrchel=0,W77&gt;0),1,0)))</f>
        <v>0</v>
      </c>
      <c r="X69" s="249" t="n">
        <f aca="true">IF(AND(T.50_Vetsuisse,X72=INDEX(T.JaNein.Bereich,1,1),X73&gt;0,MOD(IFERROR(MATCH(1,X13:X22,0),1),2)=0),1, IF(AND(T.ServiceCenterIrchel,X72=INDEX(T.JaNein.Bereich,1,1),X77&gt;0),1, IF(AND(T.50_Vetsuisse=0,T.ServiceCenterIrchel=0,X77&gt;0),1,0)))</f>
        <v>0</v>
      </c>
      <c r="Y69" s="249" t="n">
        <f aca="true">IF(AND(T.50_Vetsuisse,Y72=INDEX(T.JaNein.Bereich,1,1),Y73&gt;0,MOD(IFERROR(MATCH(1,Y13:Y22,0),1),2)=0),1, IF(AND(T.ServiceCenterIrchel,Y72=INDEX(T.JaNein.Bereich,1,1),Y77&gt;0),1, IF(AND(T.50_Vetsuisse=0,T.ServiceCenterIrchel=0,Y77&gt;0),1,0)))</f>
        <v>0</v>
      </c>
      <c r="Z69" s="249" t="n">
        <f aca="true">IF(AND(T.50_Vetsuisse,Z72=INDEX(T.JaNein.Bereich,1,1),Z73&gt;0,MOD(IFERROR(MATCH(1,Z13:Z22,0),1),2)=0),1, IF(AND(T.ServiceCenterIrchel,Z72=INDEX(T.JaNein.Bereich,1,1),Z77&gt;0),1, IF(AND(T.50_Vetsuisse=0,T.ServiceCenterIrchel=0,Z77&gt;0),1,0)))</f>
        <v>0</v>
      </c>
      <c r="AA69" s="249" t="n">
        <f aca="true">IF(AND(T.50_Vetsuisse,AA72=INDEX(T.JaNein.Bereich,1,1),AA73&gt;0,MOD(IFERROR(MATCH(1,AA13:AA22,0),1),2)=0),1, IF(AND(T.ServiceCenterIrchel,AA72=INDEX(T.JaNein.Bereich,1,1),AA77&gt;0),1, IF(AND(T.50_Vetsuisse=0,T.ServiceCenterIrchel=0,AA77&gt;0),1,0)))</f>
        <v>0</v>
      </c>
      <c r="AB69" s="249" t="n">
        <f aca="true">IF(AND(T.50_Vetsuisse,AB72=INDEX(T.JaNein.Bereich,1,1),AB73&gt;0,MOD(IFERROR(MATCH(1,AB13:AB22,0),1),2)=0),1, IF(AND(T.ServiceCenterIrchel,AB72=INDEX(T.JaNein.Bereich,1,1),AB77&gt;0),1, IF(AND(T.50_Vetsuisse=0,T.ServiceCenterIrchel=0,AB77&gt;0),1,0)))</f>
        <v>0</v>
      </c>
      <c r="AC69" s="249" t="n">
        <f aca="true">IF(AND(T.50_Vetsuisse,AC72=INDEX(T.JaNein.Bereich,1,1),AC73&gt;0,MOD(IFERROR(MATCH(1,AC13:AC22,0),1),2)=0),1, IF(AND(T.ServiceCenterIrchel,AC72=INDEX(T.JaNein.Bereich,1,1),AC77&gt;0),1, IF(AND(T.50_Vetsuisse=0,T.ServiceCenterIrchel=0,AC77&gt;0),1,0)))</f>
        <v>0</v>
      </c>
      <c r="AD69" s="249" t="n">
        <f aca="true">IF(AND(T.50_Vetsuisse,AD72=INDEX(T.JaNein.Bereich,1,1),AD73&gt;0,MOD(IFERROR(MATCH(1,AD13:AD22,0),1),2)=0),1, IF(AND(T.ServiceCenterIrchel,AD72=INDEX(T.JaNein.Bereich,1,1),AD77&gt;0),1, IF(AND(T.50_Vetsuisse=0,T.ServiceCenterIrchel=0,AD77&gt;0),1,0)))</f>
        <v>0</v>
      </c>
      <c r="AE69" s="249" t="n">
        <f aca="true">IF(AND(T.50_Vetsuisse,AE72=INDEX(T.JaNein.Bereich,1,1),AE73&gt;0,MOD(IFERROR(MATCH(1,AE13:AE22,0),1),2)=0),1, IF(AND(T.ServiceCenterIrchel,AE72=INDEX(T.JaNein.Bereich,1,1),AE77&gt;0),1, IF(AND(T.50_Vetsuisse=0,T.ServiceCenterIrchel=0,AE77&gt;0),1,0)))</f>
        <v>0</v>
      </c>
      <c r="AF69" s="249" t="n">
        <f aca="true">IF(AND(T.50_Vetsuisse,AF72=INDEX(T.JaNein.Bereich,1,1),AF73&gt;0,MOD(IFERROR(MATCH(1,AF13:AF22,0),1),2)=0),1, IF(AND(T.ServiceCenterIrchel,AF72=INDEX(T.JaNein.Bereich,1,1),AF77&gt;0),1, IF(AND(T.50_Vetsuisse=0,T.ServiceCenterIrchel=0,AF77&gt;0),1,0)))</f>
        <v>0</v>
      </c>
      <c r="AG69" s="168" t="str">
        <f aca="false">A69</f>
        <v>Counter night shift</v>
      </c>
      <c r="AH69" s="250"/>
      <c r="AI69" s="251" t="n">
        <f aca="false">SUM(B69:AF69)</f>
        <v>0</v>
      </c>
      <c r="AJ69" s="33"/>
      <c r="AK69" s="192"/>
      <c r="AL69" s="252" t="n">
        <f aca="false">IF(EB.Anwendung&lt;&gt;"",IF(MONTH(Monat.Tag1)=1,0,IF(MONTH(Monat.Tag1)=2,January!Monat.ZählerNDUe,IF(MONTH(Monat.Tag1)=3,February!Monat.ZählerNDUe,IF(MONTH(Monat.Tag1)=4,March!Monat.ZählerNDUe,IF(MONTH(Monat.Tag1)=5,April!Monat.ZählerNDUe,IF(MONTH(Monat.Tag1)=6,May!Monat.ZählerNDUe,IF(MONTH(Monat.Tag1)=7,June!Monat.ZählerNDUe,IF(MONTH(Monat.Tag1)=8,July!Monat.ZählerNDUe,IF(MONTH(Monat.Tag1)=9,August!Monat.ZählerNDUe,IF(MONTH(Monat.Tag1)=10,September!Monat.ZählerNDUe,IF(MONTH(Monat.Tag1)=11,Monat.ZählerNDUe,IF(MONTH(Monat.Tag1)=12,November!Monat.ZählerNDUe,"")))))))))))),"")</f>
        <v>0</v>
      </c>
      <c r="AM69" s="172"/>
      <c r="AN69" s="253" t="n">
        <f aca="false">AL69+AI69</f>
        <v>0</v>
      </c>
      <c r="AO69" s="171"/>
      <c r="AP69" s="171"/>
      <c r="AQ69" s="39"/>
    </row>
    <row r="70" s="148" customFormat="true" ht="15" hidden="true" customHeight="true" outlineLevel="0" collapsed="false">
      <c r="A70" s="175" t="s">
        <v>156</v>
      </c>
      <c r="B70" s="249" t="n">
        <f aca="false">IF(DAY(B$10)=1,$AL$69,A70)+B69</f>
        <v>0</v>
      </c>
      <c r="C70" s="249" t="n">
        <f aca="false">IF(DAY(C$10)=1,$AL$69,B70)+C69</f>
        <v>0</v>
      </c>
      <c r="D70" s="249" t="n">
        <f aca="false">IF(DAY(D$10)=1,$AL$69,C70)+D69</f>
        <v>0</v>
      </c>
      <c r="E70" s="249" t="n">
        <f aca="false">IF(DAY(E$10)=1,$AL$69,D70)+E69</f>
        <v>0</v>
      </c>
      <c r="F70" s="249" t="n">
        <f aca="false">IF(DAY(F$10)=1,$AL$69,E70)+F69</f>
        <v>0</v>
      </c>
      <c r="G70" s="249" t="n">
        <f aca="false">IF(DAY(G$10)=1,$AL$69,F70)+G69</f>
        <v>0</v>
      </c>
      <c r="H70" s="249" t="n">
        <f aca="false">IF(DAY(H$10)=1,$AL$69,G70)+H69</f>
        <v>0</v>
      </c>
      <c r="I70" s="249" t="n">
        <f aca="false">IF(DAY(I$10)=1,$AL$69,H70)+I69</f>
        <v>0</v>
      </c>
      <c r="J70" s="249" t="n">
        <f aca="false">IF(DAY(J$10)=1,$AL$69,I70)+J69</f>
        <v>0</v>
      </c>
      <c r="K70" s="249" t="n">
        <f aca="false">IF(DAY(K$10)=1,$AL$69,J70)+K69</f>
        <v>0</v>
      </c>
      <c r="L70" s="249" t="n">
        <f aca="false">IF(DAY(L$10)=1,$AL$69,K70)+L69</f>
        <v>0</v>
      </c>
      <c r="M70" s="249" t="n">
        <f aca="false">IF(DAY(M$10)=1,$AL$69,L70)+M69</f>
        <v>0</v>
      </c>
      <c r="N70" s="249" t="n">
        <f aca="false">IF(DAY(N$10)=1,$AL$69,M70)+N69</f>
        <v>0</v>
      </c>
      <c r="O70" s="249" t="n">
        <f aca="false">IF(DAY(O$10)=1,$AL$69,N70)+O69</f>
        <v>0</v>
      </c>
      <c r="P70" s="249" t="n">
        <f aca="false">IF(DAY(P$10)=1,$AL$69,O70)+P69</f>
        <v>0</v>
      </c>
      <c r="Q70" s="249" t="n">
        <f aca="false">IF(DAY(Q$10)=1,$AL$69,P70)+Q69</f>
        <v>0</v>
      </c>
      <c r="R70" s="249" t="n">
        <f aca="false">IF(DAY(R$10)=1,$AL$69,Q70)+R69</f>
        <v>0</v>
      </c>
      <c r="S70" s="249" t="n">
        <f aca="false">IF(DAY(S$10)=1,$AL$69,R70)+S69</f>
        <v>0</v>
      </c>
      <c r="T70" s="249" t="n">
        <f aca="false">IF(DAY(T$10)=1,$AL$69,S70)+T69</f>
        <v>0</v>
      </c>
      <c r="U70" s="249" t="n">
        <f aca="false">IF(DAY(U$10)=1,$AL$69,T70)+U69</f>
        <v>0</v>
      </c>
      <c r="V70" s="249" t="n">
        <f aca="false">IF(DAY(V$10)=1,$AL$69,U70)+V69</f>
        <v>0</v>
      </c>
      <c r="W70" s="249" t="n">
        <f aca="false">IF(DAY(W$10)=1,$AL$69,V70)+W69</f>
        <v>0</v>
      </c>
      <c r="X70" s="249" t="n">
        <f aca="false">IF(DAY(X$10)=1,$AL$69,W70)+X69</f>
        <v>0</v>
      </c>
      <c r="Y70" s="249" t="n">
        <f aca="false">IF(DAY(Y$10)=1,$AL$69,X70)+Y69</f>
        <v>0</v>
      </c>
      <c r="Z70" s="249" t="n">
        <f aca="false">IF(DAY(Z$10)=1,$AL$69,Y70)+Z69</f>
        <v>0</v>
      </c>
      <c r="AA70" s="249" t="n">
        <f aca="false">IF(DAY(AA$10)=1,$AL$69,Z70)+AA69</f>
        <v>0</v>
      </c>
      <c r="AB70" s="249" t="n">
        <f aca="false">IF(DAY(AB$10)=1,$AL$69,AA70)+AB69</f>
        <v>0</v>
      </c>
      <c r="AC70" s="249" t="n">
        <f aca="false">IF(DAY(AC$10)=1,$AL$69,AB70)+AC69</f>
        <v>0</v>
      </c>
      <c r="AD70" s="249" t="n">
        <f aca="false">IF(DAY(AD$10)=1,$AL$69,AC70)+AD69</f>
        <v>0</v>
      </c>
      <c r="AE70" s="249" t="n">
        <f aca="false">IF(DAY(AE$10)=1,$AL$69,AD70)+AE69</f>
        <v>0</v>
      </c>
      <c r="AF70" s="249" t="n">
        <f aca="false">IF(DAY(AF$10)=1,$AL$69,AE70)+AF69</f>
        <v>0</v>
      </c>
      <c r="AG70" s="168" t="str">
        <f aca="false">A70</f>
        <v>Balance counter night shift</v>
      </c>
      <c r="AH70" s="197"/>
      <c r="AI70" s="192"/>
      <c r="AJ70" s="27"/>
      <c r="AK70" s="235"/>
      <c r="AL70" s="235"/>
      <c r="AM70" s="172"/>
      <c r="AN70" s="254"/>
      <c r="AO70" s="171"/>
      <c r="AP70" s="171"/>
      <c r="AQ70" s="39"/>
    </row>
    <row r="71" s="148" customFormat="true" ht="15" hidden="true" customHeight="true" outlineLevel="1" collapsed="false">
      <c r="A71" s="175" t="s">
        <v>157</v>
      </c>
      <c r="B71" s="176"/>
      <c r="C71" s="176"/>
      <c r="D71" s="176"/>
      <c r="E71" s="177"/>
      <c r="F71" s="176"/>
      <c r="G71" s="176"/>
      <c r="H71" s="176"/>
      <c r="I71" s="176"/>
      <c r="J71" s="177"/>
      <c r="K71" s="176"/>
      <c r="L71" s="177"/>
      <c r="M71" s="176"/>
      <c r="N71" s="176"/>
      <c r="O71" s="176"/>
      <c r="P71" s="176"/>
      <c r="Q71" s="177"/>
      <c r="R71" s="176"/>
      <c r="S71" s="177"/>
      <c r="T71" s="177"/>
      <c r="U71" s="176"/>
      <c r="V71" s="176"/>
      <c r="W71" s="176"/>
      <c r="X71" s="177"/>
      <c r="Y71" s="176"/>
      <c r="Z71" s="178"/>
      <c r="AA71" s="176"/>
      <c r="AB71" s="176"/>
      <c r="AC71" s="176"/>
      <c r="AD71" s="176"/>
      <c r="AE71" s="177"/>
      <c r="AF71" s="176"/>
      <c r="AG71" s="168" t="str">
        <f aca="false">A71</f>
        <v>Compensation TS night shift</v>
      </c>
      <c r="AH71" s="184"/>
      <c r="AI71" s="207" t="n">
        <f aca="false">SUM(B71:AF71)</f>
        <v>0</v>
      </c>
      <c r="AJ71" s="33"/>
      <c r="AK71" s="235"/>
      <c r="AL71" s="216" t="n">
        <f aca="false">IF(EB.Anwendung&lt;&gt;"",IF(MONTH(Monat.Tag1)=1,0,IF(MONTH(Monat.Tag1)=2,January!Monat.KompZZSNDUeVM,IF(MONTH(Monat.Tag1)=3,February!Monat.KompZZSNDUeVM,IF(MONTH(Monat.Tag1)=4,March!Monat.KompZZSNDUeVM,IF(MONTH(Monat.Tag1)=5,April!Monat.KompZZSNDUeVM,IF(MONTH(Monat.Tag1)=6,May!Monat.KompZZSNDUeVM,IF(MONTH(Monat.Tag1)=7,June!Monat.KompZZSNDUeVM,IF(MONTH(Monat.Tag1)=8,July!Monat.KompZZSNDUeVM,IF(MONTH(Monat.Tag1)=9,August!Monat.KompZZSNDUeVM,IF(MONTH(Monat.Tag1)=10,September!Monat.KompZZSNDUeVM,IF(MONTH(Monat.Tag1)=11,Monat.KompZZSNDUeVM,IF(MONTH(Monat.Tag1)=12,November!Monat.KompZZSNDUeVM,"")))))))))))),"")</f>
        <v>0</v>
      </c>
      <c r="AM71" s="172"/>
      <c r="AN71" s="217" t="n">
        <f aca="false">AI71+AL71</f>
        <v>0</v>
      </c>
      <c r="AO71" s="217" t="n">
        <f aca="true">SUM(OFFSET(Jahr.KompZZSND,-12,0,MONTH(Monat.Tag1),1))</f>
        <v>0</v>
      </c>
      <c r="AP71" s="217" t="n">
        <f aca="false">Jahr.KompZZSND</f>
        <v>0</v>
      </c>
      <c r="AQ71" s="39"/>
    </row>
    <row r="72" s="148" customFormat="true" ht="15" hidden="true" customHeight="true" outlineLevel="1" collapsed="false">
      <c r="A72" s="175" t="s">
        <v>158</v>
      </c>
      <c r="B72" s="255"/>
      <c r="C72" s="255"/>
      <c r="D72" s="255"/>
      <c r="E72" s="255"/>
      <c r="F72" s="255"/>
      <c r="G72" s="255"/>
      <c r="H72" s="255"/>
      <c r="I72" s="255"/>
      <c r="J72" s="255"/>
      <c r="K72" s="255"/>
      <c r="L72" s="255"/>
      <c r="M72" s="255"/>
      <c r="N72" s="255"/>
      <c r="O72" s="255"/>
      <c r="P72" s="255"/>
      <c r="Q72" s="255"/>
      <c r="R72" s="255"/>
      <c r="S72" s="255"/>
      <c r="T72" s="255"/>
      <c r="U72" s="255"/>
      <c r="V72" s="255"/>
      <c r="W72" s="255"/>
      <c r="X72" s="255"/>
      <c r="Y72" s="255"/>
      <c r="Z72" s="255"/>
      <c r="AA72" s="255"/>
      <c r="AB72" s="255"/>
      <c r="AC72" s="255"/>
      <c r="AD72" s="255"/>
      <c r="AE72" s="255"/>
      <c r="AF72" s="255"/>
      <c r="AG72" s="168" t="str">
        <f aca="false">A72</f>
        <v>Start pl. night shift Yes/No</v>
      </c>
      <c r="AH72" s="184"/>
      <c r="AI72" s="192"/>
      <c r="AJ72" s="198" t="n">
        <f aca="true">IFERROR(SUMPRODUCT((B72:AF72=INDEX(T.JaNein.Bereich,1))*(B72:AF72&lt;&gt;"")),0)</f>
        <v>0</v>
      </c>
      <c r="AK72" s="235"/>
      <c r="AL72" s="198" t="n">
        <f aca="false">AL69</f>
        <v>0</v>
      </c>
      <c r="AM72" s="172"/>
      <c r="AN72" s="253" t="n">
        <f aca="false">AN69</f>
        <v>0</v>
      </c>
      <c r="AO72" s="172"/>
      <c r="AP72" s="172"/>
      <c r="AQ72" s="39"/>
    </row>
    <row r="73" s="148" customFormat="true" ht="15" hidden="false" customHeight="true" outlineLevel="1" collapsed="false">
      <c r="A73" s="175" t="s">
        <v>159</v>
      </c>
      <c r="B73" s="256" t="n">
        <f aca="false">IF(B$12=0,0,IF(OR(T.50_Vetsuisse,T.ServiceCenterIrchel),ROUND(B14-B13+MAX(0,T.Nachtab-MAX(T.Nachtbis,B14))-MAX(0,T.Nachtab-MAX(B13,T.Nachtbis))+(B13&gt;B14)*(1+T.Nachtbis-T.Nachtab)+B16-B15+MAX(0,T.Nachtab-MAX(T.Nachtbis,B16))-MAX(0,T.Nachtab-MAX(B15,T.Nachtbis))+(B15&gt;B16)*(1+T.Nachtbis-T.Nachtab)+B18-B17+MAX(0,T.Nachtab-MAX(T.Nachtbis,B18))-MAX(0,T.Nachtab-MAX(B17,T.Nachtbis))+(B17&gt;B18)*(1+T.Nachtbis-T.Nachtab)+B20-B19+MAX(0,T.Nachtab-MAX(T.Nachtbis,B20))-MAX(0,T.Nachtab-MAX(B19,T.Nachtbis))+(B19&gt;B20)*(1+T.Nachtbis-T.Nachtab)+B22-B21+MAX(0,T.Nachtab-MAX(T.Nachtbis,B22))-MAX(0,T.Nachtab-MAX(B21,T.Nachtbis))+(B21&gt;B22)*(1+T.Nachtbis-T.Nachtab),9), IF(AND(WEEKDAY(B$10,2)&lt;6,B$11&lt;&gt;0),ROUND(B36-B35+MAX(0,T.Nachtab-MAX(T.Nachtbis,B36))-MAX(0,T.Nachtab-MAX(B35,T.Nachtbis))+(B35&gt;B36)*(1+T.Nachtbis-T.Nachtab)+B38-B37+MAX(0,T.Nachtab-MAX(T.Nachtbis,B38))-MAX(0,T.Nachtab-MAX(B37,T.Nachtbis))+(B37&gt;B38)*(1+T.Nachtbis-T.Nachtab)+B40-B39+MAX(0,T.Nachtab-MAX(T.Nachtbis,B40))-MAX(0,T.Nachtab-MAX(B39,T.Nachtbis))+(B39&gt;B40)*(1+T.Nachtbis-T.Nachtab)+B42-B41+MAX(0,T.Nachtab-MAX(T.Nachtbis,B42))-MAX(0,T.Nachtab-MAX(B41,T.Nachtbis))+(B41&gt;B42)*(1+T.Nachtbis-T.Nachtab)+B44-B43+MAX(0,T.Nachtab-MAX(T.Nachtbis,B44))-MAX(0,T.Nachtab-MAX(B43,T.Nachtbis))+(B43&gt;B44)*(1+T.Nachtbis-T.Nachtab),9),0)))</f>
        <v>0</v>
      </c>
      <c r="C73" s="256" t="n">
        <f aca="false">IF(C$12=0,0,IF(OR(T.50_Vetsuisse,T.ServiceCenterIrchel),ROUND(C14-C13+MAX(0,T.Nachtab-MAX(T.Nachtbis,C14))-MAX(0,T.Nachtab-MAX(C13,T.Nachtbis))+(C13&gt;C14)*(1+T.Nachtbis-T.Nachtab)+C16-C15+MAX(0,T.Nachtab-MAX(T.Nachtbis,C16))-MAX(0,T.Nachtab-MAX(C15,T.Nachtbis))+(C15&gt;C16)*(1+T.Nachtbis-T.Nachtab)+C18-C17+MAX(0,T.Nachtab-MAX(T.Nachtbis,C18))-MAX(0,T.Nachtab-MAX(C17,T.Nachtbis))+(C17&gt;C18)*(1+T.Nachtbis-T.Nachtab)+C20-C19+MAX(0,T.Nachtab-MAX(T.Nachtbis,C20))-MAX(0,T.Nachtab-MAX(C19,T.Nachtbis))+(C19&gt;C20)*(1+T.Nachtbis-T.Nachtab)+C22-C21+MAX(0,T.Nachtab-MAX(T.Nachtbis,C22))-MAX(0,T.Nachtab-MAX(C21,T.Nachtbis))+(C21&gt;C22)*(1+T.Nachtbis-T.Nachtab),9), IF(AND(WEEKDAY(C$10,2)&lt;6,C$11&lt;&gt;0),ROUND(C36-C35+MAX(0,T.Nachtab-MAX(T.Nachtbis,C36))-MAX(0,T.Nachtab-MAX(C35,T.Nachtbis))+(C35&gt;C36)*(1+T.Nachtbis-T.Nachtab)+C38-C37+MAX(0,T.Nachtab-MAX(T.Nachtbis,C38))-MAX(0,T.Nachtab-MAX(C37,T.Nachtbis))+(C37&gt;C38)*(1+T.Nachtbis-T.Nachtab)+C40-C39+MAX(0,T.Nachtab-MAX(T.Nachtbis,C40))-MAX(0,T.Nachtab-MAX(C39,T.Nachtbis))+(C39&gt;C40)*(1+T.Nachtbis-T.Nachtab)+C42-C41+MAX(0,T.Nachtab-MAX(T.Nachtbis,C42))-MAX(0,T.Nachtab-MAX(C41,T.Nachtbis))+(C41&gt;C42)*(1+T.Nachtbis-T.Nachtab)+C44-C43+MAX(0,T.Nachtab-MAX(T.Nachtbis,C44))-MAX(0,T.Nachtab-MAX(C43,T.Nachtbis))+(C43&gt;C44)*(1+T.Nachtbis-T.Nachtab),9),0)))</f>
        <v>0</v>
      </c>
      <c r="D73" s="256" t="n">
        <f aca="false">IF(D$12=0,0,IF(OR(T.50_Vetsuisse,T.ServiceCenterIrchel),ROUND(D14-D13+MAX(0,T.Nachtab-MAX(T.Nachtbis,D14))-MAX(0,T.Nachtab-MAX(D13,T.Nachtbis))+(D13&gt;D14)*(1+T.Nachtbis-T.Nachtab)+D16-D15+MAX(0,T.Nachtab-MAX(T.Nachtbis,D16))-MAX(0,T.Nachtab-MAX(D15,T.Nachtbis))+(D15&gt;D16)*(1+T.Nachtbis-T.Nachtab)+D18-D17+MAX(0,T.Nachtab-MAX(T.Nachtbis,D18))-MAX(0,T.Nachtab-MAX(D17,T.Nachtbis))+(D17&gt;D18)*(1+T.Nachtbis-T.Nachtab)+D20-D19+MAX(0,T.Nachtab-MAX(T.Nachtbis,D20))-MAX(0,T.Nachtab-MAX(D19,T.Nachtbis))+(D19&gt;D20)*(1+T.Nachtbis-T.Nachtab)+D22-D21+MAX(0,T.Nachtab-MAX(T.Nachtbis,D22))-MAX(0,T.Nachtab-MAX(D21,T.Nachtbis))+(D21&gt;D22)*(1+T.Nachtbis-T.Nachtab),9), IF(AND(WEEKDAY(D$10,2)&lt;6,D$11&lt;&gt;0),ROUND(D36-D35+MAX(0,T.Nachtab-MAX(T.Nachtbis,D36))-MAX(0,T.Nachtab-MAX(D35,T.Nachtbis))+(D35&gt;D36)*(1+T.Nachtbis-T.Nachtab)+D38-D37+MAX(0,T.Nachtab-MAX(T.Nachtbis,D38))-MAX(0,T.Nachtab-MAX(D37,T.Nachtbis))+(D37&gt;D38)*(1+T.Nachtbis-T.Nachtab)+D40-D39+MAX(0,T.Nachtab-MAX(T.Nachtbis,D40))-MAX(0,T.Nachtab-MAX(D39,T.Nachtbis))+(D39&gt;D40)*(1+T.Nachtbis-T.Nachtab)+D42-D41+MAX(0,T.Nachtab-MAX(T.Nachtbis,D42))-MAX(0,T.Nachtab-MAX(D41,T.Nachtbis))+(D41&gt;D42)*(1+T.Nachtbis-T.Nachtab)+D44-D43+MAX(0,T.Nachtab-MAX(T.Nachtbis,D44))-MAX(0,T.Nachtab-MAX(D43,T.Nachtbis))+(D43&gt;D44)*(1+T.Nachtbis-T.Nachtab),9),0)))</f>
        <v>0</v>
      </c>
      <c r="E73" s="256" t="n">
        <f aca="false">IF(E$12=0,0,IF(OR(T.50_Vetsuisse,T.ServiceCenterIrchel),ROUND(E14-E13+MAX(0,T.Nachtab-MAX(T.Nachtbis,E14))-MAX(0,T.Nachtab-MAX(E13,T.Nachtbis))+(E13&gt;E14)*(1+T.Nachtbis-T.Nachtab)+E16-E15+MAX(0,T.Nachtab-MAX(T.Nachtbis,E16))-MAX(0,T.Nachtab-MAX(E15,T.Nachtbis))+(E15&gt;E16)*(1+T.Nachtbis-T.Nachtab)+E18-E17+MAX(0,T.Nachtab-MAX(T.Nachtbis,E18))-MAX(0,T.Nachtab-MAX(E17,T.Nachtbis))+(E17&gt;E18)*(1+T.Nachtbis-T.Nachtab)+E20-E19+MAX(0,T.Nachtab-MAX(T.Nachtbis,E20))-MAX(0,T.Nachtab-MAX(E19,T.Nachtbis))+(E19&gt;E20)*(1+T.Nachtbis-T.Nachtab)+E22-E21+MAX(0,T.Nachtab-MAX(T.Nachtbis,E22))-MAX(0,T.Nachtab-MAX(E21,T.Nachtbis))+(E21&gt;E22)*(1+T.Nachtbis-T.Nachtab),9), IF(AND(WEEKDAY(E$10,2)&lt;6,E$11&lt;&gt;0),ROUND(E36-E35+MAX(0,T.Nachtab-MAX(T.Nachtbis,E36))-MAX(0,T.Nachtab-MAX(E35,T.Nachtbis))+(E35&gt;E36)*(1+T.Nachtbis-T.Nachtab)+E38-E37+MAX(0,T.Nachtab-MAX(T.Nachtbis,E38))-MAX(0,T.Nachtab-MAX(E37,T.Nachtbis))+(E37&gt;E38)*(1+T.Nachtbis-T.Nachtab)+E40-E39+MAX(0,T.Nachtab-MAX(T.Nachtbis,E40))-MAX(0,T.Nachtab-MAX(E39,T.Nachtbis))+(E39&gt;E40)*(1+T.Nachtbis-T.Nachtab)+E42-E41+MAX(0,T.Nachtab-MAX(T.Nachtbis,E42))-MAX(0,T.Nachtab-MAX(E41,T.Nachtbis))+(E41&gt;E42)*(1+T.Nachtbis-T.Nachtab)+E44-E43+MAX(0,T.Nachtab-MAX(T.Nachtbis,E44))-MAX(0,T.Nachtab-MAX(E43,T.Nachtbis))+(E43&gt;E44)*(1+T.Nachtbis-T.Nachtab),9),0)))</f>
        <v>0</v>
      </c>
      <c r="F73" s="256" t="n">
        <f aca="false">IF(F$12=0,0,IF(OR(T.50_Vetsuisse,T.ServiceCenterIrchel),ROUND(F14-F13+MAX(0,T.Nachtab-MAX(T.Nachtbis,F14))-MAX(0,T.Nachtab-MAX(F13,T.Nachtbis))+(F13&gt;F14)*(1+T.Nachtbis-T.Nachtab)+F16-F15+MAX(0,T.Nachtab-MAX(T.Nachtbis,F16))-MAX(0,T.Nachtab-MAX(F15,T.Nachtbis))+(F15&gt;F16)*(1+T.Nachtbis-T.Nachtab)+F18-F17+MAX(0,T.Nachtab-MAX(T.Nachtbis,F18))-MAX(0,T.Nachtab-MAX(F17,T.Nachtbis))+(F17&gt;F18)*(1+T.Nachtbis-T.Nachtab)+F20-F19+MAX(0,T.Nachtab-MAX(T.Nachtbis,F20))-MAX(0,T.Nachtab-MAX(F19,T.Nachtbis))+(F19&gt;F20)*(1+T.Nachtbis-T.Nachtab)+F22-F21+MAX(0,T.Nachtab-MAX(T.Nachtbis,F22))-MAX(0,T.Nachtab-MAX(F21,T.Nachtbis))+(F21&gt;F22)*(1+T.Nachtbis-T.Nachtab),9), IF(AND(WEEKDAY(F$10,2)&lt;6,F$11&lt;&gt;0),ROUND(F36-F35+MAX(0,T.Nachtab-MAX(T.Nachtbis,F36))-MAX(0,T.Nachtab-MAX(F35,T.Nachtbis))+(F35&gt;F36)*(1+T.Nachtbis-T.Nachtab)+F38-F37+MAX(0,T.Nachtab-MAX(T.Nachtbis,F38))-MAX(0,T.Nachtab-MAX(F37,T.Nachtbis))+(F37&gt;F38)*(1+T.Nachtbis-T.Nachtab)+F40-F39+MAX(0,T.Nachtab-MAX(T.Nachtbis,F40))-MAX(0,T.Nachtab-MAX(F39,T.Nachtbis))+(F39&gt;F40)*(1+T.Nachtbis-T.Nachtab)+F42-F41+MAX(0,T.Nachtab-MAX(T.Nachtbis,F42))-MAX(0,T.Nachtab-MAX(F41,T.Nachtbis))+(F41&gt;F42)*(1+T.Nachtbis-T.Nachtab)+F44-F43+MAX(0,T.Nachtab-MAX(T.Nachtbis,F44))-MAX(0,T.Nachtab-MAX(F43,T.Nachtbis))+(F43&gt;F44)*(1+T.Nachtbis-T.Nachtab),9),0)))</f>
        <v>0</v>
      </c>
      <c r="G73" s="256" t="n">
        <f aca="false">IF(G$12=0,0,IF(OR(T.50_Vetsuisse,T.ServiceCenterIrchel),ROUND(G14-G13+MAX(0,T.Nachtab-MAX(T.Nachtbis,G14))-MAX(0,T.Nachtab-MAX(G13,T.Nachtbis))+(G13&gt;G14)*(1+T.Nachtbis-T.Nachtab)+G16-G15+MAX(0,T.Nachtab-MAX(T.Nachtbis,G16))-MAX(0,T.Nachtab-MAX(G15,T.Nachtbis))+(G15&gt;G16)*(1+T.Nachtbis-T.Nachtab)+G18-G17+MAX(0,T.Nachtab-MAX(T.Nachtbis,G18))-MAX(0,T.Nachtab-MAX(G17,T.Nachtbis))+(G17&gt;G18)*(1+T.Nachtbis-T.Nachtab)+G20-G19+MAX(0,T.Nachtab-MAX(T.Nachtbis,G20))-MAX(0,T.Nachtab-MAX(G19,T.Nachtbis))+(G19&gt;G20)*(1+T.Nachtbis-T.Nachtab)+G22-G21+MAX(0,T.Nachtab-MAX(T.Nachtbis,G22))-MAX(0,T.Nachtab-MAX(G21,T.Nachtbis))+(G21&gt;G22)*(1+T.Nachtbis-T.Nachtab),9), IF(AND(WEEKDAY(G$10,2)&lt;6,G$11&lt;&gt;0),ROUND(G36-G35+MAX(0,T.Nachtab-MAX(T.Nachtbis,G36))-MAX(0,T.Nachtab-MAX(G35,T.Nachtbis))+(G35&gt;G36)*(1+T.Nachtbis-T.Nachtab)+G38-G37+MAX(0,T.Nachtab-MAX(T.Nachtbis,G38))-MAX(0,T.Nachtab-MAX(G37,T.Nachtbis))+(G37&gt;G38)*(1+T.Nachtbis-T.Nachtab)+G40-G39+MAX(0,T.Nachtab-MAX(T.Nachtbis,G40))-MAX(0,T.Nachtab-MAX(G39,T.Nachtbis))+(G39&gt;G40)*(1+T.Nachtbis-T.Nachtab)+G42-G41+MAX(0,T.Nachtab-MAX(T.Nachtbis,G42))-MAX(0,T.Nachtab-MAX(G41,T.Nachtbis))+(G41&gt;G42)*(1+T.Nachtbis-T.Nachtab)+G44-G43+MAX(0,T.Nachtab-MAX(T.Nachtbis,G44))-MAX(0,T.Nachtab-MAX(G43,T.Nachtbis))+(G43&gt;G44)*(1+T.Nachtbis-T.Nachtab),9),0)))</f>
        <v>0</v>
      </c>
      <c r="H73" s="256" t="n">
        <f aca="false">IF(H$12=0,0,IF(OR(T.50_Vetsuisse,T.ServiceCenterIrchel),ROUND(H14-H13+MAX(0,T.Nachtab-MAX(T.Nachtbis,H14))-MAX(0,T.Nachtab-MAX(H13,T.Nachtbis))+(H13&gt;H14)*(1+T.Nachtbis-T.Nachtab)+H16-H15+MAX(0,T.Nachtab-MAX(T.Nachtbis,H16))-MAX(0,T.Nachtab-MAX(H15,T.Nachtbis))+(H15&gt;H16)*(1+T.Nachtbis-T.Nachtab)+H18-H17+MAX(0,T.Nachtab-MAX(T.Nachtbis,H18))-MAX(0,T.Nachtab-MAX(H17,T.Nachtbis))+(H17&gt;H18)*(1+T.Nachtbis-T.Nachtab)+H20-H19+MAX(0,T.Nachtab-MAX(T.Nachtbis,H20))-MAX(0,T.Nachtab-MAX(H19,T.Nachtbis))+(H19&gt;H20)*(1+T.Nachtbis-T.Nachtab)+H22-H21+MAX(0,T.Nachtab-MAX(T.Nachtbis,H22))-MAX(0,T.Nachtab-MAX(H21,T.Nachtbis))+(H21&gt;H22)*(1+T.Nachtbis-T.Nachtab),9), IF(AND(WEEKDAY(H$10,2)&lt;6,H$11&lt;&gt;0),ROUND(H36-H35+MAX(0,T.Nachtab-MAX(T.Nachtbis,H36))-MAX(0,T.Nachtab-MAX(H35,T.Nachtbis))+(H35&gt;H36)*(1+T.Nachtbis-T.Nachtab)+H38-H37+MAX(0,T.Nachtab-MAX(T.Nachtbis,H38))-MAX(0,T.Nachtab-MAX(H37,T.Nachtbis))+(H37&gt;H38)*(1+T.Nachtbis-T.Nachtab)+H40-H39+MAX(0,T.Nachtab-MAX(T.Nachtbis,H40))-MAX(0,T.Nachtab-MAX(H39,T.Nachtbis))+(H39&gt;H40)*(1+T.Nachtbis-T.Nachtab)+H42-H41+MAX(0,T.Nachtab-MAX(T.Nachtbis,H42))-MAX(0,T.Nachtab-MAX(H41,T.Nachtbis))+(H41&gt;H42)*(1+T.Nachtbis-T.Nachtab)+H44-H43+MAX(0,T.Nachtab-MAX(T.Nachtbis,H44))-MAX(0,T.Nachtab-MAX(H43,T.Nachtbis))+(H43&gt;H44)*(1+T.Nachtbis-T.Nachtab),9),0)))</f>
        <v>0</v>
      </c>
      <c r="I73" s="256" t="n">
        <f aca="false">IF(I$12=0,0,IF(OR(T.50_Vetsuisse,T.ServiceCenterIrchel),ROUND(I14-I13+MAX(0,T.Nachtab-MAX(T.Nachtbis,I14))-MAX(0,T.Nachtab-MAX(I13,T.Nachtbis))+(I13&gt;I14)*(1+T.Nachtbis-T.Nachtab)+I16-I15+MAX(0,T.Nachtab-MAX(T.Nachtbis,I16))-MAX(0,T.Nachtab-MAX(I15,T.Nachtbis))+(I15&gt;I16)*(1+T.Nachtbis-T.Nachtab)+I18-I17+MAX(0,T.Nachtab-MAX(T.Nachtbis,I18))-MAX(0,T.Nachtab-MAX(I17,T.Nachtbis))+(I17&gt;I18)*(1+T.Nachtbis-T.Nachtab)+I20-I19+MAX(0,T.Nachtab-MAX(T.Nachtbis,I20))-MAX(0,T.Nachtab-MAX(I19,T.Nachtbis))+(I19&gt;I20)*(1+T.Nachtbis-T.Nachtab)+I22-I21+MAX(0,T.Nachtab-MAX(T.Nachtbis,I22))-MAX(0,T.Nachtab-MAX(I21,T.Nachtbis))+(I21&gt;I22)*(1+T.Nachtbis-T.Nachtab),9), IF(AND(WEEKDAY(I$10,2)&lt;6,I$11&lt;&gt;0),ROUND(I36-I35+MAX(0,T.Nachtab-MAX(T.Nachtbis,I36))-MAX(0,T.Nachtab-MAX(I35,T.Nachtbis))+(I35&gt;I36)*(1+T.Nachtbis-T.Nachtab)+I38-I37+MAX(0,T.Nachtab-MAX(T.Nachtbis,I38))-MAX(0,T.Nachtab-MAX(I37,T.Nachtbis))+(I37&gt;I38)*(1+T.Nachtbis-T.Nachtab)+I40-I39+MAX(0,T.Nachtab-MAX(T.Nachtbis,I40))-MAX(0,T.Nachtab-MAX(I39,T.Nachtbis))+(I39&gt;I40)*(1+T.Nachtbis-T.Nachtab)+I42-I41+MAX(0,T.Nachtab-MAX(T.Nachtbis,I42))-MAX(0,T.Nachtab-MAX(I41,T.Nachtbis))+(I41&gt;I42)*(1+T.Nachtbis-T.Nachtab)+I44-I43+MAX(0,T.Nachtab-MAX(T.Nachtbis,I44))-MAX(0,T.Nachtab-MAX(I43,T.Nachtbis))+(I43&gt;I44)*(1+T.Nachtbis-T.Nachtab),9),0)))</f>
        <v>0</v>
      </c>
      <c r="J73" s="256" t="n">
        <f aca="false">IF(J$12=0,0,IF(OR(T.50_Vetsuisse,T.ServiceCenterIrchel),ROUND(J14-J13+MAX(0,T.Nachtab-MAX(T.Nachtbis,J14))-MAX(0,T.Nachtab-MAX(J13,T.Nachtbis))+(J13&gt;J14)*(1+T.Nachtbis-T.Nachtab)+J16-J15+MAX(0,T.Nachtab-MAX(T.Nachtbis,J16))-MAX(0,T.Nachtab-MAX(J15,T.Nachtbis))+(J15&gt;J16)*(1+T.Nachtbis-T.Nachtab)+J18-J17+MAX(0,T.Nachtab-MAX(T.Nachtbis,J18))-MAX(0,T.Nachtab-MAX(J17,T.Nachtbis))+(J17&gt;J18)*(1+T.Nachtbis-T.Nachtab)+J20-J19+MAX(0,T.Nachtab-MAX(T.Nachtbis,J20))-MAX(0,T.Nachtab-MAX(J19,T.Nachtbis))+(J19&gt;J20)*(1+T.Nachtbis-T.Nachtab)+J22-J21+MAX(0,T.Nachtab-MAX(T.Nachtbis,J22))-MAX(0,T.Nachtab-MAX(J21,T.Nachtbis))+(J21&gt;J22)*(1+T.Nachtbis-T.Nachtab),9), IF(AND(WEEKDAY(J$10,2)&lt;6,J$11&lt;&gt;0),ROUND(J36-J35+MAX(0,T.Nachtab-MAX(T.Nachtbis,J36))-MAX(0,T.Nachtab-MAX(J35,T.Nachtbis))+(J35&gt;J36)*(1+T.Nachtbis-T.Nachtab)+J38-J37+MAX(0,T.Nachtab-MAX(T.Nachtbis,J38))-MAX(0,T.Nachtab-MAX(J37,T.Nachtbis))+(J37&gt;J38)*(1+T.Nachtbis-T.Nachtab)+J40-J39+MAX(0,T.Nachtab-MAX(T.Nachtbis,J40))-MAX(0,T.Nachtab-MAX(J39,T.Nachtbis))+(J39&gt;J40)*(1+T.Nachtbis-T.Nachtab)+J42-J41+MAX(0,T.Nachtab-MAX(T.Nachtbis,J42))-MAX(0,T.Nachtab-MAX(J41,T.Nachtbis))+(J41&gt;J42)*(1+T.Nachtbis-T.Nachtab)+J44-J43+MAX(0,T.Nachtab-MAX(T.Nachtbis,J44))-MAX(0,T.Nachtab-MAX(J43,T.Nachtbis))+(J43&gt;J44)*(1+T.Nachtbis-T.Nachtab),9),0)))</f>
        <v>0</v>
      </c>
      <c r="K73" s="256" t="n">
        <f aca="false">IF(K$12=0,0,IF(OR(T.50_Vetsuisse,T.ServiceCenterIrchel),ROUND(K14-K13+MAX(0,T.Nachtab-MAX(T.Nachtbis,K14))-MAX(0,T.Nachtab-MAX(K13,T.Nachtbis))+(K13&gt;K14)*(1+T.Nachtbis-T.Nachtab)+K16-K15+MAX(0,T.Nachtab-MAX(T.Nachtbis,K16))-MAX(0,T.Nachtab-MAX(K15,T.Nachtbis))+(K15&gt;K16)*(1+T.Nachtbis-T.Nachtab)+K18-K17+MAX(0,T.Nachtab-MAX(T.Nachtbis,K18))-MAX(0,T.Nachtab-MAX(K17,T.Nachtbis))+(K17&gt;K18)*(1+T.Nachtbis-T.Nachtab)+K20-K19+MAX(0,T.Nachtab-MAX(T.Nachtbis,K20))-MAX(0,T.Nachtab-MAX(K19,T.Nachtbis))+(K19&gt;K20)*(1+T.Nachtbis-T.Nachtab)+K22-K21+MAX(0,T.Nachtab-MAX(T.Nachtbis,K22))-MAX(0,T.Nachtab-MAX(K21,T.Nachtbis))+(K21&gt;K22)*(1+T.Nachtbis-T.Nachtab),9), IF(AND(WEEKDAY(K$10,2)&lt;6,K$11&lt;&gt;0),ROUND(K36-K35+MAX(0,T.Nachtab-MAX(T.Nachtbis,K36))-MAX(0,T.Nachtab-MAX(K35,T.Nachtbis))+(K35&gt;K36)*(1+T.Nachtbis-T.Nachtab)+K38-K37+MAX(0,T.Nachtab-MAX(T.Nachtbis,K38))-MAX(0,T.Nachtab-MAX(K37,T.Nachtbis))+(K37&gt;K38)*(1+T.Nachtbis-T.Nachtab)+K40-K39+MAX(0,T.Nachtab-MAX(T.Nachtbis,K40))-MAX(0,T.Nachtab-MAX(K39,T.Nachtbis))+(K39&gt;K40)*(1+T.Nachtbis-T.Nachtab)+K42-K41+MAX(0,T.Nachtab-MAX(T.Nachtbis,K42))-MAX(0,T.Nachtab-MAX(K41,T.Nachtbis))+(K41&gt;K42)*(1+T.Nachtbis-T.Nachtab)+K44-K43+MAX(0,T.Nachtab-MAX(T.Nachtbis,K44))-MAX(0,T.Nachtab-MAX(K43,T.Nachtbis))+(K43&gt;K44)*(1+T.Nachtbis-T.Nachtab),9),0)))</f>
        <v>0</v>
      </c>
      <c r="L73" s="256" t="n">
        <f aca="false">IF(L$12=0,0,IF(OR(T.50_Vetsuisse,T.ServiceCenterIrchel),ROUND(L14-L13+MAX(0,T.Nachtab-MAX(T.Nachtbis,L14))-MAX(0,T.Nachtab-MAX(L13,T.Nachtbis))+(L13&gt;L14)*(1+T.Nachtbis-T.Nachtab)+L16-L15+MAX(0,T.Nachtab-MAX(T.Nachtbis,L16))-MAX(0,T.Nachtab-MAX(L15,T.Nachtbis))+(L15&gt;L16)*(1+T.Nachtbis-T.Nachtab)+L18-L17+MAX(0,T.Nachtab-MAX(T.Nachtbis,L18))-MAX(0,T.Nachtab-MAX(L17,T.Nachtbis))+(L17&gt;L18)*(1+T.Nachtbis-T.Nachtab)+L20-L19+MAX(0,T.Nachtab-MAX(T.Nachtbis,L20))-MAX(0,T.Nachtab-MAX(L19,T.Nachtbis))+(L19&gt;L20)*(1+T.Nachtbis-T.Nachtab)+L22-L21+MAX(0,T.Nachtab-MAX(T.Nachtbis,L22))-MAX(0,T.Nachtab-MAX(L21,T.Nachtbis))+(L21&gt;L22)*(1+T.Nachtbis-T.Nachtab),9), IF(AND(WEEKDAY(L$10,2)&lt;6,L$11&lt;&gt;0),ROUND(L36-L35+MAX(0,T.Nachtab-MAX(T.Nachtbis,L36))-MAX(0,T.Nachtab-MAX(L35,T.Nachtbis))+(L35&gt;L36)*(1+T.Nachtbis-T.Nachtab)+L38-L37+MAX(0,T.Nachtab-MAX(T.Nachtbis,L38))-MAX(0,T.Nachtab-MAX(L37,T.Nachtbis))+(L37&gt;L38)*(1+T.Nachtbis-T.Nachtab)+L40-L39+MAX(0,T.Nachtab-MAX(T.Nachtbis,L40))-MAX(0,T.Nachtab-MAX(L39,T.Nachtbis))+(L39&gt;L40)*(1+T.Nachtbis-T.Nachtab)+L42-L41+MAX(0,T.Nachtab-MAX(T.Nachtbis,L42))-MAX(0,T.Nachtab-MAX(L41,T.Nachtbis))+(L41&gt;L42)*(1+T.Nachtbis-T.Nachtab)+L44-L43+MAX(0,T.Nachtab-MAX(T.Nachtbis,L44))-MAX(0,T.Nachtab-MAX(L43,T.Nachtbis))+(L43&gt;L44)*(1+T.Nachtbis-T.Nachtab),9),0)))</f>
        <v>0</v>
      </c>
      <c r="M73" s="256" t="n">
        <f aca="false">IF(M$12=0,0,IF(OR(T.50_Vetsuisse,T.ServiceCenterIrchel),ROUND(M14-M13+MAX(0,T.Nachtab-MAX(T.Nachtbis,M14))-MAX(0,T.Nachtab-MAX(M13,T.Nachtbis))+(M13&gt;M14)*(1+T.Nachtbis-T.Nachtab)+M16-M15+MAX(0,T.Nachtab-MAX(T.Nachtbis,M16))-MAX(0,T.Nachtab-MAX(M15,T.Nachtbis))+(M15&gt;M16)*(1+T.Nachtbis-T.Nachtab)+M18-M17+MAX(0,T.Nachtab-MAX(T.Nachtbis,M18))-MAX(0,T.Nachtab-MAX(M17,T.Nachtbis))+(M17&gt;M18)*(1+T.Nachtbis-T.Nachtab)+M20-M19+MAX(0,T.Nachtab-MAX(T.Nachtbis,M20))-MAX(0,T.Nachtab-MAX(M19,T.Nachtbis))+(M19&gt;M20)*(1+T.Nachtbis-T.Nachtab)+M22-M21+MAX(0,T.Nachtab-MAX(T.Nachtbis,M22))-MAX(0,T.Nachtab-MAX(M21,T.Nachtbis))+(M21&gt;M22)*(1+T.Nachtbis-T.Nachtab),9), IF(AND(WEEKDAY(M$10,2)&lt;6,M$11&lt;&gt;0),ROUND(M36-M35+MAX(0,T.Nachtab-MAX(T.Nachtbis,M36))-MAX(0,T.Nachtab-MAX(M35,T.Nachtbis))+(M35&gt;M36)*(1+T.Nachtbis-T.Nachtab)+M38-M37+MAX(0,T.Nachtab-MAX(T.Nachtbis,M38))-MAX(0,T.Nachtab-MAX(M37,T.Nachtbis))+(M37&gt;M38)*(1+T.Nachtbis-T.Nachtab)+M40-M39+MAX(0,T.Nachtab-MAX(T.Nachtbis,M40))-MAX(0,T.Nachtab-MAX(M39,T.Nachtbis))+(M39&gt;M40)*(1+T.Nachtbis-T.Nachtab)+M42-M41+MAX(0,T.Nachtab-MAX(T.Nachtbis,M42))-MAX(0,T.Nachtab-MAX(M41,T.Nachtbis))+(M41&gt;M42)*(1+T.Nachtbis-T.Nachtab)+M44-M43+MAX(0,T.Nachtab-MAX(T.Nachtbis,M44))-MAX(0,T.Nachtab-MAX(M43,T.Nachtbis))+(M43&gt;M44)*(1+T.Nachtbis-T.Nachtab),9),0)))</f>
        <v>0</v>
      </c>
      <c r="N73" s="256" t="n">
        <f aca="false">IF(N$12=0,0,IF(OR(T.50_Vetsuisse,T.ServiceCenterIrchel),ROUND(N14-N13+MAX(0,T.Nachtab-MAX(T.Nachtbis,N14))-MAX(0,T.Nachtab-MAX(N13,T.Nachtbis))+(N13&gt;N14)*(1+T.Nachtbis-T.Nachtab)+N16-N15+MAX(0,T.Nachtab-MAX(T.Nachtbis,N16))-MAX(0,T.Nachtab-MAX(N15,T.Nachtbis))+(N15&gt;N16)*(1+T.Nachtbis-T.Nachtab)+N18-N17+MAX(0,T.Nachtab-MAX(T.Nachtbis,N18))-MAX(0,T.Nachtab-MAX(N17,T.Nachtbis))+(N17&gt;N18)*(1+T.Nachtbis-T.Nachtab)+N20-N19+MAX(0,T.Nachtab-MAX(T.Nachtbis,N20))-MAX(0,T.Nachtab-MAX(N19,T.Nachtbis))+(N19&gt;N20)*(1+T.Nachtbis-T.Nachtab)+N22-N21+MAX(0,T.Nachtab-MAX(T.Nachtbis,N22))-MAX(0,T.Nachtab-MAX(N21,T.Nachtbis))+(N21&gt;N22)*(1+T.Nachtbis-T.Nachtab),9), IF(AND(WEEKDAY(N$10,2)&lt;6,N$11&lt;&gt;0),ROUND(N36-N35+MAX(0,T.Nachtab-MAX(T.Nachtbis,N36))-MAX(0,T.Nachtab-MAX(N35,T.Nachtbis))+(N35&gt;N36)*(1+T.Nachtbis-T.Nachtab)+N38-N37+MAX(0,T.Nachtab-MAX(T.Nachtbis,N38))-MAX(0,T.Nachtab-MAX(N37,T.Nachtbis))+(N37&gt;N38)*(1+T.Nachtbis-T.Nachtab)+N40-N39+MAX(0,T.Nachtab-MAX(T.Nachtbis,N40))-MAX(0,T.Nachtab-MAX(N39,T.Nachtbis))+(N39&gt;N40)*(1+T.Nachtbis-T.Nachtab)+N42-N41+MAX(0,T.Nachtab-MAX(T.Nachtbis,N42))-MAX(0,T.Nachtab-MAX(N41,T.Nachtbis))+(N41&gt;N42)*(1+T.Nachtbis-T.Nachtab)+N44-N43+MAX(0,T.Nachtab-MAX(T.Nachtbis,N44))-MAX(0,T.Nachtab-MAX(N43,T.Nachtbis))+(N43&gt;N44)*(1+T.Nachtbis-T.Nachtab),9),0)))</f>
        <v>0</v>
      </c>
      <c r="O73" s="256" t="n">
        <f aca="false">IF(O$12=0,0,IF(OR(T.50_Vetsuisse,T.ServiceCenterIrchel),ROUND(O14-O13+MAX(0,T.Nachtab-MAX(T.Nachtbis,O14))-MAX(0,T.Nachtab-MAX(O13,T.Nachtbis))+(O13&gt;O14)*(1+T.Nachtbis-T.Nachtab)+O16-O15+MAX(0,T.Nachtab-MAX(T.Nachtbis,O16))-MAX(0,T.Nachtab-MAX(O15,T.Nachtbis))+(O15&gt;O16)*(1+T.Nachtbis-T.Nachtab)+O18-O17+MAX(0,T.Nachtab-MAX(T.Nachtbis,O18))-MAX(0,T.Nachtab-MAX(O17,T.Nachtbis))+(O17&gt;O18)*(1+T.Nachtbis-T.Nachtab)+O20-O19+MAX(0,T.Nachtab-MAX(T.Nachtbis,O20))-MAX(0,T.Nachtab-MAX(O19,T.Nachtbis))+(O19&gt;O20)*(1+T.Nachtbis-T.Nachtab)+O22-O21+MAX(0,T.Nachtab-MAX(T.Nachtbis,O22))-MAX(0,T.Nachtab-MAX(O21,T.Nachtbis))+(O21&gt;O22)*(1+T.Nachtbis-T.Nachtab),9), IF(AND(WEEKDAY(O$10,2)&lt;6,O$11&lt;&gt;0),ROUND(O36-O35+MAX(0,T.Nachtab-MAX(T.Nachtbis,O36))-MAX(0,T.Nachtab-MAX(O35,T.Nachtbis))+(O35&gt;O36)*(1+T.Nachtbis-T.Nachtab)+O38-O37+MAX(0,T.Nachtab-MAX(T.Nachtbis,O38))-MAX(0,T.Nachtab-MAX(O37,T.Nachtbis))+(O37&gt;O38)*(1+T.Nachtbis-T.Nachtab)+O40-O39+MAX(0,T.Nachtab-MAX(T.Nachtbis,O40))-MAX(0,T.Nachtab-MAX(O39,T.Nachtbis))+(O39&gt;O40)*(1+T.Nachtbis-T.Nachtab)+O42-O41+MAX(0,T.Nachtab-MAX(T.Nachtbis,O42))-MAX(0,T.Nachtab-MAX(O41,T.Nachtbis))+(O41&gt;O42)*(1+T.Nachtbis-T.Nachtab)+O44-O43+MAX(0,T.Nachtab-MAX(T.Nachtbis,O44))-MAX(0,T.Nachtab-MAX(O43,T.Nachtbis))+(O43&gt;O44)*(1+T.Nachtbis-T.Nachtab),9),0)))</f>
        <v>0</v>
      </c>
      <c r="P73" s="256" t="n">
        <f aca="false">IF(P$12=0,0,IF(OR(T.50_Vetsuisse,T.ServiceCenterIrchel),ROUND(P14-P13+MAX(0,T.Nachtab-MAX(T.Nachtbis,P14))-MAX(0,T.Nachtab-MAX(P13,T.Nachtbis))+(P13&gt;P14)*(1+T.Nachtbis-T.Nachtab)+P16-P15+MAX(0,T.Nachtab-MAX(T.Nachtbis,P16))-MAX(0,T.Nachtab-MAX(P15,T.Nachtbis))+(P15&gt;P16)*(1+T.Nachtbis-T.Nachtab)+P18-P17+MAX(0,T.Nachtab-MAX(T.Nachtbis,P18))-MAX(0,T.Nachtab-MAX(P17,T.Nachtbis))+(P17&gt;P18)*(1+T.Nachtbis-T.Nachtab)+P20-P19+MAX(0,T.Nachtab-MAX(T.Nachtbis,P20))-MAX(0,T.Nachtab-MAX(P19,T.Nachtbis))+(P19&gt;P20)*(1+T.Nachtbis-T.Nachtab)+P22-P21+MAX(0,T.Nachtab-MAX(T.Nachtbis,P22))-MAX(0,T.Nachtab-MAX(P21,T.Nachtbis))+(P21&gt;P22)*(1+T.Nachtbis-T.Nachtab),9), IF(AND(WEEKDAY(P$10,2)&lt;6,P$11&lt;&gt;0),ROUND(P36-P35+MAX(0,T.Nachtab-MAX(T.Nachtbis,P36))-MAX(0,T.Nachtab-MAX(P35,T.Nachtbis))+(P35&gt;P36)*(1+T.Nachtbis-T.Nachtab)+P38-P37+MAX(0,T.Nachtab-MAX(T.Nachtbis,P38))-MAX(0,T.Nachtab-MAX(P37,T.Nachtbis))+(P37&gt;P38)*(1+T.Nachtbis-T.Nachtab)+P40-P39+MAX(0,T.Nachtab-MAX(T.Nachtbis,P40))-MAX(0,T.Nachtab-MAX(P39,T.Nachtbis))+(P39&gt;P40)*(1+T.Nachtbis-T.Nachtab)+P42-P41+MAX(0,T.Nachtab-MAX(T.Nachtbis,P42))-MAX(0,T.Nachtab-MAX(P41,T.Nachtbis))+(P41&gt;P42)*(1+T.Nachtbis-T.Nachtab)+P44-P43+MAX(0,T.Nachtab-MAX(T.Nachtbis,P44))-MAX(0,T.Nachtab-MAX(P43,T.Nachtbis))+(P43&gt;P44)*(1+T.Nachtbis-T.Nachtab),9),0)))</f>
        <v>0</v>
      </c>
      <c r="Q73" s="256" t="n">
        <f aca="false">IF(Q$12=0,0,IF(OR(T.50_Vetsuisse,T.ServiceCenterIrchel),ROUND(Q14-Q13+MAX(0,T.Nachtab-MAX(T.Nachtbis,Q14))-MAX(0,T.Nachtab-MAX(Q13,T.Nachtbis))+(Q13&gt;Q14)*(1+T.Nachtbis-T.Nachtab)+Q16-Q15+MAX(0,T.Nachtab-MAX(T.Nachtbis,Q16))-MAX(0,T.Nachtab-MAX(Q15,T.Nachtbis))+(Q15&gt;Q16)*(1+T.Nachtbis-T.Nachtab)+Q18-Q17+MAX(0,T.Nachtab-MAX(T.Nachtbis,Q18))-MAX(0,T.Nachtab-MAX(Q17,T.Nachtbis))+(Q17&gt;Q18)*(1+T.Nachtbis-T.Nachtab)+Q20-Q19+MAX(0,T.Nachtab-MAX(T.Nachtbis,Q20))-MAX(0,T.Nachtab-MAX(Q19,T.Nachtbis))+(Q19&gt;Q20)*(1+T.Nachtbis-T.Nachtab)+Q22-Q21+MAX(0,T.Nachtab-MAX(T.Nachtbis,Q22))-MAX(0,T.Nachtab-MAX(Q21,T.Nachtbis))+(Q21&gt;Q22)*(1+T.Nachtbis-T.Nachtab),9), IF(AND(WEEKDAY(Q$10,2)&lt;6,Q$11&lt;&gt;0),ROUND(Q36-Q35+MAX(0,T.Nachtab-MAX(T.Nachtbis,Q36))-MAX(0,T.Nachtab-MAX(Q35,T.Nachtbis))+(Q35&gt;Q36)*(1+T.Nachtbis-T.Nachtab)+Q38-Q37+MAX(0,T.Nachtab-MAX(T.Nachtbis,Q38))-MAX(0,T.Nachtab-MAX(Q37,T.Nachtbis))+(Q37&gt;Q38)*(1+T.Nachtbis-T.Nachtab)+Q40-Q39+MAX(0,T.Nachtab-MAX(T.Nachtbis,Q40))-MAX(0,T.Nachtab-MAX(Q39,T.Nachtbis))+(Q39&gt;Q40)*(1+T.Nachtbis-T.Nachtab)+Q42-Q41+MAX(0,T.Nachtab-MAX(T.Nachtbis,Q42))-MAX(0,T.Nachtab-MAX(Q41,T.Nachtbis))+(Q41&gt;Q42)*(1+T.Nachtbis-T.Nachtab)+Q44-Q43+MAX(0,T.Nachtab-MAX(T.Nachtbis,Q44))-MAX(0,T.Nachtab-MAX(Q43,T.Nachtbis))+(Q43&gt;Q44)*(1+T.Nachtbis-T.Nachtab),9),0)))</f>
        <v>0</v>
      </c>
      <c r="R73" s="256" t="n">
        <f aca="false">IF(R$12=0,0,IF(OR(T.50_Vetsuisse,T.ServiceCenterIrchel),ROUND(R14-R13+MAX(0,T.Nachtab-MAX(T.Nachtbis,R14))-MAX(0,T.Nachtab-MAX(R13,T.Nachtbis))+(R13&gt;R14)*(1+T.Nachtbis-T.Nachtab)+R16-R15+MAX(0,T.Nachtab-MAX(T.Nachtbis,R16))-MAX(0,T.Nachtab-MAX(R15,T.Nachtbis))+(R15&gt;R16)*(1+T.Nachtbis-T.Nachtab)+R18-R17+MAX(0,T.Nachtab-MAX(T.Nachtbis,R18))-MAX(0,T.Nachtab-MAX(R17,T.Nachtbis))+(R17&gt;R18)*(1+T.Nachtbis-T.Nachtab)+R20-R19+MAX(0,T.Nachtab-MAX(T.Nachtbis,R20))-MAX(0,T.Nachtab-MAX(R19,T.Nachtbis))+(R19&gt;R20)*(1+T.Nachtbis-T.Nachtab)+R22-R21+MAX(0,T.Nachtab-MAX(T.Nachtbis,R22))-MAX(0,T.Nachtab-MAX(R21,T.Nachtbis))+(R21&gt;R22)*(1+T.Nachtbis-T.Nachtab),9), IF(AND(WEEKDAY(R$10,2)&lt;6,R$11&lt;&gt;0),ROUND(R36-R35+MAX(0,T.Nachtab-MAX(T.Nachtbis,R36))-MAX(0,T.Nachtab-MAX(R35,T.Nachtbis))+(R35&gt;R36)*(1+T.Nachtbis-T.Nachtab)+R38-R37+MAX(0,T.Nachtab-MAX(T.Nachtbis,R38))-MAX(0,T.Nachtab-MAX(R37,T.Nachtbis))+(R37&gt;R38)*(1+T.Nachtbis-T.Nachtab)+R40-R39+MAX(0,T.Nachtab-MAX(T.Nachtbis,R40))-MAX(0,T.Nachtab-MAX(R39,T.Nachtbis))+(R39&gt;R40)*(1+T.Nachtbis-T.Nachtab)+R42-R41+MAX(0,T.Nachtab-MAX(T.Nachtbis,R42))-MAX(0,T.Nachtab-MAX(R41,T.Nachtbis))+(R41&gt;R42)*(1+T.Nachtbis-T.Nachtab)+R44-R43+MAX(0,T.Nachtab-MAX(T.Nachtbis,R44))-MAX(0,T.Nachtab-MAX(R43,T.Nachtbis))+(R43&gt;R44)*(1+T.Nachtbis-T.Nachtab),9),0)))</f>
        <v>0</v>
      </c>
      <c r="S73" s="256" t="n">
        <f aca="false">IF(S$12=0,0,IF(OR(T.50_Vetsuisse,T.ServiceCenterIrchel),ROUND(S14-S13+MAX(0,T.Nachtab-MAX(T.Nachtbis,S14))-MAX(0,T.Nachtab-MAX(S13,T.Nachtbis))+(S13&gt;S14)*(1+T.Nachtbis-T.Nachtab)+S16-S15+MAX(0,T.Nachtab-MAX(T.Nachtbis,S16))-MAX(0,T.Nachtab-MAX(S15,T.Nachtbis))+(S15&gt;S16)*(1+T.Nachtbis-T.Nachtab)+S18-S17+MAX(0,T.Nachtab-MAX(T.Nachtbis,S18))-MAX(0,T.Nachtab-MAX(S17,T.Nachtbis))+(S17&gt;S18)*(1+T.Nachtbis-T.Nachtab)+S20-S19+MAX(0,T.Nachtab-MAX(T.Nachtbis,S20))-MAX(0,T.Nachtab-MAX(S19,T.Nachtbis))+(S19&gt;S20)*(1+T.Nachtbis-T.Nachtab)+S22-S21+MAX(0,T.Nachtab-MAX(T.Nachtbis,S22))-MAX(0,T.Nachtab-MAX(S21,T.Nachtbis))+(S21&gt;S22)*(1+T.Nachtbis-T.Nachtab),9), IF(AND(WEEKDAY(S$10,2)&lt;6,S$11&lt;&gt;0),ROUND(S36-S35+MAX(0,T.Nachtab-MAX(T.Nachtbis,S36))-MAX(0,T.Nachtab-MAX(S35,T.Nachtbis))+(S35&gt;S36)*(1+T.Nachtbis-T.Nachtab)+S38-S37+MAX(0,T.Nachtab-MAX(T.Nachtbis,S38))-MAX(0,T.Nachtab-MAX(S37,T.Nachtbis))+(S37&gt;S38)*(1+T.Nachtbis-T.Nachtab)+S40-S39+MAX(0,T.Nachtab-MAX(T.Nachtbis,S40))-MAX(0,T.Nachtab-MAX(S39,T.Nachtbis))+(S39&gt;S40)*(1+T.Nachtbis-T.Nachtab)+S42-S41+MAX(0,T.Nachtab-MAX(T.Nachtbis,S42))-MAX(0,T.Nachtab-MAX(S41,T.Nachtbis))+(S41&gt;S42)*(1+T.Nachtbis-T.Nachtab)+S44-S43+MAX(0,T.Nachtab-MAX(T.Nachtbis,S44))-MAX(0,T.Nachtab-MAX(S43,T.Nachtbis))+(S43&gt;S44)*(1+T.Nachtbis-T.Nachtab),9),0)))</f>
        <v>0</v>
      </c>
      <c r="T73" s="256" t="n">
        <f aca="false">IF(T$12=0,0,IF(OR(T.50_Vetsuisse,T.ServiceCenterIrchel),ROUND(T14-T13+MAX(0,T.Nachtab-MAX(T.Nachtbis,T14))-MAX(0,T.Nachtab-MAX(T13,T.Nachtbis))+(T13&gt;T14)*(1+T.Nachtbis-T.Nachtab)+T16-T15+MAX(0,T.Nachtab-MAX(T.Nachtbis,T16))-MAX(0,T.Nachtab-MAX(T15,T.Nachtbis))+(T15&gt;T16)*(1+T.Nachtbis-T.Nachtab)+T18-T17+MAX(0,T.Nachtab-MAX(T.Nachtbis,T18))-MAX(0,T.Nachtab-MAX(T17,T.Nachtbis))+(T17&gt;T18)*(1+T.Nachtbis-T.Nachtab)+T20-T19+MAX(0,T.Nachtab-MAX(T.Nachtbis,T20))-MAX(0,T.Nachtab-MAX(T19,T.Nachtbis))+(T19&gt;T20)*(1+T.Nachtbis-T.Nachtab)+T22-T21+MAX(0,T.Nachtab-MAX(T.Nachtbis,T22))-MAX(0,T.Nachtab-MAX(T21,T.Nachtbis))+(T21&gt;T22)*(1+T.Nachtbis-T.Nachtab),9), IF(AND(WEEKDAY(T$10,2)&lt;6,T$11&lt;&gt;0),ROUND(T36-T35+MAX(0,T.Nachtab-MAX(T.Nachtbis,T36))-MAX(0,T.Nachtab-MAX(T35,T.Nachtbis))+(T35&gt;T36)*(1+T.Nachtbis-T.Nachtab)+T38-T37+MAX(0,T.Nachtab-MAX(T.Nachtbis,T38))-MAX(0,T.Nachtab-MAX(T37,T.Nachtbis))+(T37&gt;T38)*(1+T.Nachtbis-T.Nachtab)+T40-T39+MAX(0,T.Nachtab-MAX(T.Nachtbis,T40))-MAX(0,T.Nachtab-MAX(T39,T.Nachtbis))+(T39&gt;T40)*(1+T.Nachtbis-T.Nachtab)+T42-T41+MAX(0,T.Nachtab-MAX(T.Nachtbis,T42))-MAX(0,T.Nachtab-MAX(T41,T.Nachtbis))+(T41&gt;T42)*(1+T.Nachtbis-T.Nachtab)+T44-T43+MAX(0,T.Nachtab-MAX(T.Nachtbis,T44))-MAX(0,T.Nachtab-MAX(T43,T.Nachtbis))+(T43&gt;T44)*(1+T.Nachtbis-T.Nachtab),9),0)))</f>
        <v>0</v>
      </c>
      <c r="U73" s="256" t="n">
        <f aca="false">IF(U$12=0,0,IF(OR(T.50_Vetsuisse,T.ServiceCenterIrchel),ROUND(U14-U13+MAX(0,T.Nachtab-MAX(T.Nachtbis,U14))-MAX(0,T.Nachtab-MAX(U13,T.Nachtbis))+(U13&gt;U14)*(1+T.Nachtbis-T.Nachtab)+U16-U15+MAX(0,T.Nachtab-MAX(T.Nachtbis,U16))-MAX(0,T.Nachtab-MAX(U15,T.Nachtbis))+(U15&gt;U16)*(1+T.Nachtbis-T.Nachtab)+U18-U17+MAX(0,T.Nachtab-MAX(T.Nachtbis,U18))-MAX(0,T.Nachtab-MAX(U17,T.Nachtbis))+(U17&gt;U18)*(1+T.Nachtbis-T.Nachtab)+U20-U19+MAX(0,T.Nachtab-MAX(T.Nachtbis,U20))-MAX(0,T.Nachtab-MAX(U19,T.Nachtbis))+(U19&gt;U20)*(1+T.Nachtbis-T.Nachtab)+U22-U21+MAX(0,T.Nachtab-MAX(T.Nachtbis,U22))-MAX(0,T.Nachtab-MAX(U21,T.Nachtbis))+(U21&gt;U22)*(1+T.Nachtbis-T.Nachtab),9), IF(AND(WEEKDAY(U$10,2)&lt;6,U$11&lt;&gt;0),ROUND(U36-U35+MAX(0,T.Nachtab-MAX(T.Nachtbis,U36))-MAX(0,T.Nachtab-MAX(U35,T.Nachtbis))+(U35&gt;U36)*(1+T.Nachtbis-T.Nachtab)+U38-U37+MAX(0,T.Nachtab-MAX(T.Nachtbis,U38))-MAX(0,T.Nachtab-MAX(U37,T.Nachtbis))+(U37&gt;U38)*(1+T.Nachtbis-T.Nachtab)+U40-U39+MAX(0,T.Nachtab-MAX(T.Nachtbis,U40))-MAX(0,T.Nachtab-MAX(U39,T.Nachtbis))+(U39&gt;U40)*(1+T.Nachtbis-T.Nachtab)+U42-U41+MAX(0,T.Nachtab-MAX(T.Nachtbis,U42))-MAX(0,T.Nachtab-MAX(U41,T.Nachtbis))+(U41&gt;U42)*(1+T.Nachtbis-T.Nachtab)+U44-U43+MAX(0,T.Nachtab-MAX(T.Nachtbis,U44))-MAX(0,T.Nachtab-MAX(U43,T.Nachtbis))+(U43&gt;U44)*(1+T.Nachtbis-T.Nachtab),9),0)))</f>
        <v>0</v>
      </c>
      <c r="V73" s="256" t="n">
        <f aca="false">IF(V$12=0,0,IF(OR(T.50_Vetsuisse,T.ServiceCenterIrchel),ROUND(V14-V13+MAX(0,T.Nachtab-MAX(T.Nachtbis,V14))-MAX(0,T.Nachtab-MAX(V13,T.Nachtbis))+(V13&gt;V14)*(1+T.Nachtbis-T.Nachtab)+V16-V15+MAX(0,T.Nachtab-MAX(T.Nachtbis,V16))-MAX(0,T.Nachtab-MAX(V15,T.Nachtbis))+(V15&gt;V16)*(1+T.Nachtbis-T.Nachtab)+V18-V17+MAX(0,T.Nachtab-MAX(T.Nachtbis,V18))-MAX(0,T.Nachtab-MAX(V17,T.Nachtbis))+(V17&gt;V18)*(1+T.Nachtbis-T.Nachtab)+V20-V19+MAX(0,T.Nachtab-MAX(T.Nachtbis,V20))-MAX(0,T.Nachtab-MAX(V19,T.Nachtbis))+(V19&gt;V20)*(1+T.Nachtbis-T.Nachtab)+V22-V21+MAX(0,T.Nachtab-MAX(T.Nachtbis,V22))-MAX(0,T.Nachtab-MAX(V21,T.Nachtbis))+(V21&gt;V22)*(1+T.Nachtbis-T.Nachtab),9), IF(AND(WEEKDAY(V$10,2)&lt;6,V$11&lt;&gt;0),ROUND(V36-V35+MAX(0,T.Nachtab-MAX(T.Nachtbis,V36))-MAX(0,T.Nachtab-MAX(V35,T.Nachtbis))+(V35&gt;V36)*(1+T.Nachtbis-T.Nachtab)+V38-V37+MAX(0,T.Nachtab-MAX(T.Nachtbis,V38))-MAX(0,T.Nachtab-MAX(V37,T.Nachtbis))+(V37&gt;V38)*(1+T.Nachtbis-T.Nachtab)+V40-V39+MAX(0,T.Nachtab-MAX(T.Nachtbis,V40))-MAX(0,T.Nachtab-MAX(V39,T.Nachtbis))+(V39&gt;V40)*(1+T.Nachtbis-T.Nachtab)+V42-V41+MAX(0,T.Nachtab-MAX(T.Nachtbis,V42))-MAX(0,T.Nachtab-MAX(V41,T.Nachtbis))+(V41&gt;V42)*(1+T.Nachtbis-T.Nachtab)+V44-V43+MAX(0,T.Nachtab-MAX(T.Nachtbis,V44))-MAX(0,T.Nachtab-MAX(V43,T.Nachtbis))+(V43&gt;V44)*(1+T.Nachtbis-T.Nachtab),9),0)))</f>
        <v>0</v>
      </c>
      <c r="W73" s="256" t="n">
        <f aca="false">IF(W$12=0,0,IF(OR(T.50_Vetsuisse,T.ServiceCenterIrchel),ROUND(W14-W13+MAX(0,T.Nachtab-MAX(T.Nachtbis,W14))-MAX(0,T.Nachtab-MAX(W13,T.Nachtbis))+(W13&gt;W14)*(1+T.Nachtbis-T.Nachtab)+W16-W15+MAX(0,T.Nachtab-MAX(T.Nachtbis,W16))-MAX(0,T.Nachtab-MAX(W15,T.Nachtbis))+(W15&gt;W16)*(1+T.Nachtbis-T.Nachtab)+W18-W17+MAX(0,T.Nachtab-MAX(T.Nachtbis,W18))-MAX(0,T.Nachtab-MAX(W17,T.Nachtbis))+(W17&gt;W18)*(1+T.Nachtbis-T.Nachtab)+W20-W19+MAX(0,T.Nachtab-MAX(T.Nachtbis,W20))-MAX(0,T.Nachtab-MAX(W19,T.Nachtbis))+(W19&gt;W20)*(1+T.Nachtbis-T.Nachtab)+W22-W21+MAX(0,T.Nachtab-MAX(T.Nachtbis,W22))-MAX(0,T.Nachtab-MAX(W21,T.Nachtbis))+(W21&gt;W22)*(1+T.Nachtbis-T.Nachtab),9), IF(AND(WEEKDAY(W$10,2)&lt;6,W$11&lt;&gt;0),ROUND(W36-W35+MAX(0,T.Nachtab-MAX(T.Nachtbis,W36))-MAX(0,T.Nachtab-MAX(W35,T.Nachtbis))+(W35&gt;W36)*(1+T.Nachtbis-T.Nachtab)+W38-W37+MAX(0,T.Nachtab-MAX(T.Nachtbis,W38))-MAX(0,T.Nachtab-MAX(W37,T.Nachtbis))+(W37&gt;W38)*(1+T.Nachtbis-T.Nachtab)+W40-W39+MAX(0,T.Nachtab-MAX(T.Nachtbis,W40))-MAX(0,T.Nachtab-MAX(W39,T.Nachtbis))+(W39&gt;W40)*(1+T.Nachtbis-T.Nachtab)+W42-W41+MAX(0,T.Nachtab-MAX(T.Nachtbis,W42))-MAX(0,T.Nachtab-MAX(W41,T.Nachtbis))+(W41&gt;W42)*(1+T.Nachtbis-T.Nachtab)+W44-W43+MAX(0,T.Nachtab-MAX(T.Nachtbis,W44))-MAX(0,T.Nachtab-MAX(W43,T.Nachtbis))+(W43&gt;W44)*(1+T.Nachtbis-T.Nachtab),9),0)))</f>
        <v>0</v>
      </c>
      <c r="X73" s="256" t="n">
        <f aca="false">IF(X$12=0,0,IF(OR(T.50_Vetsuisse,T.ServiceCenterIrchel),ROUND(X14-X13+MAX(0,T.Nachtab-MAX(T.Nachtbis,X14))-MAX(0,T.Nachtab-MAX(X13,T.Nachtbis))+(X13&gt;X14)*(1+T.Nachtbis-T.Nachtab)+X16-X15+MAX(0,T.Nachtab-MAX(T.Nachtbis,X16))-MAX(0,T.Nachtab-MAX(X15,T.Nachtbis))+(X15&gt;X16)*(1+T.Nachtbis-T.Nachtab)+X18-X17+MAX(0,T.Nachtab-MAX(T.Nachtbis,X18))-MAX(0,T.Nachtab-MAX(X17,T.Nachtbis))+(X17&gt;X18)*(1+T.Nachtbis-T.Nachtab)+X20-X19+MAX(0,T.Nachtab-MAX(T.Nachtbis,X20))-MAX(0,T.Nachtab-MAX(X19,T.Nachtbis))+(X19&gt;X20)*(1+T.Nachtbis-T.Nachtab)+X22-X21+MAX(0,T.Nachtab-MAX(T.Nachtbis,X22))-MAX(0,T.Nachtab-MAX(X21,T.Nachtbis))+(X21&gt;X22)*(1+T.Nachtbis-T.Nachtab),9), IF(AND(WEEKDAY(X$10,2)&lt;6,X$11&lt;&gt;0),ROUND(X36-X35+MAX(0,T.Nachtab-MAX(T.Nachtbis,X36))-MAX(0,T.Nachtab-MAX(X35,T.Nachtbis))+(X35&gt;X36)*(1+T.Nachtbis-T.Nachtab)+X38-X37+MAX(0,T.Nachtab-MAX(T.Nachtbis,X38))-MAX(0,T.Nachtab-MAX(X37,T.Nachtbis))+(X37&gt;X38)*(1+T.Nachtbis-T.Nachtab)+X40-X39+MAX(0,T.Nachtab-MAX(T.Nachtbis,X40))-MAX(0,T.Nachtab-MAX(X39,T.Nachtbis))+(X39&gt;X40)*(1+T.Nachtbis-T.Nachtab)+X42-X41+MAX(0,T.Nachtab-MAX(T.Nachtbis,X42))-MAX(0,T.Nachtab-MAX(X41,T.Nachtbis))+(X41&gt;X42)*(1+T.Nachtbis-T.Nachtab)+X44-X43+MAX(0,T.Nachtab-MAX(T.Nachtbis,X44))-MAX(0,T.Nachtab-MAX(X43,T.Nachtbis))+(X43&gt;X44)*(1+T.Nachtbis-T.Nachtab),9),0)))</f>
        <v>0</v>
      </c>
      <c r="Y73" s="256" t="n">
        <f aca="false">IF(Y$12=0,0,IF(OR(T.50_Vetsuisse,T.ServiceCenterIrchel),ROUND(Y14-Y13+MAX(0,T.Nachtab-MAX(T.Nachtbis,Y14))-MAX(0,T.Nachtab-MAX(Y13,T.Nachtbis))+(Y13&gt;Y14)*(1+T.Nachtbis-T.Nachtab)+Y16-Y15+MAX(0,T.Nachtab-MAX(T.Nachtbis,Y16))-MAX(0,T.Nachtab-MAX(Y15,T.Nachtbis))+(Y15&gt;Y16)*(1+T.Nachtbis-T.Nachtab)+Y18-Y17+MAX(0,T.Nachtab-MAX(T.Nachtbis,Y18))-MAX(0,T.Nachtab-MAX(Y17,T.Nachtbis))+(Y17&gt;Y18)*(1+T.Nachtbis-T.Nachtab)+Y20-Y19+MAX(0,T.Nachtab-MAX(T.Nachtbis,Y20))-MAX(0,T.Nachtab-MAX(Y19,T.Nachtbis))+(Y19&gt;Y20)*(1+T.Nachtbis-T.Nachtab)+Y22-Y21+MAX(0,T.Nachtab-MAX(T.Nachtbis,Y22))-MAX(0,T.Nachtab-MAX(Y21,T.Nachtbis))+(Y21&gt;Y22)*(1+T.Nachtbis-T.Nachtab),9), IF(AND(WEEKDAY(Y$10,2)&lt;6,Y$11&lt;&gt;0),ROUND(Y36-Y35+MAX(0,T.Nachtab-MAX(T.Nachtbis,Y36))-MAX(0,T.Nachtab-MAX(Y35,T.Nachtbis))+(Y35&gt;Y36)*(1+T.Nachtbis-T.Nachtab)+Y38-Y37+MAX(0,T.Nachtab-MAX(T.Nachtbis,Y38))-MAX(0,T.Nachtab-MAX(Y37,T.Nachtbis))+(Y37&gt;Y38)*(1+T.Nachtbis-T.Nachtab)+Y40-Y39+MAX(0,T.Nachtab-MAX(T.Nachtbis,Y40))-MAX(0,T.Nachtab-MAX(Y39,T.Nachtbis))+(Y39&gt;Y40)*(1+T.Nachtbis-T.Nachtab)+Y42-Y41+MAX(0,T.Nachtab-MAX(T.Nachtbis,Y42))-MAX(0,T.Nachtab-MAX(Y41,T.Nachtbis))+(Y41&gt;Y42)*(1+T.Nachtbis-T.Nachtab)+Y44-Y43+MAX(0,T.Nachtab-MAX(T.Nachtbis,Y44))-MAX(0,T.Nachtab-MAX(Y43,T.Nachtbis))+(Y43&gt;Y44)*(1+T.Nachtbis-T.Nachtab),9),0)))</f>
        <v>0</v>
      </c>
      <c r="Z73" s="256" t="n">
        <f aca="false">IF(Z$12=0,0,IF(OR(T.50_Vetsuisse,T.ServiceCenterIrchel),ROUND(Z14-Z13+MAX(0,T.Nachtab-MAX(T.Nachtbis,Z14))-MAX(0,T.Nachtab-MAX(Z13,T.Nachtbis))+(Z13&gt;Z14)*(1+T.Nachtbis-T.Nachtab)+Z16-Z15+MAX(0,T.Nachtab-MAX(T.Nachtbis,Z16))-MAX(0,T.Nachtab-MAX(Z15,T.Nachtbis))+(Z15&gt;Z16)*(1+T.Nachtbis-T.Nachtab)+Z18-Z17+MAX(0,T.Nachtab-MAX(T.Nachtbis,Z18))-MAX(0,T.Nachtab-MAX(Z17,T.Nachtbis))+(Z17&gt;Z18)*(1+T.Nachtbis-T.Nachtab)+Z20-Z19+MAX(0,T.Nachtab-MAX(T.Nachtbis,Z20))-MAX(0,T.Nachtab-MAX(Z19,T.Nachtbis))+(Z19&gt;Z20)*(1+T.Nachtbis-T.Nachtab)+Z22-Z21+MAX(0,T.Nachtab-MAX(T.Nachtbis,Z22))-MAX(0,T.Nachtab-MAX(Z21,T.Nachtbis))+(Z21&gt;Z22)*(1+T.Nachtbis-T.Nachtab),9), IF(AND(WEEKDAY(Z$10,2)&lt;6,Z$11&lt;&gt;0),ROUND(Z36-Z35+MAX(0,T.Nachtab-MAX(T.Nachtbis,Z36))-MAX(0,T.Nachtab-MAX(Z35,T.Nachtbis))+(Z35&gt;Z36)*(1+T.Nachtbis-T.Nachtab)+Z38-Z37+MAX(0,T.Nachtab-MAX(T.Nachtbis,Z38))-MAX(0,T.Nachtab-MAX(Z37,T.Nachtbis))+(Z37&gt;Z38)*(1+T.Nachtbis-T.Nachtab)+Z40-Z39+MAX(0,T.Nachtab-MAX(T.Nachtbis,Z40))-MAX(0,T.Nachtab-MAX(Z39,T.Nachtbis))+(Z39&gt;Z40)*(1+T.Nachtbis-T.Nachtab)+Z42-Z41+MAX(0,T.Nachtab-MAX(T.Nachtbis,Z42))-MAX(0,T.Nachtab-MAX(Z41,T.Nachtbis))+(Z41&gt;Z42)*(1+T.Nachtbis-T.Nachtab)+Z44-Z43+MAX(0,T.Nachtab-MAX(T.Nachtbis,Z44))-MAX(0,T.Nachtab-MAX(Z43,T.Nachtbis))+(Z43&gt;Z44)*(1+T.Nachtbis-T.Nachtab),9),0)))</f>
        <v>0</v>
      </c>
      <c r="AA73" s="256" t="n">
        <f aca="false">IF(AA$12=0,0,IF(OR(T.50_Vetsuisse,T.ServiceCenterIrchel),ROUND(AA14-AA13+MAX(0,T.Nachtab-MAX(T.Nachtbis,AA14))-MAX(0,T.Nachtab-MAX(AA13,T.Nachtbis))+(AA13&gt;AA14)*(1+T.Nachtbis-T.Nachtab)+AA16-AA15+MAX(0,T.Nachtab-MAX(T.Nachtbis,AA16))-MAX(0,T.Nachtab-MAX(AA15,T.Nachtbis))+(AA15&gt;AA16)*(1+T.Nachtbis-T.Nachtab)+AA18-AA17+MAX(0,T.Nachtab-MAX(T.Nachtbis,AA18))-MAX(0,T.Nachtab-MAX(AA17,T.Nachtbis))+(AA17&gt;AA18)*(1+T.Nachtbis-T.Nachtab)+AA20-AA19+MAX(0,T.Nachtab-MAX(T.Nachtbis,AA20))-MAX(0,T.Nachtab-MAX(AA19,T.Nachtbis))+(AA19&gt;AA20)*(1+T.Nachtbis-T.Nachtab)+AA22-AA21+MAX(0,T.Nachtab-MAX(T.Nachtbis,AA22))-MAX(0,T.Nachtab-MAX(AA21,T.Nachtbis))+(AA21&gt;AA22)*(1+T.Nachtbis-T.Nachtab),9), IF(AND(WEEKDAY(AA$10,2)&lt;6,AA$11&lt;&gt;0),ROUND(AA36-AA35+MAX(0,T.Nachtab-MAX(T.Nachtbis,AA36))-MAX(0,T.Nachtab-MAX(AA35,T.Nachtbis))+(AA35&gt;AA36)*(1+T.Nachtbis-T.Nachtab)+AA38-AA37+MAX(0,T.Nachtab-MAX(T.Nachtbis,AA38))-MAX(0,T.Nachtab-MAX(AA37,T.Nachtbis))+(AA37&gt;AA38)*(1+T.Nachtbis-T.Nachtab)+AA40-AA39+MAX(0,T.Nachtab-MAX(T.Nachtbis,AA40))-MAX(0,T.Nachtab-MAX(AA39,T.Nachtbis))+(AA39&gt;AA40)*(1+T.Nachtbis-T.Nachtab)+AA42-AA41+MAX(0,T.Nachtab-MAX(T.Nachtbis,AA42))-MAX(0,T.Nachtab-MAX(AA41,T.Nachtbis))+(AA41&gt;AA42)*(1+T.Nachtbis-T.Nachtab)+AA44-AA43+MAX(0,T.Nachtab-MAX(T.Nachtbis,AA44))-MAX(0,T.Nachtab-MAX(AA43,T.Nachtbis))+(AA43&gt;AA44)*(1+T.Nachtbis-T.Nachtab),9),0)))</f>
        <v>0</v>
      </c>
      <c r="AB73" s="256" t="n">
        <f aca="false">IF(AB$12=0,0,IF(OR(T.50_Vetsuisse,T.ServiceCenterIrchel),ROUND(AB14-AB13+MAX(0,T.Nachtab-MAX(T.Nachtbis,AB14))-MAX(0,T.Nachtab-MAX(AB13,T.Nachtbis))+(AB13&gt;AB14)*(1+T.Nachtbis-T.Nachtab)+AB16-AB15+MAX(0,T.Nachtab-MAX(T.Nachtbis,AB16))-MAX(0,T.Nachtab-MAX(AB15,T.Nachtbis))+(AB15&gt;AB16)*(1+T.Nachtbis-T.Nachtab)+AB18-AB17+MAX(0,T.Nachtab-MAX(T.Nachtbis,AB18))-MAX(0,T.Nachtab-MAX(AB17,T.Nachtbis))+(AB17&gt;AB18)*(1+T.Nachtbis-T.Nachtab)+AB20-AB19+MAX(0,T.Nachtab-MAX(T.Nachtbis,AB20))-MAX(0,T.Nachtab-MAX(AB19,T.Nachtbis))+(AB19&gt;AB20)*(1+T.Nachtbis-T.Nachtab)+AB22-AB21+MAX(0,T.Nachtab-MAX(T.Nachtbis,AB22))-MAX(0,T.Nachtab-MAX(AB21,T.Nachtbis))+(AB21&gt;AB22)*(1+T.Nachtbis-T.Nachtab),9), IF(AND(WEEKDAY(AB$10,2)&lt;6,AB$11&lt;&gt;0),ROUND(AB36-AB35+MAX(0,T.Nachtab-MAX(T.Nachtbis,AB36))-MAX(0,T.Nachtab-MAX(AB35,T.Nachtbis))+(AB35&gt;AB36)*(1+T.Nachtbis-T.Nachtab)+AB38-AB37+MAX(0,T.Nachtab-MAX(T.Nachtbis,AB38))-MAX(0,T.Nachtab-MAX(AB37,T.Nachtbis))+(AB37&gt;AB38)*(1+T.Nachtbis-T.Nachtab)+AB40-AB39+MAX(0,T.Nachtab-MAX(T.Nachtbis,AB40))-MAX(0,T.Nachtab-MAX(AB39,T.Nachtbis))+(AB39&gt;AB40)*(1+T.Nachtbis-T.Nachtab)+AB42-AB41+MAX(0,T.Nachtab-MAX(T.Nachtbis,AB42))-MAX(0,T.Nachtab-MAX(AB41,T.Nachtbis))+(AB41&gt;AB42)*(1+T.Nachtbis-T.Nachtab)+AB44-AB43+MAX(0,T.Nachtab-MAX(T.Nachtbis,AB44))-MAX(0,T.Nachtab-MAX(AB43,T.Nachtbis))+(AB43&gt;AB44)*(1+T.Nachtbis-T.Nachtab),9),0)))</f>
        <v>0</v>
      </c>
      <c r="AC73" s="256" t="n">
        <f aca="false">IF(AC$12=0,0,IF(OR(T.50_Vetsuisse,T.ServiceCenterIrchel),ROUND(AC14-AC13+MAX(0,T.Nachtab-MAX(T.Nachtbis,AC14))-MAX(0,T.Nachtab-MAX(AC13,T.Nachtbis))+(AC13&gt;AC14)*(1+T.Nachtbis-T.Nachtab)+AC16-AC15+MAX(0,T.Nachtab-MAX(T.Nachtbis,AC16))-MAX(0,T.Nachtab-MAX(AC15,T.Nachtbis))+(AC15&gt;AC16)*(1+T.Nachtbis-T.Nachtab)+AC18-AC17+MAX(0,T.Nachtab-MAX(T.Nachtbis,AC18))-MAX(0,T.Nachtab-MAX(AC17,T.Nachtbis))+(AC17&gt;AC18)*(1+T.Nachtbis-T.Nachtab)+AC20-AC19+MAX(0,T.Nachtab-MAX(T.Nachtbis,AC20))-MAX(0,T.Nachtab-MAX(AC19,T.Nachtbis))+(AC19&gt;AC20)*(1+T.Nachtbis-T.Nachtab)+AC22-AC21+MAX(0,T.Nachtab-MAX(T.Nachtbis,AC22))-MAX(0,T.Nachtab-MAX(AC21,T.Nachtbis))+(AC21&gt;AC22)*(1+T.Nachtbis-T.Nachtab),9), IF(AND(WEEKDAY(AC$10,2)&lt;6,AC$11&lt;&gt;0),ROUND(AC36-AC35+MAX(0,T.Nachtab-MAX(T.Nachtbis,AC36))-MAX(0,T.Nachtab-MAX(AC35,T.Nachtbis))+(AC35&gt;AC36)*(1+T.Nachtbis-T.Nachtab)+AC38-AC37+MAX(0,T.Nachtab-MAX(T.Nachtbis,AC38))-MAX(0,T.Nachtab-MAX(AC37,T.Nachtbis))+(AC37&gt;AC38)*(1+T.Nachtbis-T.Nachtab)+AC40-AC39+MAX(0,T.Nachtab-MAX(T.Nachtbis,AC40))-MAX(0,T.Nachtab-MAX(AC39,T.Nachtbis))+(AC39&gt;AC40)*(1+T.Nachtbis-T.Nachtab)+AC42-AC41+MAX(0,T.Nachtab-MAX(T.Nachtbis,AC42))-MAX(0,T.Nachtab-MAX(AC41,T.Nachtbis))+(AC41&gt;AC42)*(1+T.Nachtbis-T.Nachtab)+AC44-AC43+MAX(0,T.Nachtab-MAX(T.Nachtbis,AC44))-MAX(0,T.Nachtab-MAX(AC43,T.Nachtbis))+(AC43&gt;AC44)*(1+T.Nachtbis-T.Nachtab),9),0)))</f>
        <v>0</v>
      </c>
      <c r="AD73" s="256" t="n">
        <f aca="false">IF(AD$12=0,0,IF(OR(T.50_Vetsuisse,T.ServiceCenterIrchel),ROUND(AD14-AD13+MAX(0,T.Nachtab-MAX(T.Nachtbis,AD14))-MAX(0,T.Nachtab-MAX(AD13,T.Nachtbis))+(AD13&gt;AD14)*(1+T.Nachtbis-T.Nachtab)+AD16-AD15+MAX(0,T.Nachtab-MAX(T.Nachtbis,AD16))-MAX(0,T.Nachtab-MAX(AD15,T.Nachtbis))+(AD15&gt;AD16)*(1+T.Nachtbis-T.Nachtab)+AD18-AD17+MAX(0,T.Nachtab-MAX(T.Nachtbis,AD18))-MAX(0,T.Nachtab-MAX(AD17,T.Nachtbis))+(AD17&gt;AD18)*(1+T.Nachtbis-T.Nachtab)+AD20-AD19+MAX(0,T.Nachtab-MAX(T.Nachtbis,AD20))-MAX(0,T.Nachtab-MAX(AD19,T.Nachtbis))+(AD19&gt;AD20)*(1+T.Nachtbis-T.Nachtab)+AD22-AD21+MAX(0,T.Nachtab-MAX(T.Nachtbis,AD22))-MAX(0,T.Nachtab-MAX(AD21,T.Nachtbis))+(AD21&gt;AD22)*(1+T.Nachtbis-T.Nachtab),9), IF(AND(WEEKDAY(AD$10,2)&lt;6,AD$11&lt;&gt;0),ROUND(AD36-AD35+MAX(0,T.Nachtab-MAX(T.Nachtbis,AD36))-MAX(0,T.Nachtab-MAX(AD35,T.Nachtbis))+(AD35&gt;AD36)*(1+T.Nachtbis-T.Nachtab)+AD38-AD37+MAX(0,T.Nachtab-MAX(T.Nachtbis,AD38))-MAX(0,T.Nachtab-MAX(AD37,T.Nachtbis))+(AD37&gt;AD38)*(1+T.Nachtbis-T.Nachtab)+AD40-AD39+MAX(0,T.Nachtab-MAX(T.Nachtbis,AD40))-MAX(0,T.Nachtab-MAX(AD39,T.Nachtbis))+(AD39&gt;AD40)*(1+T.Nachtbis-T.Nachtab)+AD42-AD41+MAX(0,T.Nachtab-MAX(T.Nachtbis,AD42))-MAX(0,T.Nachtab-MAX(AD41,T.Nachtbis))+(AD41&gt;AD42)*(1+T.Nachtbis-T.Nachtab)+AD44-AD43+MAX(0,T.Nachtab-MAX(T.Nachtbis,AD44))-MAX(0,T.Nachtab-MAX(AD43,T.Nachtbis))+(AD43&gt;AD44)*(1+T.Nachtbis-T.Nachtab),9),0)))</f>
        <v>0</v>
      </c>
      <c r="AE73" s="256" t="n">
        <f aca="false">IF(AE$12=0,0,IF(OR(T.50_Vetsuisse,T.ServiceCenterIrchel),ROUND(AE14-AE13+MAX(0,T.Nachtab-MAX(T.Nachtbis,AE14))-MAX(0,T.Nachtab-MAX(AE13,T.Nachtbis))+(AE13&gt;AE14)*(1+T.Nachtbis-T.Nachtab)+AE16-AE15+MAX(0,T.Nachtab-MAX(T.Nachtbis,AE16))-MAX(0,T.Nachtab-MAX(AE15,T.Nachtbis))+(AE15&gt;AE16)*(1+T.Nachtbis-T.Nachtab)+AE18-AE17+MAX(0,T.Nachtab-MAX(T.Nachtbis,AE18))-MAX(0,T.Nachtab-MAX(AE17,T.Nachtbis))+(AE17&gt;AE18)*(1+T.Nachtbis-T.Nachtab)+AE20-AE19+MAX(0,T.Nachtab-MAX(T.Nachtbis,AE20))-MAX(0,T.Nachtab-MAX(AE19,T.Nachtbis))+(AE19&gt;AE20)*(1+T.Nachtbis-T.Nachtab)+AE22-AE21+MAX(0,T.Nachtab-MAX(T.Nachtbis,AE22))-MAX(0,T.Nachtab-MAX(AE21,T.Nachtbis))+(AE21&gt;AE22)*(1+T.Nachtbis-T.Nachtab),9), IF(AND(WEEKDAY(AE$10,2)&lt;6,AE$11&lt;&gt;0),ROUND(AE36-AE35+MAX(0,T.Nachtab-MAX(T.Nachtbis,AE36))-MAX(0,T.Nachtab-MAX(AE35,T.Nachtbis))+(AE35&gt;AE36)*(1+T.Nachtbis-T.Nachtab)+AE38-AE37+MAX(0,T.Nachtab-MAX(T.Nachtbis,AE38))-MAX(0,T.Nachtab-MAX(AE37,T.Nachtbis))+(AE37&gt;AE38)*(1+T.Nachtbis-T.Nachtab)+AE40-AE39+MAX(0,T.Nachtab-MAX(T.Nachtbis,AE40))-MAX(0,T.Nachtab-MAX(AE39,T.Nachtbis))+(AE39&gt;AE40)*(1+T.Nachtbis-T.Nachtab)+AE42-AE41+MAX(0,T.Nachtab-MAX(T.Nachtbis,AE42))-MAX(0,T.Nachtab-MAX(AE41,T.Nachtbis))+(AE41&gt;AE42)*(1+T.Nachtbis-T.Nachtab)+AE44-AE43+MAX(0,T.Nachtab-MAX(T.Nachtbis,AE44))-MAX(0,T.Nachtab-MAX(AE43,T.Nachtbis))+(AE43&gt;AE44)*(1+T.Nachtbis-T.Nachtab),9),0)))</f>
        <v>0</v>
      </c>
      <c r="AF73" s="256" t="n">
        <f aca="false">IF(AF$12=0,0,IF(OR(T.50_Vetsuisse,T.ServiceCenterIrchel),ROUND(AF14-AF13+MAX(0,T.Nachtab-MAX(T.Nachtbis,AF14))-MAX(0,T.Nachtab-MAX(AF13,T.Nachtbis))+(AF13&gt;AF14)*(1+T.Nachtbis-T.Nachtab)+AF16-AF15+MAX(0,T.Nachtab-MAX(T.Nachtbis,AF16))-MAX(0,T.Nachtab-MAX(AF15,T.Nachtbis))+(AF15&gt;AF16)*(1+T.Nachtbis-T.Nachtab)+AF18-AF17+MAX(0,T.Nachtab-MAX(T.Nachtbis,AF18))-MAX(0,T.Nachtab-MAX(AF17,T.Nachtbis))+(AF17&gt;AF18)*(1+T.Nachtbis-T.Nachtab)+AF20-AF19+MAX(0,T.Nachtab-MAX(T.Nachtbis,AF20))-MAX(0,T.Nachtab-MAX(AF19,T.Nachtbis))+(AF19&gt;AF20)*(1+T.Nachtbis-T.Nachtab)+AF22-AF21+MAX(0,T.Nachtab-MAX(T.Nachtbis,AF22))-MAX(0,T.Nachtab-MAX(AF21,T.Nachtbis))+(AF21&gt;AF22)*(1+T.Nachtbis-T.Nachtab),9), IF(AND(WEEKDAY(AF$10,2)&lt;6,AF$11&lt;&gt;0),ROUND(AF36-AF35+MAX(0,T.Nachtab-MAX(T.Nachtbis,AF36))-MAX(0,T.Nachtab-MAX(AF35,T.Nachtbis))+(AF35&gt;AF36)*(1+T.Nachtbis-T.Nachtab)+AF38-AF37+MAX(0,T.Nachtab-MAX(T.Nachtbis,AF38))-MAX(0,T.Nachtab-MAX(AF37,T.Nachtbis))+(AF37&gt;AF38)*(1+T.Nachtbis-T.Nachtab)+AF40-AF39+MAX(0,T.Nachtab-MAX(T.Nachtbis,AF40))-MAX(0,T.Nachtab-MAX(AF39,T.Nachtbis))+(AF39&gt;AF40)*(1+T.Nachtbis-T.Nachtab)+AF42-AF41+MAX(0,T.Nachtab-MAX(T.Nachtbis,AF42))-MAX(0,T.Nachtab-MAX(AF41,T.Nachtbis))+(AF41&gt;AF42)*(1+T.Nachtbis-T.Nachtab)+AF44-AF43+MAX(0,T.Nachtab-MAX(T.Nachtbis,AF44))-MAX(0,T.Nachtab-MAX(AF43,T.Nachtbis))+(AF43&gt;AF44)*(1+T.Nachtbis-T.Nachtab),9),0)))</f>
        <v>0</v>
      </c>
      <c r="AG73" s="168" t="str">
        <f aca="false">A73</f>
        <v>Night shift</v>
      </c>
      <c r="AH73" s="197"/>
      <c r="AI73" s="207" t="n">
        <f aca="false">SUM(B73:AF73)</f>
        <v>0</v>
      </c>
      <c r="AJ73" s="198" t="n">
        <f aca="false">IF(OR(T.50_Vetsuisse,T.ServiceCenterIrchel),AI69, IFERROR(SUMPRODUCT((B77:AF77&gt;0)*(B77:AF77&lt;&gt;"")),0))</f>
        <v>0</v>
      </c>
      <c r="AK73" s="192"/>
      <c r="AL73" s="216" t="n">
        <f aca="false">IF(EB.Anwendung&lt;&gt;"",IF(MONTH(Monat.Tag1)=1,0,IF(MONTH(Monat.Tag1)=2,January!Monat.NDUeVM,IF(MONTH(Monat.Tag1)=3,February!Monat.NDUeVM,IF(MONTH(Monat.Tag1)=4,March!Monat.NDUeVM,IF(MONTH(Monat.Tag1)=5,April!Monat.NDUeVM,IF(MONTH(Monat.Tag1)=6,May!Monat.NDUeVM,IF(MONTH(Monat.Tag1)=7,June!Monat.NDUeVM,IF(MONTH(Monat.Tag1)=8,July!Monat.NDUeVM,IF(MONTH(Monat.Tag1)=9,August!Monat.NDUeVM,IF(MONTH(Monat.Tag1)=10,September!Monat.NDUeVM,IF(MONTH(Monat.Tag1)=11,Monat.NDUeVM,IF(MONTH(Monat.Tag1)=12,November!Monat.NDUeVM,"")))))))))))),"")</f>
        <v>0</v>
      </c>
      <c r="AM73" s="172"/>
      <c r="AN73" s="217" t="n">
        <f aca="false">AI73+AL73</f>
        <v>0</v>
      </c>
      <c r="AO73" s="171"/>
      <c r="AP73" s="171"/>
      <c r="AQ73" s="39"/>
    </row>
    <row r="74" s="148" customFormat="true" ht="3.75" hidden="true" customHeight="true" outlineLevel="0" collapsed="false">
      <c r="A74" s="186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179"/>
      <c r="AG74" s="168"/>
      <c r="AH74" s="146"/>
      <c r="AI74" s="179"/>
      <c r="AJ74" s="180"/>
      <c r="AK74" s="172"/>
      <c r="AL74" s="172"/>
      <c r="AM74" s="172"/>
      <c r="AN74" s="171"/>
      <c r="AO74" s="172"/>
      <c r="AP74" s="172"/>
      <c r="AQ74" s="39"/>
    </row>
    <row r="75" s="148" customFormat="true" ht="16.5" hidden="true" customHeight="true" outlineLevel="1" collapsed="false">
      <c r="A75" s="181" t="s">
        <v>160</v>
      </c>
      <c r="B75" s="182" t="n">
        <f aca="false">IF(B73&gt;0,ROUND(B73- IF(B13&lt;T.Nachtbis,MIN(T.Nachtbis-B13,B14-B13)+IF(B15&lt;T.Nachtbis,MIN(T.Nachtbis-B15,B16-B15)+IF(B17&lt;T.Nachtbis,MIN(T.Nachtbis-B17,B18-B17)+IF(B19&lt;T.Nachtbis,MIN(T.Nachtbis-B19,B20-B19)+IF(B21&lt;T.Nachtbis,MIN(T.Nachtbis-B21,B22-B21),0),0),0),0),0),9),0)</f>
        <v>0</v>
      </c>
      <c r="C75" s="182" t="n">
        <f aca="false">IF(C73&gt;0,ROUND(C73- IF(C13&lt;T.Nachtbis,MIN(T.Nachtbis-C13,C14-C13)+IF(C15&lt;T.Nachtbis,MIN(T.Nachtbis-C15,C16-C15)+IF(C17&lt;T.Nachtbis,MIN(T.Nachtbis-C17,C18-C17)+IF(C19&lt;T.Nachtbis,MIN(T.Nachtbis-C19,C20-C19)+IF(C21&lt;T.Nachtbis,MIN(T.Nachtbis-C21,C22-C21),0),0),0),0),0),9),0)</f>
        <v>0</v>
      </c>
      <c r="D75" s="182" t="n">
        <f aca="false">IF(D73&gt;0,ROUND(D73- IF(D13&lt;T.Nachtbis,MIN(T.Nachtbis-D13,D14-D13)+IF(D15&lt;T.Nachtbis,MIN(T.Nachtbis-D15,D16-D15)+IF(D17&lt;T.Nachtbis,MIN(T.Nachtbis-D17,D18-D17)+IF(D19&lt;T.Nachtbis,MIN(T.Nachtbis-D19,D20-D19)+IF(D21&lt;T.Nachtbis,MIN(T.Nachtbis-D21,D22-D21),0),0),0),0),0),9),0)</f>
        <v>0</v>
      </c>
      <c r="E75" s="182" t="n">
        <f aca="false">IF(E73&gt;0,ROUND(E73- IF(E13&lt;T.Nachtbis,MIN(T.Nachtbis-E13,E14-E13)+IF(E15&lt;T.Nachtbis,MIN(T.Nachtbis-E15,E16-E15)+IF(E17&lt;T.Nachtbis,MIN(T.Nachtbis-E17,E18-E17)+IF(E19&lt;T.Nachtbis,MIN(T.Nachtbis-E19,E20-E19)+IF(E21&lt;T.Nachtbis,MIN(T.Nachtbis-E21,E22-E21),0),0),0),0),0),9),0)</f>
        <v>0</v>
      </c>
      <c r="F75" s="182" t="n">
        <f aca="false">IF(F73&gt;0,ROUND(F73- IF(F13&lt;T.Nachtbis,MIN(T.Nachtbis-F13,F14-F13)+IF(F15&lt;T.Nachtbis,MIN(T.Nachtbis-F15,F16-F15)+IF(F17&lt;T.Nachtbis,MIN(T.Nachtbis-F17,F18-F17)+IF(F19&lt;T.Nachtbis,MIN(T.Nachtbis-F19,F20-F19)+IF(F21&lt;T.Nachtbis,MIN(T.Nachtbis-F21,F22-F21),0),0),0),0),0),9),0)</f>
        <v>0</v>
      </c>
      <c r="G75" s="182" t="n">
        <f aca="false">IF(G73&gt;0,ROUND(G73- IF(G13&lt;T.Nachtbis,MIN(T.Nachtbis-G13,G14-G13)+IF(G15&lt;T.Nachtbis,MIN(T.Nachtbis-G15,G16-G15)+IF(G17&lt;T.Nachtbis,MIN(T.Nachtbis-G17,G18-G17)+IF(G19&lt;T.Nachtbis,MIN(T.Nachtbis-G19,G20-G19)+IF(G21&lt;T.Nachtbis,MIN(T.Nachtbis-G21,G22-G21),0),0),0),0),0),9),0)</f>
        <v>0</v>
      </c>
      <c r="H75" s="182" t="n">
        <f aca="false">IF(H73&gt;0,ROUND(H73- IF(H13&lt;T.Nachtbis,MIN(T.Nachtbis-H13,H14-H13)+IF(H15&lt;T.Nachtbis,MIN(T.Nachtbis-H15,H16-H15)+IF(H17&lt;T.Nachtbis,MIN(T.Nachtbis-H17,H18-H17)+IF(H19&lt;T.Nachtbis,MIN(T.Nachtbis-H19,H20-H19)+IF(H21&lt;T.Nachtbis,MIN(T.Nachtbis-H21,H22-H21),0),0),0),0),0),9),0)</f>
        <v>0</v>
      </c>
      <c r="I75" s="182" t="n">
        <f aca="false">IF(I73&gt;0,ROUND(I73- IF(I13&lt;T.Nachtbis,MIN(T.Nachtbis-I13,I14-I13)+IF(I15&lt;T.Nachtbis,MIN(T.Nachtbis-I15,I16-I15)+IF(I17&lt;T.Nachtbis,MIN(T.Nachtbis-I17,I18-I17)+IF(I19&lt;T.Nachtbis,MIN(T.Nachtbis-I19,I20-I19)+IF(I21&lt;T.Nachtbis,MIN(T.Nachtbis-I21,I22-I21),0),0),0),0),0),9),0)</f>
        <v>0</v>
      </c>
      <c r="J75" s="182" t="n">
        <f aca="false">IF(J73&gt;0,ROUND(J73- IF(J13&lt;T.Nachtbis,MIN(T.Nachtbis-J13,J14-J13)+IF(J15&lt;T.Nachtbis,MIN(T.Nachtbis-J15,J16-J15)+IF(J17&lt;T.Nachtbis,MIN(T.Nachtbis-J17,J18-J17)+IF(J19&lt;T.Nachtbis,MIN(T.Nachtbis-J19,J20-J19)+IF(J21&lt;T.Nachtbis,MIN(T.Nachtbis-J21,J22-J21),0),0),0),0),0),9),0)</f>
        <v>0</v>
      </c>
      <c r="K75" s="182" t="n">
        <f aca="false">IF(K73&gt;0,ROUND(K73- IF(K13&lt;T.Nachtbis,MIN(T.Nachtbis-K13,K14-K13)+IF(K15&lt;T.Nachtbis,MIN(T.Nachtbis-K15,K16-K15)+IF(K17&lt;T.Nachtbis,MIN(T.Nachtbis-K17,K18-K17)+IF(K19&lt;T.Nachtbis,MIN(T.Nachtbis-K19,K20-K19)+IF(K21&lt;T.Nachtbis,MIN(T.Nachtbis-K21,K22-K21),0),0),0),0),0),9),0)</f>
        <v>0</v>
      </c>
      <c r="L75" s="182" t="n">
        <f aca="false">IF(L73&gt;0,ROUND(L73- IF(L13&lt;T.Nachtbis,MIN(T.Nachtbis-L13,L14-L13)+IF(L15&lt;T.Nachtbis,MIN(T.Nachtbis-L15,L16-L15)+IF(L17&lt;T.Nachtbis,MIN(T.Nachtbis-L17,L18-L17)+IF(L19&lt;T.Nachtbis,MIN(T.Nachtbis-L19,L20-L19)+IF(L21&lt;T.Nachtbis,MIN(T.Nachtbis-L21,L22-L21),0),0),0),0),0),9),0)</f>
        <v>0</v>
      </c>
      <c r="M75" s="182" t="n">
        <f aca="false">IF(M73&gt;0,ROUND(M73- IF(M13&lt;T.Nachtbis,MIN(T.Nachtbis-M13,M14-M13)+IF(M15&lt;T.Nachtbis,MIN(T.Nachtbis-M15,M16-M15)+IF(M17&lt;T.Nachtbis,MIN(T.Nachtbis-M17,M18-M17)+IF(M19&lt;T.Nachtbis,MIN(T.Nachtbis-M19,M20-M19)+IF(M21&lt;T.Nachtbis,MIN(T.Nachtbis-M21,M22-M21),0),0),0),0),0),9),0)</f>
        <v>0</v>
      </c>
      <c r="N75" s="182" t="n">
        <f aca="false">IF(N73&gt;0,ROUND(N73- IF(N13&lt;T.Nachtbis,MIN(T.Nachtbis-N13,N14-N13)+IF(N15&lt;T.Nachtbis,MIN(T.Nachtbis-N15,N16-N15)+IF(N17&lt;T.Nachtbis,MIN(T.Nachtbis-N17,N18-N17)+IF(N19&lt;T.Nachtbis,MIN(T.Nachtbis-N19,N20-N19)+IF(N21&lt;T.Nachtbis,MIN(T.Nachtbis-N21,N22-N21),0),0),0),0),0),9),0)</f>
        <v>0</v>
      </c>
      <c r="O75" s="182" t="n">
        <f aca="false">IF(O73&gt;0,ROUND(O73- IF(O13&lt;T.Nachtbis,MIN(T.Nachtbis-O13,O14-O13)+IF(O15&lt;T.Nachtbis,MIN(T.Nachtbis-O15,O16-O15)+IF(O17&lt;T.Nachtbis,MIN(T.Nachtbis-O17,O18-O17)+IF(O19&lt;T.Nachtbis,MIN(T.Nachtbis-O19,O20-O19)+IF(O21&lt;T.Nachtbis,MIN(T.Nachtbis-O21,O22-O21),0),0),0),0),0),9),0)</f>
        <v>0</v>
      </c>
      <c r="P75" s="182" t="n">
        <f aca="false">IF(P73&gt;0,ROUND(P73- IF(P13&lt;T.Nachtbis,MIN(T.Nachtbis-P13,P14-P13)+IF(P15&lt;T.Nachtbis,MIN(T.Nachtbis-P15,P16-P15)+IF(P17&lt;T.Nachtbis,MIN(T.Nachtbis-P17,P18-P17)+IF(P19&lt;T.Nachtbis,MIN(T.Nachtbis-P19,P20-P19)+IF(P21&lt;T.Nachtbis,MIN(T.Nachtbis-P21,P22-P21),0),0),0),0),0),9),0)</f>
        <v>0</v>
      </c>
      <c r="Q75" s="182" t="n">
        <f aca="false">IF(Q73&gt;0,ROUND(Q73- IF(Q13&lt;T.Nachtbis,MIN(T.Nachtbis-Q13,Q14-Q13)+IF(Q15&lt;T.Nachtbis,MIN(T.Nachtbis-Q15,Q16-Q15)+IF(Q17&lt;T.Nachtbis,MIN(T.Nachtbis-Q17,Q18-Q17)+IF(Q19&lt;T.Nachtbis,MIN(T.Nachtbis-Q19,Q20-Q19)+IF(Q21&lt;T.Nachtbis,MIN(T.Nachtbis-Q21,Q22-Q21),0),0),0),0),0),9),0)</f>
        <v>0</v>
      </c>
      <c r="R75" s="182" t="n">
        <f aca="false">IF(R73&gt;0,ROUND(R73- IF(R13&lt;T.Nachtbis,MIN(T.Nachtbis-R13,R14-R13)+IF(R15&lt;T.Nachtbis,MIN(T.Nachtbis-R15,R16-R15)+IF(R17&lt;T.Nachtbis,MIN(T.Nachtbis-R17,R18-R17)+IF(R19&lt;T.Nachtbis,MIN(T.Nachtbis-R19,R20-R19)+IF(R21&lt;T.Nachtbis,MIN(T.Nachtbis-R21,R22-R21),0),0),0),0),0),9),0)</f>
        <v>0</v>
      </c>
      <c r="S75" s="182" t="n">
        <f aca="false">IF(S73&gt;0,ROUND(S73- IF(S13&lt;T.Nachtbis,MIN(T.Nachtbis-S13,S14-S13)+IF(S15&lt;T.Nachtbis,MIN(T.Nachtbis-S15,S16-S15)+IF(S17&lt;T.Nachtbis,MIN(T.Nachtbis-S17,S18-S17)+IF(S19&lt;T.Nachtbis,MIN(T.Nachtbis-S19,S20-S19)+IF(S21&lt;T.Nachtbis,MIN(T.Nachtbis-S21,S22-S21),0),0),0),0),0),9),0)</f>
        <v>0</v>
      </c>
      <c r="T75" s="182" t="n">
        <f aca="false">IF(T73&gt;0,ROUND(T73- IF(T13&lt;T.Nachtbis,MIN(T.Nachtbis-T13,T14-T13)+IF(T15&lt;T.Nachtbis,MIN(T.Nachtbis-T15,T16-T15)+IF(T17&lt;T.Nachtbis,MIN(T.Nachtbis-T17,T18-T17)+IF(T19&lt;T.Nachtbis,MIN(T.Nachtbis-T19,T20-T19)+IF(T21&lt;T.Nachtbis,MIN(T.Nachtbis-T21,T22-T21),0),0),0),0),0),9),0)</f>
        <v>0</v>
      </c>
      <c r="U75" s="182" t="n">
        <f aca="false">IF(U73&gt;0,ROUND(U73- IF(U13&lt;T.Nachtbis,MIN(T.Nachtbis-U13,U14-U13)+IF(U15&lt;T.Nachtbis,MIN(T.Nachtbis-U15,U16-U15)+IF(U17&lt;T.Nachtbis,MIN(T.Nachtbis-U17,U18-U17)+IF(U19&lt;T.Nachtbis,MIN(T.Nachtbis-U19,U20-U19)+IF(U21&lt;T.Nachtbis,MIN(T.Nachtbis-U21,U22-U21),0),0),0),0),0),9),0)</f>
        <v>0</v>
      </c>
      <c r="V75" s="182" t="n">
        <f aca="false">IF(V73&gt;0,ROUND(V73- IF(V13&lt;T.Nachtbis,MIN(T.Nachtbis-V13,V14-V13)+IF(V15&lt;T.Nachtbis,MIN(T.Nachtbis-V15,V16-V15)+IF(V17&lt;T.Nachtbis,MIN(T.Nachtbis-V17,V18-V17)+IF(V19&lt;T.Nachtbis,MIN(T.Nachtbis-V19,V20-V19)+IF(V21&lt;T.Nachtbis,MIN(T.Nachtbis-V21,V22-V21),0),0),0),0),0),9),0)</f>
        <v>0</v>
      </c>
      <c r="W75" s="182" t="n">
        <f aca="false">IF(W73&gt;0,ROUND(W73- IF(W13&lt;T.Nachtbis,MIN(T.Nachtbis-W13,W14-W13)+IF(W15&lt;T.Nachtbis,MIN(T.Nachtbis-W15,W16-W15)+IF(W17&lt;T.Nachtbis,MIN(T.Nachtbis-W17,W18-W17)+IF(W19&lt;T.Nachtbis,MIN(T.Nachtbis-W19,W20-W19)+IF(W21&lt;T.Nachtbis,MIN(T.Nachtbis-W21,W22-W21),0),0),0),0),0),9),0)</f>
        <v>0</v>
      </c>
      <c r="X75" s="182" t="n">
        <f aca="false">IF(X73&gt;0,ROUND(X73- IF(X13&lt;T.Nachtbis,MIN(T.Nachtbis-X13,X14-X13)+IF(X15&lt;T.Nachtbis,MIN(T.Nachtbis-X15,X16-X15)+IF(X17&lt;T.Nachtbis,MIN(T.Nachtbis-X17,X18-X17)+IF(X19&lt;T.Nachtbis,MIN(T.Nachtbis-X19,X20-X19)+IF(X21&lt;T.Nachtbis,MIN(T.Nachtbis-X21,X22-X21),0),0),0),0),0),9),0)</f>
        <v>0</v>
      </c>
      <c r="Y75" s="182" t="n">
        <f aca="false">IF(Y73&gt;0,ROUND(Y73- IF(Y13&lt;T.Nachtbis,MIN(T.Nachtbis-Y13,Y14-Y13)+IF(Y15&lt;T.Nachtbis,MIN(T.Nachtbis-Y15,Y16-Y15)+IF(Y17&lt;T.Nachtbis,MIN(T.Nachtbis-Y17,Y18-Y17)+IF(Y19&lt;T.Nachtbis,MIN(T.Nachtbis-Y19,Y20-Y19)+IF(Y21&lt;T.Nachtbis,MIN(T.Nachtbis-Y21,Y22-Y21),0),0),0),0),0),9),0)</f>
        <v>0</v>
      </c>
      <c r="Z75" s="182" t="n">
        <f aca="false">IF(Z73&gt;0,ROUND(Z73- IF(Z13&lt;T.Nachtbis,MIN(T.Nachtbis-Z13,Z14-Z13)+IF(Z15&lt;T.Nachtbis,MIN(T.Nachtbis-Z15,Z16-Z15)+IF(Z17&lt;T.Nachtbis,MIN(T.Nachtbis-Z17,Z18-Z17)+IF(Z19&lt;T.Nachtbis,MIN(T.Nachtbis-Z19,Z20-Z19)+IF(Z21&lt;T.Nachtbis,MIN(T.Nachtbis-Z21,Z22-Z21),0),0),0),0),0),9),0)</f>
        <v>0</v>
      </c>
      <c r="AA75" s="182" t="n">
        <f aca="false">IF(AA73&gt;0,ROUND(AA73- IF(AA13&lt;T.Nachtbis,MIN(T.Nachtbis-AA13,AA14-AA13)+IF(AA15&lt;T.Nachtbis,MIN(T.Nachtbis-AA15,AA16-AA15)+IF(AA17&lt;T.Nachtbis,MIN(T.Nachtbis-AA17,AA18-AA17)+IF(AA19&lt;T.Nachtbis,MIN(T.Nachtbis-AA19,AA20-AA19)+IF(AA21&lt;T.Nachtbis,MIN(T.Nachtbis-AA21,AA22-AA21),0),0),0),0),0),9),0)</f>
        <v>0</v>
      </c>
      <c r="AB75" s="182" t="n">
        <f aca="false">IF(AB73&gt;0,ROUND(AB73- IF(AB13&lt;T.Nachtbis,MIN(T.Nachtbis-AB13,AB14-AB13)+IF(AB15&lt;T.Nachtbis,MIN(T.Nachtbis-AB15,AB16-AB15)+IF(AB17&lt;T.Nachtbis,MIN(T.Nachtbis-AB17,AB18-AB17)+IF(AB19&lt;T.Nachtbis,MIN(T.Nachtbis-AB19,AB20-AB19)+IF(AB21&lt;T.Nachtbis,MIN(T.Nachtbis-AB21,AB22-AB21),0),0),0),0),0),9),0)</f>
        <v>0</v>
      </c>
      <c r="AC75" s="182" t="n">
        <f aca="false">IF(AC73&gt;0,ROUND(AC73- IF(AC13&lt;T.Nachtbis,MIN(T.Nachtbis-AC13,AC14-AC13)+IF(AC15&lt;T.Nachtbis,MIN(T.Nachtbis-AC15,AC16-AC15)+IF(AC17&lt;T.Nachtbis,MIN(T.Nachtbis-AC17,AC18-AC17)+IF(AC19&lt;T.Nachtbis,MIN(T.Nachtbis-AC19,AC20-AC19)+IF(AC21&lt;T.Nachtbis,MIN(T.Nachtbis-AC21,AC22-AC21),0),0),0),0),0),9),0)</f>
        <v>0</v>
      </c>
      <c r="AD75" s="182" t="n">
        <f aca="false">IF(AD73&gt;0,ROUND(AD73- IF(AD13&lt;T.Nachtbis,MIN(T.Nachtbis-AD13,AD14-AD13)+IF(AD15&lt;T.Nachtbis,MIN(T.Nachtbis-AD15,AD16-AD15)+IF(AD17&lt;T.Nachtbis,MIN(T.Nachtbis-AD17,AD18-AD17)+IF(AD19&lt;T.Nachtbis,MIN(T.Nachtbis-AD19,AD20-AD19)+IF(AD21&lt;T.Nachtbis,MIN(T.Nachtbis-AD21,AD22-AD21),0),0),0),0),0),9),0)</f>
        <v>0</v>
      </c>
      <c r="AE75" s="182" t="n">
        <f aca="false">IF(AE73&gt;0,ROUND(AE73- IF(AE13&lt;T.Nachtbis,MIN(T.Nachtbis-AE13,AE14-AE13)+IF(AE15&lt;T.Nachtbis,MIN(T.Nachtbis-AE15,AE16-AE15)+IF(AE17&lt;T.Nachtbis,MIN(T.Nachtbis-AE17,AE18-AE17)+IF(AE19&lt;T.Nachtbis,MIN(T.Nachtbis-AE19,AE20-AE19)+IF(AE21&lt;T.Nachtbis,MIN(T.Nachtbis-AE21,AE22-AE21),0),0),0),0),0),9),0)</f>
        <v>0</v>
      </c>
      <c r="AF75" s="182" t="n">
        <f aca="false">IF(AF73&gt;0,ROUND(AF73- IF(AF13&lt;T.Nachtbis,MIN(T.Nachtbis-AF13,AF14-AF13)+IF(AF15&lt;T.Nachtbis,MIN(T.Nachtbis-AF15,AF16-AF15)+IF(AF17&lt;T.Nachtbis,MIN(T.Nachtbis-AF17,AF18-AF17)+IF(AF19&lt;T.Nachtbis,MIN(T.Nachtbis-AF19,AF20-AF19)+IF(AF21&lt;T.Nachtbis,MIN(T.Nachtbis-AF21,AF22-AF21),0),0),0),0),0),9),0)</f>
        <v>0</v>
      </c>
      <c r="AG75" s="183" t="str">
        <f aca="false">A75</f>
        <v>Total NS hours today</v>
      </c>
      <c r="AH75" s="146"/>
      <c r="AI75" s="179"/>
      <c r="AJ75" s="180"/>
      <c r="AK75" s="172"/>
      <c r="AL75" s="172"/>
      <c r="AM75" s="172"/>
      <c r="AN75" s="171"/>
      <c r="AO75" s="172"/>
      <c r="AP75" s="172"/>
      <c r="AQ75" s="39"/>
    </row>
    <row r="76" s="148" customFormat="true" ht="16.5" hidden="true" customHeight="true" outlineLevel="1" collapsed="false">
      <c r="A76" s="181" t="s">
        <v>161</v>
      </c>
      <c r="B76" s="193" t="n">
        <f aca="false">B73-B75</f>
        <v>0</v>
      </c>
      <c r="C76" s="193" t="n">
        <f aca="false">C73-C75</f>
        <v>0</v>
      </c>
      <c r="D76" s="193" t="n">
        <f aca="false">D73-D75</f>
        <v>0</v>
      </c>
      <c r="E76" s="193" t="n">
        <f aca="false">E73-E75</f>
        <v>0</v>
      </c>
      <c r="F76" s="193" t="n">
        <f aca="false">F73-F75</f>
        <v>0</v>
      </c>
      <c r="G76" s="193" t="n">
        <f aca="false">G73-G75</f>
        <v>0</v>
      </c>
      <c r="H76" s="193" t="n">
        <f aca="false">H73-H75</f>
        <v>0</v>
      </c>
      <c r="I76" s="193" t="n">
        <f aca="false">I73-I75</f>
        <v>0</v>
      </c>
      <c r="J76" s="193" t="n">
        <f aca="false">J73-J75</f>
        <v>0</v>
      </c>
      <c r="K76" s="193" t="n">
        <f aca="false">K73-K75</f>
        <v>0</v>
      </c>
      <c r="L76" s="193" t="n">
        <f aca="false">L73-L75</f>
        <v>0</v>
      </c>
      <c r="M76" s="193" t="n">
        <f aca="false">M73-M75</f>
        <v>0</v>
      </c>
      <c r="N76" s="193" t="n">
        <f aca="false">N73-N75</f>
        <v>0</v>
      </c>
      <c r="O76" s="193" t="n">
        <f aca="false">O73-O75</f>
        <v>0</v>
      </c>
      <c r="P76" s="193" t="n">
        <f aca="false">P73-P75</f>
        <v>0</v>
      </c>
      <c r="Q76" s="193" t="n">
        <f aca="false">Q73-Q75</f>
        <v>0</v>
      </c>
      <c r="R76" s="193" t="n">
        <f aca="false">R73-R75</f>
        <v>0</v>
      </c>
      <c r="S76" s="193" t="n">
        <f aca="false">S73-S75</f>
        <v>0</v>
      </c>
      <c r="T76" s="193" t="n">
        <f aca="false">T73-T75</f>
        <v>0</v>
      </c>
      <c r="U76" s="193" t="n">
        <f aca="false">U73-U75</f>
        <v>0</v>
      </c>
      <c r="V76" s="193" t="n">
        <f aca="false">V73-V75</f>
        <v>0</v>
      </c>
      <c r="W76" s="193" t="n">
        <f aca="false">W73-W75</f>
        <v>0</v>
      </c>
      <c r="X76" s="193" t="n">
        <f aca="false">X73-X75</f>
        <v>0</v>
      </c>
      <c r="Y76" s="193" t="n">
        <f aca="false">Y73-Y75</f>
        <v>0</v>
      </c>
      <c r="Z76" s="193" t="n">
        <f aca="false">Z73-Z75</f>
        <v>0</v>
      </c>
      <c r="AA76" s="193" t="n">
        <f aca="false">AA73-AA75</f>
        <v>0</v>
      </c>
      <c r="AB76" s="193" t="n">
        <f aca="false">AB73-AB75</f>
        <v>0</v>
      </c>
      <c r="AC76" s="193" t="n">
        <f aca="false">AC73-AC75</f>
        <v>0</v>
      </c>
      <c r="AD76" s="193" t="n">
        <f aca="false">AD73-AD75</f>
        <v>0</v>
      </c>
      <c r="AE76" s="193" t="n">
        <f aca="false">AE73-AE75</f>
        <v>0</v>
      </c>
      <c r="AF76" s="193" t="n">
        <f aca="false">AF73-AF75</f>
        <v>0</v>
      </c>
      <c r="AG76" s="183" t="str">
        <f aca="false">A76</f>
        <v>Total NS hours yesterday</v>
      </c>
      <c r="AH76" s="146"/>
      <c r="AI76" s="179"/>
      <c r="AJ76" s="180"/>
      <c r="AK76" s="172"/>
      <c r="AL76" s="172"/>
      <c r="AM76" s="199" t="n">
        <f aca="false">IF(EB.Anwendung&lt;&gt;"",IF(MONTH(Monat.Tag1)=12,0,IF(MONTH(Monat.Tag1)=1,February!Monat.NDgesternTag1,IF(MONTH(Monat.Tag1)=2,March!Monat.NDgesternTag1,IF(MONTH(Monat.Tag1)=3,April!Monat.NDgesternTag1,IF(MONTH(Monat.Tag1)=4,May!Monat.NDgesternTag1,IF(MONTH(Monat.Tag1)=5,June!Monat.NDgesternTag1,IF(MONTH(Monat.Tag1)=6,July!Monat.NDgesternTag1,IF(MONTH(Monat.Tag1)=7,August!Monat.NDgesternTag1,IF(MONTH(Monat.Tag1)=8,September!Monat.NDgesternTag1,IF(MONTH(Monat.Tag1)=9,Monat.NDgesternTag1,IF(MONTH(Monat.Tag1)=10,November!Monat.NDgesternTag1,IF(MONTH(Monat.Tag1)=11,December!Monat.NDgesternTag1,"")))))))))))),"")</f>
        <v>0</v>
      </c>
      <c r="AN76" s="171"/>
      <c r="AO76" s="172"/>
      <c r="AP76" s="172"/>
      <c r="AQ76" s="39"/>
    </row>
    <row r="77" s="148" customFormat="true" ht="16.5" hidden="true" customHeight="true" outlineLevel="1" collapsed="false">
      <c r="A77" s="181" t="s">
        <v>162</v>
      </c>
      <c r="B77" s="182" t="n">
        <f aca="false">B75+IF(B$10=EOMONTH(B$10,0),$AM76,C76)</f>
        <v>0</v>
      </c>
      <c r="C77" s="182" t="n">
        <f aca="false">C75+IF(C$10=EOMONTH(C$10,0),$AM76,D76)</f>
        <v>0</v>
      </c>
      <c r="D77" s="182" t="n">
        <f aca="false">D75+IF(D$10=EOMONTH(D$10,0),$AM76,E76)</f>
        <v>0</v>
      </c>
      <c r="E77" s="182" t="n">
        <f aca="false">E75+IF(E$10=EOMONTH(E$10,0),$AM76,F76)</f>
        <v>0</v>
      </c>
      <c r="F77" s="182" t="n">
        <f aca="false">F75+IF(F$10=EOMONTH(F$10,0),$AM76,G76)</f>
        <v>0</v>
      </c>
      <c r="G77" s="182" t="n">
        <f aca="false">G75+IF(G$10=EOMONTH(G$10,0),$AM76,H76)</f>
        <v>0</v>
      </c>
      <c r="H77" s="182" t="n">
        <f aca="false">H75+IF(H$10=EOMONTH(H$10,0),$AM76,I76)</f>
        <v>0</v>
      </c>
      <c r="I77" s="182" t="n">
        <f aca="false">I75+IF(I$10=EOMONTH(I$10,0),$AM76,J76)</f>
        <v>0</v>
      </c>
      <c r="J77" s="182" t="n">
        <f aca="false">J75+IF(J$10=EOMONTH(J$10,0),$AM76,K76)</f>
        <v>0</v>
      </c>
      <c r="K77" s="182" t="n">
        <f aca="false">K75+IF(K$10=EOMONTH(K$10,0),$AM76,L76)</f>
        <v>0</v>
      </c>
      <c r="L77" s="182" t="n">
        <f aca="false">L75+IF(L$10=EOMONTH(L$10,0),$AM76,M76)</f>
        <v>0</v>
      </c>
      <c r="M77" s="182" t="n">
        <f aca="false">M75+IF(M$10=EOMONTH(M$10,0),$AM76,N76)</f>
        <v>0</v>
      </c>
      <c r="N77" s="182" t="n">
        <f aca="false">N75+IF(N$10=EOMONTH(N$10,0),$AM76,O76)</f>
        <v>0</v>
      </c>
      <c r="O77" s="182" t="n">
        <f aca="false">O75+IF(O$10=EOMONTH(O$10,0),$AM76,P76)</f>
        <v>0</v>
      </c>
      <c r="P77" s="182" t="n">
        <f aca="false">P75+IF(P$10=EOMONTH(P$10,0),$AM76,Q76)</f>
        <v>0</v>
      </c>
      <c r="Q77" s="182" t="n">
        <f aca="false">Q75+IF(Q$10=EOMONTH(Q$10,0),$AM76,R76)</f>
        <v>0</v>
      </c>
      <c r="R77" s="182" t="n">
        <f aca="false">R75+IF(R$10=EOMONTH(R$10,0),$AM76,S76)</f>
        <v>0</v>
      </c>
      <c r="S77" s="182" t="n">
        <f aca="false">S75+IF(S$10=EOMONTH(S$10,0),$AM76,T76)</f>
        <v>0</v>
      </c>
      <c r="T77" s="182" t="n">
        <f aca="false">T75+IF(T$10=EOMONTH(T$10,0),$AM76,U76)</f>
        <v>0</v>
      </c>
      <c r="U77" s="182" t="n">
        <f aca="false">U75+IF(U$10=EOMONTH(U$10,0),$AM76,V76)</f>
        <v>0</v>
      </c>
      <c r="V77" s="182" t="n">
        <f aca="false">V75+IF(V$10=EOMONTH(V$10,0),$AM76,W76)</f>
        <v>0</v>
      </c>
      <c r="W77" s="182" t="n">
        <f aca="false">W75+IF(W$10=EOMONTH(W$10,0),$AM76,X76)</f>
        <v>0</v>
      </c>
      <c r="X77" s="182" t="n">
        <f aca="false">X75+IF(X$10=EOMONTH(X$10,0),$AM76,Y76)</f>
        <v>0</v>
      </c>
      <c r="Y77" s="182" t="n">
        <f aca="false">Y75+IF(Y$10=EOMONTH(Y$10,0),$AM76,Z76)</f>
        <v>0</v>
      </c>
      <c r="Z77" s="182" t="n">
        <f aca="false">Z75+IF(Z$10=EOMONTH(Z$10,0),$AM76,AA76)</f>
        <v>0</v>
      </c>
      <c r="AA77" s="182" t="n">
        <f aca="false">AA75+IF(AA$10=EOMONTH(AA$10,0),$AM76,AB76)</f>
        <v>0</v>
      </c>
      <c r="AB77" s="182" t="n">
        <f aca="false">AB75+IF(AB$10=EOMONTH(AB$10,0),$AM76,AC76)</f>
        <v>0</v>
      </c>
      <c r="AC77" s="182" t="n">
        <f aca="false">AC75+IF(AC$10=EOMONTH(AC$10,0),$AM76,AD76)</f>
        <v>0</v>
      </c>
      <c r="AD77" s="182" t="n">
        <f aca="false">AD75+IF(AD$10=EOMONTH(AD$10,0),$AM76,AE76)</f>
        <v>0</v>
      </c>
      <c r="AE77" s="182" t="n">
        <f aca="false">AE75+IF(AE$10=EOMONTH(AE$10,0),$AM76,AF76)</f>
        <v>0</v>
      </c>
      <c r="AF77" s="182" t="n">
        <f aca="false">AF75+IF(AF$10=EOMONTH(AF$10,0),$AM76,AG76)</f>
        <v>0</v>
      </c>
      <c r="AG77" s="183" t="str">
        <f aca="false">A77</f>
        <v>Total NS hours</v>
      </c>
      <c r="AH77" s="184"/>
      <c r="AI77" s="185" t="n">
        <f aca="false">SUM(B77:AF77)</f>
        <v>0</v>
      </c>
      <c r="AJ77" s="180"/>
      <c r="AK77" s="172"/>
      <c r="AL77" s="172"/>
      <c r="AM77" s="172"/>
      <c r="AN77" s="171"/>
      <c r="AO77" s="172"/>
      <c r="AP77" s="172"/>
      <c r="AQ77" s="39"/>
    </row>
    <row r="78" s="148" customFormat="true" ht="3.75" hidden="true" customHeight="true" outlineLevel="0" collapsed="false">
      <c r="A78" s="186"/>
      <c r="B78" s="187"/>
      <c r="C78" s="187"/>
      <c r="D78" s="187"/>
      <c r="E78" s="187"/>
      <c r="F78" s="187"/>
      <c r="G78" s="187"/>
      <c r="H78" s="187"/>
      <c r="I78" s="187"/>
      <c r="J78" s="187"/>
      <c r="K78" s="187"/>
      <c r="L78" s="187"/>
      <c r="M78" s="187"/>
      <c r="N78" s="187"/>
      <c r="O78" s="187"/>
      <c r="P78" s="187"/>
      <c r="Q78" s="187"/>
      <c r="R78" s="187"/>
      <c r="S78" s="187"/>
      <c r="T78" s="187"/>
      <c r="U78" s="187"/>
      <c r="V78" s="187"/>
      <c r="W78" s="187"/>
      <c r="X78" s="187"/>
      <c r="Y78" s="187"/>
      <c r="Z78" s="187"/>
      <c r="AA78" s="187"/>
      <c r="AB78" s="187"/>
      <c r="AC78" s="187"/>
      <c r="AD78" s="187"/>
      <c r="AE78" s="187"/>
      <c r="AF78" s="188"/>
      <c r="AG78" s="168"/>
      <c r="AH78" s="202"/>
      <c r="AI78" s="188"/>
      <c r="AJ78" s="180"/>
      <c r="AK78" s="172"/>
      <c r="AL78" s="172"/>
      <c r="AM78" s="172"/>
      <c r="AN78" s="171"/>
      <c r="AO78" s="172"/>
      <c r="AP78" s="172"/>
      <c r="AQ78" s="39"/>
    </row>
    <row r="79" s="148" customFormat="true" ht="15" hidden="true" customHeight="true" outlineLevel="1" collapsed="false">
      <c r="A79" s="175" t="s">
        <v>84</v>
      </c>
      <c r="B79" s="256" t="n">
        <f aca="false">IF(AND(T.50_Vetsuisse,B70&gt;24),ROUND(B73*T.50_VetsuisseZZSND,9), IF(AND(T.ServiceCenterIrchel,B69&gt;0,B77&gt;=ROUND(1/24*8,9)),ROUND(B77*T.ServiceCenterIrchelZZSND,9),))</f>
        <v>0</v>
      </c>
      <c r="C79" s="256" t="n">
        <f aca="false">IF(AND(T.50_Vetsuisse,C70&gt;24),ROUND(C73*T.50_VetsuisseZZSND,9), IF(AND(T.ServiceCenterIrchel,C69&gt;0,C77&gt;=ROUND(1/24*8,9)),ROUND(C77*T.ServiceCenterIrchelZZSND,9),))</f>
        <v>0</v>
      </c>
      <c r="D79" s="256" t="n">
        <f aca="false">IF(AND(T.50_Vetsuisse,D70&gt;24),ROUND(D73*T.50_VetsuisseZZSND,9), IF(AND(T.ServiceCenterIrchel,D69&gt;0,D77&gt;=ROUND(1/24*8,9)),ROUND(D77*T.ServiceCenterIrchelZZSND,9),))</f>
        <v>0</v>
      </c>
      <c r="E79" s="256" t="n">
        <f aca="false">IF(AND(T.50_Vetsuisse,E70&gt;24),ROUND(E73*T.50_VetsuisseZZSND,9), IF(AND(T.ServiceCenterIrchel,E69&gt;0,E77&gt;=ROUND(1/24*8,9)),ROUND(E77*T.ServiceCenterIrchelZZSND,9),))</f>
        <v>0</v>
      </c>
      <c r="F79" s="256" t="n">
        <f aca="false">IF(AND(T.50_Vetsuisse,F70&gt;24),ROUND(F73*T.50_VetsuisseZZSND,9), IF(AND(T.ServiceCenterIrchel,F69&gt;0,F77&gt;=ROUND(1/24*8,9)),ROUND(F77*T.ServiceCenterIrchelZZSND,9),))</f>
        <v>0</v>
      </c>
      <c r="G79" s="256" t="n">
        <f aca="false">IF(AND(T.50_Vetsuisse,G70&gt;24),ROUND(G73*T.50_VetsuisseZZSND,9), IF(AND(T.ServiceCenterIrchel,G69&gt;0,G77&gt;=ROUND(1/24*8,9)),ROUND(G77*T.ServiceCenterIrchelZZSND,9),))</f>
        <v>0</v>
      </c>
      <c r="H79" s="256" t="n">
        <f aca="false">IF(AND(T.50_Vetsuisse,H70&gt;24),ROUND(H73*T.50_VetsuisseZZSND,9), IF(AND(T.ServiceCenterIrchel,H69&gt;0,H77&gt;=ROUND(1/24*8,9)),ROUND(H77*T.ServiceCenterIrchelZZSND,9),))</f>
        <v>0</v>
      </c>
      <c r="I79" s="256" t="n">
        <f aca="false">IF(AND(T.50_Vetsuisse,I70&gt;24),ROUND(I73*T.50_VetsuisseZZSND,9), IF(AND(T.ServiceCenterIrchel,I69&gt;0,I77&gt;=ROUND(1/24*8,9)),ROUND(I77*T.ServiceCenterIrchelZZSND,9),))</f>
        <v>0</v>
      </c>
      <c r="J79" s="256" t="n">
        <f aca="false">IF(AND(T.50_Vetsuisse,J70&gt;24),ROUND(J73*T.50_VetsuisseZZSND,9), IF(AND(T.ServiceCenterIrchel,J69&gt;0,J77&gt;=ROUND(1/24*8,9)),ROUND(J77*T.ServiceCenterIrchelZZSND,9),))</f>
        <v>0</v>
      </c>
      <c r="K79" s="256" t="n">
        <f aca="false">IF(AND(T.50_Vetsuisse,K70&gt;24),ROUND(K73*T.50_VetsuisseZZSND,9), IF(AND(T.ServiceCenterIrchel,K69&gt;0,K77&gt;=ROUND(1/24*8,9)),ROUND(K77*T.ServiceCenterIrchelZZSND,9),))</f>
        <v>0</v>
      </c>
      <c r="L79" s="256" t="n">
        <f aca="false">IF(AND(T.50_Vetsuisse,L70&gt;24),ROUND(L73*T.50_VetsuisseZZSND,9), IF(AND(T.ServiceCenterIrchel,L69&gt;0,L77&gt;=ROUND(1/24*8,9)),ROUND(L77*T.ServiceCenterIrchelZZSND,9),))</f>
        <v>0</v>
      </c>
      <c r="M79" s="256" t="n">
        <f aca="false">IF(AND(T.50_Vetsuisse,M70&gt;24),ROUND(M73*T.50_VetsuisseZZSND,9), IF(AND(T.ServiceCenterIrchel,M69&gt;0,M77&gt;=ROUND(1/24*8,9)),ROUND(M77*T.ServiceCenterIrchelZZSND,9),))</f>
        <v>0</v>
      </c>
      <c r="N79" s="256" t="n">
        <f aca="false">IF(AND(T.50_Vetsuisse,N70&gt;24),ROUND(N73*T.50_VetsuisseZZSND,9), IF(AND(T.ServiceCenterIrchel,N69&gt;0,N77&gt;=ROUND(1/24*8,9)),ROUND(N77*T.ServiceCenterIrchelZZSND,9),))</f>
        <v>0</v>
      </c>
      <c r="O79" s="256" t="n">
        <f aca="false">IF(AND(T.50_Vetsuisse,O70&gt;24),ROUND(O73*T.50_VetsuisseZZSND,9), IF(AND(T.ServiceCenterIrchel,O69&gt;0,O77&gt;=ROUND(1/24*8,9)),ROUND(O77*T.ServiceCenterIrchelZZSND,9),))</f>
        <v>0</v>
      </c>
      <c r="P79" s="256" t="n">
        <f aca="false">IF(AND(T.50_Vetsuisse,P70&gt;24),ROUND(P73*T.50_VetsuisseZZSND,9), IF(AND(T.ServiceCenterIrchel,P69&gt;0,P77&gt;=ROUND(1/24*8,9)),ROUND(P77*T.ServiceCenterIrchelZZSND,9),))</f>
        <v>0</v>
      </c>
      <c r="Q79" s="256" t="n">
        <f aca="false">IF(AND(T.50_Vetsuisse,Q70&gt;24),ROUND(Q73*T.50_VetsuisseZZSND,9), IF(AND(T.ServiceCenterIrchel,Q69&gt;0,Q77&gt;=ROUND(1/24*8,9)),ROUND(Q77*T.ServiceCenterIrchelZZSND,9),))</f>
        <v>0</v>
      </c>
      <c r="R79" s="256" t="n">
        <f aca="false">IF(AND(T.50_Vetsuisse,R70&gt;24),ROUND(R73*T.50_VetsuisseZZSND,9), IF(AND(T.ServiceCenterIrchel,R69&gt;0,R77&gt;=ROUND(1/24*8,9)),ROUND(R77*T.ServiceCenterIrchelZZSND,9),))</f>
        <v>0</v>
      </c>
      <c r="S79" s="256" t="n">
        <f aca="false">IF(AND(T.50_Vetsuisse,S70&gt;24),ROUND(S73*T.50_VetsuisseZZSND,9), IF(AND(T.ServiceCenterIrchel,S69&gt;0,S77&gt;=ROUND(1/24*8,9)),ROUND(S77*T.ServiceCenterIrchelZZSND,9),))</f>
        <v>0</v>
      </c>
      <c r="T79" s="256" t="n">
        <f aca="false">IF(AND(T.50_Vetsuisse,T70&gt;24),ROUND(T73*T.50_VetsuisseZZSND,9), IF(AND(T.ServiceCenterIrchel,T69&gt;0,T77&gt;=ROUND(1/24*8,9)),ROUND(T77*T.ServiceCenterIrchelZZSND,9),))</f>
        <v>0</v>
      </c>
      <c r="U79" s="256" t="n">
        <f aca="false">IF(AND(T.50_Vetsuisse,U70&gt;24),ROUND(U73*T.50_VetsuisseZZSND,9), IF(AND(T.ServiceCenterIrchel,U69&gt;0,U77&gt;=ROUND(1/24*8,9)),ROUND(U77*T.ServiceCenterIrchelZZSND,9),))</f>
        <v>0</v>
      </c>
      <c r="V79" s="256" t="n">
        <f aca="false">IF(AND(T.50_Vetsuisse,V70&gt;24),ROUND(V73*T.50_VetsuisseZZSND,9), IF(AND(T.ServiceCenterIrchel,V69&gt;0,V77&gt;=ROUND(1/24*8,9)),ROUND(V77*T.ServiceCenterIrchelZZSND,9),))</f>
        <v>0</v>
      </c>
      <c r="W79" s="256" t="n">
        <f aca="false">IF(AND(T.50_Vetsuisse,W70&gt;24),ROUND(W73*T.50_VetsuisseZZSND,9), IF(AND(T.ServiceCenterIrchel,W69&gt;0,W77&gt;=ROUND(1/24*8,9)),ROUND(W77*T.ServiceCenterIrchelZZSND,9),))</f>
        <v>0</v>
      </c>
      <c r="X79" s="256" t="n">
        <f aca="false">IF(AND(T.50_Vetsuisse,X70&gt;24),ROUND(X73*T.50_VetsuisseZZSND,9), IF(AND(T.ServiceCenterIrchel,X69&gt;0,X77&gt;=ROUND(1/24*8,9)),ROUND(X77*T.ServiceCenterIrchelZZSND,9),))</f>
        <v>0</v>
      </c>
      <c r="Y79" s="256" t="n">
        <f aca="false">IF(AND(T.50_Vetsuisse,Y70&gt;24),ROUND(Y73*T.50_VetsuisseZZSND,9), IF(AND(T.ServiceCenterIrchel,Y69&gt;0,Y77&gt;=ROUND(1/24*8,9)),ROUND(Y77*T.ServiceCenterIrchelZZSND,9),))</f>
        <v>0</v>
      </c>
      <c r="Z79" s="256" t="n">
        <f aca="false">IF(AND(T.50_Vetsuisse,Z70&gt;24),ROUND(Z73*T.50_VetsuisseZZSND,9), IF(AND(T.ServiceCenterIrchel,Z69&gt;0,Z77&gt;=ROUND(1/24*8,9)),ROUND(Z77*T.ServiceCenterIrchelZZSND,9),))</f>
        <v>0</v>
      </c>
      <c r="AA79" s="256" t="n">
        <f aca="false">IF(AND(T.50_Vetsuisse,AA70&gt;24),ROUND(AA73*T.50_VetsuisseZZSND,9), IF(AND(T.ServiceCenterIrchel,AA69&gt;0,AA77&gt;=ROUND(1/24*8,9)),ROUND(AA77*T.ServiceCenterIrchelZZSND,9),))</f>
        <v>0</v>
      </c>
      <c r="AB79" s="256" t="n">
        <f aca="false">IF(AND(T.50_Vetsuisse,AB70&gt;24),ROUND(AB73*T.50_VetsuisseZZSND,9), IF(AND(T.ServiceCenterIrchel,AB69&gt;0,AB77&gt;=ROUND(1/24*8,9)),ROUND(AB77*T.ServiceCenterIrchelZZSND,9),))</f>
        <v>0</v>
      </c>
      <c r="AC79" s="256" t="n">
        <f aca="false">IF(AND(T.50_Vetsuisse,AC70&gt;24),ROUND(AC73*T.50_VetsuisseZZSND,9), IF(AND(T.ServiceCenterIrchel,AC69&gt;0,AC77&gt;=ROUND(1/24*8,9)),ROUND(AC77*T.ServiceCenterIrchelZZSND,9),))</f>
        <v>0</v>
      </c>
      <c r="AD79" s="256" t="n">
        <f aca="false">IF(AND(T.50_Vetsuisse,AD70&gt;24),ROUND(AD73*T.50_VetsuisseZZSND,9), IF(AND(T.ServiceCenterIrchel,AD69&gt;0,AD77&gt;=ROUND(1/24*8,9)),ROUND(AD77*T.ServiceCenterIrchelZZSND,9),))</f>
        <v>0</v>
      </c>
      <c r="AE79" s="256" t="n">
        <f aca="false">IF(AND(T.50_Vetsuisse,AE70&gt;24),ROUND(AE73*T.50_VetsuisseZZSND,9), IF(AND(T.ServiceCenterIrchel,AE69&gt;0,AE77&gt;=ROUND(1/24*8,9)),ROUND(AE77*T.ServiceCenterIrchelZZSND,9),))</f>
        <v>0</v>
      </c>
      <c r="AF79" s="256" t="n">
        <f aca="false">IF(AND(T.50_Vetsuisse,AF70&gt;24),ROUND(AF73*T.50_VetsuisseZZSND,9), IF(AND(T.ServiceCenterIrchel,AF69&gt;0,AF77&gt;=ROUND(1/24*8,9)),ROUND(AF77*T.ServiceCenterIrchelZZSND,9),))</f>
        <v>0</v>
      </c>
      <c r="AG79" s="168" t="str">
        <f aca="false">A79</f>
        <v>Time supplement night shift</v>
      </c>
      <c r="AH79" s="250"/>
      <c r="AI79" s="207" t="n">
        <f aca="false">SUM(B79:AF79)</f>
        <v>0</v>
      </c>
      <c r="AJ79" s="33"/>
      <c r="AK79" s="192"/>
      <c r="AL79" s="216" t="n">
        <f aca="false">IF(EB.Anwendung&lt;&gt;"",IF(MONTH(Monat.Tag1)=1,EB.ZZNd,IF(MONTH(Monat.Tag1)=2,January!Monat.ZZNdUe,IF(MONTH(Monat.Tag1)=3,February!Monat.ZZNdUe,IF(MONTH(Monat.Tag1)=4,March!Monat.ZZNdUe,IF(MONTH(Monat.Tag1)=5,April!Monat.ZZNdUe,IF(MONTH(Monat.Tag1)=6,May!Monat.ZZNdUe,IF(MONTH(Monat.Tag1)=7,June!Monat.ZZNdUe,IF(MONTH(Monat.Tag1)=8,July!Monat.ZZNdUe,IF(MONTH(Monat.Tag1)=9,August!Monat.ZZNdUe,IF(MONTH(Monat.Tag1)=10,September!Monat.ZZNdUe,IF(MONTH(Monat.Tag1)=11,Monat.ZZNdUe,IF(MONTH(Monat.Tag1)=12,November!Monat.ZZNdUe,"")))))))))))),"")</f>
        <v>0</v>
      </c>
      <c r="AM79" s="172"/>
      <c r="AN79" s="217" t="n">
        <f aca="false">AI79+AL79-AI71</f>
        <v>0</v>
      </c>
      <c r="AO79" s="217" t="n">
        <f aca="true">OFFSET(Jahr.ZZSNDSaldo,-13+MONTH(Monat.Tag1),0,1,1)</f>
        <v>0</v>
      </c>
      <c r="AP79" s="217" t="n">
        <f aca="false">Jahr.ZZSNDSaldo</f>
        <v>0</v>
      </c>
      <c r="AQ79" s="39"/>
    </row>
    <row r="80" s="148" customFormat="true" ht="15" hidden="true" customHeight="true" outlineLevel="1" collapsed="false">
      <c r="A80" s="175" t="s">
        <v>163</v>
      </c>
      <c r="B80" s="256" t="str">
        <f aca="false">IF(T.50_Vetsuisse,IF(OR(B$12=0,B$11=0,WEEKDAY(B$10,2)&gt;5),0,ROUND(MAX(0,T.Abendbis-MAX(B13,T.Abendab))-MAX(0,T.Abendbis-MAX(T.Abendab,B14))+(B13&gt;B14)*(1+T.Abendab-T.Abendbis)+MAX(0,T.Abendbis-MAX(B15,T.Abendab))-MAX(0,T.Abendbis-MAX(T.Abendab,B16))+(B15&gt;B16)*(1+T.Abendab-T.Abendbis)+MAX(0,T.Abendbis-MAX(B17,T.Abendab))-MAX(0,T.Abendbis-MAX(T.Abendab,B18))+(B17&gt;B18)*(1+T.Abendab-T.Abendbis)+MAX(0,T.Abendbis-MAX(B19,T.Abendab))-MAX(0,T.Abendbis-MAX(T.Abendab,B20))+(B19&gt;B20)*(1+T.Abendab-T.Abendbis)+MAX(0,T.Abendbis-MAX(B21,T.Abendab))-MAX(0,T.Abendbis-MAX(T.Abendab,B22))+(B21&gt;B22)*(1+T.Abendab-T.Abendbis),9)),"")</f>
        <v/>
      </c>
      <c r="C80" s="256" t="str">
        <f aca="false">IF(T.50_Vetsuisse,IF(OR(C$12=0,C$11=0,WEEKDAY(C$10,2)&gt;5),0,ROUND(MAX(0,T.Abendbis-MAX(C13,T.Abendab))-MAX(0,T.Abendbis-MAX(T.Abendab,C14))+(C13&gt;C14)*(1+T.Abendab-T.Abendbis)+MAX(0,T.Abendbis-MAX(C15,T.Abendab))-MAX(0,T.Abendbis-MAX(T.Abendab,C16))+(C15&gt;C16)*(1+T.Abendab-T.Abendbis)+MAX(0,T.Abendbis-MAX(C17,T.Abendab))-MAX(0,T.Abendbis-MAX(T.Abendab,C18))+(C17&gt;C18)*(1+T.Abendab-T.Abendbis)+MAX(0,T.Abendbis-MAX(C19,T.Abendab))-MAX(0,T.Abendbis-MAX(T.Abendab,C20))+(C19&gt;C20)*(1+T.Abendab-T.Abendbis)+MAX(0,T.Abendbis-MAX(C21,T.Abendab))-MAX(0,T.Abendbis-MAX(T.Abendab,C22))+(C21&gt;C22)*(1+T.Abendab-T.Abendbis),9)),"")</f>
        <v/>
      </c>
      <c r="D80" s="256" t="str">
        <f aca="false">IF(T.50_Vetsuisse,IF(OR(D$12=0,D$11=0,WEEKDAY(D$10,2)&gt;5),0,ROUND(MAX(0,T.Abendbis-MAX(D13,T.Abendab))-MAX(0,T.Abendbis-MAX(T.Abendab,D14))+(D13&gt;D14)*(1+T.Abendab-T.Abendbis)+MAX(0,T.Abendbis-MAX(D15,T.Abendab))-MAX(0,T.Abendbis-MAX(T.Abendab,D16))+(D15&gt;D16)*(1+T.Abendab-T.Abendbis)+MAX(0,T.Abendbis-MAX(D17,T.Abendab))-MAX(0,T.Abendbis-MAX(T.Abendab,D18))+(D17&gt;D18)*(1+T.Abendab-T.Abendbis)+MAX(0,T.Abendbis-MAX(D19,T.Abendab))-MAX(0,T.Abendbis-MAX(T.Abendab,D20))+(D19&gt;D20)*(1+T.Abendab-T.Abendbis)+MAX(0,T.Abendbis-MAX(D21,T.Abendab))-MAX(0,T.Abendbis-MAX(T.Abendab,D22))+(D21&gt;D22)*(1+T.Abendab-T.Abendbis),9)),"")</f>
        <v/>
      </c>
      <c r="E80" s="256" t="str">
        <f aca="false">IF(T.50_Vetsuisse,IF(OR(E$12=0,E$11=0,WEEKDAY(E$10,2)&gt;5),0,ROUND(MAX(0,T.Abendbis-MAX(E13,T.Abendab))-MAX(0,T.Abendbis-MAX(T.Abendab,E14))+(E13&gt;E14)*(1+T.Abendab-T.Abendbis)+MAX(0,T.Abendbis-MAX(E15,T.Abendab))-MAX(0,T.Abendbis-MAX(T.Abendab,E16))+(E15&gt;E16)*(1+T.Abendab-T.Abendbis)+MAX(0,T.Abendbis-MAX(E17,T.Abendab))-MAX(0,T.Abendbis-MAX(T.Abendab,E18))+(E17&gt;E18)*(1+T.Abendab-T.Abendbis)+MAX(0,T.Abendbis-MAX(E19,T.Abendab))-MAX(0,T.Abendbis-MAX(T.Abendab,E20))+(E19&gt;E20)*(1+T.Abendab-T.Abendbis)+MAX(0,T.Abendbis-MAX(E21,T.Abendab))-MAX(0,T.Abendbis-MAX(T.Abendab,E22))+(E21&gt;E22)*(1+T.Abendab-T.Abendbis),9)),"")</f>
        <v/>
      </c>
      <c r="F80" s="256" t="str">
        <f aca="false">IF(T.50_Vetsuisse,IF(OR(F$12=0,F$11=0,WEEKDAY(F$10,2)&gt;5),0,ROUND(MAX(0,T.Abendbis-MAX(F13,T.Abendab))-MAX(0,T.Abendbis-MAX(T.Abendab,F14))+(F13&gt;F14)*(1+T.Abendab-T.Abendbis)+MAX(0,T.Abendbis-MAX(F15,T.Abendab))-MAX(0,T.Abendbis-MAX(T.Abendab,F16))+(F15&gt;F16)*(1+T.Abendab-T.Abendbis)+MAX(0,T.Abendbis-MAX(F17,T.Abendab))-MAX(0,T.Abendbis-MAX(T.Abendab,F18))+(F17&gt;F18)*(1+T.Abendab-T.Abendbis)+MAX(0,T.Abendbis-MAX(F19,T.Abendab))-MAX(0,T.Abendbis-MAX(T.Abendab,F20))+(F19&gt;F20)*(1+T.Abendab-T.Abendbis)+MAX(0,T.Abendbis-MAX(F21,T.Abendab))-MAX(0,T.Abendbis-MAX(T.Abendab,F22))+(F21&gt;F22)*(1+T.Abendab-T.Abendbis),9)),"")</f>
        <v/>
      </c>
      <c r="G80" s="256" t="str">
        <f aca="false">IF(T.50_Vetsuisse,IF(OR(G$12=0,G$11=0,WEEKDAY(G$10,2)&gt;5),0,ROUND(MAX(0,T.Abendbis-MAX(G13,T.Abendab))-MAX(0,T.Abendbis-MAX(T.Abendab,G14))+(G13&gt;G14)*(1+T.Abendab-T.Abendbis)+MAX(0,T.Abendbis-MAX(G15,T.Abendab))-MAX(0,T.Abendbis-MAX(T.Abendab,G16))+(G15&gt;G16)*(1+T.Abendab-T.Abendbis)+MAX(0,T.Abendbis-MAX(G17,T.Abendab))-MAX(0,T.Abendbis-MAX(T.Abendab,G18))+(G17&gt;G18)*(1+T.Abendab-T.Abendbis)+MAX(0,T.Abendbis-MAX(G19,T.Abendab))-MAX(0,T.Abendbis-MAX(T.Abendab,G20))+(G19&gt;G20)*(1+T.Abendab-T.Abendbis)+MAX(0,T.Abendbis-MAX(G21,T.Abendab))-MAX(0,T.Abendbis-MAX(T.Abendab,G22))+(G21&gt;G22)*(1+T.Abendab-T.Abendbis),9)),"")</f>
        <v/>
      </c>
      <c r="H80" s="256" t="str">
        <f aca="false">IF(T.50_Vetsuisse,IF(OR(H$12=0,H$11=0,WEEKDAY(H$10,2)&gt;5),0,ROUND(MAX(0,T.Abendbis-MAX(H13,T.Abendab))-MAX(0,T.Abendbis-MAX(T.Abendab,H14))+(H13&gt;H14)*(1+T.Abendab-T.Abendbis)+MAX(0,T.Abendbis-MAX(H15,T.Abendab))-MAX(0,T.Abendbis-MAX(T.Abendab,H16))+(H15&gt;H16)*(1+T.Abendab-T.Abendbis)+MAX(0,T.Abendbis-MAX(H17,T.Abendab))-MAX(0,T.Abendbis-MAX(T.Abendab,H18))+(H17&gt;H18)*(1+T.Abendab-T.Abendbis)+MAX(0,T.Abendbis-MAX(H19,T.Abendab))-MAX(0,T.Abendbis-MAX(T.Abendab,H20))+(H19&gt;H20)*(1+T.Abendab-T.Abendbis)+MAX(0,T.Abendbis-MAX(H21,T.Abendab))-MAX(0,T.Abendbis-MAX(T.Abendab,H22))+(H21&gt;H22)*(1+T.Abendab-T.Abendbis),9)),"")</f>
        <v/>
      </c>
      <c r="I80" s="256" t="str">
        <f aca="false">IF(T.50_Vetsuisse,IF(OR(I$12=0,I$11=0,WEEKDAY(I$10,2)&gt;5),0,ROUND(MAX(0,T.Abendbis-MAX(I13,T.Abendab))-MAX(0,T.Abendbis-MAX(T.Abendab,I14))+(I13&gt;I14)*(1+T.Abendab-T.Abendbis)+MAX(0,T.Abendbis-MAX(I15,T.Abendab))-MAX(0,T.Abendbis-MAX(T.Abendab,I16))+(I15&gt;I16)*(1+T.Abendab-T.Abendbis)+MAX(0,T.Abendbis-MAX(I17,T.Abendab))-MAX(0,T.Abendbis-MAX(T.Abendab,I18))+(I17&gt;I18)*(1+T.Abendab-T.Abendbis)+MAX(0,T.Abendbis-MAX(I19,T.Abendab))-MAX(0,T.Abendbis-MAX(T.Abendab,I20))+(I19&gt;I20)*(1+T.Abendab-T.Abendbis)+MAX(0,T.Abendbis-MAX(I21,T.Abendab))-MAX(0,T.Abendbis-MAX(T.Abendab,I22))+(I21&gt;I22)*(1+T.Abendab-T.Abendbis),9)),"")</f>
        <v/>
      </c>
      <c r="J80" s="256" t="str">
        <f aca="false">IF(T.50_Vetsuisse,IF(OR(J$12=0,J$11=0,WEEKDAY(J$10,2)&gt;5),0,ROUND(MAX(0,T.Abendbis-MAX(J13,T.Abendab))-MAX(0,T.Abendbis-MAX(T.Abendab,J14))+(J13&gt;J14)*(1+T.Abendab-T.Abendbis)+MAX(0,T.Abendbis-MAX(J15,T.Abendab))-MAX(0,T.Abendbis-MAX(T.Abendab,J16))+(J15&gt;J16)*(1+T.Abendab-T.Abendbis)+MAX(0,T.Abendbis-MAX(J17,T.Abendab))-MAX(0,T.Abendbis-MAX(T.Abendab,J18))+(J17&gt;J18)*(1+T.Abendab-T.Abendbis)+MAX(0,T.Abendbis-MAX(J19,T.Abendab))-MAX(0,T.Abendbis-MAX(T.Abendab,J20))+(J19&gt;J20)*(1+T.Abendab-T.Abendbis)+MAX(0,T.Abendbis-MAX(J21,T.Abendab))-MAX(0,T.Abendbis-MAX(T.Abendab,J22))+(J21&gt;J22)*(1+T.Abendab-T.Abendbis),9)),"")</f>
        <v/>
      </c>
      <c r="K80" s="256" t="str">
        <f aca="false">IF(T.50_Vetsuisse,IF(OR(K$12=0,K$11=0,WEEKDAY(K$10,2)&gt;5),0,ROUND(MAX(0,T.Abendbis-MAX(K13,T.Abendab))-MAX(0,T.Abendbis-MAX(T.Abendab,K14))+(K13&gt;K14)*(1+T.Abendab-T.Abendbis)+MAX(0,T.Abendbis-MAX(K15,T.Abendab))-MAX(0,T.Abendbis-MAX(T.Abendab,K16))+(K15&gt;K16)*(1+T.Abendab-T.Abendbis)+MAX(0,T.Abendbis-MAX(K17,T.Abendab))-MAX(0,T.Abendbis-MAX(T.Abendab,K18))+(K17&gt;K18)*(1+T.Abendab-T.Abendbis)+MAX(0,T.Abendbis-MAX(K19,T.Abendab))-MAX(0,T.Abendbis-MAX(T.Abendab,K20))+(K19&gt;K20)*(1+T.Abendab-T.Abendbis)+MAX(0,T.Abendbis-MAX(K21,T.Abendab))-MAX(0,T.Abendbis-MAX(T.Abendab,K22))+(K21&gt;K22)*(1+T.Abendab-T.Abendbis),9)),"")</f>
        <v/>
      </c>
      <c r="L80" s="256" t="str">
        <f aca="false">IF(T.50_Vetsuisse,IF(OR(L$12=0,L$11=0,WEEKDAY(L$10,2)&gt;5),0,ROUND(MAX(0,T.Abendbis-MAX(L13,T.Abendab))-MAX(0,T.Abendbis-MAX(T.Abendab,L14))+(L13&gt;L14)*(1+T.Abendab-T.Abendbis)+MAX(0,T.Abendbis-MAX(L15,T.Abendab))-MAX(0,T.Abendbis-MAX(T.Abendab,L16))+(L15&gt;L16)*(1+T.Abendab-T.Abendbis)+MAX(0,T.Abendbis-MAX(L17,T.Abendab))-MAX(0,T.Abendbis-MAX(T.Abendab,L18))+(L17&gt;L18)*(1+T.Abendab-T.Abendbis)+MAX(0,T.Abendbis-MAX(L19,T.Abendab))-MAX(0,T.Abendbis-MAX(T.Abendab,L20))+(L19&gt;L20)*(1+T.Abendab-T.Abendbis)+MAX(0,T.Abendbis-MAX(L21,T.Abendab))-MAX(0,T.Abendbis-MAX(T.Abendab,L22))+(L21&gt;L22)*(1+T.Abendab-T.Abendbis),9)),"")</f>
        <v/>
      </c>
      <c r="M80" s="256" t="str">
        <f aca="false">IF(T.50_Vetsuisse,IF(OR(M$12=0,M$11=0,WEEKDAY(M$10,2)&gt;5),0,ROUND(MAX(0,T.Abendbis-MAX(M13,T.Abendab))-MAX(0,T.Abendbis-MAX(T.Abendab,M14))+(M13&gt;M14)*(1+T.Abendab-T.Abendbis)+MAX(0,T.Abendbis-MAX(M15,T.Abendab))-MAX(0,T.Abendbis-MAX(T.Abendab,M16))+(M15&gt;M16)*(1+T.Abendab-T.Abendbis)+MAX(0,T.Abendbis-MAX(M17,T.Abendab))-MAX(0,T.Abendbis-MAX(T.Abendab,M18))+(M17&gt;M18)*(1+T.Abendab-T.Abendbis)+MAX(0,T.Abendbis-MAX(M19,T.Abendab))-MAX(0,T.Abendbis-MAX(T.Abendab,M20))+(M19&gt;M20)*(1+T.Abendab-T.Abendbis)+MAX(0,T.Abendbis-MAX(M21,T.Abendab))-MAX(0,T.Abendbis-MAX(T.Abendab,M22))+(M21&gt;M22)*(1+T.Abendab-T.Abendbis),9)),"")</f>
        <v/>
      </c>
      <c r="N80" s="256" t="str">
        <f aca="false">IF(T.50_Vetsuisse,IF(OR(N$12=0,N$11=0,WEEKDAY(N$10,2)&gt;5),0,ROUND(MAX(0,T.Abendbis-MAX(N13,T.Abendab))-MAX(0,T.Abendbis-MAX(T.Abendab,N14))+(N13&gt;N14)*(1+T.Abendab-T.Abendbis)+MAX(0,T.Abendbis-MAX(N15,T.Abendab))-MAX(0,T.Abendbis-MAX(T.Abendab,N16))+(N15&gt;N16)*(1+T.Abendab-T.Abendbis)+MAX(0,T.Abendbis-MAX(N17,T.Abendab))-MAX(0,T.Abendbis-MAX(T.Abendab,N18))+(N17&gt;N18)*(1+T.Abendab-T.Abendbis)+MAX(0,T.Abendbis-MAX(N19,T.Abendab))-MAX(0,T.Abendbis-MAX(T.Abendab,N20))+(N19&gt;N20)*(1+T.Abendab-T.Abendbis)+MAX(0,T.Abendbis-MAX(N21,T.Abendab))-MAX(0,T.Abendbis-MAX(T.Abendab,N22))+(N21&gt;N22)*(1+T.Abendab-T.Abendbis),9)),"")</f>
        <v/>
      </c>
      <c r="O80" s="256" t="str">
        <f aca="false">IF(T.50_Vetsuisse,IF(OR(O$12=0,O$11=0,WEEKDAY(O$10,2)&gt;5),0,ROUND(MAX(0,T.Abendbis-MAX(O13,T.Abendab))-MAX(0,T.Abendbis-MAX(T.Abendab,O14))+(O13&gt;O14)*(1+T.Abendab-T.Abendbis)+MAX(0,T.Abendbis-MAX(O15,T.Abendab))-MAX(0,T.Abendbis-MAX(T.Abendab,O16))+(O15&gt;O16)*(1+T.Abendab-T.Abendbis)+MAX(0,T.Abendbis-MAX(O17,T.Abendab))-MAX(0,T.Abendbis-MAX(T.Abendab,O18))+(O17&gt;O18)*(1+T.Abendab-T.Abendbis)+MAX(0,T.Abendbis-MAX(O19,T.Abendab))-MAX(0,T.Abendbis-MAX(T.Abendab,O20))+(O19&gt;O20)*(1+T.Abendab-T.Abendbis)+MAX(0,T.Abendbis-MAX(O21,T.Abendab))-MAX(0,T.Abendbis-MAX(T.Abendab,O22))+(O21&gt;O22)*(1+T.Abendab-T.Abendbis),9)),"")</f>
        <v/>
      </c>
      <c r="P80" s="256" t="str">
        <f aca="false">IF(T.50_Vetsuisse,IF(OR(P$12=0,P$11=0,WEEKDAY(P$10,2)&gt;5),0,ROUND(MAX(0,T.Abendbis-MAX(P13,T.Abendab))-MAX(0,T.Abendbis-MAX(T.Abendab,P14))+(P13&gt;P14)*(1+T.Abendab-T.Abendbis)+MAX(0,T.Abendbis-MAX(P15,T.Abendab))-MAX(0,T.Abendbis-MAX(T.Abendab,P16))+(P15&gt;P16)*(1+T.Abendab-T.Abendbis)+MAX(0,T.Abendbis-MAX(P17,T.Abendab))-MAX(0,T.Abendbis-MAX(T.Abendab,P18))+(P17&gt;P18)*(1+T.Abendab-T.Abendbis)+MAX(0,T.Abendbis-MAX(P19,T.Abendab))-MAX(0,T.Abendbis-MAX(T.Abendab,P20))+(P19&gt;P20)*(1+T.Abendab-T.Abendbis)+MAX(0,T.Abendbis-MAX(P21,T.Abendab))-MAX(0,T.Abendbis-MAX(T.Abendab,P22))+(P21&gt;P22)*(1+T.Abendab-T.Abendbis),9)),"")</f>
        <v/>
      </c>
      <c r="Q80" s="256" t="str">
        <f aca="false">IF(T.50_Vetsuisse,IF(OR(Q$12=0,Q$11=0,WEEKDAY(Q$10,2)&gt;5),0,ROUND(MAX(0,T.Abendbis-MAX(Q13,T.Abendab))-MAX(0,T.Abendbis-MAX(T.Abendab,Q14))+(Q13&gt;Q14)*(1+T.Abendab-T.Abendbis)+MAX(0,T.Abendbis-MAX(Q15,T.Abendab))-MAX(0,T.Abendbis-MAX(T.Abendab,Q16))+(Q15&gt;Q16)*(1+T.Abendab-T.Abendbis)+MAX(0,T.Abendbis-MAX(Q17,T.Abendab))-MAX(0,T.Abendbis-MAX(T.Abendab,Q18))+(Q17&gt;Q18)*(1+T.Abendab-T.Abendbis)+MAX(0,T.Abendbis-MAX(Q19,T.Abendab))-MAX(0,T.Abendbis-MAX(T.Abendab,Q20))+(Q19&gt;Q20)*(1+T.Abendab-T.Abendbis)+MAX(0,T.Abendbis-MAX(Q21,T.Abendab))-MAX(0,T.Abendbis-MAX(T.Abendab,Q22))+(Q21&gt;Q22)*(1+T.Abendab-T.Abendbis),9)),"")</f>
        <v/>
      </c>
      <c r="R80" s="256" t="str">
        <f aca="false">IF(T.50_Vetsuisse,IF(OR(R$12=0,R$11=0,WEEKDAY(R$10,2)&gt;5),0,ROUND(MAX(0,T.Abendbis-MAX(R13,T.Abendab))-MAX(0,T.Abendbis-MAX(T.Abendab,R14))+(R13&gt;R14)*(1+T.Abendab-T.Abendbis)+MAX(0,T.Abendbis-MAX(R15,T.Abendab))-MAX(0,T.Abendbis-MAX(T.Abendab,R16))+(R15&gt;R16)*(1+T.Abendab-T.Abendbis)+MAX(0,T.Abendbis-MAX(R17,T.Abendab))-MAX(0,T.Abendbis-MAX(T.Abendab,R18))+(R17&gt;R18)*(1+T.Abendab-T.Abendbis)+MAX(0,T.Abendbis-MAX(R19,T.Abendab))-MAX(0,T.Abendbis-MAX(T.Abendab,R20))+(R19&gt;R20)*(1+T.Abendab-T.Abendbis)+MAX(0,T.Abendbis-MAX(R21,T.Abendab))-MAX(0,T.Abendbis-MAX(T.Abendab,R22))+(R21&gt;R22)*(1+T.Abendab-T.Abendbis),9)),"")</f>
        <v/>
      </c>
      <c r="S80" s="256" t="str">
        <f aca="false">IF(T.50_Vetsuisse,IF(OR(S$12=0,S$11=0,WEEKDAY(S$10,2)&gt;5),0,ROUND(MAX(0,T.Abendbis-MAX(S13,T.Abendab))-MAX(0,T.Abendbis-MAX(T.Abendab,S14))+(S13&gt;S14)*(1+T.Abendab-T.Abendbis)+MAX(0,T.Abendbis-MAX(S15,T.Abendab))-MAX(0,T.Abendbis-MAX(T.Abendab,S16))+(S15&gt;S16)*(1+T.Abendab-T.Abendbis)+MAX(0,T.Abendbis-MAX(S17,T.Abendab))-MAX(0,T.Abendbis-MAX(T.Abendab,S18))+(S17&gt;S18)*(1+T.Abendab-T.Abendbis)+MAX(0,T.Abendbis-MAX(S19,T.Abendab))-MAX(0,T.Abendbis-MAX(T.Abendab,S20))+(S19&gt;S20)*(1+T.Abendab-T.Abendbis)+MAX(0,T.Abendbis-MAX(S21,T.Abendab))-MAX(0,T.Abendbis-MAX(T.Abendab,S22))+(S21&gt;S22)*(1+T.Abendab-T.Abendbis),9)),"")</f>
        <v/>
      </c>
      <c r="T80" s="256" t="str">
        <f aca="false">IF(T.50_Vetsuisse,IF(OR(T$12=0,T$11=0,WEEKDAY(T$10,2)&gt;5),0,ROUND(MAX(0,T.Abendbis-MAX(T13,T.Abendab))-MAX(0,T.Abendbis-MAX(T.Abendab,T14))+(T13&gt;T14)*(1+T.Abendab-T.Abendbis)+MAX(0,T.Abendbis-MAX(T15,T.Abendab))-MAX(0,T.Abendbis-MAX(T.Abendab,T16))+(T15&gt;T16)*(1+T.Abendab-T.Abendbis)+MAX(0,T.Abendbis-MAX(T17,T.Abendab))-MAX(0,T.Abendbis-MAX(T.Abendab,T18))+(T17&gt;T18)*(1+T.Abendab-T.Abendbis)+MAX(0,T.Abendbis-MAX(T19,T.Abendab))-MAX(0,T.Abendbis-MAX(T.Abendab,T20))+(T19&gt;T20)*(1+T.Abendab-T.Abendbis)+MAX(0,T.Abendbis-MAX(T21,T.Abendab))-MAX(0,T.Abendbis-MAX(T.Abendab,T22))+(T21&gt;T22)*(1+T.Abendab-T.Abendbis),9)),"")</f>
        <v/>
      </c>
      <c r="U80" s="256" t="str">
        <f aca="false">IF(T.50_Vetsuisse,IF(OR(U$12=0,U$11=0,WEEKDAY(U$10,2)&gt;5),0,ROUND(MAX(0,T.Abendbis-MAX(U13,T.Abendab))-MAX(0,T.Abendbis-MAX(T.Abendab,U14))+(U13&gt;U14)*(1+T.Abendab-T.Abendbis)+MAX(0,T.Abendbis-MAX(U15,T.Abendab))-MAX(0,T.Abendbis-MAX(T.Abendab,U16))+(U15&gt;U16)*(1+T.Abendab-T.Abendbis)+MAX(0,T.Abendbis-MAX(U17,T.Abendab))-MAX(0,T.Abendbis-MAX(T.Abendab,U18))+(U17&gt;U18)*(1+T.Abendab-T.Abendbis)+MAX(0,T.Abendbis-MAX(U19,T.Abendab))-MAX(0,T.Abendbis-MAX(T.Abendab,U20))+(U19&gt;U20)*(1+T.Abendab-T.Abendbis)+MAX(0,T.Abendbis-MAX(U21,T.Abendab))-MAX(0,T.Abendbis-MAX(T.Abendab,U22))+(U21&gt;U22)*(1+T.Abendab-T.Abendbis),9)),"")</f>
        <v/>
      </c>
      <c r="V80" s="256" t="str">
        <f aca="false">IF(T.50_Vetsuisse,IF(OR(V$12=0,V$11=0,WEEKDAY(V$10,2)&gt;5),0,ROUND(MAX(0,T.Abendbis-MAX(V13,T.Abendab))-MAX(0,T.Abendbis-MAX(T.Abendab,V14))+(V13&gt;V14)*(1+T.Abendab-T.Abendbis)+MAX(0,T.Abendbis-MAX(V15,T.Abendab))-MAX(0,T.Abendbis-MAX(T.Abendab,V16))+(V15&gt;V16)*(1+T.Abendab-T.Abendbis)+MAX(0,T.Abendbis-MAX(V17,T.Abendab))-MAX(0,T.Abendbis-MAX(T.Abendab,V18))+(V17&gt;V18)*(1+T.Abendab-T.Abendbis)+MAX(0,T.Abendbis-MAX(V19,T.Abendab))-MAX(0,T.Abendbis-MAX(T.Abendab,V20))+(V19&gt;V20)*(1+T.Abendab-T.Abendbis)+MAX(0,T.Abendbis-MAX(V21,T.Abendab))-MAX(0,T.Abendbis-MAX(T.Abendab,V22))+(V21&gt;V22)*(1+T.Abendab-T.Abendbis),9)),"")</f>
        <v/>
      </c>
      <c r="W80" s="256" t="str">
        <f aca="false">IF(T.50_Vetsuisse,IF(OR(W$12=0,W$11=0,WEEKDAY(W$10,2)&gt;5),0,ROUND(MAX(0,T.Abendbis-MAX(W13,T.Abendab))-MAX(0,T.Abendbis-MAX(T.Abendab,W14))+(W13&gt;W14)*(1+T.Abendab-T.Abendbis)+MAX(0,T.Abendbis-MAX(W15,T.Abendab))-MAX(0,T.Abendbis-MAX(T.Abendab,W16))+(W15&gt;W16)*(1+T.Abendab-T.Abendbis)+MAX(0,T.Abendbis-MAX(W17,T.Abendab))-MAX(0,T.Abendbis-MAX(T.Abendab,W18))+(W17&gt;W18)*(1+T.Abendab-T.Abendbis)+MAX(0,T.Abendbis-MAX(W19,T.Abendab))-MAX(0,T.Abendbis-MAX(T.Abendab,W20))+(W19&gt;W20)*(1+T.Abendab-T.Abendbis)+MAX(0,T.Abendbis-MAX(W21,T.Abendab))-MAX(0,T.Abendbis-MAX(T.Abendab,W22))+(W21&gt;W22)*(1+T.Abendab-T.Abendbis),9)),"")</f>
        <v/>
      </c>
      <c r="X80" s="256" t="str">
        <f aca="false">IF(T.50_Vetsuisse,IF(OR(X$12=0,X$11=0,WEEKDAY(X$10,2)&gt;5),0,ROUND(MAX(0,T.Abendbis-MAX(X13,T.Abendab))-MAX(0,T.Abendbis-MAX(T.Abendab,X14))+(X13&gt;X14)*(1+T.Abendab-T.Abendbis)+MAX(0,T.Abendbis-MAX(X15,T.Abendab))-MAX(0,T.Abendbis-MAX(T.Abendab,X16))+(X15&gt;X16)*(1+T.Abendab-T.Abendbis)+MAX(0,T.Abendbis-MAX(X17,T.Abendab))-MAX(0,T.Abendbis-MAX(T.Abendab,X18))+(X17&gt;X18)*(1+T.Abendab-T.Abendbis)+MAX(0,T.Abendbis-MAX(X19,T.Abendab))-MAX(0,T.Abendbis-MAX(T.Abendab,X20))+(X19&gt;X20)*(1+T.Abendab-T.Abendbis)+MAX(0,T.Abendbis-MAX(X21,T.Abendab))-MAX(0,T.Abendbis-MAX(T.Abendab,X22))+(X21&gt;X22)*(1+T.Abendab-T.Abendbis),9)),"")</f>
        <v/>
      </c>
      <c r="Y80" s="256" t="str">
        <f aca="false">IF(T.50_Vetsuisse,IF(OR(Y$12=0,Y$11=0,WEEKDAY(Y$10,2)&gt;5),0,ROUND(MAX(0,T.Abendbis-MAX(Y13,T.Abendab))-MAX(0,T.Abendbis-MAX(T.Abendab,Y14))+(Y13&gt;Y14)*(1+T.Abendab-T.Abendbis)+MAX(0,T.Abendbis-MAX(Y15,T.Abendab))-MAX(0,T.Abendbis-MAX(T.Abendab,Y16))+(Y15&gt;Y16)*(1+T.Abendab-T.Abendbis)+MAX(0,T.Abendbis-MAX(Y17,T.Abendab))-MAX(0,T.Abendbis-MAX(T.Abendab,Y18))+(Y17&gt;Y18)*(1+T.Abendab-T.Abendbis)+MAX(0,T.Abendbis-MAX(Y19,T.Abendab))-MAX(0,T.Abendbis-MAX(T.Abendab,Y20))+(Y19&gt;Y20)*(1+T.Abendab-T.Abendbis)+MAX(0,T.Abendbis-MAX(Y21,T.Abendab))-MAX(0,T.Abendbis-MAX(T.Abendab,Y22))+(Y21&gt;Y22)*(1+T.Abendab-T.Abendbis),9)),"")</f>
        <v/>
      </c>
      <c r="Z80" s="256" t="str">
        <f aca="false">IF(T.50_Vetsuisse,IF(OR(Z$12=0,Z$11=0,WEEKDAY(Z$10,2)&gt;5),0,ROUND(MAX(0,T.Abendbis-MAX(Z13,T.Abendab))-MAX(0,T.Abendbis-MAX(T.Abendab,Z14))+(Z13&gt;Z14)*(1+T.Abendab-T.Abendbis)+MAX(0,T.Abendbis-MAX(Z15,T.Abendab))-MAX(0,T.Abendbis-MAX(T.Abendab,Z16))+(Z15&gt;Z16)*(1+T.Abendab-T.Abendbis)+MAX(0,T.Abendbis-MAX(Z17,T.Abendab))-MAX(0,T.Abendbis-MAX(T.Abendab,Z18))+(Z17&gt;Z18)*(1+T.Abendab-T.Abendbis)+MAX(0,T.Abendbis-MAX(Z19,T.Abendab))-MAX(0,T.Abendbis-MAX(T.Abendab,Z20))+(Z19&gt;Z20)*(1+T.Abendab-T.Abendbis)+MAX(0,T.Abendbis-MAX(Z21,T.Abendab))-MAX(0,T.Abendbis-MAX(T.Abendab,Z22))+(Z21&gt;Z22)*(1+T.Abendab-T.Abendbis),9)),"")</f>
        <v/>
      </c>
      <c r="AA80" s="256" t="str">
        <f aca="false">IF(T.50_Vetsuisse,IF(OR(AA$12=0,AA$11=0,WEEKDAY(AA$10,2)&gt;5),0,ROUND(MAX(0,T.Abendbis-MAX(AA13,T.Abendab))-MAX(0,T.Abendbis-MAX(T.Abendab,AA14))+(AA13&gt;AA14)*(1+T.Abendab-T.Abendbis)+MAX(0,T.Abendbis-MAX(AA15,T.Abendab))-MAX(0,T.Abendbis-MAX(T.Abendab,AA16))+(AA15&gt;AA16)*(1+T.Abendab-T.Abendbis)+MAX(0,T.Abendbis-MAX(AA17,T.Abendab))-MAX(0,T.Abendbis-MAX(T.Abendab,AA18))+(AA17&gt;AA18)*(1+T.Abendab-T.Abendbis)+MAX(0,T.Abendbis-MAX(AA19,T.Abendab))-MAX(0,T.Abendbis-MAX(T.Abendab,AA20))+(AA19&gt;AA20)*(1+T.Abendab-T.Abendbis)+MAX(0,T.Abendbis-MAX(AA21,T.Abendab))-MAX(0,T.Abendbis-MAX(T.Abendab,AA22))+(AA21&gt;AA22)*(1+T.Abendab-T.Abendbis),9)),"")</f>
        <v/>
      </c>
      <c r="AB80" s="256" t="str">
        <f aca="false">IF(T.50_Vetsuisse,IF(OR(AB$12=0,AB$11=0,WEEKDAY(AB$10,2)&gt;5),0,ROUND(MAX(0,T.Abendbis-MAX(AB13,T.Abendab))-MAX(0,T.Abendbis-MAX(T.Abendab,AB14))+(AB13&gt;AB14)*(1+T.Abendab-T.Abendbis)+MAX(0,T.Abendbis-MAX(AB15,T.Abendab))-MAX(0,T.Abendbis-MAX(T.Abendab,AB16))+(AB15&gt;AB16)*(1+T.Abendab-T.Abendbis)+MAX(0,T.Abendbis-MAX(AB17,T.Abendab))-MAX(0,T.Abendbis-MAX(T.Abendab,AB18))+(AB17&gt;AB18)*(1+T.Abendab-T.Abendbis)+MAX(0,T.Abendbis-MAX(AB19,T.Abendab))-MAX(0,T.Abendbis-MAX(T.Abendab,AB20))+(AB19&gt;AB20)*(1+T.Abendab-T.Abendbis)+MAX(0,T.Abendbis-MAX(AB21,T.Abendab))-MAX(0,T.Abendbis-MAX(T.Abendab,AB22))+(AB21&gt;AB22)*(1+T.Abendab-T.Abendbis),9)),"")</f>
        <v/>
      </c>
      <c r="AC80" s="256" t="str">
        <f aca="false">IF(T.50_Vetsuisse,IF(OR(AC$12=0,AC$11=0,WEEKDAY(AC$10,2)&gt;5),0,ROUND(MAX(0,T.Abendbis-MAX(AC13,T.Abendab))-MAX(0,T.Abendbis-MAX(T.Abendab,AC14))+(AC13&gt;AC14)*(1+T.Abendab-T.Abendbis)+MAX(0,T.Abendbis-MAX(AC15,T.Abendab))-MAX(0,T.Abendbis-MAX(T.Abendab,AC16))+(AC15&gt;AC16)*(1+T.Abendab-T.Abendbis)+MAX(0,T.Abendbis-MAX(AC17,T.Abendab))-MAX(0,T.Abendbis-MAX(T.Abendab,AC18))+(AC17&gt;AC18)*(1+T.Abendab-T.Abendbis)+MAX(0,T.Abendbis-MAX(AC19,T.Abendab))-MAX(0,T.Abendbis-MAX(T.Abendab,AC20))+(AC19&gt;AC20)*(1+T.Abendab-T.Abendbis)+MAX(0,T.Abendbis-MAX(AC21,T.Abendab))-MAX(0,T.Abendbis-MAX(T.Abendab,AC22))+(AC21&gt;AC22)*(1+T.Abendab-T.Abendbis),9)),"")</f>
        <v/>
      </c>
      <c r="AD80" s="256" t="str">
        <f aca="false">IF(T.50_Vetsuisse,IF(OR(AD$12=0,AD$11=0,WEEKDAY(AD$10,2)&gt;5),0,ROUND(MAX(0,T.Abendbis-MAX(AD13,T.Abendab))-MAX(0,T.Abendbis-MAX(T.Abendab,AD14))+(AD13&gt;AD14)*(1+T.Abendab-T.Abendbis)+MAX(0,T.Abendbis-MAX(AD15,T.Abendab))-MAX(0,T.Abendbis-MAX(T.Abendab,AD16))+(AD15&gt;AD16)*(1+T.Abendab-T.Abendbis)+MAX(0,T.Abendbis-MAX(AD17,T.Abendab))-MAX(0,T.Abendbis-MAX(T.Abendab,AD18))+(AD17&gt;AD18)*(1+T.Abendab-T.Abendbis)+MAX(0,T.Abendbis-MAX(AD19,T.Abendab))-MAX(0,T.Abendbis-MAX(T.Abendab,AD20))+(AD19&gt;AD20)*(1+T.Abendab-T.Abendbis)+MAX(0,T.Abendbis-MAX(AD21,T.Abendab))-MAX(0,T.Abendbis-MAX(T.Abendab,AD22))+(AD21&gt;AD22)*(1+T.Abendab-T.Abendbis),9)),"")</f>
        <v/>
      </c>
      <c r="AE80" s="256" t="str">
        <f aca="false">IF(T.50_Vetsuisse,IF(OR(AE$12=0,AE$11=0,WEEKDAY(AE$10,2)&gt;5),0,ROUND(MAX(0,T.Abendbis-MAX(AE13,T.Abendab))-MAX(0,T.Abendbis-MAX(T.Abendab,AE14))+(AE13&gt;AE14)*(1+T.Abendab-T.Abendbis)+MAX(0,T.Abendbis-MAX(AE15,T.Abendab))-MAX(0,T.Abendbis-MAX(T.Abendab,AE16))+(AE15&gt;AE16)*(1+T.Abendab-T.Abendbis)+MAX(0,T.Abendbis-MAX(AE17,T.Abendab))-MAX(0,T.Abendbis-MAX(T.Abendab,AE18))+(AE17&gt;AE18)*(1+T.Abendab-T.Abendbis)+MAX(0,T.Abendbis-MAX(AE19,T.Abendab))-MAX(0,T.Abendbis-MAX(T.Abendab,AE20))+(AE19&gt;AE20)*(1+T.Abendab-T.Abendbis)+MAX(0,T.Abendbis-MAX(AE21,T.Abendab))-MAX(0,T.Abendbis-MAX(T.Abendab,AE22))+(AE21&gt;AE22)*(1+T.Abendab-T.Abendbis),9)),"")</f>
        <v/>
      </c>
      <c r="AF80" s="256" t="str">
        <f aca="false">IF(T.50_Vetsuisse,IF(OR(AF$12=0,AF$11=0,WEEKDAY(AF$10,2)&gt;5),0,ROUND(MAX(0,T.Abendbis-MAX(AF13,T.Abendab))-MAX(0,T.Abendbis-MAX(T.Abendab,AF14))+(AF13&gt;AF14)*(1+T.Abendab-T.Abendbis)+MAX(0,T.Abendbis-MAX(AF15,T.Abendab))-MAX(0,T.Abendbis-MAX(T.Abendab,AF16))+(AF15&gt;AF16)*(1+T.Abendab-T.Abendbis)+MAX(0,T.Abendbis-MAX(AF17,T.Abendab))-MAX(0,T.Abendbis-MAX(T.Abendab,AF18))+(AF17&gt;AF18)*(1+T.Abendab-T.Abendbis)+MAX(0,T.Abendbis-MAX(AF19,T.Abendab))-MAX(0,T.Abendbis-MAX(T.Abendab,AF20))+(AF19&gt;AF20)*(1+T.Abendab-T.Abendbis)+MAX(0,T.Abendbis-MAX(AF21,T.Abendab))-MAX(0,T.Abendbis-MAX(T.Abendab,AF22))+(AF21&gt;AF22)*(1+T.Abendab-T.Abendbis),9)),"")</f>
        <v/>
      </c>
      <c r="AG80" s="168" t="str">
        <f aca="false">A80</f>
        <v>Evening work</v>
      </c>
      <c r="AH80" s="250"/>
      <c r="AI80" s="207" t="n">
        <f aca="false">SUM(B80:AF80)</f>
        <v>0</v>
      </c>
      <c r="AJ80" s="33"/>
      <c r="AK80" s="192"/>
      <c r="AL80" s="216" t="n">
        <f aca="false">IF(EB.Anwendung&lt;&gt;"",IF(MONTH(Monat.Tag1)=1,0,IF(MONTH(Monat.Tag1)=2,January!Monat.AAUeVM,IF(MONTH(Monat.Tag1)=3,February!Monat.AAUeVM,IF(MONTH(Monat.Tag1)=4,March!Monat.AAUeVM,IF(MONTH(Monat.Tag1)=5,April!Monat.AAUeVM,IF(MONTH(Monat.Tag1)=6,May!Monat.AAUeVM,IF(MONTH(Monat.Tag1)=7,June!Monat.AAUeVM,IF(MONTH(Monat.Tag1)=8,July!Monat.AAUeVM,IF(MONTH(Monat.Tag1)=9,August!Monat.AAUeVM,IF(MONTH(Monat.Tag1)=10,September!Monat.AAUeVM,IF(MONTH(Monat.Tag1)=11,Monat.AAUeVM,IF(MONTH(Monat.Tag1)=12,November!Monat.AAUeVM,"")))))))))))),"")</f>
        <v>0</v>
      </c>
      <c r="AM80" s="172"/>
      <c r="AN80" s="217" t="n">
        <f aca="false">AI80+AL80</f>
        <v>0</v>
      </c>
      <c r="AO80" s="171"/>
      <c r="AP80" s="171"/>
      <c r="AQ80" s="39"/>
    </row>
    <row r="81" s="148" customFormat="true" ht="15" hidden="false" customHeight="true" outlineLevel="1" collapsed="false">
      <c r="A81" s="175" t="s">
        <v>164</v>
      </c>
      <c r="B81" s="256" t="n">
        <f aca="true">IF(EB.Wochenarbeitszeit=50/24,"",IF(B$12=0,0,IF(OR(WEEKDAY(B$10,2)&gt;5,B$11=0),IF(NOT(B$34=INDEX(T.Pikett.Bereich,1)),1,0),IF(WEEKDAY(B$10,2)&lt;6,IF(AND(OR(B$34=INDEX(T.Pikett.Bereich,2),B$34=INDEX(T.Pikett.Bereich,3)),B$11=1),8/24,0))+IF(WEEKDAY(B$10,2)&lt;6,IF(AND(OR(B$34=INDEX(T.Pikett.Bereich,2),B$34=INDEX(T.Pikett.Bereich,3)),B$11=6/8.4),10/24,0)) +IF(WEEKDAY(B$10,2)&lt;6,IF(AND(OR(B$34=INDEX(T.Pikett.Bereich,2),B$34=INDEX(T.Pikett.Bereich,3)),B$11=0.5),0.5,0)) +IF(AND(B$34=INDEX(T.Pikett.Bereich,4),B$11=6/8.4),0.75,0)+IF(AND(B$34=INDEX(T.Pikett.Bereich,4),B$11=1),16/24,0) +IF(AND(B$34=INDEX(T.Pikett.Bereich,4),B$11=0.5),20/24,0))))</f>
        <v>0</v>
      </c>
      <c r="C81" s="256" t="n">
        <f aca="true">IF(EB.Wochenarbeitszeit=50/24,"",IF(C$12=0,0,IF(OR(WEEKDAY(C$10,2)&gt;5,C$11=0),IF(NOT(C$34=INDEX(T.Pikett.Bereich,1)),1,0),IF(WEEKDAY(C$10,2)&lt;6,IF(AND(OR(C$34=INDEX(T.Pikett.Bereich,2),C$34=INDEX(T.Pikett.Bereich,3)),C$11=1),8/24,0))+IF(WEEKDAY(C$10,2)&lt;6,IF(AND(OR(C$34=INDEX(T.Pikett.Bereich,2),C$34=INDEX(T.Pikett.Bereich,3)),C$11=6/8.4),10/24,0)) +IF(WEEKDAY(C$10,2)&lt;6,IF(AND(OR(C$34=INDEX(T.Pikett.Bereich,2),C$34=INDEX(T.Pikett.Bereich,3)),C$11=0.5),0.5,0)) +IF(AND(C$34=INDEX(T.Pikett.Bereich,4),C$11=6/8.4),0.75,0)+IF(AND(C$34=INDEX(T.Pikett.Bereich,4),C$11=1),16/24,0) +IF(AND(C$34=INDEX(T.Pikett.Bereich,4),C$11=0.5),20/24,0))))</f>
        <v>0</v>
      </c>
      <c r="D81" s="256" t="n">
        <f aca="true">IF(EB.Wochenarbeitszeit=50/24,"",IF(D$12=0,0,IF(OR(WEEKDAY(D$10,2)&gt;5,D$11=0),IF(NOT(D$34=INDEX(T.Pikett.Bereich,1)),1,0),IF(WEEKDAY(D$10,2)&lt;6,IF(AND(OR(D$34=INDEX(T.Pikett.Bereich,2),D$34=INDEX(T.Pikett.Bereich,3)),D$11=1),8/24,0))+IF(WEEKDAY(D$10,2)&lt;6,IF(AND(OR(D$34=INDEX(T.Pikett.Bereich,2),D$34=INDEX(T.Pikett.Bereich,3)),D$11=6/8.4),10/24,0)) +IF(WEEKDAY(D$10,2)&lt;6,IF(AND(OR(D$34=INDEX(T.Pikett.Bereich,2),D$34=INDEX(T.Pikett.Bereich,3)),D$11=0.5),0.5,0)) +IF(AND(D$34=INDEX(T.Pikett.Bereich,4),D$11=6/8.4),0.75,0)+IF(AND(D$34=INDEX(T.Pikett.Bereich,4),D$11=1),16/24,0) +IF(AND(D$34=INDEX(T.Pikett.Bereich,4),D$11=0.5),20/24,0))))</f>
        <v>0</v>
      </c>
      <c r="E81" s="256" t="n">
        <f aca="true">IF(EB.Wochenarbeitszeit=50/24,"",IF(E$12=0,0,IF(OR(WEEKDAY(E$10,2)&gt;5,E$11=0),IF(NOT(E$34=INDEX(T.Pikett.Bereich,1)),1,0),IF(WEEKDAY(E$10,2)&lt;6,IF(AND(OR(E$34=INDEX(T.Pikett.Bereich,2),E$34=INDEX(T.Pikett.Bereich,3)),E$11=1),8/24,0))+IF(WEEKDAY(E$10,2)&lt;6,IF(AND(OR(E$34=INDEX(T.Pikett.Bereich,2),E$34=INDEX(T.Pikett.Bereich,3)),E$11=6/8.4),10/24,0)) +IF(WEEKDAY(E$10,2)&lt;6,IF(AND(OR(E$34=INDEX(T.Pikett.Bereich,2),E$34=INDEX(T.Pikett.Bereich,3)),E$11=0.5),0.5,0)) +IF(AND(E$34=INDEX(T.Pikett.Bereich,4),E$11=6/8.4),0.75,0)+IF(AND(E$34=INDEX(T.Pikett.Bereich,4),E$11=1),16/24,0) +IF(AND(E$34=INDEX(T.Pikett.Bereich,4),E$11=0.5),20/24,0))))</f>
        <v>0</v>
      </c>
      <c r="F81" s="256" t="n">
        <f aca="true">IF(EB.Wochenarbeitszeit=50/24,"",IF(F$12=0,0,IF(OR(WEEKDAY(F$10,2)&gt;5,F$11=0),IF(NOT(F$34=INDEX(T.Pikett.Bereich,1)),1,0),IF(WEEKDAY(F$10,2)&lt;6,IF(AND(OR(F$34=INDEX(T.Pikett.Bereich,2),F$34=INDEX(T.Pikett.Bereich,3)),F$11=1),8/24,0))+IF(WEEKDAY(F$10,2)&lt;6,IF(AND(OR(F$34=INDEX(T.Pikett.Bereich,2),F$34=INDEX(T.Pikett.Bereich,3)),F$11=6/8.4),10/24,0)) +IF(WEEKDAY(F$10,2)&lt;6,IF(AND(OR(F$34=INDEX(T.Pikett.Bereich,2),F$34=INDEX(T.Pikett.Bereich,3)),F$11=0.5),0.5,0)) +IF(AND(F$34=INDEX(T.Pikett.Bereich,4),F$11=6/8.4),0.75,0)+IF(AND(F$34=INDEX(T.Pikett.Bereich,4),F$11=1),16/24,0) +IF(AND(F$34=INDEX(T.Pikett.Bereich,4),F$11=0.5),20/24,0))))</f>
        <v>0</v>
      </c>
      <c r="G81" s="256" t="n">
        <f aca="true">IF(EB.Wochenarbeitszeit=50/24,"",IF(G$12=0,0,IF(OR(WEEKDAY(G$10,2)&gt;5,G$11=0),IF(NOT(G$34=INDEX(T.Pikett.Bereich,1)),1,0),IF(WEEKDAY(G$10,2)&lt;6,IF(AND(OR(G$34=INDEX(T.Pikett.Bereich,2),G$34=INDEX(T.Pikett.Bereich,3)),G$11=1),8/24,0))+IF(WEEKDAY(G$10,2)&lt;6,IF(AND(OR(G$34=INDEX(T.Pikett.Bereich,2),G$34=INDEX(T.Pikett.Bereich,3)),G$11=6/8.4),10/24,0)) +IF(WEEKDAY(G$10,2)&lt;6,IF(AND(OR(G$34=INDEX(T.Pikett.Bereich,2),G$34=INDEX(T.Pikett.Bereich,3)),G$11=0.5),0.5,0)) +IF(AND(G$34=INDEX(T.Pikett.Bereich,4),G$11=6/8.4),0.75,0)+IF(AND(G$34=INDEX(T.Pikett.Bereich,4),G$11=1),16/24,0) +IF(AND(G$34=INDEX(T.Pikett.Bereich,4),G$11=0.5),20/24,0))))</f>
        <v>0</v>
      </c>
      <c r="H81" s="256" t="n">
        <f aca="true">IF(EB.Wochenarbeitszeit=50/24,"",IF(H$12=0,0,IF(OR(WEEKDAY(H$10,2)&gt;5,H$11=0),IF(NOT(H$34=INDEX(T.Pikett.Bereich,1)),1,0),IF(WEEKDAY(H$10,2)&lt;6,IF(AND(OR(H$34=INDEX(T.Pikett.Bereich,2),H$34=INDEX(T.Pikett.Bereich,3)),H$11=1),8/24,0))+IF(WEEKDAY(H$10,2)&lt;6,IF(AND(OR(H$34=INDEX(T.Pikett.Bereich,2),H$34=INDEX(T.Pikett.Bereich,3)),H$11=6/8.4),10/24,0)) +IF(WEEKDAY(H$10,2)&lt;6,IF(AND(OR(H$34=INDEX(T.Pikett.Bereich,2),H$34=INDEX(T.Pikett.Bereich,3)),H$11=0.5),0.5,0)) +IF(AND(H$34=INDEX(T.Pikett.Bereich,4),H$11=6/8.4),0.75,0)+IF(AND(H$34=INDEX(T.Pikett.Bereich,4),H$11=1),16/24,0) +IF(AND(H$34=INDEX(T.Pikett.Bereich,4),H$11=0.5),20/24,0))))</f>
        <v>0</v>
      </c>
      <c r="I81" s="256" t="n">
        <f aca="true">IF(EB.Wochenarbeitszeit=50/24,"",IF(I$12=0,0,IF(OR(WEEKDAY(I$10,2)&gt;5,I$11=0),IF(NOT(I$34=INDEX(T.Pikett.Bereich,1)),1,0),IF(WEEKDAY(I$10,2)&lt;6,IF(AND(OR(I$34=INDEX(T.Pikett.Bereich,2),I$34=INDEX(T.Pikett.Bereich,3)),I$11=1),8/24,0))+IF(WEEKDAY(I$10,2)&lt;6,IF(AND(OR(I$34=INDEX(T.Pikett.Bereich,2),I$34=INDEX(T.Pikett.Bereich,3)),I$11=6/8.4),10/24,0)) +IF(WEEKDAY(I$10,2)&lt;6,IF(AND(OR(I$34=INDEX(T.Pikett.Bereich,2),I$34=INDEX(T.Pikett.Bereich,3)),I$11=0.5),0.5,0)) +IF(AND(I$34=INDEX(T.Pikett.Bereich,4),I$11=6/8.4),0.75,0)+IF(AND(I$34=INDEX(T.Pikett.Bereich,4),I$11=1),16/24,0) +IF(AND(I$34=INDEX(T.Pikett.Bereich,4),I$11=0.5),20/24,0))))</f>
        <v>0</v>
      </c>
      <c r="J81" s="256" t="n">
        <f aca="true">IF(EB.Wochenarbeitszeit=50/24,"",IF(J$12=0,0,IF(OR(WEEKDAY(J$10,2)&gt;5,J$11=0),IF(NOT(J$34=INDEX(T.Pikett.Bereich,1)),1,0),IF(WEEKDAY(J$10,2)&lt;6,IF(AND(OR(J$34=INDEX(T.Pikett.Bereich,2),J$34=INDEX(T.Pikett.Bereich,3)),J$11=1),8/24,0))+IF(WEEKDAY(J$10,2)&lt;6,IF(AND(OR(J$34=INDEX(T.Pikett.Bereich,2),J$34=INDEX(T.Pikett.Bereich,3)),J$11=6/8.4),10/24,0)) +IF(WEEKDAY(J$10,2)&lt;6,IF(AND(OR(J$34=INDEX(T.Pikett.Bereich,2),J$34=INDEX(T.Pikett.Bereich,3)),J$11=0.5),0.5,0)) +IF(AND(J$34=INDEX(T.Pikett.Bereich,4),J$11=6/8.4),0.75,0)+IF(AND(J$34=INDEX(T.Pikett.Bereich,4),J$11=1),16/24,0) +IF(AND(J$34=INDEX(T.Pikett.Bereich,4),J$11=0.5),20/24,0))))</f>
        <v>0</v>
      </c>
      <c r="K81" s="256" t="n">
        <f aca="true">IF(EB.Wochenarbeitszeit=50/24,"",IF(K$12=0,0,IF(OR(WEEKDAY(K$10,2)&gt;5,K$11=0),IF(NOT(K$34=INDEX(T.Pikett.Bereich,1)),1,0),IF(WEEKDAY(K$10,2)&lt;6,IF(AND(OR(K$34=INDEX(T.Pikett.Bereich,2),K$34=INDEX(T.Pikett.Bereich,3)),K$11=1),8/24,0))+IF(WEEKDAY(K$10,2)&lt;6,IF(AND(OR(K$34=INDEX(T.Pikett.Bereich,2),K$34=INDEX(T.Pikett.Bereich,3)),K$11=6/8.4),10/24,0)) +IF(WEEKDAY(K$10,2)&lt;6,IF(AND(OR(K$34=INDEX(T.Pikett.Bereich,2),K$34=INDEX(T.Pikett.Bereich,3)),K$11=0.5),0.5,0)) +IF(AND(K$34=INDEX(T.Pikett.Bereich,4),K$11=6/8.4),0.75,0)+IF(AND(K$34=INDEX(T.Pikett.Bereich,4),K$11=1),16/24,0) +IF(AND(K$34=INDEX(T.Pikett.Bereich,4),K$11=0.5),20/24,0))))</f>
        <v>0</v>
      </c>
      <c r="L81" s="256" t="n">
        <f aca="true">IF(EB.Wochenarbeitszeit=50/24,"",IF(L$12=0,0,IF(OR(WEEKDAY(L$10,2)&gt;5,L$11=0),IF(NOT(L$34=INDEX(T.Pikett.Bereich,1)),1,0),IF(WEEKDAY(L$10,2)&lt;6,IF(AND(OR(L$34=INDEX(T.Pikett.Bereich,2),L$34=INDEX(T.Pikett.Bereich,3)),L$11=1),8/24,0))+IF(WEEKDAY(L$10,2)&lt;6,IF(AND(OR(L$34=INDEX(T.Pikett.Bereich,2),L$34=INDEX(T.Pikett.Bereich,3)),L$11=6/8.4),10/24,0)) +IF(WEEKDAY(L$10,2)&lt;6,IF(AND(OR(L$34=INDEX(T.Pikett.Bereich,2),L$34=INDEX(T.Pikett.Bereich,3)),L$11=0.5),0.5,0)) +IF(AND(L$34=INDEX(T.Pikett.Bereich,4),L$11=6/8.4),0.75,0)+IF(AND(L$34=INDEX(T.Pikett.Bereich,4),L$11=1),16/24,0) +IF(AND(L$34=INDEX(T.Pikett.Bereich,4),L$11=0.5),20/24,0))))</f>
        <v>0</v>
      </c>
      <c r="M81" s="256" t="n">
        <f aca="true">IF(EB.Wochenarbeitszeit=50/24,"",IF(M$12=0,0,IF(OR(WEEKDAY(M$10,2)&gt;5,M$11=0),IF(NOT(M$34=INDEX(T.Pikett.Bereich,1)),1,0),IF(WEEKDAY(M$10,2)&lt;6,IF(AND(OR(M$34=INDEX(T.Pikett.Bereich,2),M$34=INDEX(T.Pikett.Bereich,3)),M$11=1),8/24,0))+IF(WEEKDAY(M$10,2)&lt;6,IF(AND(OR(M$34=INDEX(T.Pikett.Bereich,2),M$34=INDEX(T.Pikett.Bereich,3)),M$11=6/8.4),10/24,0)) +IF(WEEKDAY(M$10,2)&lt;6,IF(AND(OR(M$34=INDEX(T.Pikett.Bereich,2),M$34=INDEX(T.Pikett.Bereich,3)),M$11=0.5),0.5,0)) +IF(AND(M$34=INDEX(T.Pikett.Bereich,4),M$11=6/8.4),0.75,0)+IF(AND(M$34=INDEX(T.Pikett.Bereich,4),M$11=1),16/24,0) +IF(AND(M$34=INDEX(T.Pikett.Bereich,4),M$11=0.5),20/24,0))))</f>
        <v>0</v>
      </c>
      <c r="N81" s="256" t="n">
        <f aca="true">IF(EB.Wochenarbeitszeit=50/24,"",IF(N$12=0,0,IF(OR(WEEKDAY(N$10,2)&gt;5,N$11=0),IF(NOT(N$34=INDEX(T.Pikett.Bereich,1)),1,0),IF(WEEKDAY(N$10,2)&lt;6,IF(AND(OR(N$34=INDEX(T.Pikett.Bereich,2),N$34=INDEX(T.Pikett.Bereich,3)),N$11=1),8/24,0))+IF(WEEKDAY(N$10,2)&lt;6,IF(AND(OR(N$34=INDEX(T.Pikett.Bereich,2),N$34=INDEX(T.Pikett.Bereich,3)),N$11=6/8.4),10/24,0)) +IF(WEEKDAY(N$10,2)&lt;6,IF(AND(OR(N$34=INDEX(T.Pikett.Bereich,2),N$34=INDEX(T.Pikett.Bereich,3)),N$11=0.5),0.5,0)) +IF(AND(N$34=INDEX(T.Pikett.Bereich,4),N$11=6/8.4),0.75,0)+IF(AND(N$34=INDEX(T.Pikett.Bereich,4),N$11=1),16/24,0) +IF(AND(N$34=INDEX(T.Pikett.Bereich,4),N$11=0.5),20/24,0))))</f>
        <v>0</v>
      </c>
      <c r="O81" s="256" t="n">
        <f aca="true">IF(EB.Wochenarbeitszeit=50/24,"",IF(O$12=0,0,IF(OR(WEEKDAY(O$10,2)&gt;5,O$11=0),IF(NOT(O$34=INDEX(T.Pikett.Bereich,1)),1,0),IF(WEEKDAY(O$10,2)&lt;6,IF(AND(OR(O$34=INDEX(T.Pikett.Bereich,2),O$34=INDEX(T.Pikett.Bereich,3)),O$11=1),8/24,0))+IF(WEEKDAY(O$10,2)&lt;6,IF(AND(OR(O$34=INDEX(T.Pikett.Bereich,2),O$34=INDEX(T.Pikett.Bereich,3)),O$11=6/8.4),10/24,0)) +IF(WEEKDAY(O$10,2)&lt;6,IF(AND(OR(O$34=INDEX(T.Pikett.Bereich,2),O$34=INDEX(T.Pikett.Bereich,3)),O$11=0.5),0.5,0)) +IF(AND(O$34=INDEX(T.Pikett.Bereich,4),O$11=6/8.4),0.75,0)+IF(AND(O$34=INDEX(T.Pikett.Bereich,4),O$11=1),16/24,0) +IF(AND(O$34=INDEX(T.Pikett.Bereich,4),O$11=0.5),20/24,0))))</f>
        <v>0</v>
      </c>
      <c r="P81" s="256" t="n">
        <f aca="true">IF(EB.Wochenarbeitszeit=50/24,"",IF(P$12=0,0,IF(OR(WEEKDAY(P$10,2)&gt;5,P$11=0),IF(NOT(P$34=INDEX(T.Pikett.Bereich,1)),1,0),IF(WEEKDAY(P$10,2)&lt;6,IF(AND(OR(P$34=INDEX(T.Pikett.Bereich,2),P$34=INDEX(T.Pikett.Bereich,3)),P$11=1),8/24,0))+IF(WEEKDAY(P$10,2)&lt;6,IF(AND(OR(P$34=INDEX(T.Pikett.Bereich,2),P$34=INDEX(T.Pikett.Bereich,3)),P$11=6/8.4),10/24,0)) +IF(WEEKDAY(P$10,2)&lt;6,IF(AND(OR(P$34=INDEX(T.Pikett.Bereich,2),P$34=INDEX(T.Pikett.Bereich,3)),P$11=0.5),0.5,0)) +IF(AND(P$34=INDEX(T.Pikett.Bereich,4),P$11=6/8.4),0.75,0)+IF(AND(P$34=INDEX(T.Pikett.Bereich,4),P$11=1),16/24,0) +IF(AND(P$34=INDEX(T.Pikett.Bereich,4),P$11=0.5),20/24,0))))</f>
        <v>0</v>
      </c>
      <c r="Q81" s="256" t="n">
        <f aca="true">IF(EB.Wochenarbeitszeit=50/24,"",IF(Q$12=0,0,IF(OR(WEEKDAY(Q$10,2)&gt;5,Q$11=0),IF(NOT(Q$34=INDEX(T.Pikett.Bereich,1)),1,0),IF(WEEKDAY(Q$10,2)&lt;6,IF(AND(OR(Q$34=INDEX(T.Pikett.Bereich,2),Q$34=INDEX(T.Pikett.Bereich,3)),Q$11=1),8/24,0))+IF(WEEKDAY(Q$10,2)&lt;6,IF(AND(OR(Q$34=INDEX(T.Pikett.Bereich,2),Q$34=INDEX(T.Pikett.Bereich,3)),Q$11=6/8.4),10/24,0)) +IF(WEEKDAY(Q$10,2)&lt;6,IF(AND(OR(Q$34=INDEX(T.Pikett.Bereich,2),Q$34=INDEX(T.Pikett.Bereich,3)),Q$11=0.5),0.5,0)) +IF(AND(Q$34=INDEX(T.Pikett.Bereich,4),Q$11=6/8.4),0.75,0)+IF(AND(Q$34=INDEX(T.Pikett.Bereich,4),Q$11=1),16/24,0) +IF(AND(Q$34=INDEX(T.Pikett.Bereich,4),Q$11=0.5),20/24,0))))</f>
        <v>0</v>
      </c>
      <c r="R81" s="256" t="n">
        <f aca="true">IF(EB.Wochenarbeitszeit=50/24,"",IF(R$12=0,0,IF(OR(WEEKDAY(R$10,2)&gt;5,R$11=0),IF(NOT(R$34=INDEX(T.Pikett.Bereich,1)),1,0),IF(WEEKDAY(R$10,2)&lt;6,IF(AND(OR(R$34=INDEX(T.Pikett.Bereich,2),R$34=INDEX(T.Pikett.Bereich,3)),R$11=1),8/24,0))+IF(WEEKDAY(R$10,2)&lt;6,IF(AND(OR(R$34=INDEX(T.Pikett.Bereich,2),R$34=INDEX(T.Pikett.Bereich,3)),R$11=6/8.4),10/24,0)) +IF(WEEKDAY(R$10,2)&lt;6,IF(AND(OR(R$34=INDEX(T.Pikett.Bereich,2),R$34=INDEX(T.Pikett.Bereich,3)),R$11=0.5),0.5,0)) +IF(AND(R$34=INDEX(T.Pikett.Bereich,4),R$11=6/8.4),0.75,0)+IF(AND(R$34=INDEX(T.Pikett.Bereich,4),R$11=1),16/24,0) +IF(AND(R$34=INDEX(T.Pikett.Bereich,4),R$11=0.5),20/24,0))))</f>
        <v>0</v>
      </c>
      <c r="S81" s="256" t="n">
        <f aca="true">IF(EB.Wochenarbeitszeit=50/24,"",IF(S$12=0,0,IF(OR(WEEKDAY(S$10,2)&gt;5,S$11=0),IF(NOT(S$34=INDEX(T.Pikett.Bereich,1)),1,0),IF(WEEKDAY(S$10,2)&lt;6,IF(AND(OR(S$34=INDEX(T.Pikett.Bereich,2),S$34=INDEX(T.Pikett.Bereich,3)),S$11=1),8/24,0))+IF(WEEKDAY(S$10,2)&lt;6,IF(AND(OR(S$34=INDEX(T.Pikett.Bereich,2),S$34=INDEX(T.Pikett.Bereich,3)),S$11=6/8.4),10/24,0)) +IF(WEEKDAY(S$10,2)&lt;6,IF(AND(OR(S$34=INDEX(T.Pikett.Bereich,2),S$34=INDEX(T.Pikett.Bereich,3)),S$11=0.5),0.5,0)) +IF(AND(S$34=INDEX(T.Pikett.Bereich,4),S$11=6/8.4),0.75,0)+IF(AND(S$34=INDEX(T.Pikett.Bereich,4),S$11=1),16/24,0) +IF(AND(S$34=INDEX(T.Pikett.Bereich,4),S$11=0.5),20/24,0))))</f>
        <v>0</v>
      </c>
      <c r="T81" s="256" t="n">
        <f aca="true">IF(EB.Wochenarbeitszeit=50/24,"",IF(T$12=0,0,IF(OR(WEEKDAY(T$10,2)&gt;5,T$11=0),IF(NOT(T$34=INDEX(T.Pikett.Bereich,1)),1,0),IF(WEEKDAY(T$10,2)&lt;6,IF(AND(OR(T$34=INDEX(T.Pikett.Bereich,2),T$34=INDEX(T.Pikett.Bereich,3)),T$11=1),8/24,0))+IF(WEEKDAY(T$10,2)&lt;6,IF(AND(OR(T$34=INDEX(T.Pikett.Bereich,2),T$34=INDEX(T.Pikett.Bereich,3)),T$11=6/8.4),10/24,0)) +IF(WEEKDAY(T$10,2)&lt;6,IF(AND(OR(T$34=INDEX(T.Pikett.Bereich,2),T$34=INDEX(T.Pikett.Bereich,3)),T$11=0.5),0.5,0)) +IF(AND(T$34=INDEX(T.Pikett.Bereich,4),T$11=6/8.4),0.75,0)+IF(AND(T$34=INDEX(T.Pikett.Bereich,4),T$11=1),16/24,0) +IF(AND(T$34=INDEX(T.Pikett.Bereich,4),T$11=0.5),20/24,0))))</f>
        <v>0</v>
      </c>
      <c r="U81" s="256" t="n">
        <f aca="true">IF(EB.Wochenarbeitszeit=50/24,"",IF(U$12=0,0,IF(OR(WEEKDAY(U$10,2)&gt;5,U$11=0),IF(NOT(U$34=INDEX(T.Pikett.Bereich,1)),1,0),IF(WEEKDAY(U$10,2)&lt;6,IF(AND(OR(U$34=INDEX(T.Pikett.Bereich,2),U$34=INDEX(T.Pikett.Bereich,3)),U$11=1),8/24,0))+IF(WEEKDAY(U$10,2)&lt;6,IF(AND(OR(U$34=INDEX(T.Pikett.Bereich,2),U$34=INDEX(T.Pikett.Bereich,3)),U$11=6/8.4),10/24,0)) +IF(WEEKDAY(U$10,2)&lt;6,IF(AND(OR(U$34=INDEX(T.Pikett.Bereich,2),U$34=INDEX(T.Pikett.Bereich,3)),U$11=0.5),0.5,0)) +IF(AND(U$34=INDEX(T.Pikett.Bereich,4),U$11=6/8.4),0.75,0)+IF(AND(U$34=INDEX(T.Pikett.Bereich,4),U$11=1),16/24,0) +IF(AND(U$34=INDEX(T.Pikett.Bereich,4),U$11=0.5),20/24,0))))</f>
        <v>0</v>
      </c>
      <c r="V81" s="256" t="n">
        <f aca="true">IF(EB.Wochenarbeitszeit=50/24,"",IF(V$12=0,0,IF(OR(WEEKDAY(V$10,2)&gt;5,V$11=0),IF(NOT(V$34=INDEX(T.Pikett.Bereich,1)),1,0),IF(WEEKDAY(V$10,2)&lt;6,IF(AND(OR(V$34=INDEX(T.Pikett.Bereich,2),V$34=INDEX(T.Pikett.Bereich,3)),V$11=1),8/24,0))+IF(WEEKDAY(V$10,2)&lt;6,IF(AND(OR(V$34=INDEX(T.Pikett.Bereich,2),V$34=INDEX(T.Pikett.Bereich,3)),V$11=6/8.4),10/24,0)) +IF(WEEKDAY(V$10,2)&lt;6,IF(AND(OR(V$34=INDEX(T.Pikett.Bereich,2),V$34=INDEX(T.Pikett.Bereich,3)),V$11=0.5),0.5,0)) +IF(AND(V$34=INDEX(T.Pikett.Bereich,4),V$11=6/8.4),0.75,0)+IF(AND(V$34=INDEX(T.Pikett.Bereich,4),V$11=1),16/24,0) +IF(AND(V$34=INDEX(T.Pikett.Bereich,4),V$11=0.5),20/24,0))))</f>
        <v>0</v>
      </c>
      <c r="W81" s="256" t="n">
        <f aca="true">IF(EB.Wochenarbeitszeit=50/24,"",IF(W$12=0,0,IF(OR(WEEKDAY(W$10,2)&gt;5,W$11=0),IF(NOT(W$34=INDEX(T.Pikett.Bereich,1)),1,0),IF(WEEKDAY(W$10,2)&lt;6,IF(AND(OR(W$34=INDEX(T.Pikett.Bereich,2),W$34=INDEX(T.Pikett.Bereich,3)),W$11=1),8/24,0))+IF(WEEKDAY(W$10,2)&lt;6,IF(AND(OR(W$34=INDEX(T.Pikett.Bereich,2),W$34=INDEX(T.Pikett.Bereich,3)),W$11=6/8.4),10/24,0)) +IF(WEEKDAY(W$10,2)&lt;6,IF(AND(OR(W$34=INDEX(T.Pikett.Bereich,2),W$34=INDEX(T.Pikett.Bereich,3)),W$11=0.5),0.5,0)) +IF(AND(W$34=INDEX(T.Pikett.Bereich,4),W$11=6/8.4),0.75,0)+IF(AND(W$34=INDEX(T.Pikett.Bereich,4),W$11=1),16/24,0) +IF(AND(W$34=INDEX(T.Pikett.Bereich,4),W$11=0.5),20/24,0))))</f>
        <v>0</v>
      </c>
      <c r="X81" s="256" t="n">
        <f aca="true">IF(EB.Wochenarbeitszeit=50/24,"",IF(X$12=0,0,IF(OR(WEEKDAY(X$10,2)&gt;5,X$11=0),IF(NOT(X$34=INDEX(T.Pikett.Bereich,1)),1,0),IF(WEEKDAY(X$10,2)&lt;6,IF(AND(OR(X$34=INDEX(T.Pikett.Bereich,2),X$34=INDEX(T.Pikett.Bereich,3)),X$11=1),8/24,0))+IF(WEEKDAY(X$10,2)&lt;6,IF(AND(OR(X$34=INDEX(T.Pikett.Bereich,2),X$34=INDEX(T.Pikett.Bereich,3)),X$11=6/8.4),10/24,0)) +IF(WEEKDAY(X$10,2)&lt;6,IF(AND(OR(X$34=INDEX(T.Pikett.Bereich,2),X$34=INDEX(T.Pikett.Bereich,3)),X$11=0.5),0.5,0)) +IF(AND(X$34=INDEX(T.Pikett.Bereich,4),X$11=6/8.4),0.75,0)+IF(AND(X$34=INDEX(T.Pikett.Bereich,4),X$11=1),16/24,0) +IF(AND(X$34=INDEX(T.Pikett.Bereich,4),X$11=0.5),20/24,0))))</f>
        <v>0</v>
      </c>
      <c r="Y81" s="256" t="n">
        <f aca="true">IF(EB.Wochenarbeitszeit=50/24,"",IF(Y$12=0,0,IF(OR(WEEKDAY(Y$10,2)&gt;5,Y$11=0),IF(NOT(Y$34=INDEX(T.Pikett.Bereich,1)),1,0),IF(WEEKDAY(Y$10,2)&lt;6,IF(AND(OR(Y$34=INDEX(T.Pikett.Bereich,2),Y$34=INDEX(T.Pikett.Bereich,3)),Y$11=1),8/24,0))+IF(WEEKDAY(Y$10,2)&lt;6,IF(AND(OR(Y$34=INDEX(T.Pikett.Bereich,2),Y$34=INDEX(T.Pikett.Bereich,3)),Y$11=6/8.4),10/24,0)) +IF(WEEKDAY(Y$10,2)&lt;6,IF(AND(OR(Y$34=INDEX(T.Pikett.Bereich,2),Y$34=INDEX(T.Pikett.Bereich,3)),Y$11=0.5),0.5,0)) +IF(AND(Y$34=INDEX(T.Pikett.Bereich,4),Y$11=6/8.4),0.75,0)+IF(AND(Y$34=INDEX(T.Pikett.Bereich,4),Y$11=1),16/24,0) +IF(AND(Y$34=INDEX(T.Pikett.Bereich,4),Y$11=0.5),20/24,0))))</f>
        <v>0</v>
      </c>
      <c r="Z81" s="256" t="n">
        <f aca="true">IF(EB.Wochenarbeitszeit=50/24,"",IF(Z$12=0,0,IF(OR(WEEKDAY(Z$10,2)&gt;5,Z$11=0),IF(NOT(Z$34=INDEX(T.Pikett.Bereich,1)),1,0),IF(WEEKDAY(Z$10,2)&lt;6,IF(AND(OR(Z$34=INDEX(T.Pikett.Bereich,2),Z$34=INDEX(T.Pikett.Bereich,3)),Z$11=1),8/24,0))+IF(WEEKDAY(Z$10,2)&lt;6,IF(AND(OR(Z$34=INDEX(T.Pikett.Bereich,2),Z$34=INDEX(T.Pikett.Bereich,3)),Z$11=6/8.4),10/24,0)) +IF(WEEKDAY(Z$10,2)&lt;6,IF(AND(OR(Z$34=INDEX(T.Pikett.Bereich,2),Z$34=INDEX(T.Pikett.Bereich,3)),Z$11=0.5),0.5,0)) +IF(AND(Z$34=INDEX(T.Pikett.Bereich,4),Z$11=6/8.4),0.75,0)+IF(AND(Z$34=INDEX(T.Pikett.Bereich,4),Z$11=1),16/24,0) +IF(AND(Z$34=INDEX(T.Pikett.Bereich,4),Z$11=0.5),20/24,0))))</f>
        <v>0</v>
      </c>
      <c r="AA81" s="256" t="n">
        <f aca="true">IF(EB.Wochenarbeitszeit=50/24,"",IF(AA$12=0,0,IF(OR(WEEKDAY(AA$10,2)&gt;5,AA$11=0),IF(NOT(AA$34=INDEX(T.Pikett.Bereich,1)),1,0),IF(WEEKDAY(AA$10,2)&lt;6,IF(AND(OR(AA$34=INDEX(T.Pikett.Bereich,2),AA$34=INDEX(T.Pikett.Bereich,3)),AA$11=1),8/24,0))+IF(WEEKDAY(AA$10,2)&lt;6,IF(AND(OR(AA$34=INDEX(T.Pikett.Bereich,2),AA$34=INDEX(T.Pikett.Bereich,3)),AA$11=6/8.4),10/24,0)) +IF(WEEKDAY(AA$10,2)&lt;6,IF(AND(OR(AA$34=INDEX(T.Pikett.Bereich,2),AA$34=INDEX(T.Pikett.Bereich,3)),AA$11=0.5),0.5,0)) +IF(AND(AA$34=INDEX(T.Pikett.Bereich,4),AA$11=6/8.4),0.75,0)+IF(AND(AA$34=INDEX(T.Pikett.Bereich,4),AA$11=1),16/24,0) +IF(AND(AA$34=INDEX(T.Pikett.Bereich,4),AA$11=0.5),20/24,0))))</f>
        <v>0</v>
      </c>
      <c r="AB81" s="256" t="n">
        <f aca="true">IF(EB.Wochenarbeitszeit=50/24,"",IF(AB$12=0,0,IF(OR(WEEKDAY(AB$10,2)&gt;5,AB$11=0),IF(NOT(AB$34=INDEX(T.Pikett.Bereich,1)),1,0),IF(WEEKDAY(AB$10,2)&lt;6,IF(AND(OR(AB$34=INDEX(T.Pikett.Bereich,2),AB$34=INDEX(T.Pikett.Bereich,3)),AB$11=1),8/24,0))+IF(WEEKDAY(AB$10,2)&lt;6,IF(AND(OR(AB$34=INDEX(T.Pikett.Bereich,2),AB$34=INDEX(T.Pikett.Bereich,3)),AB$11=6/8.4),10/24,0)) +IF(WEEKDAY(AB$10,2)&lt;6,IF(AND(OR(AB$34=INDEX(T.Pikett.Bereich,2),AB$34=INDEX(T.Pikett.Bereich,3)),AB$11=0.5),0.5,0)) +IF(AND(AB$34=INDEX(T.Pikett.Bereich,4),AB$11=6/8.4),0.75,0)+IF(AND(AB$34=INDEX(T.Pikett.Bereich,4),AB$11=1),16/24,0) +IF(AND(AB$34=INDEX(T.Pikett.Bereich,4),AB$11=0.5),20/24,0))))</f>
        <v>0</v>
      </c>
      <c r="AC81" s="256" t="n">
        <f aca="true">IF(EB.Wochenarbeitszeit=50/24,"",IF(AC$12=0,0,IF(OR(WEEKDAY(AC$10,2)&gt;5,AC$11=0),IF(NOT(AC$34=INDEX(T.Pikett.Bereich,1)),1,0),IF(WEEKDAY(AC$10,2)&lt;6,IF(AND(OR(AC$34=INDEX(T.Pikett.Bereich,2),AC$34=INDEX(T.Pikett.Bereich,3)),AC$11=1),8/24,0))+IF(WEEKDAY(AC$10,2)&lt;6,IF(AND(OR(AC$34=INDEX(T.Pikett.Bereich,2),AC$34=INDEX(T.Pikett.Bereich,3)),AC$11=6/8.4),10/24,0)) +IF(WEEKDAY(AC$10,2)&lt;6,IF(AND(OR(AC$34=INDEX(T.Pikett.Bereich,2),AC$34=INDEX(T.Pikett.Bereich,3)),AC$11=0.5),0.5,0)) +IF(AND(AC$34=INDEX(T.Pikett.Bereich,4),AC$11=6/8.4),0.75,0)+IF(AND(AC$34=INDEX(T.Pikett.Bereich,4),AC$11=1),16/24,0) +IF(AND(AC$34=INDEX(T.Pikett.Bereich,4),AC$11=0.5),20/24,0))))</f>
        <v>0</v>
      </c>
      <c r="AD81" s="256" t="n">
        <f aca="true">IF(EB.Wochenarbeitszeit=50/24,"",IF(AD$12=0,0,IF(OR(WEEKDAY(AD$10,2)&gt;5,AD$11=0),IF(NOT(AD$34=INDEX(T.Pikett.Bereich,1)),1,0),IF(WEEKDAY(AD$10,2)&lt;6,IF(AND(OR(AD$34=INDEX(T.Pikett.Bereich,2),AD$34=INDEX(T.Pikett.Bereich,3)),AD$11=1),8/24,0))+IF(WEEKDAY(AD$10,2)&lt;6,IF(AND(OR(AD$34=INDEX(T.Pikett.Bereich,2),AD$34=INDEX(T.Pikett.Bereich,3)),AD$11=6/8.4),10/24,0)) +IF(WEEKDAY(AD$10,2)&lt;6,IF(AND(OR(AD$34=INDEX(T.Pikett.Bereich,2),AD$34=INDEX(T.Pikett.Bereich,3)),AD$11=0.5),0.5,0)) +IF(AND(AD$34=INDEX(T.Pikett.Bereich,4),AD$11=6/8.4),0.75,0)+IF(AND(AD$34=INDEX(T.Pikett.Bereich,4),AD$11=1),16/24,0) +IF(AND(AD$34=INDEX(T.Pikett.Bereich,4),AD$11=0.5),20/24,0))))</f>
        <v>0</v>
      </c>
      <c r="AE81" s="256" t="n">
        <f aca="true">IF(EB.Wochenarbeitszeit=50/24,"",IF(AE$12=0,0,IF(OR(WEEKDAY(AE$10,2)&gt;5,AE$11=0),IF(NOT(AE$34=INDEX(T.Pikett.Bereich,1)),1,0),IF(WEEKDAY(AE$10,2)&lt;6,IF(AND(OR(AE$34=INDEX(T.Pikett.Bereich,2),AE$34=INDEX(T.Pikett.Bereich,3)),AE$11=1),8/24,0))+IF(WEEKDAY(AE$10,2)&lt;6,IF(AND(OR(AE$34=INDEX(T.Pikett.Bereich,2),AE$34=INDEX(T.Pikett.Bereich,3)),AE$11=6/8.4),10/24,0)) +IF(WEEKDAY(AE$10,2)&lt;6,IF(AND(OR(AE$34=INDEX(T.Pikett.Bereich,2),AE$34=INDEX(T.Pikett.Bereich,3)),AE$11=0.5),0.5,0)) +IF(AND(AE$34=INDEX(T.Pikett.Bereich,4),AE$11=6/8.4),0.75,0)+IF(AND(AE$34=INDEX(T.Pikett.Bereich,4),AE$11=1),16/24,0) +IF(AND(AE$34=INDEX(T.Pikett.Bereich,4),AE$11=0.5),20/24,0))))</f>
        <v>0</v>
      </c>
      <c r="AF81" s="256" t="n">
        <f aca="true">IF(EB.Wochenarbeitszeit=50/24,"",IF(AF$12=0,0,IF(OR(WEEKDAY(AF$10,2)&gt;5,AF$11=0),IF(NOT(AF$34=INDEX(T.Pikett.Bereich,1)),1,0),IF(WEEKDAY(AF$10,2)&lt;6,IF(AND(OR(AF$34=INDEX(T.Pikett.Bereich,2),AF$34=INDEX(T.Pikett.Bereich,3)),AF$11=1),8/24,0))+IF(WEEKDAY(AF$10,2)&lt;6,IF(AND(OR(AF$34=INDEX(T.Pikett.Bereich,2),AF$34=INDEX(T.Pikett.Bereich,3)),AF$11=6/8.4),10/24,0)) +IF(WEEKDAY(AF$10,2)&lt;6,IF(AND(OR(AF$34=INDEX(T.Pikett.Bereich,2),AF$34=INDEX(T.Pikett.Bereich,3)),AF$11=0.5),0.5,0)) +IF(AND(AF$34=INDEX(T.Pikett.Bereich,4),AF$11=6/8.4),0.75,0)+IF(AND(AF$34=INDEX(T.Pikett.Bereich,4),AF$11=1),16/24,0) +IF(AND(AF$34=INDEX(T.Pikett.Bereich,4),AF$11=0.5),20/24,0))))</f>
        <v>0</v>
      </c>
      <c r="AG81" s="168" t="str">
        <f aca="false">A81</f>
        <v>On-call duty</v>
      </c>
      <c r="AH81" s="250"/>
      <c r="AI81" s="207" t="n">
        <f aca="false">SUM(B81:AF81)</f>
        <v>0</v>
      </c>
      <c r="AJ81" s="33"/>
      <c r="AK81" s="192"/>
      <c r="AL81" s="216" t="n">
        <f aca="false">IF(EB.Anwendung&lt;&gt;"",IF(MONTH(Monat.Tag1)=1,0,IF(MONTH(Monat.Tag1)=2,January!Monat.BDUeVM,IF(MONTH(Monat.Tag1)=3,February!Monat.BDUeVM,IF(MONTH(Monat.Tag1)=4,March!Monat.BDUeVM,IF(MONTH(Monat.Tag1)=5,April!Monat.BDUeVM,IF(MONTH(Monat.Tag1)=6,May!Monat.BDUeVM,IF(MONTH(Monat.Tag1)=7,June!Monat.BDUeVM,IF(MONTH(Monat.Tag1)=8,July!Monat.BDUeVM,IF(MONTH(Monat.Tag1)=9,August!Monat.BDUeVM,IF(MONTH(Monat.Tag1)=10,September!Monat.BDUeVM,IF(MONTH(Monat.Tag1)=11,Monat.BDUeVM,IF(MONTH(Monat.Tag1)=12,November!Monat.BDUeVM,"")))))))))))),"")</f>
        <v>0</v>
      </c>
      <c r="AM81" s="172"/>
      <c r="AN81" s="217" t="n">
        <f aca="false">AI81+AL81</f>
        <v>0</v>
      </c>
      <c r="AO81" s="171"/>
      <c r="AP81" s="171"/>
      <c r="AQ81" s="39"/>
    </row>
    <row r="82" s="148" customFormat="true" ht="15" hidden="false" customHeight="true" outlineLevel="1" collapsed="false">
      <c r="A82" s="175" t="s">
        <v>165</v>
      </c>
      <c r="B82" s="256" t="n">
        <f aca="false">IF(B$12=0,"",IF(OR(WEEKDAY(B$10,2)&gt;5,B$11=0), IF(T.50_NoVetsuisse,B45, IF(T.50_Vetsuisse,IF(B23-B73=0,"",B23-B73), IF(T.ServiceCenterIrchel,B23, B60))),))</f>
        <v>0</v>
      </c>
      <c r="C82" s="256" t="n">
        <f aca="false">IF(C$12=0,"",IF(OR(WEEKDAY(C$10,2)&gt;5,C$11=0), IF(T.50_NoVetsuisse,C45, IF(T.50_Vetsuisse,IF(C23-C73=0,"",C23-C73), IF(T.ServiceCenterIrchel,C23, C60))),))</f>
        <v>0</v>
      </c>
      <c r="D82" s="257" t="n">
        <f aca="false">IF(D$12=0,"",IF(OR(WEEKDAY(D$10,2)&gt;5,D$11=0), IF(T.50_NoVetsuisse,D45, IF(T.50_Vetsuisse,IF(D23-D73=0,"",D23-D73), IF(T.ServiceCenterIrchel,D23, D60))),))</f>
        <v>0</v>
      </c>
      <c r="E82" s="256" t="n">
        <f aca="false">IF(E$12=0,"",IF(OR(WEEKDAY(E$10,2)&gt;5,E$11=0), IF(T.50_NoVetsuisse,E45, IF(T.50_Vetsuisse,IF(E23-E73=0,"",E23-E73), IF(T.ServiceCenterIrchel,E23, E60))),))</f>
        <v>0</v>
      </c>
      <c r="F82" s="257" t="n">
        <f aca="false">IF(F$12=0,"",IF(OR(WEEKDAY(F$10,2)&gt;5,F$11=0), IF(T.50_NoVetsuisse,F45, IF(T.50_Vetsuisse,IF(F23-F73=0,"",F23-F73), IF(T.ServiceCenterIrchel,F23, F60))),))</f>
        <v>0</v>
      </c>
      <c r="G82" s="257" t="str">
        <f aca="false">IF(G$12=0,"",IF(OR(WEEKDAY(G$10,2)&gt;5,G$11=0), IF(T.50_NoVetsuisse,G45, IF(T.50_Vetsuisse,IF(G23-G73=0,"",G23-G73), IF(T.ServiceCenterIrchel,G23, G60))),))</f>
        <v/>
      </c>
      <c r="H82" s="257" t="str">
        <f aca="false">IF(H$12=0,"",IF(OR(WEEKDAY(H$10,2)&gt;5,H$11=0), IF(T.50_NoVetsuisse,H45, IF(T.50_Vetsuisse,IF(H23-H73=0,"",H23-H73), IF(T.ServiceCenterIrchel,H23, H60))),))</f>
        <v/>
      </c>
      <c r="I82" s="257" t="n">
        <f aca="false">IF(I$12=0,"",IF(OR(WEEKDAY(I$10,2)&gt;5,I$11=0), IF(T.50_NoVetsuisse,I45, IF(T.50_Vetsuisse,IF(I23-I73=0,"",I23-I73), IF(T.ServiceCenterIrchel,I23, I60))),))</f>
        <v>0</v>
      </c>
      <c r="J82" s="256" t="n">
        <f aca="false">IF(J$12=0,"",IF(OR(WEEKDAY(J$10,2)&gt;5,J$11=0), IF(T.50_NoVetsuisse,J45, IF(T.50_Vetsuisse,IF(J23-J73=0,"",J23-J73), IF(T.ServiceCenterIrchel,J23, J60))),))</f>
        <v>0</v>
      </c>
      <c r="K82" s="257" t="n">
        <f aca="false">IF(K$12=0,"",IF(OR(WEEKDAY(K$10,2)&gt;5,K$11=0), IF(T.50_NoVetsuisse,K45, IF(T.50_Vetsuisse,IF(K23-K73=0,"",K23-K73), IF(T.ServiceCenterIrchel,K23, K60))),))</f>
        <v>0</v>
      </c>
      <c r="L82" s="256" t="n">
        <f aca="false">IF(L$12=0,"",IF(OR(WEEKDAY(L$10,2)&gt;5,L$11=0), IF(T.50_NoVetsuisse,L45, IF(T.50_Vetsuisse,IF(L23-L73=0,"",L23-L73), IF(T.ServiceCenterIrchel,L23, L60))),))</f>
        <v>0</v>
      </c>
      <c r="M82" s="257" t="n">
        <f aca="false">IF(M$12=0,"",IF(OR(WEEKDAY(M$10,2)&gt;5,M$11=0), IF(T.50_NoVetsuisse,M45, IF(T.50_Vetsuisse,IF(M23-M73=0,"",M23-M73), IF(T.ServiceCenterIrchel,M23, M60))),))</f>
        <v>0</v>
      </c>
      <c r="N82" s="257" t="str">
        <f aca="false">IF(N$12=0,"",IF(OR(WEEKDAY(N$10,2)&gt;5,N$11=0), IF(T.50_NoVetsuisse,N45, IF(T.50_Vetsuisse,IF(N23-N73=0,"",N23-N73), IF(T.ServiceCenterIrchel,N23, N60))),))</f>
        <v/>
      </c>
      <c r="O82" s="257" t="str">
        <f aca="false">IF(O$12=0,"",IF(OR(WEEKDAY(O$10,2)&gt;5,O$11=0), IF(T.50_NoVetsuisse,O45, IF(T.50_Vetsuisse,IF(O23-O73=0,"",O23-O73), IF(T.ServiceCenterIrchel,O23, O60))),))</f>
        <v/>
      </c>
      <c r="P82" s="257" t="n">
        <f aca="false">IF(P$12=0,"",IF(OR(WEEKDAY(P$10,2)&gt;5,P$11=0), IF(T.50_NoVetsuisse,P45, IF(T.50_Vetsuisse,IF(P23-P73=0,"",P23-P73), IF(T.ServiceCenterIrchel,P23, P60))),))</f>
        <v>0</v>
      </c>
      <c r="Q82" s="256" t="n">
        <f aca="false">IF(Q$12=0,"",IF(OR(WEEKDAY(Q$10,2)&gt;5,Q$11=0), IF(T.50_NoVetsuisse,Q45, IF(T.50_Vetsuisse,IF(Q23-Q73=0,"",Q23-Q73), IF(T.ServiceCenterIrchel,Q23, Q60))),))</f>
        <v>0</v>
      </c>
      <c r="R82" s="257" t="n">
        <f aca="false">IF(R$12=0,"",IF(OR(WEEKDAY(R$10,2)&gt;5,R$11=0), IF(T.50_NoVetsuisse,R45, IF(T.50_Vetsuisse,IF(R23-R73=0,"",R23-R73), IF(T.ServiceCenterIrchel,R23, R60))),))</f>
        <v>0</v>
      </c>
      <c r="S82" s="256" t="n">
        <f aca="false">IF(S$12=0,"",IF(OR(WEEKDAY(S$10,2)&gt;5,S$11=0), IF(T.50_NoVetsuisse,S45, IF(T.50_Vetsuisse,IF(S23-S73=0,"",S23-S73), IF(T.ServiceCenterIrchel,S23, S60))),))</f>
        <v>0</v>
      </c>
      <c r="T82" s="256" t="n">
        <f aca="false">IF(T$12=0,"",IF(OR(WEEKDAY(T$10,2)&gt;5,T$11=0), IF(T.50_NoVetsuisse,T45, IF(T.50_Vetsuisse,IF(T23-T73=0,"",T23-T73), IF(T.ServiceCenterIrchel,T23, T60))),))</f>
        <v>0</v>
      </c>
      <c r="U82" s="257" t="str">
        <f aca="false">IF(U$12=0,"",IF(OR(WEEKDAY(U$10,2)&gt;5,U$11=0), IF(T.50_NoVetsuisse,U45, IF(T.50_Vetsuisse,IF(U23-U73=0,"",U23-U73), IF(T.ServiceCenterIrchel,U23, U60))),))</f>
        <v/>
      </c>
      <c r="V82" s="257" t="str">
        <f aca="false">IF(V$12=0,"",IF(OR(WEEKDAY(V$10,2)&gt;5,V$11=0), IF(T.50_NoVetsuisse,V45, IF(T.50_Vetsuisse,IF(V23-V73=0,"",V23-V73), IF(T.ServiceCenterIrchel,V23, V60))),))</f>
        <v/>
      </c>
      <c r="W82" s="257" t="n">
        <f aca="false">IF(W$12=0,"",IF(OR(WEEKDAY(W$10,2)&gt;5,W$11=0), IF(T.50_NoVetsuisse,W45, IF(T.50_Vetsuisse,IF(W23-W73=0,"",W23-W73), IF(T.ServiceCenterIrchel,W23, W60))),))</f>
        <v>0</v>
      </c>
      <c r="X82" s="256" t="n">
        <f aca="false">IF(X$12=0,"",IF(OR(WEEKDAY(X$10,2)&gt;5,X$11=0), IF(T.50_NoVetsuisse,X45, IF(T.50_Vetsuisse,IF(X23-X73=0,"",X23-X73), IF(T.ServiceCenterIrchel,X23, X60))),))</f>
        <v>0</v>
      </c>
      <c r="Y82" s="257" t="n">
        <f aca="false">IF(Y$12=0,"",IF(OR(WEEKDAY(Y$10,2)&gt;5,Y$11=0), IF(T.50_NoVetsuisse,Y45, IF(T.50_Vetsuisse,IF(Y23-Y73=0,"",Y23-Y73), IF(T.ServiceCenterIrchel,Y23, Y60))),))</f>
        <v>0</v>
      </c>
      <c r="Z82" s="258" t="n">
        <f aca="false">IF(Z$12=0,"",IF(OR(WEEKDAY(Z$10,2)&gt;5,Z$11=0), IF(T.50_NoVetsuisse,Z45, IF(T.50_Vetsuisse,IF(Z23-Z73=0,"",Z23-Z73), IF(T.ServiceCenterIrchel,Z23, Z60))),))</f>
        <v>0</v>
      </c>
      <c r="AA82" s="257" t="n">
        <f aca="false">IF(AA$12=0,"",IF(OR(WEEKDAY(AA$10,2)&gt;5,AA$11=0), IF(T.50_NoVetsuisse,AA45, IF(T.50_Vetsuisse,IF(AA23-AA73=0,"",AA23-AA73), IF(T.ServiceCenterIrchel,AA23, AA60))),))</f>
        <v>0</v>
      </c>
      <c r="AB82" s="257" t="str">
        <f aca="false">IF(AB$12=0,"",IF(OR(WEEKDAY(AB$10,2)&gt;5,AB$11=0), IF(T.50_NoVetsuisse,AB45, IF(T.50_Vetsuisse,IF(AB23-AB73=0,"",AB23-AB73), IF(T.ServiceCenterIrchel,AB23, AB60))),))</f>
        <v/>
      </c>
      <c r="AC82" s="257" t="str">
        <f aca="false">IF(AC$12=0,"",IF(OR(WEEKDAY(AC$10,2)&gt;5,AC$11=0), IF(T.50_NoVetsuisse,AC45, IF(T.50_Vetsuisse,IF(AC23-AC73=0,"",AC23-AC73), IF(T.ServiceCenterIrchel,AC23, AC60))),))</f>
        <v/>
      </c>
      <c r="AD82" s="257" t="n">
        <f aca="false">IF(AD$12=0,"",IF(OR(WEEKDAY(AD$10,2)&gt;5,AD$11=0), IF(T.50_NoVetsuisse,AD45, IF(T.50_Vetsuisse,IF(AD23-AD73=0,"",AD23-AD73), IF(T.ServiceCenterIrchel,AD23, AD60))),))</f>
        <v>0</v>
      </c>
      <c r="AE82" s="256" t="n">
        <f aca="false">IF(AE$12=0,"",IF(OR(WEEKDAY(AE$10,2)&gt;5,AE$11=0), IF(T.50_NoVetsuisse,AE45, IF(T.50_Vetsuisse,IF(AE23-AE73=0,"",AE23-AE73), IF(T.ServiceCenterIrchel,AE23, AE60))),))</f>
        <v>0</v>
      </c>
      <c r="AF82" s="257" t="n">
        <f aca="false">IF(AF$12=0,"",IF(OR(WEEKDAY(AF$10,2)&gt;5,AF$11=0), IF(T.50_NoVetsuisse,AF45, IF(T.50_Vetsuisse,IF(AF23-AF73=0,"",AF23-AF73), IF(T.ServiceCenterIrchel,AF23, AF60))),))</f>
        <v>0</v>
      </c>
      <c r="AG82" s="168" t="str">
        <f aca="false">A82</f>
        <v>Saturday/Sunday shift</v>
      </c>
      <c r="AH82" s="197"/>
      <c r="AI82" s="207" t="n">
        <f aca="false">SUM(B82:AF82)</f>
        <v>0</v>
      </c>
      <c r="AJ82" s="198" t="n">
        <f aca="false">IFERROR(SUMPRODUCT((B82:AF82&gt;0)*(B82:AF82&lt;&gt;"")),0)</f>
        <v>0</v>
      </c>
      <c r="AK82" s="192"/>
      <c r="AL82" s="216" t="n">
        <f aca="false">IF(EB.Anwendung&lt;&gt;"",IF(MONTH(Monat.Tag1)=1,0,IF(MONTH(Monat.Tag1)=2,January!Monat.SDUeVM,IF(MONTH(Monat.Tag1)=3,February!Monat.SDUeVM,IF(MONTH(Monat.Tag1)=4,March!Monat.SDUeVM,IF(MONTH(Monat.Tag1)=5,April!Monat.SDUeVM,IF(MONTH(Monat.Tag1)=6,May!Monat.SDUeVM,IF(MONTH(Monat.Tag1)=7,June!Monat.SDUeVM,IF(MONTH(Monat.Tag1)=8,July!Monat.SDUeVM,IF(MONTH(Monat.Tag1)=9,August!Monat.SDUeVM,IF(MONTH(Monat.Tag1)=10,September!Monat.SDUeVM,IF(MONTH(Monat.Tag1)=11,Monat.SDUeVM,IF(MONTH(Monat.Tag1)=12,November!Monat.SDUeVM,"")))))))))))),"")</f>
        <v>0</v>
      </c>
      <c r="AM82" s="172"/>
      <c r="AN82" s="217" t="n">
        <f aca="false">AI82+AL82</f>
        <v>0</v>
      </c>
      <c r="AO82" s="171"/>
      <c r="AP82" s="171"/>
      <c r="AQ82" s="39"/>
    </row>
    <row r="83" s="148" customFormat="true" ht="11.25" hidden="false" customHeight="true" outlineLevel="1" collapsed="false">
      <c r="A83" s="186"/>
      <c r="B83" s="194"/>
      <c r="C83" s="194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4"/>
      <c r="O83" s="194"/>
      <c r="P83" s="194"/>
      <c r="Q83" s="194"/>
      <c r="R83" s="194"/>
      <c r="S83" s="194"/>
      <c r="T83" s="194"/>
      <c r="U83" s="194"/>
      <c r="V83" s="194"/>
      <c r="W83" s="194"/>
      <c r="X83" s="194"/>
      <c r="Y83" s="194"/>
      <c r="Z83" s="194"/>
      <c r="AA83" s="194"/>
      <c r="AB83" s="194"/>
      <c r="AC83" s="194"/>
      <c r="AD83" s="194"/>
      <c r="AE83" s="194"/>
      <c r="AF83" s="195"/>
      <c r="AG83" s="168"/>
      <c r="AH83" s="197"/>
      <c r="AI83" s="192"/>
      <c r="AJ83" s="27"/>
      <c r="AK83" s="235"/>
      <c r="AL83" s="235"/>
      <c r="AM83" s="172"/>
      <c r="AN83" s="254"/>
      <c r="AO83" s="259"/>
      <c r="AP83" s="259"/>
      <c r="AQ83" s="39"/>
    </row>
    <row r="84" s="148" customFormat="true" ht="15" hidden="false" customHeight="true" outlineLevel="0" collapsed="false">
      <c r="A84" s="175" t="s">
        <v>166</v>
      </c>
      <c r="B84" s="176"/>
      <c r="C84" s="176"/>
      <c r="D84" s="176"/>
      <c r="E84" s="176"/>
      <c r="F84" s="176"/>
      <c r="G84" s="176"/>
      <c r="H84" s="176"/>
      <c r="I84" s="176"/>
      <c r="J84" s="176"/>
      <c r="K84" s="176"/>
      <c r="L84" s="176"/>
      <c r="M84" s="176"/>
      <c r="N84" s="176"/>
      <c r="O84" s="176"/>
      <c r="P84" s="176"/>
      <c r="Q84" s="176"/>
      <c r="R84" s="176"/>
      <c r="S84" s="176"/>
      <c r="T84" s="176"/>
      <c r="U84" s="176"/>
      <c r="V84" s="176"/>
      <c r="W84" s="176"/>
      <c r="X84" s="176"/>
      <c r="Y84" s="176"/>
      <c r="Z84" s="190"/>
      <c r="AA84" s="176"/>
      <c r="AB84" s="176"/>
      <c r="AC84" s="176"/>
      <c r="AD84" s="176"/>
      <c r="AE84" s="176"/>
      <c r="AF84" s="176"/>
      <c r="AG84" s="168" t="str">
        <f aca="false">A84</f>
        <v>Vacation</v>
      </c>
      <c r="AH84" s="184"/>
      <c r="AI84" s="207" t="n">
        <f aca="false">SUM(B84:AF84)</f>
        <v>0</v>
      </c>
      <c r="AJ84" s="33"/>
      <c r="AK84" s="216" t="n">
        <f aca="true">OFFSET(EB.MFAStd.Knoten,MONTH(Monat.Tag1),0,1,1)</f>
        <v>0.583333333333333</v>
      </c>
      <c r="AL84" s="216" t="n">
        <f aca="false">IF(EB.Anwendung&lt;&gt;"",IF(MONTH(Monat.Tag1)=1,EB.FerienBer,IF(MONTH(Monat.Tag1)=2,January!Monat.FerienUeVM,IF(MONTH(Monat.Tag1)=3,February!Monat.FerienUeVM,IF(MONTH(Monat.Tag1)=4,March!Monat.FerienUeVM,IF(MONTH(Monat.Tag1)=5,April!Monat.FerienUeVM,IF(MONTH(Monat.Tag1)=6,May!Monat.FerienUeVM,IF(MONTH(Monat.Tag1)=7,June!Monat.FerienUeVM,IF(MONTH(Monat.Tag1)=8,July!Monat.FerienUeVM,IF(MONTH(Monat.Tag1)=9,August!Monat.FerienUeVM,IF(MONTH(Monat.Tag1)=10,September!Monat.FerienUeVM,IF(MONTH(Monat.Tag1)=11,Monat.FerienUeVM,IF(MONTH(Monat.Tag1)=12,November!Monat.FerienUeVM,"")))))))))))),"")</f>
        <v>3.5</v>
      </c>
      <c r="AM84" s="172"/>
      <c r="AN84" s="217" t="n">
        <f aca="false">IF(AH85="+",(AK84+AL84-Monat.Ferien.Total+AI85),(AK84+AL84-Monat.Ferien.Total-AI85))</f>
        <v>4.08333333333333</v>
      </c>
      <c r="AO84" s="217" t="n">
        <f aca="true">SUM(Jahresabrechnung!AC12:AC13)-SUM(OFFSET(Jahresabrechnung!AC15,0,0,MONTH(Monat.Tag1),1))</f>
        <v>5.25</v>
      </c>
      <c r="AP84" s="217" t="n">
        <f aca="false">J.FerienUE.Total</f>
        <v>5.25</v>
      </c>
      <c r="AQ84" s="39"/>
    </row>
    <row r="85" s="148" customFormat="true" ht="15" hidden="false" customHeight="true" outlineLevel="0" collapsed="false">
      <c r="A85" s="186"/>
      <c r="B85" s="191"/>
      <c r="C85" s="191"/>
      <c r="D85" s="191"/>
      <c r="E85" s="191"/>
      <c r="F85" s="191"/>
      <c r="G85" s="191"/>
      <c r="H85" s="191"/>
      <c r="I85" s="191"/>
      <c r="J85" s="191"/>
      <c r="K85" s="191"/>
      <c r="L85" s="191"/>
      <c r="M85" s="191"/>
      <c r="N85" s="191"/>
      <c r="O85" s="191"/>
      <c r="P85" s="191"/>
      <c r="Q85" s="191"/>
      <c r="R85" s="191"/>
      <c r="S85" s="191"/>
      <c r="T85" s="191"/>
      <c r="U85" s="191"/>
      <c r="V85" s="191"/>
      <c r="W85" s="191"/>
      <c r="X85" s="191"/>
      <c r="Y85" s="191"/>
      <c r="Z85" s="191"/>
      <c r="AA85" s="191"/>
      <c r="AB85" s="191"/>
      <c r="AC85" s="191"/>
      <c r="AD85" s="191"/>
      <c r="AE85" s="191"/>
      <c r="AF85" s="192"/>
      <c r="AG85" s="175" t="s">
        <v>167</v>
      </c>
      <c r="AH85" s="244" t="s">
        <v>146</v>
      </c>
      <c r="AI85" s="260"/>
      <c r="AJ85" s="246"/>
      <c r="AK85" s="172"/>
      <c r="AL85" s="172"/>
      <c r="AM85" s="172"/>
      <c r="AN85" s="171"/>
      <c r="AO85" s="261"/>
      <c r="AP85" s="261"/>
      <c r="AQ85" s="39"/>
    </row>
    <row r="86" s="148" customFormat="true" ht="15" hidden="false" customHeight="true" outlineLevel="0" collapsed="false">
      <c r="A86" s="175" t="s">
        <v>168</v>
      </c>
      <c r="B86" s="176"/>
      <c r="C86" s="176"/>
      <c r="D86" s="176"/>
      <c r="E86" s="177"/>
      <c r="F86" s="176"/>
      <c r="G86" s="176"/>
      <c r="H86" s="176"/>
      <c r="I86" s="176"/>
      <c r="J86" s="177"/>
      <c r="K86" s="176"/>
      <c r="L86" s="177"/>
      <c r="M86" s="176"/>
      <c r="N86" s="176"/>
      <c r="O86" s="176"/>
      <c r="P86" s="176"/>
      <c r="Q86" s="177"/>
      <c r="R86" s="176"/>
      <c r="S86" s="177"/>
      <c r="T86" s="177"/>
      <c r="U86" s="176"/>
      <c r="V86" s="176"/>
      <c r="W86" s="176"/>
      <c r="X86" s="177"/>
      <c r="Y86" s="176"/>
      <c r="Z86" s="178"/>
      <c r="AA86" s="176"/>
      <c r="AB86" s="176"/>
      <c r="AC86" s="176"/>
      <c r="AD86" s="176"/>
      <c r="AE86" s="177"/>
      <c r="AF86" s="176"/>
      <c r="AG86" s="168" t="str">
        <f aca="false">A86</f>
        <v>Consultation</v>
      </c>
      <c r="AH86" s="184"/>
      <c r="AI86" s="207" t="n">
        <f aca="false">SUM(B86:AF86)</f>
        <v>0</v>
      </c>
      <c r="AJ86" s="33"/>
      <c r="AK86" s="235"/>
      <c r="AL86" s="216" t="n">
        <f aca="false">IF(EB.Anwendung&lt;&gt;"",IF(MONTH(Monat.Tag1)=1,0,IF(MONTH(Monat.Tag1)=2,January!Monat.ArztUeVM,IF(MONTH(Monat.Tag1)=3,February!Monat.ArztUeVM,IF(MONTH(Monat.Tag1)=4,March!Monat.ArztUeVM,IF(MONTH(Monat.Tag1)=5,April!Monat.ArztUeVM,IF(MONTH(Monat.Tag1)=6,May!Monat.ArztUeVM,IF(MONTH(Monat.Tag1)=7,June!Monat.ArztUeVM,IF(MONTH(Monat.Tag1)=8,July!Monat.ArztUeVM,IF(MONTH(Monat.Tag1)=9,August!Monat.ArztUeVM,IF(MONTH(Monat.Tag1)=10,September!Monat.ArztUeVM,IF(MONTH(Monat.Tag1)=11,Monat.ArztUeVM,IF(MONTH(Monat.Tag1)=12,November!Monat.ArztUeVM,"")))))))))))),"")</f>
        <v>0</v>
      </c>
      <c r="AM86" s="172"/>
      <c r="AN86" s="217" t="n">
        <f aca="false">AI86+AL86</f>
        <v>0</v>
      </c>
      <c r="AO86" s="171"/>
      <c r="AP86" s="171"/>
      <c r="AQ86" s="39"/>
    </row>
    <row r="87" s="148" customFormat="true" ht="15" hidden="false" customHeight="true" outlineLevel="0" collapsed="false">
      <c r="A87" s="175" t="s">
        <v>169</v>
      </c>
      <c r="B87" s="176"/>
      <c r="C87" s="176"/>
      <c r="D87" s="176"/>
      <c r="E87" s="177"/>
      <c r="F87" s="176"/>
      <c r="G87" s="176"/>
      <c r="H87" s="176"/>
      <c r="I87" s="176"/>
      <c r="J87" s="177"/>
      <c r="K87" s="176"/>
      <c r="L87" s="177"/>
      <c r="M87" s="176"/>
      <c r="N87" s="176"/>
      <c r="O87" s="176"/>
      <c r="P87" s="176"/>
      <c r="Q87" s="177"/>
      <c r="R87" s="176"/>
      <c r="S87" s="177"/>
      <c r="T87" s="177"/>
      <c r="U87" s="176"/>
      <c r="V87" s="176"/>
      <c r="W87" s="176"/>
      <c r="X87" s="177"/>
      <c r="Y87" s="176"/>
      <c r="Z87" s="178"/>
      <c r="AA87" s="176"/>
      <c r="AB87" s="176"/>
      <c r="AC87" s="176"/>
      <c r="AD87" s="176"/>
      <c r="AE87" s="177"/>
      <c r="AF87" s="176"/>
      <c r="AG87" s="168" t="str">
        <f aca="false">A87</f>
        <v>Illness</v>
      </c>
      <c r="AH87" s="184"/>
      <c r="AI87" s="207" t="n">
        <f aca="false">SUM(B87:AF87)</f>
        <v>0</v>
      </c>
      <c r="AJ87" s="33"/>
      <c r="AK87" s="235"/>
      <c r="AL87" s="216" t="n">
        <f aca="false">IF(EB.Anwendung&lt;&gt;"",IF(MONTH(Monat.Tag1)=1,0,IF(MONTH(Monat.Tag1)=2,January!Monat.KrankUeVM,IF(MONTH(Monat.Tag1)=3,February!Monat.KrankUeVM,IF(MONTH(Monat.Tag1)=4,March!Monat.KrankUeVM,IF(MONTH(Monat.Tag1)=5,April!Monat.KrankUeVM,IF(MONTH(Monat.Tag1)=6,May!Monat.KrankUeVM,IF(MONTH(Monat.Tag1)=7,June!Monat.KrankUeVM,IF(MONTH(Monat.Tag1)=8,July!Monat.KrankUeVM,IF(MONTH(Monat.Tag1)=9,August!Monat.KrankUeVM,IF(MONTH(Monat.Tag1)=10,September!Monat.KrankUeVM,IF(MONTH(Monat.Tag1)=11,Monat.KrankUeVM,IF(MONTH(Monat.Tag1)=12,November!Monat.KrankUeVM,"")))))))))))),"")</f>
        <v>0</v>
      </c>
      <c r="AM87" s="172"/>
      <c r="AN87" s="217" t="n">
        <f aca="false">AI87+AL87</f>
        <v>0</v>
      </c>
      <c r="AO87" s="171"/>
      <c r="AP87" s="171"/>
      <c r="AQ87" s="39"/>
    </row>
    <row r="88" s="148" customFormat="true" ht="15" hidden="false" customHeight="true" outlineLevel="0" collapsed="false">
      <c r="A88" s="175" t="s">
        <v>170</v>
      </c>
      <c r="B88" s="176"/>
      <c r="C88" s="176"/>
      <c r="D88" s="176"/>
      <c r="E88" s="177"/>
      <c r="F88" s="176"/>
      <c r="G88" s="176"/>
      <c r="H88" s="176"/>
      <c r="I88" s="176"/>
      <c r="J88" s="177"/>
      <c r="K88" s="176"/>
      <c r="L88" s="177"/>
      <c r="M88" s="176"/>
      <c r="N88" s="176"/>
      <c r="O88" s="176"/>
      <c r="P88" s="176"/>
      <c r="Q88" s="177"/>
      <c r="R88" s="176"/>
      <c r="S88" s="177"/>
      <c r="T88" s="177"/>
      <c r="U88" s="176"/>
      <c r="V88" s="176"/>
      <c r="W88" s="176"/>
      <c r="X88" s="177"/>
      <c r="Y88" s="176"/>
      <c r="Z88" s="178"/>
      <c r="AA88" s="176"/>
      <c r="AB88" s="176"/>
      <c r="AC88" s="176"/>
      <c r="AD88" s="176"/>
      <c r="AE88" s="177"/>
      <c r="AF88" s="176"/>
      <c r="AG88" s="168" t="str">
        <f aca="false">A88</f>
        <v>Work-related accident</v>
      </c>
      <c r="AH88" s="184"/>
      <c r="AI88" s="207" t="n">
        <f aca="false">SUM(B88:AF88)</f>
        <v>0</v>
      </c>
      <c r="AJ88" s="33"/>
      <c r="AK88" s="235"/>
      <c r="AL88" s="216" t="n">
        <f aca="false">IF(EB.Anwendung&lt;&gt;"",IF(MONTH(Monat.Tag1)=1,0,IF(MONTH(Monat.Tag1)=2,January!Monat.BUUeVM,IF(MONTH(Monat.Tag1)=3,February!Monat.BUUeVM,IF(MONTH(Monat.Tag1)=4,March!Monat.BUUeVM,IF(MONTH(Monat.Tag1)=5,April!Monat.BUUeVM,IF(MONTH(Monat.Tag1)=6,May!Monat.BUUeVM,IF(MONTH(Monat.Tag1)=7,June!Monat.BUUeVM,IF(MONTH(Monat.Tag1)=8,July!Monat.BUUeVM,IF(MONTH(Monat.Tag1)=9,August!Monat.BUUeVM,IF(MONTH(Monat.Tag1)=10,September!Monat.BUUeVM,IF(MONTH(Monat.Tag1)=11,Monat.BUUeVM,IF(MONTH(Monat.Tag1)=12,November!Monat.BUUeVM,"")))))))))))),"")</f>
        <v>0</v>
      </c>
      <c r="AM88" s="172"/>
      <c r="AN88" s="217" t="n">
        <f aca="false">AI88+AL88</f>
        <v>0</v>
      </c>
      <c r="AO88" s="171"/>
      <c r="AP88" s="171"/>
      <c r="AQ88" s="39"/>
    </row>
    <row r="89" s="148" customFormat="true" ht="15" hidden="false" customHeight="true" outlineLevel="0" collapsed="false">
      <c r="A89" s="175" t="s">
        <v>171</v>
      </c>
      <c r="B89" s="176"/>
      <c r="C89" s="176"/>
      <c r="D89" s="176"/>
      <c r="E89" s="177"/>
      <c r="F89" s="176"/>
      <c r="G89" s="176"/>
      <c r="H89" s="176"/>
      <c r="I89" s="176"/>
      <c r="J89" s="177"/>
      <c r="K89" s="176"/>
      <c r="L89" s="177"/>
      <c r="M89" s="176"/>
      <c r="N89" s="176"/>
      <c r="O89" s="176"/>
      <c r="P89" s="176"/>
      <c r="Q89" s="177"/>
      <c r="R89" s="176"/>
      <c r="S89" s="177"/>
      <c r="T89" s="177"/>
      <c r="U89" s="176"/>
      <c r="V89" s="176"/>
      <c r="W89" s="176"/>
      <c r="X89" s="177"/>
      <c r="Y89" s="176"/>
      <c r="Z89" s="178"/>
      <c r="AA89" s="176"/>
      <c r="AB89" s="176"/>
      <c r="AC89" s="176"/>
      <c r="AD89" s="176"/>
      <c r="AE89" s="177"/>
      <c r="AF89" s="176"/>
      <c r="AG89" s="168" t="str">
        <f aca="false">A89</f>
        <v>Non-work-related accident</v>
      </c>
      <c r="AH89" s="184"/>
      <c r="AI89" s="207" t="n">
        <f aca="false">SUM(B89:AF89)</f>
        <v>0</v>
      </c>
      <c r="AJ89" s="33"/>
      <c r="AK89" s="235"/>
      <c r="AL89" s="216" t="n">
        <f aca="false">IF(EB.Anwendung&lt;&gt;"",IF(MONTH(Monat.Tag1)=1,0,IF(MONTH(Monat.Tag1)=2,January!Monat.NBUUeVM,IF(MONTH(Monat.Tag1)=3,February!Monat.NBUUeVM,IF(MONTH(Monat.Tag1)=4,March!Monat.NBUUeVM,IF(MONTH(Monat.Tag1)=5,April!Monat.NBUUeVM,IF(MONTH(Monat.Tag1)=6,May!Monat.NBUUeVM,IF(MONTH(Monat.Tag1)=7,June!Monat.NBUUeVM,IF(MONTH(Monat.Tag1)=8,July!Monat.NBUUeVM,IF(MONTH(Monat.Tag1)=9,August!Monat.NBUUeVM,IF(MONTH(Monat.Tag1)=10,September!Monat.NBUUeVM,IF(MONTH(Monat.Tag1)=11,Monat.NBUUeVM,IF(MONTH(Monat.Tag1)=12,November!Monat.NBUUeVM,"")))))))))))),"")</f>
        <v>0</v>
      </c>
      <c r="AM89" s="172"/>
      <c r="AN89" s="217" t="n">
        <f aca="false">AI89+AL89</f>
        <v>0</v>
      </c>
      <c r="AO89" s="171"/>
      <c r="AP89" s="171"/>
      <c r="AQ89" s="39"/>
    </row>
    <row r="90" s="148" customFormat="true" ht="15" hidden="false" customHeight="true" outlineLevel="0" collapsed="false">
      <c r="A90" s="175" t="s">
        <v>172</v>
      </c>
      <c r="B90" s="176"/>
      <c r="C90" s="176"/>
      <c r="D90" s="176"/>
      <c r="E90" s="177"/>
      <c r="F90" s="176"/>
      <c r="G90" s="176"/>
      <c r="H90" s="176"/>
      <c r="I90" s="176"/>
      <c r="J90" s="177"/>
      <c r="K90" s="176"/>
      <c r="L90" s="177"/>
      <c r="M90" s="176"/>
      <c r="N90" s="176"/>
      <c r="O90" s="176"/>
      <c r="P90" s="176"/>
      <c r="Q90" s="177"/>
      <c r="R90" s="176"/>
      <c r="S90" s="177"/>
      <c r="T90" s="177"/>
      <c r="U90" s="176"/>
      <c r="V90" s="176"/>
      <c r="W90" s="176"/>
      <c r="X90" s="177"/>
      <c r="Y90" s="176"/>
      <c r="Z90" s="178"/>
      <c r="AA90" s="176"/>
      <c r="AB90" s="176"/>
      <c r="AC90" s="176"/>
      <c r="AD90" s="176"/>
      <c r="AE90" s="177"/>
      <c r="AF90" s="176"/>
      <c r="AG90" s="168" t="str">
        <f aca="false">A90</f>
        <v>Military/civilian service</v>
      </c>
      <c r="AH90" s="184"/>
      <c r="AI90" s="207" t="n">
        <f aca="false">SUM(B90:AF90)</f>
        <v>0</v>
      </c>
      <c r="AJ90" s="33"/>
      <c r="AK90" s="235"/>
      <c r="AL90" s="216" t="n">
        <f aca="false">IF(EB.Anwendung&lt;&gt;"",IF(MONTH(Monat.Tag1)=1,0,IF(MONTH(Monat.Tag1)=2,January!Monat.MZSUeVM,IF(MONTH(Monat.Tag1)=3,February!Monat.MZSUeVM,IF(MONTH(Monat.Tag1)=4,March!Monat.MZSUeVM,IF(MONTH(Monat.Tag1)=5,April!Monat.MZSUeVM,IF(MONTH(Monat.Tag1)=6,May!Monat.MZSUeVM,IF(MONTH(Monat.Tag1)=7,June!Monat.MZSUeVM,IF(MONTH(Monat.Tag1)=8,July!Monat.MZSUeVM,IF(MONTH(Monat.Tag1)=9,August!Monat.MZSUeVM,IF(MONTH(Monat.Tag1)=10,September!Monat.MZSUeVM,IF(MONTH(Monat.Tag1)=11,Monat.MZSUeVM,IF(MONTH(Monat.Tag1)=12,November!Monat.MZSUeVM,"")))))))))))),"")</f>
        <v>0</v>
      </c>
      <c r="AM90" s="172"/>
      <c r="AN90" s="217" t="n">
        <f aca="false">AI90+AL90</f>
        <v>0</v>
      </c>
      <c r="AO90" s="171"/>
      <c r="AP90" s="171"/>
      <c r="AQ90" s="39"/>
    </row>
    <row r="91" s="148" customFormat="true" ht="15" hidden="false" customHeight="true" outlineLevel="0" collapsed="false">
      <c r="A91" s="175" t="s">
        <v>173</v>
      </c>
      <c r="B91" s="176"/>
      <c r="C91" s="176"/>
      <c r="D91" s="176"/>
      <c r="E91" s="177"/>
      <c r="F91" s="176"/>
      <c r="G91" s="176"/>
      <c r="H91" s="176"/>
      <c r="I91" s="176"/>
      <c r="J91" s="177"/>
      <c r="K91" s="176"/>
      <c r="L91" s="177"/>
      <c r="M91" s="176"/>
      <c r="N91" s="176"/>
      <c r="O91" s="176"/>
      <c r="P91" s="176"/>
      <c r="Q91" s="177"/>
      <c r="R91" s="176"/>
      <c r="S91" s="177"/>
      <c r="T91" s="177"/>
      <c r="U91" s="176"/>
      <c r="V91" s="176"/>
      <c r="W91" s="176"/>
      <c r="X91" s="177"/>
      <c r="Y91" s="176"/>
      <c r="Z91" s="178"/>
      <c r="AA91" s="176"/>
      <c r="AB91" s="176"/>
      <c r="AC91" s="176"/>
      <c r="AD91" s="176"/>
      <c r="AE91" s="177"/>
      <c r="AF91" s="176"/>
      <c r="AG91" s="168" t="str">
        <f aca="false">A91</f>
        <v>Continuing education</v>
      </c>
      <c r="AH91" s="184"/>
      <c r="AI91" s="207" t="n">
        <f aca="false">SUM(B91:AF91)</f>
        <v>0</v>
      </c>
      <c r="AJ91" s="33"/>
      <c r="AK91" s="235"/>
      <c r="AL91" s="216" t="n">
        <f aca="false">IF(EB.Anwendung&lt;&gt;"",IF(MONTH(Monat.Tag1)=1,0,IF(MONTH(Monat.Tag1)=2,January!Monat.WBUeVM,IF(MONTH(Monat.Tag1)=3,February!Monat.WBUeVM,IF(MONTH(Monat.Tag1)=4,March!Monat.WBUeVM,IF(MONTH(Monat.Tag1)=5,April!Monat.WBUeVM,IF(MONTH(Monat.Tag1)=6,May!Monat.WBUeVM,IF(MONTH(Monat.Tag1)=7,June!Monat.WBUeVM,IF(MONTH(Monat.Tag1)=8,July!Monat.WBUeVM,IF(MONTH(Monat.Tag1)=9,August!Monat.WBUeVM,IF(MONTH(Monat.Tag1)=10,September!Monat.WBUeVM,IF(MONTH(Monat.Tag1)=11,Monat.WBUeVM,IF(MONTH(Monat.Tag1)=12,November!Monat.WBUeVM,"")))))))))))),"")</f>
        <v>0</v>
      </c>
      <c r="AM91" s="172"/>
      <c r="AN91" s="217" t="n">
        <f aca="false">AI91+AL91</f>
        <v>0</v>
      </c>
      <c r="AO91" s="171"/>
      <c r="AP91" s="171"/>
      <c r="AQ91" s="39"/>
    </row>
    <row r="92" s="148" customFormat="true" ht="15" hidden="false" customHeight="true" outlineLevel="0" collapsed="false">
      <c r="A92" s="175" t="s">
        <v>174</v>
      </c>
      <c r="B92" s="176"/>
      <c r="C92" s="176"/>
      <c r="D92" s="176"/>
      <c r="E92" s="177"/>
      <c r="F92" s="176"/>
      <c r="G92" s="176"/>
      <c r="H92" s="176"/>
      <c r="I92" s="176"/>
      <c r="J92" s="177"/>
      <c r="K92" s="176"/>
      <c r="L92" s="177"/>
      <c r="M92" s="176"/>
      <c r="N92" s="176"/>
      <c r="O92" s="176"/>
      <c r="P92" s="176"/>
      <c r="Q92" s="177"/>
      <c r="R92" s="176"/>
      <c r="S92" s="177"/>
      <c r="T92" s="177"/>
      <c r="U92" s="176"/>
      <c r="V92" s="176"/>
      <c r="W92" s="176"/>
      <c r="X92" s="177"/>
      <c r="Y92" s="176"/>
      <c r="Z92" s="178"/>
      <c r="AA92" s="176"/>
      <c r="AB92" s="176"/>
      <c r="AC92" s="176"/>
      <c r="AD92" s="176"/>
      <c r="AE92" s="177"/>
      <c r="AF92" s="176"/>
      <c r="AG92" s="168" t="str">
        <f aca="false">A92</f>
        <v>Paid leave</v>
      </c>
      <c r="AH92" s="184"/>
      <c r="AI92" s="207" t="n">
        <f aca="false">SUM(B92:AF92)</f>
        <v>0</v>
      </c>
      <c r="AJ92" s="33"/>
      <c r="AK92" s="235"/>
      <c r="AL92" s="216" t="n">
        <f aca="false">IF(EB.Anwendung&lt;&gt;"",IF(MONTH(Monat.Tag1)=1,0,IF(MONTH(Monat.Tag1)=2,January!Monat.BesUrlaubUeVM,IF(MONTH(Monat.Tag1)=3,February!Monat.BesUrlaubUeVM,IF(MONTH(Monat.Tag1)=4,March!Monat.BesUrlaubUeVM,IF(MONTH(Monat.Tag1)=5,April!Monat.BesUrlaubUeVM,IF(MONTH(Monat.Tag1)=6,May!Monat.BesUrlaubUeVM,IF(MONTH(Monat.Tag1)=7,June!Monat.BesUrlaubUeVM,IF(MONTH(Monat.Tag1)=8,July!Monat.BesUrlaubUeVM,IF(MONTH(Monat.Tag1)=9,August!Monat.BesUrlaubUeVM,IF(MONTH(Monat.Tag1)=10,September!Monat.BesUrlaubUeVM,IF(MONTH(Monat.Tag1)=11,Monat.BesUrlaubUeVM,IF(MONTH(Monat.Tag1)=12,November!Monat.BesUrlaubUeVM,"")))))))))))),"")</f>
        <v>0</v>
      </c>
      <c r="AM92" s="172"/>
      <c r="AN92" s="217" t="n">
        <f aca="false">AI92+AL92</f>
        <v>0</v>
      </c>
      <c r="AO92" s="171"/>
      <c r="AP92" s="171"/>
      <c r="AQ92" s="39"/>
    </row>
    <row r="93" s="148" customFormat="true" ht="15" hidden="false" customHeight="true" outlineLevel="0" collapsed="false">
      <c r="A93" s="175" t="s">
        <v>175</v>
      </c>
      <c r="B93" s="176"/>
      <c r="C93" s="176"/>
      <c r="D93" s="176"/>
      <c r="E93" s="177"/>
      <c r="F93" s="176"/>
      <c r="G93" s="176"/>
      <c r="H93" s="176"/>
      <c r="I93" s="176"/>
      <c r="J93" s="177"/>
      <c r="K93" s="176"/>
      <c r="L93" s="177"/>
      <c r="M93" s="176"/>
      <c r="N93" s="176"/>
      <c r="O93" s="176"/>
      <c r="P93" s="176"/>
      <c r="Q93" s="177"/>
      <c r="R93" s="176"/>
      <c r="S93" s="177"/>
      <c r="T93" s="177"/>
      <c r="U93" s="176"/>
      <c r="V93" s="176"/>
      <c r="W93" s="176"/>
      <c r="X93" s="177"/>
      <c r="Y93" s="176"/>
      <c r="Z93" s="178"/>
      <c r="AA93" s="176"/>
      <c r="AB93" s="176"/>
      <c r="AC93" s="176"/>
      <c r="AD93" s="176"/>
      <c r="AE93" s="177"/>
      <c r="AF93" s="176"/>
      <c r="AG93" s="168" t="str">
        <f aca="false">A93</f>
        <v>Unpaid leave</v>
      </c>
      <c r="AH93" s="184"/>
      <c r="AI93" s="207" t="n">
        <f aca="false">SUM(B93:AF93)</f>
        <v>0</v>
      </c>
      <c r="AJ93" s="33"/>
      <c r="AK93" s="235"/>
      <c r="AL93" s="216" t="n">
        <f aca="false">IF(EB.Anwendung&lt;&gt;"",IF(MONTH(Monat.Tag1)=1,0,IF(MONTH(Monat.Tag1)=2,January!Monat.UnbesUrlaubUeVM,IF(MONTH(Monat.Tag1)=3,February!Monat.UnbesUrlaubUeVM,IF(MONTH(Monat.Tag1)=4,March!Monat.UnbesUrlaubUeVM,IF(MONTH(Monat.Tag1)=5,April!Monat.UnbesUrlaubUeVM,IF(MONTH(Monat.Tag1)=6,May!Monat.UnbesUrlaubUeVM,IF(MONTH(Monat.Tag1)=7,June!Monat.UnbesUrlaubUeVM,IF(MONTH(Monat.Tag1)=8,July!Monat.UnbesUrlaubUeVM,IF(MONTH(Monat.Tag1)=9,August!Monat.UnbesUrlaubUeVM,IF(MONTH(Monat.Tag1)=10,September!Monat.UnbesUrlaubUeVM,IF(MONTH(Monat.Tag1)=11,Monat.UnbesUrlaubUeVM,IF(MONTH(Monat.Tag1)=12,November!Monat.UnbesUrlaubUeVM,"")))))))))))),"")</f>
        <v>0</v>
      </c>
      <c r="AM93" s="172"/>
      <c r="AN93" s="217" t="n">
        <f aca="false">AI93+AL93</f>
        <v>0</v>
      </c>
      <c r="AO93" s="171"/>
      <c r="AP93" s="171"/>
      <c r="AQ93" s="39"/>
    </row>
    <row r="94" s="148" customFormat="true" ht="15" hidden="true" customHeight="true" outlineLevel="1" collapsed="false">
      <c r="A94" s="175" t="s">
        <v>176</v>
      </c>
      <c r="B94" s="176"/>
      <c r="C94" s="176"/>
      <c r="D94" s="176"/>
      <c r="E94" s="177"/>
      <c r="F94" s="176"/>
      <c r="G94" s="176"/>
      <c r="H94" s="176"/>
      <c r="I94" s="176"/>
      <c r="J94" s="177"/>
      <c r="K94" s="176"/>
      <c r="L94" s="177"/>
      <c r="M94" s="176"/>
      <c r="N94" s="176"/>
      <c r="O94" s="176"/>
      <c r="P94" s="176"/>
      <c r="Q94" s="177"/>
      <c r="R94" s="176"/>
      <c r="S94" s="177"/>
      <c r="T94" s="177"/>
      <c r="U94" s="176"/>
      <c r="V94" s="176"/>
      <c r="W94" s="176"/>
      <c r="X94" s="177"/>
      <c r="Y94" s="176"/>
      <c r="Z94" s="178"/>
      <c r="AA94" s="176"/>
      <c r="AB94" s="176"/>
      <c r="AC94" s="176"/>
      <c r="AD94" s="176"/>
      <c r="AE94" s="177"/>
      <c r="AF94" s="176"/>
      <c r="AG94" s="168" t="str">
        <f aca="false">A94</f>
        <v>Secondary employment</v>
      </c>
      <c r="AH94" s="184"/>
      <c r="AI94" s="207" t="n">
        <f aca="false">SUM(B94:AF94)</f>
        <v>0</v>
      </c>
      <c r="AJ94" s="33"/>
      <c r="AK94" s="235"/>
      <c r="AL94" s="216" t="n">
        <f aca="false">IF(EB.Anwendung&lt;&gt;"",IF(MONTH(Monat.Tag1)=1,0,IF(MONTH(Monat.Tag1)=2,January!Monat.NBUeVM,IF(MONTH(Monat.Tag1)=3,February!Monat.NBUeVM,IF(MONTH(Monat.Tag1)=4,March!Monat.NBUeVM,IF(MONTH(Monat.Tag1)=5,April!Monat.NBUeVM,IF(MONTH(Monat.Tag1)=6,May!Monat.NBUeVM,IF(MONTH(Monat.Tag1)=7,June!Monat.NBUeVM,IF(MONTH(Monat.Tag1)=8,July!Monat.NBUeVM,IF(MONTH(Monat.Tag1)=9,August!Monat.NBUeVM,IF(MONTH(Monat.Tag1)=10,September!Monat.NBUeVM,IF(MONTH(Monat.Tag1)=11,Monat.NBUeVM,IF(MONTH(Monat.Tag1)=12,November!Monat.NBUeVM,"")))))))))))),"")</f>
        <v>0</v>
      </c>
      <c r="AM94" s="172"/>
      <c r="AN94" s="217" t="n">
        <f aca="false">AI94+AL94</f>
        <v>0</v>
      </c>
      <c r="AO94" s="171"/>
      <c r="AP94" s="171"/>
      <c r="AQ94" s="39"/>
    </row>
    <row r="95" s="148" customFormat="true" ht="15" hidden="false" customHeight="true" outlineLevel="0" collapsed="false">
      <c r="A95" s="175" t="s">
        <v>86</v>
      </c>
      <c r="B95" s="176"/>
      <c r="C95" s="176"/>
      <c r="D95" s="176"/>
      <c r="E95" s="177"/>
      <c r="F95" s="176"/>
      <c r="G95" s="176"/>
      <c r="H95" s="176"/>
      <c r="I95" s="176"/>
      <c r="J95" s="177"/>
      <c r="K95" s="176"/>
      <c r="L95" s="177"/>
      <c r="M95" s="176"/>
      <c r="N95" s="176"/>
      <c r="O95" s="176"/>
      <c r="P95" s="176"/>
      <c r="Q95" s="177"/>
      <c r="R95" s="176"/>
      <c r="S95" s="177"/>
      <c r="T95" s="177"/>
      <c r="U95" s="176"/>
      <c r="V95" s="176"/>
      <c r="W95" s="176"/>
      <c r="X95" s="177"/>
      <c r="Y95" s="176"/>
      <c r="Z95" s="178"/>
      <c r="AA95" s="176"/>
      <c r="AB95" s="176"/>
      <c r="AC95" s="176"/>
      <c r="AD95" s="176"/>
      <c r="AE95" s="177"/>
      <c r="AF95" s="176"/>
      <c r="AG95" s="168" t="str">
        <f aca="false">A95</f>
        <v>Seniority allowance</v>
      </c>
      <c r="AH95" s="184"/>
      <c r="AI95" s="207" t="n">
        <f aca="false">SUM(B95:AF95)</f>
        <v>0</v>
      </c>
      <c r="AJ95" s="33"/>
      <c r="AK95" s="235"/>
      <c r="AL95" s="216" t="n">
        <f aca="false">IF(EB.Anwendung&lt;&gt;"",IF(MONTH(Monat.Tag1)=1,EB.DAG,IF(MONTH(Monat.Tag1)=2,January!Monat.DAGUeVM,IF(MONTH(Monat.Tag1)=3,February!Monat.DAGUeVM,IF(MONTH(Monat.Tag1)=4,March!Monat.DAGUeVM,IF(MONTH(Monat.Tag1)=5,April!Monat.DAGUeVM,IF(MONTH(Monat.Tag1)=6,May!Monat.DAGUeVM,IF(MONTH(Monat.Tag1)=7,June!Monat.DAGUeVM,IF(MONTH(Monat.Tag1)=8,July!Monat.DAGUeVM,IF(MONTH(Monat.Tag1)=9,August!Monat.DAGUeVM,IF(MONTH(Monat.Tag1)=10,September!Monat.DAGUeVM,IF(MONTH(Monat.Tag1)=11,Monat.DAGUeVM,IF(MONTH(Monat.Tag1)=12,November!Monat.DAGUeVM,"")))))))))))),"")</f>
        <v>0</v>
      </c>
      <c r="AM95" s="172"/>
      <c r="AN95" s="217" t="n">
        <f aca="false">AL95-AI95</f>
        <v>0</v>
      </c>
      <c r="AO95" s="171"/>
      <c r="AP95" s="171"/>
      <c r="AQ95" s="39"/>
    </row>
    <row r="96" s="148" customFormat="true" ht="11.25" hidden="false" customHeight="true" outlineLevel="0" collapsed="false">
      <c r="A96" s="186"/>
      <c r="B96" s="191"/>
      <c r="C96" s="191"/>
      <c r="D96" s="191"/>
      <c r="E96" s="191"/>
      <c r="F96" s="191"/>
      <c r="G96" s="191"/>
      <c r="H96" s="191"/>
      <c r="I96" s="191"/>
      <c r="J96" s="191"/>
      <c r="K96" s="191"/>
      <c r="L96" s="191"/>
      <c r="M96" s="191"/>
      <c r="N96" s="191"/>
      <c r="O96" s="191"/>
      <c r="P96" s="191"/>
      <c r="Q96" s="191"/>
      <c r="R96" s="191"/>
      <c r="S96" s="191"/>
      <c r="T96" s="191"/>
      <c r="U96" s="191"/>
      <c r="V96" s="191"/>
      <c r="W96" s="191"/>
      <c r="X96" s="191"/>
      <c r="Y96" s="191"/>
      <c r="Z96" s="191"/>
      <c r="AA96" s="191"/>
      <c r="AB96" s="191"/>
      <c r="AC96" s="191"/>
      <c r="AD96" s="191"/>
      <c r="AE96" s="191"/>
      <c r="AF96" s="192"/>
      <c r="AG96" s="168"/>
      <c r="AH96" s="197"/>
      <c r="AI96" s="192"/>
      <c r="AJ96" s="27"/>
      <c r="AK96" s="235"/>
      <c r="AL96" s="235"/>
      <c r="AM96" s="172"/>
      <c r="AN96" s="254"/>
      <c r="AO96" s="179"/>
      <c r="AP96" s="179"/>
      <c r="AQ96" s="39"/>
    </row>
    <row r="97" s="148" customFormat="true" ht="15" hidden="false" customHeight="true" outlineLevel="0" collapsed="false">
      <c r="A97" s="181" t="str">
        <f aca="true">IF(ROW(A97)-ROW(INDEX(Monat.Projekte.Zeilen,1))+1&gt;EB.AnzProjekte,"",OFFSET(EB.Projekte.Knoten,ROW(A97)-ROW(INDEX(Monat.Projekte.Zeilen,1))+1,0,1,1))</f>
        <v/>
      </c>
      <c r="B97" s="176"/>
      <c r="C97" s="176"/>
      <c r="D97" s="176"/>
      <c r="E97" s="177"/>
      <c r="F97" s="176"/>
      <c r="G97" s="176"/>
      <c r="H97" s="176"/>
      <c r="I97" s="176"/>
      <c r="J97" s="177"/>
      <c r="K97" s="176"/>
      <c r="L97" s="177"/>
      <c r="M97" s="176"/>
      <c r="N97" s="176"/>
      <c r="O97" s="176"/>
      <c r="P97" s="176"/>
      <c r="Q97" s="177"/>
      <c r="R97" s="176"/>
      <c r="S97" s="177"/>
      <c r="T97" s="177"/>
      <c r="U97" s="176"/>
      <c r="V97" s="176"/>
      <c r="W97" s="176"/>
      <c r="X97" s="177"/>
      <c r="Y97" s="176"/>
      <c r="Z97" s="178"/>
      <c r="AA97" s="176"/>
      <c r="AB97" s="176"/>
      <c r="AC97" s="176"/>
      <c r="AD97" s="176"/>
      <c r="AE97" s="177"/>
      <c r="AF97" s="176"/>
      <c r="AG97" s="168" t="str">
        <f aca="false">A97</f>
        <v/>
      </c>
      <c r="AH97" s="202"/>
      <c r="AI97" s="262" t="n">
        <f aca="false">SUM(B97:AF97)</f>
        <v>0</v>
      </c>
      <c r="AJ97" s="33"/>
      <c r="AK97" s="192"/>
      <c r="AL97" s="216" t="n">
        <f aca="false">IF(EB.Anwendung&lt;&gt;"",IF(MONTH(Monat.Tag1)=1,0,IF(MONTH(Monat.Tag1)=2,January!Monat.P1UeVM,IF(MONTH(Monat.Tag1)=3,February!Monat.P1UeVM,IF(MONTH(Monat.Tag1)=4,March!Monat.P1UeVM,IF(MONTH(Monat.Tag1)=5,April!Monat.P1UeVM,IF(MONTH(Monat.Tag1)=6,May!Monat.P1UeVM,IF(MONTH(Monat.Tag1)=7,June!Monat.P1UeVM,IF(MONTH(Monat.Tag1)=8,July!Monat.P1UeVM,IF(MONTH(Monat.Tag1)=9,August!Monat.P1UeVM,IF(MONTH(Monat.Tag1)=10,September!Monat.P1UeVM,IF(MONTH(Monat.Tag1)=11,Monat.P1UeVM,IF(MONTH(Monat.Tag1)=12,November!Monat.P1UeVM,"")))))))))))),"")</f>
        <v>0</v>
      </c>
      <c r="AM97" s="172"/>
      <c r="AN97" s="217" t="n">
        <f aca="false">AI97+AL97</f>
        <v>0</v>
      </c>
      <c r="AO97" s="171"/>
      <c r="AP97" s="171"/>
      <c r="AQ97" s="39"/>
    </row>
    <row r="98" s="148" customFormat="true" ht="15" hidden="false" customHeight="true" outlineLevel="0" collapsed="false">
      <c r="A98" s="181" t="str">
        <f aca="true">IF(ROW(A98)-ROW(INDEX(Monat.Projekte.Zeilen,1))+1&gt;EB.AnzProjekte,"",OFFSET(EB.Projekte.Knoten,ROW(A98)-ROW(INDEX(Monat.Projekte.Zeilen,1))+1,0,1,1))</f>
        <v/>
      </c>
      <c r="B98" s="176"/>
      <c r="C98" s="176"/>
      <c r="D98" s="176"/>
      <c r="E98" s="177"/>
      <c r="F98" s="176"/>
      <c r="G98" s="176"/>
      <c r="H98" s="176"/>
      <c r="I98" s="176"/>
      <c r="J98" s="177"/>
      <c r="K98" s="176"/>
      <c r="L98" s="177"/>
      <c r="M98" s="176"/>
      <c r="N98" s="176"/>
      <c r="O98" s="176"/>
      <c r="P98" s="176"/>
      <c r="Q98" s="177"/>
      <c r="R98" s="176"/>
      <c r="S98" s="177"/>
      <c r="T98" s="177"/>
      <c r="U98" s="176"/>
      <c r="V98" s="176"/>
      <c r="W98" s="176"/>
      <c r="X98" s="177"/>
      <c r="Y98" s="176"/>
      <c r="Z98" s="178"/>
      <c r="AA98" s="176"/>
      <c r="AB98" s="176"/>
      <c r="AC98" s="176"/>
      <c r="AD98" s="176"/>
      <c r="AE98" s="177"/>
      <c r="AF98" s="176"/>
      <c r="AG98" s="168" t="str">
        <f aca="false">A98</f>
        <v/>
      </c>
      <c r="AH98" s="184"/>
      <c r="AI98" s="207" t="n">
        <f aca="false">SUM(B98:AF98)</f>
        <v>0</v>
      </c>
      <c r="AJ98" s="33"/>
      <c r="AK98" s="192"/>
      <c r="AL98" s="216" t="n">
        <f aca="false">IF(EB.Anwendung&lt;&gt;"",IF(MONTH(Monat.Tag1)=1,0,IF(MONTH(Monat.Tag1)=2,January!Monat.P2UeVM,IF(MONTH(Monat.Tag1)=3,February!Monat.P2UeVM,IF(MONTH(Monat.Tag1)=4,March!Monat.P2UeVM,IF(MONTH(Monat.Tag1)=5,April!Monat.P2UeVM,IF(MONTH(Monat.Tag1)=6,May!Monat.P2UeVM,IF(MONTH(Monat.Tag1)=7,June!Monat.P2UeVM,IF(MONTH(Monat.Tag1)=8,July!Monat.P2UeVM,IF(MONTH(Monat.Tag1)=9,August!Monat.P2UeVM,IF(MONTH(Monat.Tag1)=10,September!Monat.P2UeVM,IF(MONTH(Monat.Tag1)=11,Monat.P2UeVM,IF(MONTH(Monat.Tag1)=12,November!Monat.P2UeVM,"")))))))))))),"")</f>
        <v>0</v>
      </c>
      <c r="AM98" s="172"/>
      <c r="AN98" s="217" t="n">
        <f aca="false">AI98+AL98</f>
        <v>0</v>
      </c>
      <c r="AO98" s="171"/>
      <c r="AP98" s="171"/>
      <c r="AQ98" s="39"/>
    </row>
    <row r="99" s="148" customFormat="true" ht="15" hidden="false" customHeight="true" outlineLevel="0" collapsed="false">
      <c r="A99" s="181" t="str">
        <f aca="true">IF(ROW(A99)-ROW(INDEX(Monat.Projekte.Zeilen,1))+1&gt;EB.AnzProjekte,"",OFFSET(EB.Projekte.Knoten,ROW(A99)-ROW(INDEX(Monat.Projekte.Zeilen,1))+1,0,1,1))</f>
        <v/>
      </c>
      <c r="B99" s="176"/>
      <c r="C99" s="176"/>
      <c r="D99" s="176"/>
      <c r="E99" s="177"/>
      <c r="F99" s="176"/>
      <c r="G99" s="176"/>
      <c r="H99" s="176"/>
      <c r="I99" s="176"/>
      <c r="J99" s="177"/>
      <c r="K99" s="176"/>
      <c r="L99" s="177"/>
      <c r="M99" s="176"/>
      <c r="N99" s="176"/>
      <c r="O99" s="176"/>
      <c r="P99" s="176"/>
      <c r="Q99" s="177"/>
      <c r="R99" s="176"/>
      <c r="S99" s="177"/>
      <c r="T99" s="177"/>
      <c r="U99" s="176"/>
      <c r="V99" s="176"/>
      <c r="W99" s="176"/>
      <c r="X99" s="177"/>
      <c r="Y99" s="176"/>
      <c r="Z99" s="178"/>
      <c r="AA99" s="176"/>
      <c r="AB99" s="176"/>
      <c r="AC99" s="176"/>
      <c r="AD99" s="176"/>
      <c r="AE99" s="177"/>
      <c r="AF99" s="176"/>
      <c r="AG99" s="168" t="str">
        <f aca="false">A99</f>
        <v/>
      </c>
      <c r="AH99" s="263"/>
      <c r="AI99" s="207" t="n">
        <f aca="false">SUM(B99:AF99)</f>
        <v>0</v>
      </c>
      <c r="AJ99" s="33"/>
      <c r="AK99" s="192"/>
      <c r="AL99" s="216" t="n">
        <f aca="false">IF(EB.Anwendung&lt;&gt;"",IF(MONTH(Monat.Tag1)=1,0,IF(MONTH(Monat.Tag1)=2,January!Monat.P3UeVM,IF(MONTH(Monat.Tag1)=3,February!Monat.P3UeVM,IF(MONTH(Monat.Tag1)=4,March!Monat.P3UeVM,IF(MONTH(Monat.Tag1)=5,April!Monat.P3UeVM,IF(MONTH(Monat.Tag1)=6,May!Monat.P3UeVM,IF(MONTH(Monat.Tag1)=7,June!Monat.P3UeVM,IF(MONTH(Monat.Tag1)=8,July!Monat.P3UeVM,IF(MONTH(Monat.Tag1)=9,August!Monat.P3UeVM,IF(MONTH(Monat.Tag1)=10,September!Monat.P3UeVM,IF(MONTH(Monat.Tag1)=11,Monat.P3UeVM,IF(MONTH(Monat.Tag1)=12,November!Monat.P3UeVM,"")))))))))))),"")</f>
        <v>0</v>
      </c>
      <c r="AM99" s="172"/>
      <c r="AN99" s="217" t="n">
        <f aca="false">AI99+AL99</f>
        <v>0</v>
      </c>
      <c r="AO99" s="171"/>
      <c r="AP99" s="171"/>
      <c r="AQ99" s="39"/>
    </row>
    <row r="100" s="148" customFormat="true" ht="15" hidden="false" customHeight="true" outlineLevel="0" collapsed="false">
      <c r="A100" s="181" t="str">
        <f aca="true">IF(ROW(A100)-ROW(INDEX(Monat.Projekte.Zeilen,1))+1&gt;EB.AnzProjekte,"",OFFSET(EB.Projekte.Knoten,ROW(A100)-ROW(INDEX(Monat.Projekte.Zeilen,1))+1,0,1,1))</f>
        <v/>
      </c>
      <c r="B100" s="176"/>
      <c r="C100" s="176"/>
      <c r="D100" s="176"/>
      <c r="E100" s="177"/>
      <c r="F100" s="176"/>
      <c r="G100" s="176"/>
      <c r="H100" s="176"/>
      <c r="I100" s="176"/>
      <c r="J100" s="177"/>
      <c r="K100" s="176"/>
      <c r="L100" s="177"/>
      <c r="M100" s="176"/>
      <c r="N100" s="176"/>
      <c r="O100" s="176"/>
      <c r="P100" s="176"/>
      <c r="Q100" s="177"/>
      <c r="R100" s="176"/>
      <c r="S100" s="177"/>
      <c r="T100" s="177"/>
      <c r="U100" s="176"/>
      <c r="V100" s="176"/>
      <c r="W100" s="176"/>
      <c r="X100" s="177"/>
      <c r="Y100" s="176"/>
      <c r="Z100" s="178"/>
      <c r="AA100" s="176"/>
      <c r="AB100" s="176"/>
      <c r="AC100" s="176"/>
      <c r="AD100" s="176"/>
      <c r="AE100" s="177"/>
      <c r="AF100" s="176"/>
      <c r="AG100" s="168" t="str">
        <f aca="false">A100</f>
        <v/>
      </c>
      <c r="AH100" s="197"/>
      <c r="AI100" s="207" t="n">
        <f aca="false">SUM(B100:AF100)</f>
        <v>0</v>
      </c>
      <c r="AJ100" s="33"/>
      <c r="AK100" s="192"/>
      <c r="AL100" s="216" t="n">
        <f aca="false">IF(EB.Anwendung&lt;&gt;"",IF(MONTH(Monat.Tag1)=1,0,IF(MONTH(Monat.Tag1)=2,January!Monat.P4UeVM,IF(MONTH(Monat.Tag1)=3,February!Monat.P4UeVM,IF(MONTH(Monat.Tag1)=4,March!Monat.P4UeVM,IF(MONTH(Monat.Tag1)=5,April!Monat.P4UeVM,IF(MONTH(Monat.Tag1)=6,May!Monat.P4UeVM,IF(MONTH(Monat.Tag1)=7,June!Monat.P4UeVM,IF(MONTH(Monat.Tag1)=8,July!Monat.P4UeVM,IF(MONTH(Monat.Tag1)=9,August!Monat.P4UeVM,IF(MONTH(Monat.Tag1)=10,September!Monat.P4UeVM,IF(MONTH(Monat.Tag1)=11,Monat.P4UeVM,IF(MONTH(Monat.Tag1)=12,November!Monat.P4UeVM,"")))))))))))),"")</f>
        <v>0</v>
      </c>
      <c r="AM100" s="172"/>
      <c r="AN100" s="217" t="n">
        <f aca="false">AI100+AL100</f>
        <v>0</v>
      </c>
      <c r="AO100" s="171"/>
      <c r="AP100" s="171"/>
      <c r="AQ100" s="39"/>
    </row>
    <row r="101" s="148" customFormat="true" ht="15" hidden="false" customHeight="true" outlineLevel="0" collapsed="false">
      <c r="A101" s="181" t="str">
        <f aca="true">IF(ROW(A101)-ROW(INDEX(Monat.Projekte.Zeilen,1))+1&gt;EB.AnzProjekte,"",OFFSET(EB.Projekte.Knoten,ROW(A101)-ROW(INDEX(Monat.Projekte.Zeilen,1))+1,0,1,1))</f>
        <v/>
      </c>
      <c r="B101" s="176"/>
      <c r="C101" s="176"/>
      <c r="D101" s="176"/>
      <c r="E101" s="177"/>
      <c r="F101" s="176"/>
      <c r="G101" s="176"/>
      <c r="H101" s="176"/>
      <c r="I101" s="176"/>
      <c r="J101" s="177"/>
      <c r="K101" s="176"/>
      <c r="L101" s="177"/>
      <c r="M101" s="176"/>
      <c r="N101" s="176"/>
      <c r="O101" s="176"/>
      <c r="P101" s="176"/>
      <c r="Q101" s="177"/>
      <c r="R101" s="176"/>
      <c r="S101" s="177"/>
      <c r="T101" s="177"/>
      <c r="U101" s="176"/>
      <c r="V101" s="176"/>
      <c r="W101" s="176"/>
      <c r="X101" s="177"/>
      <c r="Y101" s="176"/>
      <c r="Z101" s="178"/>
      <c r="AA101" s="176"/>
      <c r="AB101" s="176"/>
      <c r="AC101" s="176"/>
      <c r="AD101" s="176"/>
      <c r="AE101" s="177"/>
      <c r="AF101" s="176"/>
      <c r="AG101" s="168" t="str">
        <f aca="false">A101</f>
        <v/>
      </c>
      <c r="AH101" s="184"/>
      <c r="AI101" s="207" t="n">
        <f aca="false">SUM(B101:AF101)</f>
        <v>0</v>
      </c>
      <c r="AJ101" s="33"/>
      <c r="AK101" s="192"/>
      <c r="AL101" s="216" t="n">
        <f aca="false">IF(EB.Anwendung&lt;&gt;"",IF(MONTH(Monat.Tag1)=1,0,IF(MONTH(Monat.Tag1)=2,January!Monat.P5UeVM,IF(MONTH(Monat.Tag1)=3,February!Monat.P5UeVM,IF(MONTH(Monat.Tag1)=4,March!Monat.P5UeVM,IF(MONTH(Monat.Tag1)=5,April!Monat.P5UeVM,IF(MONTH(Monat.Tag1)=6,May!Monat.P5UeVM,IF(MONTH(Monat.Tag1)=7,June!Monat.P5UeVM,IF(MONTH(Monat.Tag1)=8,July!Monat.P5UeVM,IF(MONTH(Monat.Tag1)=9,August!Monat.P5UeVM,IF(MONTH(Monat.Tag1)=10,September!Monat.P5UeVM,IF(MONTH(Monat.Tag1)=11,Monat.P5UeVM,IF(MONTH(Monat.Tag1)=12,November!Monat.P5UeVM,"")))))))))))),"")</f>
        <v>0</v>
      </c>
      <c r="AM101" s="172"/>
      <c r="AN101" s="217" t="n">
        <f aca="false">AI101+AL101</f>
        <v>0</v>
      </c>
      <c r="AO101" s="171"/>
      <c r="AP101" s="171"/>
      <c r="AQ101" s="39"/>
    </row>
    <row r="102" s="148" customFormat="true" ht="15" hidden="true" customHeight="true" outlineLevel="1" collapsed="false">
      <c r="A102" s="181" t="str">
        <f aca="true">IF(ROW(A102)-ROW(INDEX(Monat.Projekte.Zeilen,1))+1&gt;EB.AnzProjekte,"",OFFSET(EB.Projekte.Knoten,ROW(A102)-ROW(INDEX(Monat.Projekte.Zeilen,1))+1,0,1,1))</f>
        <v/>
      </c>
      <c r="B102" s="176"/>
      <c r="C102" s="176"/>
      <c r="D102" s="176"/>
      <c r="E102" s="177"/>
      <c r="F102" s="176"/>
      <c r="G102" s="176"/>
      <c r="H102" s="176"/>
      <c r="I102" s="176"/>
      <c r="J102" s="177"/>
      <c r="K102" s="176"/>
      <c r="L102" s="177"/>
      <c r="M102" s="176"/>
      <c r="N102" s="176"/>
      <c r="O102" s="176"/>
      <c r="P102" s="176"/>
      <c r="Q102" s="177"/>
      <c r="R102" s="176"/>
      <c r="S102" s="177"/>
      <c r="T102" s="177"/>
      <c r="U102" s="176"/>
      <c r="V102" s="176"/>
      <c r="W102" s="176"/>
      <c r="X102" s="177"/>
      <c r="Y102" s="176"/>
      <c r="Z102" s="178"/>
      <c r="AA102" s="176"/>
      <c r="AB102" s="176"/>
      <c r="AC102" s="176"/>
      <c r="AD102" s="176"/>
      <c r="AE102" s="177"/>
      <c r="AF102" s="176"/>
      <c r="AG102" s="168" t="str">
        <f aca="false">A102</f>
        <v/>
      </c>
      <c r="AH102" s="263"/>
      <c r="AI102" s="207" t="n">
        <f aca="false">SUM(B102:AF102)</f>
        <v>0</v>
      </c>
      <c r="AJ102" s="33"/>
      <c r="AK102" s="192"/>
      <c r="AL102" s="216" t="n">
        <f aca="false">IF(EB.Anwendung&lt;&gt;"",IF(MONTH(Monat.Tag1)=1,0,IF(MONTH(Monat.Tag1)=2,January!Monat.P6UeVM,IF(MONTH(Monat.Tag1)=3,February!Monat.P6UeVM,IF(MONTH(Monat.Tag1)=4,March!Monat.P6UeVM,IF(MONTH(Monat.Tag1)=5,April!Monat.P6UeVM,IF(MONTH(Monat.Tag1)=6,May!Monat.P6UeVM,IF(MONTH(Monat.Tag1)=7,June!Monat.P6UeVM,IF(MONTH(Monat.Tag1)=8,July!Monat.P6UeVM,IF(MONTH(Monat.Tag1)=9,August!Monat.P6UeVM,IF(MONTH(Monat.Tag1)=10,September!Monat.P6UeVM,IF(MONTH(Monat.Tag1)=11,Monat.P6UeVM,IF(MONTH(Monat.Tag1)=12,November!Monat.P6UeVM,"")))))))))))),"")</f>
        <v>0</v>
      </c>
      <c r="AM102" s="172"/>
      <c r="AN102" s="217" t="n">
        <f aca="false">AI102+AL102</f>
        <v>0</v>
      </c>
      <c r="AO102" s="171"/>
      <c r="AP102" s="171"/>
      <c r="AQ102" s="39"/>
    </row>
    <row r="103" s="148" customFormat="true" ht="15" hidden="true" customHeight="true" outlineLevel="1" collapsed="false">
      <c r="A103" s="181" t="str">
        <f aca="true">IF(ROW(A103)-ROW(INDEX(Monat.Projekte.Zeilen,1))+1&gt;EB.AnzProjekte,"",OFFSET(EB.Projekte.Knoten,ROW(A103)-ROW(INDEX(Monat.Projekte.Zeilen,1))+1,0,1,1))</f>
        <v/>
      </c>
      <c r="B103" s="176"/>
      <c r="C103" s="176"/>
      <c r="D103" s="176"/>
      <c r="E103" s="177"/>
      <c r="F103" s="176"/>
      <c r="G103" s="176"/>
      <c r="H103" s="176"/>
      <c r="I103" s="176"/>
      <c r="J103" s="177"/>
      <c r="K103" s="176"/>
      <c r="L103" s="177"/>
      <c r="M103" s="176"/>
      <c r="N103" s="176"/>
      <c r="O103" s="176"/>
      <c r="P103" s="176"/>
      <c r="Q103" s="177"/>
      <c r="R103" s="176"/>
      <c r="S103" s="177"/>
      <c r="T103" s="177"/>
      <c r="U103" s="176"/>
      <c r="V103" s="176"/>
      <c r="W103" s="176"/>
      <c r="X103" s="177"/>
      <c r="Y103" s="176"/>
      <c r="Z103" s="178"/>
      <c r="AA103" s="176"/>
      <c r="AB103" s="176"/>
      <c r="AC103" s="176"/>
      <c r="AD103" s="176"/>
      <c r="AE103" s="177"/>
      <c r="AF103" s="176"/>
      <c r="AG103" s="168" t="str">
        <f aca="false">A103</f>
        <v/>
      </c>
      <c r="AH103" s="197"/>
      <c r="AI103" s="207" t="n">
        <f aca="false">SUM(B103:AF103)</f>
        <v>0</v>
      </c>
      <c r="AJ103" s="33"/>
      <c r="AK103" s="192"/>
      <c r="AL103" s="216" t="n">
        <f aca="false">IF(EB.Anwendung&lt;&gt;"",IF(MONTH(Monat.Tag1)=1,0,IF(MONTH(Monat.Tag1)=2,January!Monat.P7UeVM,IF(MONTH(Monat.Tag1)=3,February!Monat.P7UeVM,IF(MONTH(Monat.Tag1)=4,March!Monat.P7UeVM,IF(MONTH(Monat.Tag1)=5,April!Monat.P7UeVM,IF(MONTH(Monat.Tag1)=6,May!Monat.P7UeVM,IF(MONTH(Monat.Tag1)=7,June!Monat.P7UeVM,IF(MONTH(Monat.Tag1)=8,July!Monat.P7UeVM,IF(MONTH(Monat.Tag1)=9,August!Monat.P7UeVM,IF(MONTH(Monat.Tag1)=10,September!Monat.P7UeVM,IF(MONTH(Monat.Tag1)=11,Monat.P7UeVM,IF(MONTH(Monat.Tag1)=12,November!Monat.P7UeVM,"")))))))))))),"")</f>
        <v>0</v>
      </c>
      <c r="AM103" s="172"/>
      <c r="AN103" s="217" t="n">
        <f aca="false">AI103+AL103</f>
        <v>0</v>
      </c>
      <c r="AO103" s="171"/>
      <c r="AP103" s="171"/>
      <c r="AQ103" s="39"/>
    </row>
    <row r="104" s="148" customFormat="true" ht="15" hidden="true" customHeight="true" outlineLevel="1" collapsed="false">
      <c r="A104" s="181" t="str">
        <f aca="true">IF(ROW(A104)-ROW(INDEX(Monat.Projekte.Zeilen,1))+1&gt;EB.AnzProjekte,"",OFFSET(EB.Projekte.Knoten,ROW(A104)-ROW(INDEX(Monat.Projekte.Zeilen,1))+1,0,1,1))</f>
        <v/>
      </c>
      <c r="B104" s="176"/>
      <c r="C104" s="176"/>
      <c r="D104" s="176"/>
      <c r="E104" s="177"/>
      <c r="F104" s="176"/>
      <c r="G104" s="176"/>
      <c r="H104" s="176"/>
      <c r="I104" s="176"/>
      <c r="J104" s="177"/>
      <c r="K104" s="176"/>
      <c r="L104" s="177"/>
      <c r="M104" s="176"/>
      <c r="N104" s="176"/>
      <c r="O104" s="176"/>
      <c r="P104" s="176"/>
      <c r="Q104" s="177"/>
      <c r="R104" s="176"/>
      <c r="S104" s="177"/>
      <c r="T104" s="177"/>
      <c r="U104" s="176"/>
      <c r="V104" s="176"/>
      <c r="W104" s="176"/>
      <c r="X104" s="177"/>
      <c r="Y104" s="176"/>
      <c r="Z104" s="178"/>
      <c r="AA104" s="176"/>
      <c r="AB104" s="176"/>
      <c r="AC104" s="176"/>
      <c r="AD104" s="176"/>
      <c r="AE104" s="177"/>
      <c r="AF104" s="176"/>
      <c r="AG104" s="168" t="str">
        <f aca="false">A104</f>
        <v/>
      </c>
      <c r="AH104" s="202"/>
      <c r="AI104" s="207" t="n">
        <f aca="false">SUM(B104:AF104)</f>
        <v>0</v>
      </c>
      <c r="AJ104" s="33"/>
      <c r="AK104" s="192"/>
      <c r="AL104" s="216" t="n">
        <f aca="false">IF(EB.Anwendung&lt;&gt;"",IF(MONTH(Monat.Tag1)=1,0,IF(MONTH(Monat.Tag1)=2,January!Monat.P8UeVM,IF(MONTH(Monat.Tag1)=3,February!Monat.P8UeVM,IF(MONTH(Monat.Tag1)=4,March!Monat.P8UeVM,IF(MONTH(Monat.Tag1)=5,April!Monat.P8UeVM,IF(MONTH(Monat.Tag1)=6,May!Monat.P8UeVM,IF(MONTH(Monat.Tag1)=7,June!Monat.P8UeVM,IF(MONTH(Monat.Tag1)=8,July!Monat.P8UeVM,IF(MONTH(Monat.Tag1)=9,August!Monat.P8UeVM,IF(MONTH(Monat.Tag1)=10,September!Monat.P8UeVM,IF(MONTH(Monat.Tag1)=11,Monat.P8UeVM,IF(MONTH(Monat.Tag1)=12,November!Monat.P8UeVM,"")))))))))))),"")</f>
        <v>0</v>
      </c>
      <c r="AM104" s="172"/>
      <c r="AN104" s="217" t="n">
        <f aca="false">AI104+AL104</f>
        <v>0</v>
      </c>
      <c r="AO104" s="171"/>
      <c r="AP104" s="171"/>
      <c r="AQ104" s="39"/>
    </row>
    <row r="105" s="148" customFormat="true" ht="15" hidden="true" customHeight="true" outlineLevel="1" collapsed="false">
      <c r="A105" s="181" t="str">
        <f aca="true">IF(ROW(A105)-ROW(INDEX(Monat.Projekte.Zeilen,1))+1&gt;EB.AnzProjekte,"",OFFSET(EB.Projekte.Knoten,ROW(A105)-ROW(INDEX(Monat.Projekte.Zeilen,1))+1,0,1,1))</f>
        <v/>
      </c>
      <c r="B105" s="176"/>
      <c r="C105" s="176"/>
      <c r="D105" s="176"/>
      <c r="E105" s="177"/>
      <c r="F105" s="176"/>
      <c r="G105" s="176"/>
      <c r="H105" s="176"/>
      <c r="I105" s="176"/>
      <c r="J105" s="177"/>
      <c r="K105" s="176"/>
      <c r="L105" s="177"/>
      <c r="M105" s="176"/>
      <c r="N105" s="176"/>
      <c r="O105" s="176"/>
      <c r="P105" s="176"/>
      <c r="Q105" s="177"/>
      <c r="R105" s="176"/>
      <c r="S105" s="177"/>
      <c r="T105" s="177"/>
      <c r="U105" s="176"/>
      <c r="V105" s="176"/>
      <c r="W105" s="176"/>
      <c r="X105" s="177"/>
      <c r="Y105" s="176"/>
      <c r="Z105" s="178"/>
      <c r="AA105" s="176"/>
      <c r="AB105" s="176"/>
      <c r="AC105" s="176"/>
      <c r="AD105" s="176"/>
      <c r="AE105" s="177"/>
      <c r="AF105" s="176"/>
      <c r="AG105" s="168" t="str">
        <f aca="false">A105</f>
        <v/>
      </c>
      <c r="AH105" s="184"/>
      <c r="AI105" s="207" t="n">
        <f aca="false">SUM(B105:AF105)</f>
        <v>0</v>
      </c>
      <c r="AJ105" s="33"/>
      <c r="AK105" s="192"/>
      <c r="AL105" s="216" t="n">
        <f aca="false">IF(EB.Anwendung&lt;&gt;"",IF(MONTH(Monat.Tag1)=1,0,IF(MONTH(Monat.Tag1)=2,January!Monat.P9UeVM,IF(MONTH(Monat.Tag1)=3,February!Monat.P9UeVM,IF(MONTH(Monat.Tag1)=4,March!Monat.P9UeVM,IF(MONTH(Monat.Tag1)=5,April!Monat.P9UeVM,IF(MONTH(Monat.Tag1)=6,May!Monat.P9UeVM,IF(MONTH(Monat.Tag1)=7,June!Monat.P9UeVM,IF(MONTH(Monat.Tag1)=8,July!Monat.P9UeVM,IF(MONTH(Monat.Tag1)=9,August!Monat.P9UeVM,IF(MONTH(Monat.Tag1)=10,September!Monat.P9UeVM,IF(MONTH(Monat.Tag1)=11,Monat.P9UeVM,IF(MONTH(Monat.Tag1)=12,November!Monat.P9UeVM,"")))))))))))),"")</f>
        <v>0</v>
      </c>
      <c r="AM105" s="172"/>
      <c r="AN105" s="217" t="n">
        <f aca="false">AI105+AL105</f>
        <v>0</v>
      </c>
      <c r="AO105" s="171"/>
      <c r="AP105" s="171"/>
      <c r="AQ105" s="39"/>
    </row>
    <row r="106" s="148" customFormat="true" ht="15" hidden="true" customHeight="true" outlineLevel="1" collapsed="false">
      <c r="A106" s="181" t="str">
        <f aca="true">IF(ROW(A106)-ROW(INDEX(Monat.Projekte.Zeilen,1))+1&gt;EB.AnzProjekte,"",OFFSET(EB.Projekte.Knoten,ROW(A106)-ROW(INDEX(Monat.Projekte.Zeilen,1))+1,0,1,1))</f>
        <v/>
      </c>
      <c r="B106" s="176"/>
      <c r="C106" s="176"/>
      <c r="D106" s="176"/>
      <c r="E106" s="177"/>
      <c r="F106" s="176"/>
      <c r="G106" s="176"/>
      <c r="H106" s="176"/>
      <c r="I106" s="176"/>
      <c r="J106" s="177"/>
      <c r="K106" s="176"/>
      <c r="L106" s="177"/>
      <c r="M106" s="176"/>
      <c r="N106" s="176"/>
      <c r="O106" s="176"/>
      <c r="P106" s="176"/>
      <c r="Q106" s="177"/>
      <c r="R106" s="176"/>
      <c r="S106" s="177"/>
      <c r="T106" s="177"/>
      <c r="U106" s="176"/>
      <c r="V106" s="176"/>
      <c r="W106" s="176"/>
      <c r="X106" s="177"/>
      <c r="Y106" s="176"/>
      <c r="Z106" s="178"/>
      <c r="AA106" s="176"/>
      <c r="AB106" s="176"/>
      <c r="AC106" s="176"/>
      <c r="AD106" s="176"/>
      <c r="AE106" s="177"/>
      <c r="AF106" s="176"/>
      <c r="AG106" s="168" t="str">
        <f aca="false">A106</f>
        <v/>
      </c>
      <c r="AH106" s="184"/>
      <c r="AI106" s="207" t="n">
        <f aca="false">SUM(B106:AF106)</f>
        <v>0</v>
      </c>
      <c r="AJ106" s="33"/>
      <c r="AK106" s="192"/>
      <c r="AL106" s="216" t="n">
        <f aca="false">IF(EB.Anwendung&lt;&gt;"",IF(MONTH(Monat.Tag1)=1,0,IF(MONTH(Monat.Tag1)=2,January!Monat.P10UeVM,IF(MONTH(Monat.Tag1)=3,February!Monat.P10UeVM,IF(MONTH(Monat.Tag1)=4,March!Monat.P10UeVM,IF(MONTH(Monat.Tag1)=5,April!Monat.P10UeVM,IF(MONTH(Monat.Tag1)=6,May!Monat.P10UeVM,IF(MONTH(Monat.Tag1)=7,June!Monat.P10UeVM,IF(MONTH(Monat.Tag1)=8,July!Monat.P10UeVM,IF(MONTH(Monat.Tag1)=9,August!Monat.P10UeVM,IF(MONTH(Monat.Tag1)=10,September!Monat.P10UeVM,IF(MONTH(Monat.Tag1)=11,Monat.P10UeVM,IF(MONTH(Monat.Tag1)=12,November!Monat.P10UeVM,"")))))))))))),"")</f>
        <v>0</v>
      </c>
      <c r="AM106" s="172"/>
      <c r="AN106" s="217" t="n">
        <f aca="false">AI106+AL106</f>
        <v>0</v>
      </c>
      <c r="AO106" s="171"/>
      <c r="AP106" s="171"/>
      <c r="AQ106" s="39"/>
    </row>
    <row r="107" s="148" customFormat="true" ht="15" hidden="true" customHeight="true" outlineLevel="1" collapsed="false">
      <c r="A107" s="181" t="str">
        <f aca="true">IF(ROW(A107)-ROW(INDEX(Monat.Projekte.Zeilen,1))+1&gt;EB.AnzProjekte,"",OFFSET(EB.Projekte.Knoten,ROW(A107)-ROW(INDEX(Monat.Projekte.Zeilen,1))+1,0,1,1))</f>
        <v/>
      </c>
      <c r="B107" s="176"/>
      <c r="C107" s="176"/>
      <c r="D107" s="176"/>
      <c r="E107" s="177"/>
      <c r="F107" s="176"/>
      <c r="G107" s="176"/>
      <c r="H107" s="176"/>
      <c r="I107" s="176"/>
      <c r="J107" s="177"/>
      <c r="K107" s="176"/>
      <c r="L107" s="177"/>
      <c r="M107" s="176"/>
      <c r="N107" s="176"/>
      <c r="O107" s="176"/>
      <c r="P107" s="176"/>
      <c r="Q107" s="177"/>
      <c r="R107" s="176"/>
      <c r="S107" s="177"/>
      <c r="T107" s="177"/>
      <c r="U107" s="176"/>
      <c r="V107" s="176"/>
      <c r="W107" s="176"/>
      <c r="X107" s="177"/>
      <c r="Y107" s="176"/>
      <c r="Z107" s="178"/>
      <c r="AA107" s="176"/>
      <c r="AB107" s="176"/>
      <c r="AC107" s="176"/>
      <c r="AD107" s="176"/>
      <c r="AE107" s="177"/>
      <c r="AF107" s="176"/>
      <c r="AG107" s="168" t="str">
        <f aca="false">A107</f>
        <v/>
      </c>
      <c r="AH107" s="202"/>
      <c r="AI107" s="207" t="n">
        <f aca="false">SUM(B107:AF107)</f>
        <v>0</v>
      </c>
      <c r="AJ107" s="33"/>
      <c r="AK107" s="192"/>
      <c r="AL107" s="216" t="n">
        <f aca="false">IF(EB.Anwendung&lt;&gt;"",IF(MONTH(Monat.Tag1)=1,0,IF(MONTH(Monat.Tag1)=2,January!Monat.P11UeVM,IF(MONTH(Monat.Tag1)=3,February!Monat.P11UeVM,IF(MONTH(Monat.Tag1)=4,March!Monat.P11UeVM,IF(MONTH(Monat.Tag1)=5,April!Monat.P11UeVM,IF(MONTH(Monat.Tag1)=6,May!Monat.P11UeVM,IF(MONTH(Monat.Tag1)=7,June!Monat.P11UeVM,IF(MONTH(Monat.Tag1)=8,July!Monat.P11UeVM,IF(MONTH(Monat.Tag1)=9,August!Monat.P11UeVM,IF(MONTH(Monat.Tag1)=10,September!Monat.P11UeVM,IF(MONTH(Monat.Tag1)=11,Monat.P11UeVM,IF(MONTH(Monat.Tag1)=12,November!Monat.P11UeVM,"")))))))))))),"")</f>
        <v>0</v>
      </c>
      <c r="AM107" s="172"/>
      <c r="AN107" s="217" t="n">
        <f aca="false">AI107+AL107</f>
        <v>0</v>
      </c>
      <c r="AO107" s="264"/>
      <c r="AP107" s="264"/>
      <c r="AQ107" s="39"/>
    </row>
    <row r="108" s="266" customFormat="true" ht="15" hidden="true" customHeight="true" outlineLevel="1" collapsed="false">
      <c r="A108" s="181" t="str">
        <f aca="true">IF(ROW(A108)-ROW(INDEX(Monat.Projekte.Zeilen,1))+1&gt;EB.AnzProjekte,"",OFFSET(EB.Projekte.Knoten,ROW(A108)-ROW(INDEX(Monat.Projekte.Zeilen,1))+1,0,1,1))</f>
        <v/>
      </c>
      <c r="B108" s="176"/>
      <c r="C108" s="176"/>
      <c r="D108" s="176"/>
      <c r="E108" s="177"/>
      <c r="F108" s="176"/>
      <c r="G108" s="176"/>
      <c r="H108" s="176"/>
      <c r="I108" s="176"/>
      <c r="J108" s="177"/>
      <c r="K108" s="176"/>
      <c r="L108" s="177"/>
      <c r="M108" s="176"/>
      <c r="N108" s="176"/>
      <c r="O108" s="176"/>
      <c r="P108" s="176"/>
      <c r="Q108" s="177"/>
      <c r="R108" s="176"/>
      <c r="S108" s="177"/>
      <c r="T108" s="177"/>
      <c r="U108" s="176"/>
      <c r="V108" s="176"/>
      <c r="W108" s="176"/>
      <c r="X108" s="177"/>
      <c r="Y108" s="176"/>
      <c r="Z108" s="178"/>
      <c r="AA108" s="176"/>
      <c r="AB108" s="176"/>
      <c r="AC108" s="176"/>
      <c r="AD108" s="176"/>
      <c r="AE108" s="177"/>
      <c r="AF108" s="176"/>
      <c r="AG108" s="168" t="str">
        <f aca="false">A108</f>
        <v/>
      </c>
      <c r="AH108" s="202"/>
      <c r="AI108" s="207" t="n">
        <f aca="false">SUM(B108:AF108)</f>
        <v>0</v>
      </c>
      <c r="AJ108" s="33"/>
      <c r="AK108" s="192"/>
      <c r="AL108" s="216" t="n">
        <f aca="false">IF(EB.Anwendung&lt;&gt;"",IF(MONTH(Monat.Tag1)=1,0,IF(MONTH(Monat.Tag1)=2,January!Monat.P12UeVM,IF(MONTH(Monat.Tag1)=3,February!Monat.P12UeVM,IF(MONTH(Monat.Tag1)=4,March!Monat.P12UeVM,IF(MONTH(Monat.Tag1)=5,April!Monat.P12UeVM,IF(MONTH(Monat.Tag1)=6,May!Monat.P12UeVM,IF(MONTH(Monat.Tag1)=7,June!Monat.P12UeVM,IF(MONTH(Monat.Tag1)=8,July!Monat.P12UeVM,IF(MONTH(Monat.Tag1)=9,August!Monat.P12UeVM,IF(MONTH(Monat.Tag1)=10,September!Monat.P12UeVM,IF(MONTH(Monat.Tag1)=11,Monat.P12UeVM,IF(MONTH(Monat.Tag1)=12,November!Monat.P12UeVM,"")))))))))))),"")</f>
        <v>0</v>
      </c>
      <c r="AM108" s="172"/>
      <c r="AN108" s="217" t="n">
        <f aca="false">AI108+AL108</f>
        <v>0</v>
      </c>
      <c r="AO108" s="264"/>
      <c r="AP108" s="264"/>
      <c r="AQ108" s="265"/>
    </row>
    <row r="109" s="266" customFormat="true" ht="15" hidden="true" customHeight="true" outlineLevel="1" collapsed="false">
      <c r="A109" s="181" t="str">
        <f aca="true">IF(ROW(A109)-ROW(INDEX(Monat.Projekte.Zeilen,1))+1&gt;EB.AnzProjekte,"",OFFSET(EB.Projekte.Knoten,ROW(A109)-ROW(INDEX(Monat.Projekte.Zeilen,1))+1,0,1,1))</f>
        <v/>
      </c>
      <c r="B109" s="176"/>
      <c r="C109" s="176"/>
      <c r="D109" s="176"/>
      <c r="E109" s="177"/>
      <c r="F109" s="176"/>
      <c r="G109" s="176"/>
      <c r="H109" s="176"/>
      <c r="I109" s="176"/>
      <c r="J109" s="177"/>
      <c r="K109" s="176"/>
      <c r="L109" s="177"/>
      <c r="M109" s="176"/>
      <c r="N109" s="176"/>
      <c r="O109" s="176"/>
      <c r="P109" s="176"/>
      <c r="Q109" s="177"/>
      <c r="R109" s="176"/>
      <c r="S109" s="177"/>
      <c r="T109" s="177"/>
      <c r="U109" s="176"/>
      <c r="V109" s="176"/>
      <c r="W109" s="176"/>
      <c r="X109" s="177"/>
      <c r="Y109" s="176"/>
      <c r="Z109" s="178"/>
      <c r="AA109" s="176"/>
      <c r="AB109" s="176"/>
      <c r="AC109" s="176"/>
      <c r="AD109" s="176"/>
      <c r="AE109" s="177"/>
      <c r="AF109" s="176"/>
      <c r="AG109" s="168" t="str">
        <f aca="false">A109</f>
        <v/>
      </c>
      <c r="AH109" s="184"/>
      <c r="AI109" s="207" t="n">
        <f aca="false">SUM(B109:AF109)</f>
        <v>0</v>
      </c>
      <c r="AJ109" s="33"/>
      <c r="AK109" s="192"/>
      <c r="AL109" s="216" t="n">
        <f aca="false">IF(EB.Anwendung&lt;&gt;"",IF(MONTH(Monat.Tag1)=1,0,IF(MONTH(Monat.Tag1)=2,January!Monat.P13UeVM,IF(MONTH(Monat.Tag1)=3,February!Monat.P13UeVM,IF(MONTH(Monat.Tag1)=4,March!Monat.P13UeVM,IF(MONTH(Monat.Tag1)=5,April!Monat.P13UeVM,IF(MONTH(Monat.Tag1)=6,May!Monat.P13UeVM,IF(MONTH(Monat.Tag1)=7,June!Monat.P13UeVM,IF(MONTH(Monat.Tag1)=8,July!Monat.P13UeVM,IF(MONTH(Monat.Tag1)=9,August!Monat.P13UeVM,IF(MONTH(Monat.Tag1)=10,September!Monat.P13UeVM,IF(MONTH(Monat.Tag1)=11,Monat.P13UeVM,IF(MONTH(Monat.Tag1)=12,November!Monat.P13UeVM,"")))))))))))),"")</f>
        <v>0</v>
      </c>
      <c r="AM109" s="172"/>
      <c r="AN109" s="217" t="n">
        <f aca="false">AI109+AL109</f>
        <v>0</v>
      </c>
      <c r="AO109" s="264"/>
      <c r="AP109" s="264"/>
      <c r="AQ109" s="265"/>
    </row>
    <row r="110" customFormat="false" ht="15" hidden="true" customHeight="true" outlineLevel="1" collapsed="false">
      <c r="A110" s="181" t="str">
        <f aca="true">IF(ROW(A110)-ROW(INDEX(Monat.Projekte.Zeilen,1))+1&gt;EB.AnzProjekte,"",OFFSET(EB.Projekte.Knoten,ROW(A110)-ROW(INDEX(Monat.Projekte.Zeilen,1))+1,0,1,1))</f>
        <v/>
      </c>
      <c r="B110" s="176"/>
      <c r="C110" s="176"/>
      <c r="D110" s="176"/>
      <c r="E110" s="177"/>
      <c r="F110" s="176"/>
      <c r="G110" s="176"/>
      <c r="H110" s="176"/>
      <c r="I110" s="176"/>
      <c r="J110" s="177"/>
      <c r="K110" s="176"/>
      <c r="L110" s="177"/>
      <c r="M110" s="176"/>
      <c r="N110" s="176"/>
      <c r="O110" s="176"/>
      <c r="P110" s="176"/>
      <c r="Q110" s="177"/>
      <c r="R110" s="176"/>
      <c r="S110" s="177"/>
      <c r="T110" s="177"/>
      <c r="U110" s="176"/>
      <c r="V110" s="176"/>
      <c r="W110" s="176"/>
      <c r="X110" s="177"/>
      <c r="Y110" s="176"/>
      <c r="Z110" s="178"/>
      <c r="AA110" s="176"/>
      <c r="AB110" s="176"/>
      <c r="AC110" s="176"/>
      <c r="AD110" s="176"/>
      <c r="AE110" s="177"/>
      <c r="AF110" s="176"/>
      <c r="AG110" s="168" t="str">
        <f aca="false">A110</f>
        <v/>
      </c>
      <c r="AH110" s="184"/>
      <c r="AI110" s="207" t="n">
        <f aca="false">SUM(B110:AF110)</f>
        <v>0</v>
      </c>
      <c r="AJ110" s="33"/>
      <c r="AK110" s="192"/>
      <c r="AL110" s="216" t="n">
        <f aca="false">IF(EB.Anwendung&lt;&gt;"",IF(MONTH(Monat.Tag1)=1,0,IF(MONTH(Monat.Tag1)=2,January!Monat.P14UeVM,IF(MONTH(Monat.Tag1)=3,February!Monat.P14UeVM,IF(MONTH(Monat.Tag1)=4,March!Monat.P14UeVM,IF(MONTH(Monat.Tag1)=5,April!Monat.P14UeVM,IF(MONTH(Monat.Tag1)=6,May!Monat.P14UeVM,IF(MONTH(Monat.Tag1)=7,June!Monat.P14UeVM,IF(MONTH(Monat.Tag1)=8,July!Monat.P14UeVM,IF(MONTH(Monat.Tag1)=9,August!Monat.P14UeVM,IF(MONTH(Monat.Tag1)=10,September!Monat.P14UeVM,IF(MONTH(Monat.Tag1)=11,Monat.P14UeVM,IF(MONTH(Monat.Tag1)=12,November!Monat.P14UeVM,"")))))))))))),"")</f>
        <v>0</v>
      </c>
      <c r="AM110" s="172"/>
      <c r="AN110" s="217" t="n">
        <f aca="false">AI110+AL110</f>
        <v>0</v>
      </c>
      <c r="AO110" s="264"/>
      <c r="AP110" s="264"/>
      <c r="AQ110" s="43"/>
    </row>
    <row r="111" customFormat="false" ht="15" hidden="true" customHeight="true" outlineLevel="1" collapsed="false">
      <c r="A111" s="181" t="str">
        <f aca="true">IF(ROW(A111)-ROW(INDEX(Monat.Projekte.Zeilen,1))+1&gt;EB.AnzProjekte,"",OFFSET(EB.Projekte.Knoten,ROW(A111)-ROW(INDEX(Monat.Projekte.Zeilen,1))+1,0,1,1))</f>
        <v/>
      </c>
      <c r="B111" s="176"/>
      <c r="C111" s="176"/>
      <c r="D111" s="176"/>
      <c r="E111" s="176"/>
      <c r="F111" s="176"/>
      <c r="G111" s="176"/>
      <c r="H111" s="176"/>
      <c r="I111" s="176"/>
      <c r="J111" s="176"/>
      <c r="K111" s="176"/>
      <c r="L111" s="176"/>
      <c r="M111" s="176"/>
      <c r="N111" s="176"/>
      <c r="O111" s="176"/>
      <c r="P111" s="176"/>
      <c r="Q111" s="176"/>
      <c r="R111" s="176"/>
      <c r="S111" s="176"/>
      <c r="T111" s="176"/>
      <c r="U111" s="176"/>
      <c r="V111" s="176"/>
      <c r="W111" s="176"/>
      <c r="X111" s="176"/>
      <c r="Y111" s="176"/>
      <c r="Z111" s="190"/>
      <c r="AA111" s="176"/>
      <c r="AB111" s="176"/>
      <c r="AC111" s="176"/>
      <c r="AD111" s="176"/>
      <c r="AE111" s="176"/>
      <c r="AF111" s="176"/>
      <c r="AG111" s="168" t="str">
        <f aca="false">A111</f>
        <v/>
      </c>
      <c r="AH111" s="184"/>
      <c r="AI111" s="207" t="n">
        <f aca="false">SUM(B111:AF111)</f>
        <v>0</v>
      </c>
      <c r="AJ111" s="33"/>
      <c r="AK111" s="192"/>
      <c r="AL111" s="216" t="n">
        <f aca="false">IF(EB.Anwendung&lt;&gt;"",IF(MONTH(Monat.Tag1)=1,0,IF(MONTH(Monat.Tag1)=2,January!Monat.P15UeVM,IF(MONTH(Monat.Tag1)=3,February!Monat.P15UeVM,IF(MONTH(Monat.Tag1)=4,March!Monat.P15UeVM,IF(MONTH(Monat.Tag1)=5,April!Monat.P15UeVM,IF(MONTH(Monat.Tag1)=6,May!Monat.P15UeVM,IF(MONTH(Monat.Tag1)=7,June!Monat.P15UeVM,IF(MONTH(Monat.Tag1)=8,July!Monat.P15UeVM,IF(MONTH(Monat.Tag1)=9,August!Monat.P15UeVM,IF(MONTH(Monat.Tag1)=10,September!Monat.P15UeVM,IF(MONTH(Monat.Tag1)=11,Monat.P15UeVM,IF(MONTH(Monat.Tag1)=12,November!Monat.P15UeVM,"")))))))))))),"")</f>
        <v>0</v>
      </c>
      <c r="AM111" s="172"/>
      <c r="AN111" s="217" t="n">
        <f aca="false">AI111+AL111</f>
        <v>0</v>
      </c>
      <c r="AO111" s="264"/>
      <c r="AP111" s="264"/>
      <c r="AQ111" s="43"/>
    </row>
    <row r="112" customFormat="false" ht="15" hidden="false" customHeight="true" outlineLevel="0" collapsed="false">
      <c r="A112" s="181" t="s">
        <v>177</v>
      </c>
      <c r="B112" s="205" t="n">
        <f aca="false">SUM(B97:B111)</f>
        <v>0</v>
      </c>
      <c r="C112" s="205" t="n">
        <f aca="false">SUM(C97:C111)</f>
        <v>0</v>
      </c>
      <c r="D112" s="205" t="n">
        <f aca="false">SUM(D97:D111)</f>
        <v>0</v>
      </c>
      <c r="E112" s="205" t="n">
        <f aca="false">SUM(E97:E111)</f>
        <v>0</v>
      </c>
      <c r="F112" s="205" t="n">
        <f aca="false">SUM(F97:F111)</f>
        <v>0</v>
      </c>
      <c r="G112" s="205" t="n">
        <f aca="false">SUM(G97:G111)</f>
        <v>0</v>
      </c>
      <c r="H112" s="205" t="n">
        <f aca="false">SUM(H97:H111)</f>
        <v>0</v>
      </c>
      <c r="I112" s="205" t="n">
        <f aca="false">SUM(I97:I111)</f>
        <v>0</v>
      </c>
      <c r="J112" s="205" t="n">
        <f aca="false">SUM(J97:J111)</f>
        <v>0</v>
      </c>
      <c r="K112" s="205" t="n">
        <f aca="false">SUM(K97:K111)</f>
        <v>0</v>
      </c>
      <c r="L112" s="205" t="n">
        <f aca="false">SUM(L97:L111)</f>
        <v>0</v>
      </c>
      <c r="M112" s="205" t="n">
        <f aca="false">SUM(M97:M111)</f>
        <v>0</v>
      </c>
      <c r="N112" s="205" t="n">
        <f aca="false">SUM(N97:N111)</f>
        <v>0</v>
      </c>
      <c r="O112" s="205" t="n">
        <f aca="false">SUM(O97:O111)</f>
        <v>0</v>
      </c>
      <c r="P112" s="205" t="n">
        <f aca="false">SUM(P97:P111)</f>
        <v>0</v>
      </c>
      <c r="Q112" s="205" t="n">
        <f aca="false">SUM(Q97:Q111)</f>
        <v>0</v>
      </c>
      <c r="R112" s="205" t="n">
        <f aca="false">SUM(R97:R111)</f>
        <v>0</v>
      </c>
      <c r="S112" s="205" t="n">
        <f aca="false">SUM(S97:S111)</f>
        <v>0</v>
      </c>
      <c r="T112" s="205" t="n">
        <f aca="false">SUM(T97:T111)</f>
        <v>0</v>
      </c>
      <c r="U112" s="205" t="n">
        <f aca="false">SUM(U97:U111)</f>
        <v>0</v>
      </c>
      <c r="V112" s="205" t="n">
        <f aca="false">SUM(V97:V111)</f>
        <v>0</v>
      </c>
      <c r="W112" s="205" t="n">
        <f aca="false">SUM(W97:W111)</f>
        <v>0</v>
      </c>
      <c r="X112" s="205" t="n">
        <f aca="false">SUM(X97:X111)</f>
        <v>0</v>
      </c>
      <c r="Y112" s="205" t="n">
        <f aca="false">SUM(Y97:Y111)</f>
        <v>0</v>
      </c>
      <c r="Z112" s="205" t="n">
        <f aca="false">SUM(Z97:Z111)</f>
        <v>0</v>
      </c>
      <c r="AA112" s="205" t="n">
        <f aca="false">SUM(AA97:AA111)</f>
        <v>0</v>
      </c>
      <c r="AB112" s="205" t="n">
        <f aca="false">SUM(AB97:AB111)</f>
        <v>0</v>
      </c>
      <c r="AC112" s="205" t="n">
        <f aca="false">SUM(AC97:AC111)</f>
        <v>0</v>
      </c>
      <c r="AD112" s="205" t="n">
        <f aca="false">SUM(AD97:AD111)</f>
        <v>0</v>
      </c>
      <c r="AE112" s="205" t="n">
        <f aca="false">SUM(AE97:AE111)</f>
        <v>0</v>
      </c>
      <c r="AF112" s="205" t="n">
        <f aca="false">SUM(AF97:AF111)</f>
        <v>0</v>
      </c>
      <c r="AG112" s="183" t="str">
        <f aca="false">A112</f>
        <v>Hours worked for projects</v>
      </c>
      <c r="AH112" s="184"/>
      <c r="AI112" s="207" t="n">
        <f aca="false">SUM(B112:AF112)</f>
        <v>0</v>
      </c>
      <c r="AJ112" s="33"/>
      <c r="AK112" s="192"/>
      <c r="AL112" s="216" t="n">
        <f aca="false">IF(EB.Anwendung&lt;&gt;"",IF(MONTH(Monat.Tag1)=1,0,IF(MONTH(Monat.Tag1)=2,January!Monat.PTotalUeVM,IF(MONTH(Monat.Tag1)=3,February!Monat.PTotalUeVM,IF(MONTH(Monat.Tag1)=4,March!Monat.PTotalUeVM,IF(MONTH(Monat.Tag1)=5,April!Monat.PTotalUeVM,IF(MONTH(Monat.Tag1)=6,May!Monat.PTotalUeVM,IF(MONTH(Monat.Tag1)=7,June!Monat.PTotalUeVM,IF(MONTH(Monat.Tag1)=8,July!Monat.PTotalUeVM,IF(MONTH(Monat.Tag1)=9,August!Monat.PTotalUeVM,IF(MONTH(Monat.Tag1)=10,September!Monat.PTotalUeVM,IF(MONTH(Monat.Tag1)=11,Monat.PTotalUeVM,IF(MONTH(Monat.Tag1)=12,November!Monat.PTotalUeVM,"")))))))))))),"")</f>
        <v>0</v>
      </c>
      <c r="AM112" s="172"/>
      <c r="AN112" s="217" t="n">
        <f aca="false">AI112+AL112</f>
        <v>0</v>
      </c>
      <c r="AO112" s="267"/>
      <c r="AP112" s="267"/>
      <c r="AQ112" s="43"/>
    </row>
    <row r="113" s="148" customFormat="true" ht="11.25" hidden="false" customHeight="true" outlineLevel="0" collapsed="false">
      <c r="A113" s="268"/>
      <c r="B113" s="194"/>
      <c r="C113" s="194"/>
      <c r="D113" s="194"/>
      <c r="E113" s="194"/>
      <c r="F113" s="194"/>
      <c r="G113" s="194"/>
      <c r="H113" s="194"/>
      <c r="I113" s="194"/>
      <c r="J113" s="194"/>
      <c r="K113" s="194"/>
      <c r="L113" s="194"/>
      <c r="M113" s="194"/>
      <c r="N113" s="194"/>
      <c r="O113" s="194"/>
      <c r="P113" s="194"/>
      <c r="Q113" s="194"/>
      <c r="R113" s="194"/>
      <c r="S113" s="194"/>
      <c r="T113" s="194"/>
      <c r="U113" s="194"/>
      <c r="V113" s="194"/>
      <c r="W113" s="194"/>
      <c r="X113" s="194"/>
      <c r="Y113" s="194"/>
      <c r="Z113" s="194"/>
      <c r="AA113" s="194"/>
      <c r="AB113" s="194"/>
      <c r="AC113" s="194"/>
      <c r="AD113" s="194"/>
      <c r="AE113" s="194"/>
      <c r="AF113" s="194"/>
      <c r="AG113" s="269"/>
      <c r="AH113" s="263"/>
      <c r="AI113" s="194"/>
      <c r="AJ113" s="16"/>
      <c r="AK113" s="194"/>
      <c r="AL113" s="194"/>
      <c r="AM113" s="194"/>
      <c r="AN113" s="50"/>
      <c r="AO113" s="194"/>
      <c r="AP113" s="194"/>
      <c r="AQ113" s="39"/>
    </row>
    <row r="114" s="148" customFormat="true" ht="15" hidden="true" customHeight="true" outlineLevel="1" collapsed="false">
      <c r="A114" s="181" t="s">
        <v>178</v>
      </c>
      <c r="B114" s="213" t="n">
        <f aca="false">ROUND((B23+B45+B91)-SUMPRODUCT((B97:B111)*(EB.Projektart.Bereich=6)),9)</f>
        <v>0</v>
      </c>
      <c r="C114" s="213" t="n">
        <f aca="false">ROUND((C23+C45+C91)-SUMPRODUCT((C97:C111)*(EB.Projektart.Bereich=6)),9)</f>
        <v>0</v>
      </c>
      <c r="D114" s="213" t="n">
        <f aca="false">ROUND((D23+D45+D91)-SUMPRODUCT((D97:D111)*(EB.Projektart.Bereich=6)),9)</f>
        <v>0</v>
      </c>
      <c r="E114" s="213" t="n">
        <f aca="false">ROUND((E23+E45+E91)-SUMPRODUCT((E97:E111)*(EB.Projektart.Bereich=6)),9)</f>
        <v>0</v>
      </c>
      <c r="F114" s="213" t="n">
        <f aca="false">ROUND((F23+F45+F91)-SUMPRODUCT((F97:F111)*(EB.Projektart.Bereich=6)),9)</f>
        <v>0</v>
      </c>
      <c r="G114" s="213" t="n">
        <f aca="false">ROUND((G23+G45+G91)-SUMPRODUCT((G97:G111)*(EB.Projektart.Bereich=6)),9)</f>
        <v>0</v>
      </c>
      <c r="H114" s="213" t="n">
        <f aca="false">ROUND((H23+H45+H91)-SUMPRODUCT((H97:H111)*(EB.Projektart.Bereich=6)),9)</f>
        <v>0</v>
      </c>
      <c r="I114" s="213" t="n">
        <f aca="false">ROUND((I23+I45+I91)-SUMPRODUCT((I97:I111)*(EB.Projektart.Bereich=6)),9)</f>
        <v>0</v>
      </c>
      <c r="J114" s="213" t="n">
        <f aca="false">ROUND((J23+J45+J91)-SUMPRODUCT((J97:J111)*(EB.Projektart.Bereich=6)),9)</f>
        <v>0</v>
      </c>
      <c r="K114" s="213" t="n">
        <f aca="false">ROUND((K23+K45+K91)-SUMPRODUCT((K97:K111)*(EB.Projektart.Bereich=6)),9)</f>
        <v>0</v>
      </c>
      <c r="L114" s="213" t="n">
        <f aca="false">ROUND((L23+L45+L91)-SUMPRODUCT((L97:L111)*(EB.Projektart.Bereich=6)),9)</f>
        <v>0</v>
      </c>
      <c r="M114" s="213" t="n">
        <f aca="false">ROUND((M23+M45+M91)-SUMPRODUCT((M97:M111)*(EB.Projektart.Bereich=6)),9)</f>
        <v>0</v>
      </c>
      <c r="N114" s="213" t="n">
        <f aca="false">ROUND((N23+N45+N91)-SUMPRODUCT((N97:N111)*(EB.Projektart.Bereich=6)),9)</f>
        <v>0</v>
      </c>
      <c r="O114" s="213" t="n">
        <f aca="false">ROUND((O23+O45+O91)-SUMPRODUCT((O97:O111)*(EB.Projektart.Bereich=6)),9)</f>
        <v>0</v>
      </c>
      <c r="P114" s="213" t="n">
        <f aca="false">ROUND((P23+P45+P91)-SUMPRODUCT((P97:P111)*(EB.Projektart.Bereich=6)),9)</f>
        <v>0</v>
      </c>
      <c r="Q114" s="213" t="n">
        <f aca="false">ROUND((Q23+Q45+Q91)-SUMPRODUCT((Q97:Q111)*(EB.Projektart.Bereich=6)),9)</f>
        <v>0</v>
      </c>
      <c r="R114" s="213" t="n">
        <f aca="false">ROUND((R23+R45+R91)-SUMPRODUCT((R97:R111)*(EB.Projektart.Bereich=6)),9)</f>
        <v>0</v>
      </c>
      <c r="S114" s="213" t="n">
        <f aca="false">ROUND((S23+S45+S91)-SUMPRODUCT((S97:S111)*(EB.Projektart.Bereich=6)),9)</f>
        <v>0</v>
      </c>
      <c r="T114" s="213" t="n">
        <f aca="false">ROUND((T23+T45+T91)-SUMPRODUCT((T97:T111)*(EB.Projektart.Bereich=6)),9)</f>
        <v>0</v>
      </c>
      <c r="U114" s="213" t="n">
        <f aca="false">ROUND((U23+U45+U91)-SUMPRODUCT((U97:U111)*(EB.Projektart.Bereich=6)),9)</f>
        <v>0</v>
      </c>
      <c r="V114" s="213" t="n">
        <f aca="false">ROUND((V23+V45+V91)-SUMPRODUCT((V97:V111)*(EB.Projektart.Bereich=6)),9)</f>
        <v>0</v>
      </c>
      <c r="W114" s="213" t="n">
        <f aca="false">ROUND((W23+W45+W91)-SUMPRODUCT((W97:W111)*(EB.Projektart.Bereich=6)),9)</f>
        <v>0</v>
      </c>
      <c r="X114" s="213" t="n">
        <f aca="false">ROUND((X23+X45+X91)-SUMPRODUCT((X97:X111)*(EB.Projektart.Bereich=6)),9)</f>
        <v>0</v>
      </c>
      <c r="Y114" s="213" t="n">
        <f aca="false">ROUND((Y23+Y45+Y91)-SUMPRODUCT((Y97:Y111)*(EB.Projektart.Bereich=6)),9)</f>
        <v>0</v>
      </c>
      <c r="Z114" s="213" t="n">
        <f aca="false">ROUND((Z23+Z45+Z91)-SUMPRODUCT((Z97:Z111)*(EB.Projektart.Bereich=6)),9)</f>
        <v>0</v>
      </c>
      <c r="AA114" s="213" t="n">
        <f aca="false">ROUND((AA23+AA45+AA91)-SUMPRODUCT((AA97:AA111)*(EB.Projektart.Bereich=6)),9)</f>
        <v>0</v>
      </c>
      <c r="AB114" s="213" t="n">
        <f aca="false">ROUND((AB23+AB45+AB91)-SUMPRODUCT((AB97:AB111)*(EB.Projektart.Bereich=6)),9)</f>
        <v>0</v>
      </c>
      <c r="AC114" s="213" t="n">
        <f aca="false">ROUND((AC23+AC45+AC91)-SUMPRODUCT((AC97:AC111)*(EB.Projektart.Bereich=6)),9)</f>
        <v>0</v>
      </c>
      <c r="AD114" s="213" t="n">
        <f aca="false">ROUND((AD23+AD45+AD91)-SUMPRODUCT((AD97:AD111)*(EB.Projektart.Bereich=6)),9)</f>
        <v>0</v>
      </c>
      <c r="AE114" s="213" t="n">
        <f aca="false">ROUND((AE23+AE45+AE91)-SUMPRODUCT((AE97:AE111)*(EB.Projektart.Bereich=6)),9)</f>
        <v>0</v>
      </c>
      <c r="AF114" s="213" t="n">
        <f aca="false">ROUND((AF23+AF45+AF91)-SUMPRODUCT((AF97:AF111)*(EB.Projektart.Bereich=6)),9)</f>
        <v>0</v>
      </c>
      <c r="AG114" s="183" t="str">
        <f aca="false">A114</f>
        <v>Difference WH-Project type 6</v>
      </c>
      <c r="AH114" s="197"/>
      <c r="AI114" s="207" t="n">
        <f aca="false">SUM(B114:AF114)</f>
        <v>0</v>
      </c>
      <c r="AJ114" s="33"/>
      <c r="AK114" s="235"/>
      <c r="AL114" s="216" t="n">
        <f aca="false">IF(EB.Anwendung&lt;&gt;"",IF(MONTH(Monat.Tag1)=1,0,IF(MONTH(Monat.Tag1)=2,January!Monat.PDiffUeVM,IF(MONTH(Monat.Tag1)=3,February!Monat.PDiffUeVM,IF(MONTH(Monat.Tag1)=4,March!Monat.PDiffUeVM,IF(MONTH(Monat.Tag1)=5,April!Monat.PDiffUeVM,IF(MONTH(Monat.Tag1)=6,May!Monat.PDiffUeVM,IF(MONTH(Monat.Tag1)=7,June!Monat.PDiffUeVM,IF(MONTH(Monat.Tag1)=8,July!Monat.PDiffUeVM,IF(MONTH(Monat.Tag1)=9,August!Monat.PDiffUeVM,IF(MONTH(Monat.Tag1)=10,September!Monat.PDiffUeVM,IF(MONTH(Monat.Tag1)=11,Monat.PDiffUeVM,IF(MONTH(Monat.Tag1)=12,November!Monat.PDiffUeVM,"")))))))))))),"")</f>
        <v>10.506944445</v>
      </c>
      <c r="AM114" s="235"/>
      <c r="AN114" s="217" t="n">
        <f aca="false">AI114+AL114</f>
        <v>10.506944445</v>
      </c>
      <c r="AO114" s="235"/>
      <c r="AP114" s="235"/>
      <c r="AQ114" s="39"/>
    </row>
    <row r="115" customFormat="false" ht="11.25" hidden="true" customHeight="true" outlineLevel="1" collapsed="false">
      <c r="A115" s="43"/>
      <c r="B115" s="270"/>
      <c r="C115" s="270"/>
      <c r="D115" s="270"/>
      <c r="E115" s="270"/>
      <c r="F115" s="270"/>
      <c r="G115" s="270"/>
      <c r="H115" s="270"/>
      <c r="I115" s="270"/>
      <c r="J115" s="271"/>
      <c r="K115" s="270"/>
      <c r="L115" s="270"/>
      <c r="M115" s="270"/>
      <c r="N115" s="270"/>
      <c r="O115" s="270"/>
      <c r="P115" s="270"/>
      <c r="Q115" s="270"/>
      <c r="R115" s="270"/>
      <c r="S115" s="270"/>
      <c r="T115" s="270"/>
      <c r="U115" s="270"/>
      <c r="V115" s="270"/>
      <c r="W115" s="270"/>
      <c r="X115" s="270"/>
      <c r="Y115" s="270"/>
      <c r="Z115" s="270"/>
      <c r="AA115" s="270"/>
      <c r="AB115" s="270"/>
      <c r="AC115" s="270"/>
      <c r="AD115" s="270"/>
      <c r="AE115" s="270"/>
      <c r="AF115" s="270"/>
      <c r="AG115" s="272"/>
      <c r="AH115" s="273"/>
      <c r="AI115" s="43"/>
      <c r="AJ115" s="43"/>
      <c r="AK115" s="43"/>
      <c r="AL115" s="43"/>
      <c r="AM115" s="43"/>
      <c r="AN115" s="274"/>
      <c r="AO115" s="43"/>
      <c r="AP115" s="43"/>
      <c r="AQ115" s="43"/>
    </row>
    <row r="116" customFormat="false" ht="11.25" hidden="false" customHeight="true" outlineLevel="0" collapsed="false">
      <c r="A116" s="43"/>
      <c r="B116" s="270"/>
      <c r="C116" s="270"/>
      <c r="D116" s="270"/>
      <c r="E116" s="270"/>
      <c r="F116" s="270"/>
      <c r="G116" s="270"/>
      <c r="H116" s="270"/>
      <c r="I116" s="270"/>
      <c r="J116" s="270"/>
      <c r="K116" s="270"/>
      <c r="L116" s="270"/>
      <c r="M116" s="270"/>
      <c r="N116" s="270"/>
      <c r="O116" s="270"/>
      <c r="P116" s="270"/>
      <c r="Q116" s="270"/>
      <c r="R116" s="270"/>
      <c r="S116" s="270"/>
      <c r="T116" s="270"/>
      <c r="U116" s="270"/>
      <c r="V116" s="270"/>
      <c r="W116" s="270"/>
      <c r="X116" s="270"/>
      <c r="Y116" s="270"/>
      <c r="Z116" s="270"/>
      <c r="AA116" s="270"/>
      <c r="AB116" s="270"/>
      <c r="AC116" s="270"/>
      <c r="AD116" s="270"/>
      <c r="AE116" s="270"/>
      <c r="AF116" s="270"/>
      <c r="AG116" s="272"/>
      <c r="AH116" s="273"/>
      <c r="AI116" s="43"/>
      <c r="AJ116" s="43"/>
      <c r="AK116" s="43"/>
      <c r="AL116" s="43"/>
      <c r="AM116" s="43"/>
      <c r="AN116" s="274"/>
      <c r="AO116" s="43"/>
      <c r="AP116" s="43"/>
      <c r="AQ116" s="43"/>
    </row>
    <row r="117" customFormat="false" ht="12" hidden="false" customHeight="true" outlineLevel="0" collapsed="false">
      <c r="A117" s="43"/>
      <c r="B117" s="275" t="s">
        <v>179</v>
      </c>
      <c r="C117" s="275"/>
      <c r="D117" s="275"/>
      <c r="E117" s="275"/>
      <c r="F117" s="275"/>
      <c r="G117" s="275"/>
      <c r="H117" s="275"/>
      <c r="I117" s="275"/>
      <c r="J117" s="275"/>
      <c r="K117" s="275"/>
      <c r="L117" s="275"/>
      <c r="M117" s="275"/>
      <c r="N117" s="275"/>
      <c r="O117" s="275"/>
      <c r="P117" s="275"/>
      <c r="Q117" s="275"/>
      <c r="R117" s="276"/>
      <c r="S117" s="276"/>
      <c r="T117" s="276"/>
      <c r="U117" s="276"/>
      <c r="V117" s="276"/>
      <c r="W117" s="276"/>
      <c r="X117" s="276"/>
      <c r="Y117" s="276"/>
      <c r="Z117" s="276"/>
      <c r="AA117" s="276"/>
      <c r="AB117" s="276"/>
      <c r="AC117" s="276"/>
      <c r="AD117" s="276"/>
      <c r="AE117" s="276"/>
      <c r="AF117" s="276"/>
      <c r="AG117" s="277"/>
      <c r="AH117" s="278"/>
      <c r="AI117" s="276"/>
      <c r="AJ117" s="276"/>
      <c r="AK117" s="276"/>
      <c r="AL117" s="276"/>
      <c r="AM117" s="276"/>
      <c r="AN117" s="279"/>
      <c r="AO117" s="265"/>
      <c r="AP117" s="265"/>
      <c r="AQ117" s="43"/>
    </row>
    <row r="118" customFormat="false" ht="11.25" hidden="false" customHeight="true" outlineLevel="0" collapsed="false">
      <c r="A118" s="280"/>
      <c r="B118" s="280"/>
      <c r="C118" s="280"/>
      <c r="D118" s="280"/>
      <c r="E118" s="280"/>
      <c r="F118" s="280"/>
      <c r="G118" s="280"/>
      <c r="H118" s="280"/>
      <c r="I118" s="280"/>
      <c r="J118" s="280"/>
      <c r="K118" s="280"/>
      <c r="L118" s="280"/>
      <c r="M118" s="276"/>
      <c r="N118" s="276"/>
      <c r="O118" s="276"/>
      <c r="P118" s="276"/>
      <c r="Q118" s="276"/>
      <c r="R118" s="276"/>
      <c r="S118" s="276"/>
      <c r="T118" s="276"/>
      <c r="U118" s="276"/>
      <c r="V118" s="276"/>
      <c r="W118" s="276"/>
      <c r="X118" s="276"/>
      <c r="Y118" s="276"/>
      <c r="Z118" s="276"/>
      <c r="AA118" s="276"/>
      <c r="AB118" s="276"/>
      <c r="AC118" s="276"/>
      <c r="AD118" s="276"/>
      <c r="AE118" s="276"/>
      <c r="AF118" s="276"/>
      <c r="AG118" s="276"/>
      <c r="AH118" s="276"/>
      <c r="AI118" s="276"/>
      <c r="AJ118" s="276"/>
      <c r="AK118" s="276"/>
      <c r="AL118" s="276"/>
      <c r="AM118" s="276"/>
      <c r="AN118" s="276"/>
      <c r="AO118" s="276"/>
      <c r="AP118" s="276"/>
      <c r="AQ118" s="43"/>
    </row>
    <row r="119" customFormat="false" ht="39" hidden="false" customHeight="true" outlineLevel="0" collapsed="false">
      <c r="A119" s="55" t="s">
        <v>180</v>
      </c>
      <c r="B119" s="281"/>
      <c r="C119" s="281"/>
      <c r="D119" s="281"/>
      <c r="E119" s="281"/>
      <c r="F119" s="281"/>
      <c r="G119" s="281"/>
      <c r="H119" s="281"/>
      <c r="I119" s="281"/>
      <c r="J119" s="281"/>
      <c r="K119" s="281"/>
      <c r="L119" s="281"/>
      <c r="M119" s="281"/>
      <c r="N119" s="281"/>
      <c r="O119" s="281"/>
      <c r="P119" s="281"/>
      <c r="Q119" s="281"/>
      <c r="R119" s="276"/>
      <c r="S119" s="276"/>
      <c r="T119" s="276"/>
      <c r="U119" s="276"/>
      <c r="V119" s="276"/>
      <c r="W119" s="276"/>
      <c r="X119" s="276"/>
      <c r="Y119" s="282"/>
      <c r="Z119" s="282"/>
      <c r="AA119" s="282"/>
      <c r="AB119" s="282"/>
      <c r="AC119" s="282"/>
      <c r="AD119" s="282"/>
      <c r="AE119" s="282"/>
      <c r="AF119" s="282"/>
      <c r="AG119" s="283"/>
      <c r="AH119" s="283"/>
      <c r="AI119" s="283"/>
      <c r="AJ119" s="283"/>
      <c r="AK119" s="265"/>
      <c r="AL119" s="265"/>
      <c r="AM119" s="265"/>
      <c r="AN119" s="284"/>
      <c r="AO119" s="265"/>
      <c r="AP119" s="265"/>
      <c r="AQ119" s="43"/>
    </row>
    <row r="120" customFormat="false" ht="12" hidden="false" customHeight="true" outlineLevel="0" collapsed="false">
      <c r="A120" s="285" t="s">
        <v>181</v>
      </c>
      <c r="B120" s="286"/>
      <c r="C120" s="286"/>
      <c r="D120" s="286"/>
      <c r="E120" s="286"/>
      <c r="F120" s="286"/>
      <c r="G120" s="286"/>
      <c r="H120" s="286"/>
      <c r="I120" s="286"/>
      <c r="J120" s="286"/>
      <c r="K120" s="286"/>
      <c r="L120" s="286"/>
      <c r="M120" s="286"/>
      <c r="N120" s="286"/>
      <c r="O120" s="286"/>
      <c r="P120" s="286"/>
      <c r="Q120" s="286"/>
      <c r="R120" s="276"/>
      <c r="S120" s="276"/>
      <c r="T120" s="287" t="s">
        <v>182</v>
      </c>
      <c r="U120" s="287"/>
      <c r="V120" s="287"/>
      <c r="W120" s="287"/>
      <c r="X120" s="287"/>
      <c r="Y120" s="282"/>
      <c r="Z120" s="282"/>
      <c r="AA120" s="282"/>
      <c r="AB120" s="282"/>
      <c r="AC120" s="282"/>
      <c r="AD120" s="282"/>
      <c r="AE120" s="282"/>
      <c r="AF120" s="282"/>
      <c r="AG120" s="283"/>
      <c r="AH120" s="283"/>
      <c r="AI120" s="283"/>
      <c r="AJ120" s="283"/>
      <c r="AK120" s="43"/>
      <c r="AL120" s="43"/>
      <c r="AM120" s="43"/>
      <c r="AN120" s="274"/>
      <c r="AO120" s="43"/>
      <c r="AP120" s="43"/>
      <c r="AQ120" s="43"/>
    </row>
    <row r="121" customFormat="false" ht="11.25" hidden="false" customHeight="true" outlineLevel="0" collapsed="false">
      <c r="A121" s="288"/>
      <c r="B121" s="289"/>
      <c r="C121" s="289"/>
      <c r="D121" s="289"/>
      <c r="E121" s="289"/>
      <c r="F121" s="289"/>
      <c r="G121" s="289"/>
      <c r="H121" s="289"/>
      <c r="I121" s="289"/>
      <c r="J121" s="289"/>
      <c r="K121" s="289"/>
      <c r="L121" s="289"/>
      <c r="M121" s="270"/>
      <c r="N121" s="270"/>
      <c r="O121" s="270"/>
      <c r="P121" s="270"/>
      <c r="Q121" s="270"/>
      <c r="R121" s="270"/>
      <c r="S121" s="276"/>
      <c r="T121" s="270"/>
      <c r="U121" s="270"/>
      <c r="V121" s="270"/>
      <c r="W121" s="270"/>
      <c r="X121" s="270"/>
      <c r="Y121" s="270"/>
      <c r="Z121" s="270"/>
      <c r="AA121" s="270"/>
      <c r="AB121" s="270"/>
      <c r="AC121" s="270"/>
      <c r="AD121" s="270"/>
      <c r="AE121" s="270"/>
      <c r="AF121" s="270"/>
      <c r="AG121" s="272"/>
      <c r="AH121" s="273"/>
      <c r="AI121" s="43"/>
      <c r="AJ121" s="43"/>
      <c r="AK121" s="43"/>
      <c r="AL121" s="43"/>
      <c r="AM121" s="43"/>
      <c r="AN121" s="274"/>
      <c r="AO121" s="43"/>
      <c r="AP121" s="43"/>
      <c r="AQ121" s="43"/>
    </row>
    <row r="122" customFormat="false" ht="12" hidden="false" customHeight="true" outlineLevel="0" collapsed="false">
      <c r="A122" s="43"/>
      <c r="B122" s="290" t="s">
        <v>183</v>
      </c>
      <c r="C122" s="290"/>
      <c r="D122" s="290"/>
      <c r="E122" s="290"/>
      <c r="F122" s="290"/>
      <c r="G122" s="290"/>
      <c r="H122" s="290"/>
      <c r="I122" s="290"/>
      <c r="J122" s="290"/>
      <c r="K122" s="290"/>
      <c r="L122" s="290"/>
      <c r="M122" s="290"/>
      <c r="N122" s="290"/>
      <c r="O122" s="290"/>
      <c r="P122" s="290"/>
      <c r="Q122" s="290"/>
      <c r="R122" s="270"/>
      <c r="S122" s="270"/>
      <c r="T122" s="270"/>
      <c r="U122" s="270"/>
      <c r="V122" s="270"/>
      <c r="W122" s="270"/>
      <c r="X122" s="270"/>
      <c r="Y122" s="270"/>
      <c r="Z122" s="270"/>
      <c r="AA122" s="270"/>
      <c r="AB122" s="270"/>
      <c r="AC122" s="270"/>
      <c r="AD122" s="270"/>
      <c r="AE122" s="270"/>
      <c r="AF122" s="270"/>
      <c r="AG122" s="272"/>
      <c r="AH122" s="273"/>
      <c r="AI122" s="43"/>
      <c r="AJ122" s="43"/>
      <c r="AK122" s="43"/>
      <c r="AL122" s="43"/>
      <c r="AM122" s="43"/>
      <c r="AN122" s="274"/>
      <c r="AO122" s="43"/>
      <c r="AP122" s="43"/>
      <c r="AQ122" s="43"/>
    </row>
    <row r="123" customFormat="false" ht="11.25" hidden="false" customHeight="true" outlineLevel="0" collapsed="false">
      <c r="A123" s="43"/>
      <c r="B123" s="270"/>
      <c r="C123" s="270"/>
      <c r="D123" s="270"/>
      <c r="E123" s="270"/>
      <c r="F123" s="270"/>
      <c r="G123" s="270"/>
      <c r="H123" s="270"/>
      <c r="I123" s="270"/>
      <c r="J123" s="270"/>
      <c r="K123" s="270"/>
      <c r="L123" s="270"/>
      <c r="M123" s="270"/>
      <c r="N123" s="270"/>
      <c r="O123" s="270"/>
      <c r="P123" s="270"/>
      <c r="Q123" s="270"/>
      <c r="R123" s="270"/>
      <c r="S123" s="270"/>
      <c r="T123" s="270"/>
      <c r="U123" s="270"/>
      <c r="V123" s="270"/>
      <c r="W123" s="270"/>
      <c r="X123" s="270"/>
      <c r="Y123" s="270"/>
      <c r="Z123" s="270"/>
      <c r="AA123" s="270"/>
      <c r="AB123" s="270"/>
      <c r="AC123" s="270"/>
      <c r="AD123" s="270"/>
      <c r="AE123" s="270"/>
      <c r="AF123" s="270"/>
      <c r="AG123" s="272"/>
      <c r="AH123" s="273"/>
      <c r="AI123" s="43"/>
      <c r="AJ123" s="43"/>
      <c r="AK123" s="43"/>
      <c r="AL123" s="43"/>
      <c r="AM123" s="43"/>
      <c r="AN123" s="274"/>
      <c r="AO123" s="43"/>
      <c r="AP123" s="43"/>
      <c r="AQ123" s="43"/>
    </row>
    <row r="124" customFormat="false" ht="11.25" hidden="false" customHeight="true" outlineLevel="0" collapsed="false">
      <c r="A124" s="276"/>
      <c r="B124" s="276"/>
      <c r="C124" s="276"/>
      <c r="D124" s="276"/>
      <c r="E124" s="276"/>
      <c r="F124" s="276"/>
      <c r="G124" s="276"/>
      <c r="H124" s="276"/>
      <c r="I124" s="276"/>
      <c r="J124" s="276"/>
      <c r="K124" s="276"/>
      <c r="L124" s="276"/>
      <c r="M124" s="276"/>
      <c r="N124" s="276"/>
      <c r="O124" s="276"/>
      <c r="P124" s="276"/>
      <c r="Q124" s="276"/>
      <c r="R124" s="276"/>
      <c r="S124" s="276"/>
      <c r="T124" s="276"/>
      <c r="U124" s="276"/>
      <c r="V124" s="276"/>
      <c r="W124" s="276"/>
      <c r="X124" s="276"/>
      <c r="Y124" s="276"/>
      <c r="Z124" s="276"/>
      <c r="AA124" s="276"/>
      <c r="AB124" s="276"/>
      <c r="AC124" s="276"/>
      <c r="AD124" s="276"/>
      <c r="AE124" s="276"/>
      <c r="AF124" s="276"/>
      <c r="AG124" s="276"/>
      <c r="AH124" s="276"/>
      <c r="AI124" s="276"/>
      <c r="AJ124" s="276"/>
      <c r="AK124" s="276"/>
      <c r="AL124" s="276"/>
      <c r="AM124" s="276"/>
      <c r="AN124" s="276"/>
      <c r="AO124" s="276"/>
      <c r="AP124" s="276"/>
      <c r="AQ124" s="43"/>
    </row>
  </sheetData>
  <sheetProtection sheet="true" objects="true" scenarios="true"/>
  <mergeCells count="25">
    <mergeCell ref="B1:L1"/>
    <mergeCell ref="AO1:AP1"/>
    <mergeCell ref="B2:E2"/>
    <mergeCell ref="F2:N2"/>
    <mergeCell ref="P2:U2"/>
    <mergeCell ref="B3:E3"/>
    <mergeCell ref="F3:N3"/>
    <mergeCell ref="P3:U3"/>
    <mergeCell ref="B4:E4"/>
    <mergeCell ref="F4:N4"/>
    <mergeCell ref="P4:U4"/>
    <mergeCell ref="B5:E5"/>
    <mergeCell ref="F5:N5"/>
    <mergeCell ref="B6:E6"/>
    <mergeCell ref="F6:N6"/>
    <mergeCell ref="B7:E7"/>
    <mergeCell ref="F7:N7"/>
    <mergeCell ref="AH10:AI10"/>
    <mergeCell ref="AO10:AP10"/>
    <mergeCell ref="B117:Q117"/>
    <mergeCell ref="B119:Q119"/>
    <mergeCell ref="Y119:AF120"/>
    <mergeCell ref="B120:Q120"/>
    <mergeCell ref="T120:X120"/>
    <mergeCell ref="B122:Q122"/>
  </mergeCells>
  <conditionalFormatting sqref="B114:AF114 AI114">
    <cfRule type="expression" priority="2" aboveAverage="0" equalAverage="0" bottom="0" percent="0" rank="0" text="" dxfId="0">
      <formula>ABS(B$114)&gt;=ROUND(1/24/60,9)</formula>
    </cfRule>
  </conditionalFormatting>
  <conditionalFormatting sqref="B13:AF22 B34:AF44 B25:AF30 B60:AF61 B67:AF67 B71:AF72 B84:AF84 B86:AF95 B97:AF111">
    <cfRule type="expression" priority="3" aboveAverage="0" equalAverage="0" bottom="0" percent="0" rank="0" text="" dxfId="1">
      <formula>WEEKDAY(B$10,2)&gt;5</formula>
    </cfRule>
    <cfRule type="expression" priority="4" aboveAverage="0" equalAverage="0" bottom="0" percent="0" rank="0" text="" dxfId="2">
      <formula>AND(NOT(ISERROR(MATCH(B$10,T.Feiertage.Bereich,0))),OFFSET(T.Feiertage.Bereich,MATCH(B$10,T.Feiertage.Bereich,0)-1,1,1,1)&gt;0)</formula>
    </cfRule>
    <cfRule type="expression" priority="5" aboveAverage="0" equalAverage="0" bottom="0" percent="0" rank="0" text="" dxfId="3">
      <formula>B$11=0</formula>
    </cfRule>
  </conditionalFormatting>
  <conditionalFormatting sqref="AN60:AO60">
    <cfRule type="expression" priority="6" aboveAverage="0" equalAverage="0" bottom="0" percent="0" rank="0" text="" dxfId="4">
      <formula>AND(T.50_Vetsuisse,AN60&gt;=T.GrenzeAngÜZ50_Vetsuisse)</formula>
    </cfRule>
    <cfRule type="expression" priority="7" aboveAverage="0" equalAverage="0" bottom="0" percent="0" rank="0" text="" dxfId="5">
      <formula>AND(T.50_Vetsuisse,AN60&gt;T.GrenzeAngÜZ50_Vetsuisse*T.AngÜZ50_Vetsuisse_orange)</formula>
    </cfRule>
  </conditionalFormatting>
  <conditionalFormatting sqref="B56:AF56">
    <cfRule type="expression" priority="8" aboveAverage="0" equalAverage="0" bottom="0" percent="0" rank="0" text="" dxfId="6">
      <formula>B$10&gt;TODAY()</formula>
    </cfRule>
    <cfRule type="expression" priority="9" aboveAverage="0" equalAverage="0" bottom="0" percent="0" rank="0" text="" dxfId="7">
      <formula>B$56&gt;99.99/24</formula>
    </cfRule>
    <cfRule type="expression" priority="10" aboveAverage="0" equalAverage="0" bottom="0" percent="0" rank="0" text="" dxfId="0">
      <formula>B$56&lt;99.99/24*-1</formula>
    </cfRule>
  </conditionalFormatting>
  <conditionalFormatting sqref="AO55:AP55">
    <cfRule type="cellIs" priority="11" operator="greaterThan" aboveAverage="0" equalAverage="0" bottom="0" percent="0" rank="0" text="" dxfId="1">
      <formula>1/24/60</formula>
    </cfRule>
    <cfRule type="expression" priority="12" aboveAverage="0" equalAverage="0" bottom="0" percent="0" rank="0" text="" dxfId="2">
      <formula>AND(AO55&lt;=1/24/60*-1,TODAY()&gt;=DATE(EB.Jahr,MONTH(12),DAY(31)))</formula>
    </cfRule>
  </conditionalFormatting>
  <conditionalFormatting sqref="B56:AF56 AI58">
    <cfRule type="expression" priority="13" aboveAverage="0" equalAverage="0" bottom="0" percent="0" rank="0" text="" dxfId="3">
      <formula>B$56&gt;1/24/60</formula>
    </cfRule>
    <cfRule type="expression" priority="14" aboveAverage="0" equalAverage="0" bottom="0" percent="0" rank="0" text="" dxfId="4">
      <formula>AND(B$56&lt;=1/24/60*-1,B$56)</formula>
    </cfRule>
  </conditionalFormatting>
  <conditionalFormatting sqref="B14:AF22 B36:AF44 B26:AF30">
    <cfRule type="expression" priority="15" aboveAverage="0" equalAverage="0" bottom="0" percent="0" rank="0" text="" dxfId="5">
      <formula>AND(B14&lt;B13,B14&lt;&gt;"")</formula>
    </cfRule>
  </conditionalFormatting>
  <conditionalFormatting sqref="B72:AF73">
    <cfRule type="expression" priority="16" aboveAverage="0" equalAverage="0" bottom="0" percent="0" rank="0" text="" dxfId="6">
      <formula>AND(T.50_Vetsuisse,OR(AND(B$72&lt;&gt;INDEX(T.JaNein.Bereich,1,1),B$72&lt;&gt;INDEX(T.JaNein.Bereich,2,1),B$73&lt;&gt;0,MOD(IFERROR(MATCH(1,B$13:B$22,0),1),2)=0),AND(B$72=INDEX(T.JaNein.Bereich,1,1),OR(B$73=0,MOD(IFERROR(MATCH(1,B$13:B$22,0),1),2)&lt;&gt;0))))</formula>
    </cfRule>
  </conditionalFormatting>
  <conditionalFormatting sqref="P4:U4">
    <cfRule type="expression" priority="17" aboveAverage="0" equalAverage="0" bottom="0" percent="0" rank="0" text="" dxfId="7">
      <formula>$P$4&lt;&gt;""</formula>
    </cfRule>
  </conditionalFormatting>
  <conditionalFormatting sqref="V4">
    <cfRule type="expression" priority="18" aboveAverage="0" equalAverage="0" bottom="0" percent="0" rank="0" text="" dxfId="8">
      <formula>$V$4&lt;&gt;""</formula>
    </cfRule>
  </conditionalFormatting>
  <conditionalFormatting sqref="AP60">
    <cfRule type="expression" priority="19" aboveAverage="0" equalAverage="0" bottom="0" percent="0" rank="0" text="" dxfId="9">
      <formula>AND(T.50_Vetsuisse,AP60&gt;=T.GrenzeAngÜZ50_Vetsuisse)</formula>
    </cfRule>
    <cfRule type="expression" priority="20" aboveAverage="0" equalAverage="0" bottom="0" percent="0" rank="0" text="" dxfId="10">
      <formula>AND(T.50_Vetsuisse,AP60&gt;T.GrenzeAngÜZ50_Vetsuisse*T.AngÜZ50_Vetsuisse_orange)</formula>
    </cfRule>
  </conditionalFormatting>
  <conditionalFormatting sqref="AJ72:AJ73">
    <cfRule type="expression" priority="21" aboveAverage="0" equalAverage="0" bottom="0" percent="0" rank="0" text="" dxfId="11">
      <formula>AND(T.50_Vetsuisse,$AJ$72&lt;&gt;$AJ$73)</formula>
    </cfRule>
    <cfRule type="expression" priority="22" aboveAverage="0" equalAverage="0" bottom="0" percent="0" rank="0" text="" dxfId="12">
      <formula>$AJ$72&gt;$AJ$73</formula>
    </cfRule>
  </conditionalFormatting>
  <dataValidations count="2">
    <dataValidation allowBlank="true" error="Please choose a value from the drop-down list." errorTitle="Start pl. night shift" operator="between" showDropDown="false" showErrorMessage="true" showInputMessage="true" sqref="B72:AF72" type="list">
      <formula1>T.JaNein.Bereich</formula1>
      <formula2>0</formula2>
    </dataValidation>
    <dataValidation allowBlank="true" error="Bitte wählen Sie einen Wert aus der Liste." errorTitle="Pikett Bereitschaft" operator="between" showDropDown="false" showErrorMessage="true" showInputMessage="true" sqref="B34:AF34" type="list">
      <formula1>T.Pikett.Bereich</formula1>
      <formula2>0</formula2>
    </dataValidation>
  </dataValidations>
  <printOptions headings="false" gridLines="false" gridLinesSet="true" horizontalCentered="true" verticalCentered="false"/>
  <pageMargins left="0.196527777777778" right="0.196527777777778" top="0.39375" bottom="0.393055555555556" header="0.511805555555555" footer="0.196527777777778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&amp;L&amp;"Arial,Regular"&amp;11Monatsabrechnung &amp;A&amp;C&amp;"Arial,Regular"&amp;11&amp;D&amp;R&amp;"Arial,Regular"&amp;11&amp;P / &amp;N</oddFooter>
  </headerFooter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P124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" ySplit="10" topLeftCell="B11" activePane="bottomRight" state="frozen"/>
      <selection pane="topLeft" activeCell="A1" activeCellId="0" sqref="A1"/>
      <selection pane="topRight" activeCell="B1" activeCellId="0" sqref="B1"/>
      <selection pane="bottomLeft" activeCell="A11" activeCellId="0" sqref="A11"/>
      <selection pane="bottomRight" activeCell="B13" activeCellId="0" sqref="B13"/>
    </sheetView>
  </sheetViews>
  <sheetFormatPr defaultRowHeight="13" zeroHeight="false" outlineLevelRow="1" outlineLevelCol="1"/>
  <cols>
    <col collapsed="false" customWidth="true" hidden="false" outlineLevel="0" max="1" min="1" style="132" width="24.5"/>
    <col collapsed="false" customWidth="true" hidden="false" outlineLevel="0" max="31" min="2" style="132" width="5.66"/>
    <col collapsed="false" customWidth="true" hidden="false" outlineLevel="0" max="32" min="32" style="133" width="24.5"/>
    <col collapsed="false" customWidth="true" hidden="false" outlineLevel="0" max="33" min="33" style="134" width="2.17"/>
    <col collapsed="false" customWidth="true" hidden="false" outlineLevel="0" max="35" min="34" style="132" width="8.17"/>
    <col collapsed="false" customWidth="true" hidden="true" outlineLevel="1" max="36" min="36" style="132" width="15.83"/>
    <col collapsed="false" customWidth="true" hidden="true" outlineLevel="1" max="38" min="37" style="132" width="14.33"/>
    <col collapsed="false" customWidth="true" hidden="false" outlineLevel="0" max="39" min="39" style="135" width="9.5"/>
    <col collapsed="false" customWidth="true" hidden="false" outlineLevel="0" max="41" min="40" style="132" width="8.17"/>
    <col collapsed="false" customWidth="true" hidden="false" outlineLevel="0" max="42" min="42" style="132" width="3.66"/>
    <col collapsed="false" customWidth="true" hidden="false" outlineLevel="0" max="1025" min="43" style="0" width="10.66"/>
  </cols>
  <sheetData>
    <row r="1" s="142" customFormat="true" ht="22.5" hidden="false" customHeight="true" outlineLevel="0" collapsed="false">
      <c r="A1" s="136" t="str">
        <f aca="false">INDEX(EB.Monate.Bereich,MONTH(Monat.Tag1)) &amp; " " &amp; EB.Jahr</f>
        <v>November 2018</v>
      </c>
      <c r="B1" s="137" t="str">
        <f aca="false">Eingabeblatt!B1</f>
        <v>Employee Time Sheet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6"/>
      <c r="N1" s="6"/>
      <c r="O1" s="6"/>
      <c r="P1" s="6"/>
      <c r="Q1" s="6"/>
      <c r="R1" s="138"/>
      <c r="S1" s="6"/>
      <c r="T1" s="6"/>
      <c r="U1" s="6"/>
      <c r="V1" s="139"/>
      <c r="W1" s="139"/>
      <c r="X1" s="6"/>
      <c r="Y1" s="138"/>
      <c r="Z1" s="6"/>
      <c r="AA1" s="6"/>
      <c r="AB1" s="6"/>
      <c r="AC1" s="6"/>
      <c r="AD1" s="6"/>
      <c r="AE1" s="6"/>
      <c r="AF1" s="140"/>
      <c r="AG1" s="141"/>
      <c r="AH1" s="6"/>
      <c r="AI1" s="6"/>
      <c r="AJ1" s="6"/>
      <c r="AK1" s="6"/>
      <c r="AL1" s="6"/>
      <c r="AM1" s="7"/>
      <c r="AN1" s="7" t="str">
        <f aca="false">EB.Version</f>
        <v>Version 01.18</v>
      </c>
      <c r="AO1" s="7"/>
      <c r="AP1" s="8" t="str">
        <f aca="false">EB.Sprache</f>
        <v>EN</v>
      </c>
    </row>
    <row r="2" s="148" customFormat="true" ht="15" hidden="false" customHeight="true" outlineLevel="0" collapsed="false">
      <c r="A2" s="55"/>
      <c r="B2" s="11" t="str">
        <f aca="false">Eingabeblatt!A3</f>
        <v>Name</v>
      </c>
      <c r="C2" s="11"/>
      <c r="D2" s="11"/>
      <c r="E2" s="11"/>
      <c r="F2" s="143" t="str">
        <f aca="false">IF(EB.Name="","?",EB.Name)</f>
        <v>Christopher Gwilliams</v>
      </c>
      <c r="G2" s="143"/>
      <c r="H2" s="143"/>
      <c r="I2" s="143"/>
      <c r="J2" s="143"/>
      <c r="K2" s="143"/>
      <c r="L2" s="143"/>
      <c r="M2" s="143"/>
      <c r="N2" s="143"/>
      <c r="O2" s="144"/>
      <c r="P2" s="11" t="str">
        <f aca="false">Eingabeblatt!J7</f>
        <v>Employment Level (FTE) in %</v>
      </c>
      <c r="Q2" s="11"/>
      <c r="R2" s="11"/>
      <c r="S2" s="11"/>
      <c r="T2" s="11"/>
      <c r="U2" s="11"/>
      <c r="V2" s="58" t="n">
        <f aca="false">IF(INDEX(EB.EffBG.Bereich,MONTH(Monat.Tag1))="","-     ",INDEX(EB.EffBG.Bereich,MONTH(Monat.Tag1)))</f>
        <v>100</v>
      </c>
      <c r="W2" s="145"/>
      <c r="X2" s="145"/>
      <c r="Y2" s="16"/>
      <c r="Z2" s="39"/>
      <c r="AA2" s="39"/>
      <c r="AB2" s="39"/>
      <c r="AC2" s="39"/>
      <c r="AD2" s="39"/>
      <c r="AE2" s="39"/>
      <c r="AF2" s="13"/>
      <c r="AG2" s="146"/>
      <c r="AH2" s="39"/>
      <c r="AI2" s="39"/>
      <c r="AJ2" s="39"/>
      <c r="AK2" s="39"/>
      <c r="AL2" s="39"/>
      <c r="AM2" s="147"/>
      <c r="AN2" s="39"/>
      <c r="AO2" s="39"/>
      <c r="AP2" s="39"/>
    </row>
    <row r="3" s="148" customFormat="true" ht="15" hidden="false" customHeight="true" outlineLevel="0" collapsed="false">
      <c r="A3" s="149"/>
      <c r="B3" s="11" t="str">
        <f aca="false">Eingabeblatt!H2</f>
        <v>Function</v>
      </c>
      <c r="C3" s="11"/>
      <c r="D3" s="11"/>
      <c r="E3" s="11"/>
      <c r="F3" s="150" t="str">
        <f aca="false">EB.Funktion</f>
        <v>Description of Function</v>
      </c>
      <c r="G3" s="150"/>
      <c r="H3" s="150"/>
      <c r="I3" s="150"/>
      <c r="J3" s="150"/>
      <c r="K3" s="150"/>
      <c r="L3" s="150"/>
      <c r="M3" s="150"/>
      <c r="N3" s="150"/>
      <c r="O3" s="13"/>
      <c r="P3" s="11" t="str">
        <f aca="false">Eingabeblatt!J12</f>
        <v>ø Hours per day at FTE</v>
      </c>
      <c r="Q3" s="11"/>
      <c r="R3" s="11"/>
      <c r="S3" s="11"/>
      <c r="T3" s="11"/>
      <c r="U3" s="11"/>
      <c r="V3" s="151" t="n">
        <f aca="false">IF(INDEX(EB.DurchSollTAZStd.Bereich,MONTH(Monat.Tag1))="","-     ",INDEX(EB.DurchSollTAZStd.Bereich,MONTH(Monat.Tag1)))</f>
        <v>0.35</v>
      </c>
      <c r="W3" s="152"/>
      <c r="X3" s="152"/>
      <c r="Y3" s="39"/>
      <c r="Z3" s="39"/>
      <c r="AA3" s="39"/>
      <c r="AB3" s="39"/>
      <c r="AC3" s="39"/>
      <c r="AD3" s="39"/>
      <c r="AE3" s="39"/>
      <c r="AF3" s="13"/>
      <c r="AG3" s="146"/>
      <c r="AH3" s="39"/>
      <c r="AI3" s="39"/>
      <c r="AJ3" s="39"/>
      <c r="AK3" s="39"/>
      <c r="AL3" s="39"/>
      <c r="AM3" s="147"/>
      <c r="AN3" s="39"/>
      <c r="AO3" s="39"/>
      <c r="AP3" s="39"/>
    </row>
    <row r="4" s="148" customFormat="true" ht="15" hidden="false" customHeight="true" outlineLevel="0" collapsed="false">
      <c r="A4" s="149"/>
      <c r="B4" s="11" t="str">
        <f aca="false">Eingabeblatt!H3</f>
        <v>Institute/Department</v>
      </c>
      <c r="C4" s="11"/>
      <c r="D4" s="11"/>
      <c r="E4" s="11"/>
      <c r="F4" s="150" t="str">
        <f aca="false">EB.Institut</f>
        <v>Institute/Department Name</v>
      </c>
      <c r="G4" s="150"/>
      <c r="H4" s="150"/>
      <c r="I4" s="150"/>
      <c r="J4" s="150"/>
      <c r="K4" s="150"/>
      <c r="L4" s="150"/>
      <c r="M4" s="150"/>
      <c r="N4" s="150"/>
      <c r="O4" s="13"/>
      <c r="P4" s="47" t="str">
        <f aca="true">IF(EB.ÜZZSBerechtigt=INDEX(T.JaNein.Bereich,1,1),IF(AND(OR(AND(EB.LKgr16=INDEX(T.JaNein.Bereich,1,1),EB.LKgr16ab&gt;EOMONTH(Monat.Tag1,0)),EB.LKgr16&lt;&gt;INDEX(T.JaNein.Bereich,1,1)),Monat.AZSoll.Total&gt;0),Eingabeblatt!J6,""),"")</f>
        <v/>
      </c>
      <c r="Q4" s="47"/>
      <c r="R4" s="47"/>
      <c r="S4" s="47"/>
      <c r="T4" s="47"/>
      <c r="U4" s="47"/>
      <c r="V4" s="153" t="str">
        <f aca="false">IF(P4&lt;&gt;"",EB.ÜZZSBerechtigt,"")</f>
        <v/>
      </c>
      <c r="W4" s="39"/>
      <c r="X4" s="39"/>
      <c r="Y4" s="39"/>
      <c r="Z4" s="39"/>
      <c r="AA4" s="39"/>
      <c r="AB4" s="39"/>
      <c r="AC4" s="39"/>
      <c r="AD4" s="39"/>
      <c r="AE4" s="39"/>
      <c r="AF4" s="13"/>
      <c r="AG4" s="146"/>
      <c r="AH4" s="39"/>
      <c r="AI4" s="39"/>
      <c r="AJ4" s="39"/>
      <c r="AK4" s="39"/>
      <c r="AL4" s="39"/>
      <c r="AM4" s="147"/>
      <c r="AN4" s="39"/>
      <c r="AO4" s="39"/>
      <c r="AP4" s="39"/>
    </row>
    <row r="5" s="148" customFormat="true" ht="15" hidden="false" customHeight="true" outlineLevel="0" collapsed="false">
      <c r="A5" s="149"/>
      <c r="B5" s="11" t="str">
        <f aca="false">Eingabeblatt!A5</f>
        <v>Employee Number</v>
      </c>
      <c r="C5" s="11"/>
      <c r="D5" s="11"/>
      <c r="E5" s="11"/>
      <c r="F5" s="150" t="str">
        <f aca="false">IF(EB.Personalnummer="","?",EB.Personalnummer)</f>
        <v>?</v>
      </c>
      <c r="G5" s="150"/>
      <c r="H5" s="150"/>
      <c r="I5" s="150"/>
      <c r="J5" s="150"/>
      <c r="K5" s="150"/>
      <c r="L5" s="150"/>
      <c r="M5" s="150"/>
      <c r="N5" s="150"/>
      <c r="O5" s="13"/>
      <c r="P5" s="19" t="str">
        <f aca="false">Eingabeblatt!A38</f>
        <v>Standard working hours</v>
      </c>
      <c r="Q5" s="13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13"/>
      <c r="AG5" s="146"/>
      <c r="AH5" s="39"/>
      <c r="AI5" s="39"/>
      <c r="AJ5" s="39"/>
      <c r="AK5" s="39"/>
      <c r="AL5" s="39"/>
      <c r="AM5" s="147"/>
      <c r="AN5" s="39"/>
      <c r="AO5" s="39"/>
      <c r="AP5" s="39"/>
    </row>
    <row r="6" s="148" customFormat="true" ht="15" hidden="false" customHeight="true" outlineLevel="0" collapsed="false">
      <c r="A6" s="149"/>
      <c r="B6" s="11" t="str">
        <f aca="false">Eingabeblatt!H4</f>
        <v>Faculty</v>
      </c>
      <c r="C6" s="11"/>
      <c r="D6" s="11"/>
      <c r="E6" s="11"/>
      <c r="F6" s="150" t="str">
        <f aca="false">EB.Fakultaet</f>
        <v>Select Faculty</v>
      </c>
      <c r="G6" s="150"/>
      <c r="H6" s="150"/>
      <c r="I6" s="150"/>
      <c r="J6" s="150"/>
      <c r="K6" s="150"/>
      <c r="L6" s="150"/>
      <c r="M6" s="150"/>
      <c r="N6" s="150"/>
      <c r="O6" s="13"/>
      <c r="P6" s="154" t="str">
        <f aca="false">LEFT(INDEX(EB.RAZ_Wochentage.Bereich,1),2)</f>
        <v>Mo</v>
      </c>
      <c r="Q6" s="154" t="str">
        <f aca="false">LEFT(INDEX(EB.RAZ_Wochentage.Bereich,2),2)</f>
        <v>Tu</v>
      </c>
      <c r="R6" s="154" t="str">
        <f aca="false">LEFT(INDEX(EB.RAZ_Wochentage.Bereich,3),2)</f>
        <v>We</v>
      </c>
      <c r="S6" s="154" t="str">
        <f aca="false">LEFT(INDEX(EB.RAZ_Wochentage.Bereich,4),2)</f>
        <v>Th</v>
      </c>
      <c r="T6" s="154" t="str">
        <f aca="false">LEFT(INDEX(EB.RAZ_Wochentage.Bereich,5),2)</f>
        <v>Fr</v>
      </c>
      <c r="U6" s="154" t="str">
        <f aca="false">LEFT(INDEX(EB.RAZ_Wochentage.Bereich,6),2)</f>
        <v>Sa</v>
      </c>
      <c r="V6" s="154" t="str">
        <f aca="false">LEFT(INDEX(EB.RAZ_Wochentage.Bereich,7),2)</f>
        <v>Su</v>
      </c>
      <c r="W6" s="39"/>
      <c r="X6" s="39"/>
      <c r="Y6" s="39"/>
      <c r="Z6" s="39"/>
      <c r="AA6" s="39"/>
      <c r="AB6" s="39"/>
      <c r="AC6" s="39"/>
      <c r="AD6" s="39"/>
      <c r="AE6" s="39"/>
      <c r="AF6" s="13"/>
      <c r="AG6" s="146"/>
      <c r="AH6" s="39"/>
      <c r="AI6" s="39"/>
      <c r="AJ6" s="39"/>
      <c r="AK6" s="39"/>
      <c r="AL6" s="39"/>
      <c r="AM6" s="147"/>
      <c r="AN6" s="39"/>
      <c r="AO6" s="39"/>
      <c r="AP6" s="39"/>
    </row>
    <row r="7" s="148" customFormat="true" ht="15" hidden="false" customHeight="true" outlineLevel="0" collapsed="false">
      <c r="A7" s="149"/>
      <c r="B7" s="11" t="str">
        <f aca="false">Eingabeblatt!H5</f>
        <v>Employee Category</v>
      </c>
      <c r="C7" s="11"/>
      <c r="D7" s="11"/>
      <c r="E7" s="11"/>
      <c r="F7" s="150" t="str">
        <f aca="false">EB.Personalkategorie</f>
        <v>Select Employee Category</v>
      </c>
      <c r="G7" s="150"/>
      <c r="H7" s="150"/>
      <c r="I7" s="150"/>
      <c r="J7" s="150"/>
      <c r="K7" s="150"/>
      <c r="L7" s="150"/>
      <c r="M7" s="150"/>
      <c r="N7" s="150"/>
      <c r="O7" s="13"/>
      <c r="P7" s="155" t="n">
        <f aca="false">IF(EB.Anwendung&lt;&gt;"",IF(MONTH(Monat.Tag1)=1,INDEX(EB.RAZ1_7.Bereich,1),INDEX(IF(MONTH(Monat.Tag1)=2,January!Monat.RAZ1_7.Bereich,IF(MONTH(Monat.Tag1)=3,February!Monat.RAZ1_7.Bereich,IF(MONTH(Monat.Tag1)=4,March!Monat.RAZ1_7.Bereich,IF(MONTH(Monat.Tag1)=5,April!Monat.RAZ1_7.Bereich,IF(MONTH(Monat.Tag1)=6,May!Monat.RAZ1_7.Bereich,IF(MONTH(Monat.Tag1)=7,June!Monat.RAZ1_7.Bereich,IF(MONTH(Monat.Tag1)=8,July!Monat.RAZ1_7.Bereich,IF(MONTH(Monat.Tag1)=9,August!Monat.RAZ1_7.Bereich,IF(MONTH(Monat.Tag1)=10,September!Monat.RAZ1_7.Bereich,IF(MONTH(Monat.Tag1)=11,October!Monat.RAZ1_7.Bereich,IF(MONTH(Monat.Tag1)=12,Monat.RAZ1_7.Bereich,""))))))))))),1)),"")</f>
        <v>0.35</v>
      </c>
      <c r="Q7" s="155" t="n">
        <f aca="false">IF(EB.Anwendung&lt;&gt;"",IF(MONTH(Monat.Tag1)=1,INDEX(EB.RAZ1_7.Bereich,2),INDEX(IF(MONTH(Monat.Tag1)=2,January!Monat.RAZ1_7.Bereich,IF(MONTH(Monat.Tag1)=3,February!Monat.RAZ1_7.Bereich,IF(MONTH(Monat.Tag1)=4,March!Monat.RAZ1_7.Bereich,IF(MONTH(Monat.Tag1)=5,April!Monat.RAZ1_7.Bereich,IF(MONTH(Monat.Tag1)=6,May!Monat.RAZ1_7.Bereich,IF(MONTH(Monat.Tag1)=7,June!Monat.RAZ1_7.Bereich,IF(MONTH(Monat.Tag1)=8,July!Monat.RAZ1_7.Bereich,IF(MONTH(Monat.Tag1)=9,August!Monat.RAZ1_7.Bereich,IF(MONTH(Monat.Tag1)=10,September!Monat.RAZ1_7.Bereich,IF(MONTH(Monat.Tag1)=11,October!Monat.RAZ1_7.Bereich,IF(MONTH(Monat.Tag1)=12,Monat.RAZ1_7.Bereich,""))))))))))),2)),"")</f>
        <v>0.35</v>
      </c>
      <c r="R7" s="155" t="n">
        <f aca="false">IF(EB.Anwendung&lt;&gt;"",IF(MONTH(Monat.Tag1)=1,INDEX(EB.RAZ1_7.Bereich,3),INDEX(IF(MONTH(Monat.Tag1)=2,January!Monat.RAZ1_7.Bereich,IF(MONTH(Monat.Tag1)=3,February!Monat.RAZ1_7.Bereich,IF(MONTH(Monat.Tag1)=4,March!Monat.RAZ1_7.Bereich,IF(MONTH(Monat.Tag1)=5,April!Monat.RAZ1_7.Bereich,IF(MONTH(Monat.Tag1)=6,May!Monat.RAZ1_7.Bereich,IF(MONTH(Monat.Tag1)=7,June!Monat.RAZ1_7.Bereich,IF(MONTH(Monat.Tag1)=8,July!Monat.RAZ1_7.Bereich,IF(MONTH(Monat.Tag1)=9,August!Monat.RAZ1_7.Bereich,IF(MONTH(Monat.Tag1)=10,September!Monat.RAZ1_7.Bereich,IF(MONTH(Monat.Tag1)=11,October!Monat.RAZ1_7.Bereich,IF(MONTH(Monat.Tag1)=12,Monat.RAZ1_7.Bereich,""))))))))))),3)),"")</f>
        <v>0.35</v>
      </c>
      <c r="S7" s="155" t="n">
        <f aca="false">IF(EB.Anwendung&lt;&gt;"",IF(MONTH(Monat.Tag1)=1,INDEX(EB.RAZ1_7.Bereich,4),INDEX(IF(MONTH(Monat.Tag1)=2,January!Monat.RAZ1_7.Bereich,IF(MONTH(Monat.Tag1)=3,February!Monat.RAZ1_7.Bereich,IF(MONTH(Monat.Tag1)=4,March!Monat.RAZ1_7.Bereich,IF(MONTH(Monat.Tag1)=5,April!Monat.RAZ1_7.Bereich,IF(MONTH(Monat.Tag1)=6,May!Monat.RAZ1_7.Bereich,IF(MONTH(Monat.Tag1)=7,June!Monat.RAZ1_7.Bereich,IF(MONTH(Monat.Tag1)=8,July!Monat.RAZ1_7.Bereich,IF(MONTH(Monat.Tag1)=9,August!Monat.RAZ1_7.Bereich,IF(MONTH(Monat.Tag1)=10,September!Monat.RAZ1_7.Bereich,IF(MONTH(Monat.Tag1)=11,October!Monat.RAZ1_7.Bereich,IF(MONTH(Monat.Tag1)=12,Monat.RAZ1_7.Bereich,""))))))))))),4)),"")</f>
        <v>0.35</v>
      </c>
      <c r="T7" s="155" t="n">
        <f aca="false">IF(EB.Anwendung&lt;&gt;"",IF(MONTH(Monat.Tag1)=1,INDEX(EB.RAZ1_7.Bereich,5),INDEX(IF(MONTH(Monat.Tag1)=2,January!Monat.RAZ1_7.Bereich,IF(MONTH(Monat.Tag1)=3,February!Monat.RAZ1_7.Bereich,IF(MONTH(Monat.Tag1)=4,March!Monat.RAZ1_7.Bereich,IF(MONTH(Monat.Tag1)=5,April!Monat.RAZ1_7.Bereich,IF(MONTH(Monat.Tag1)=6,May!Monat.RAZ1_7.Bereich,IF(MONTH(Monat.Tag1)=7,June!Monat.RAZ1_7.Bereich,IF(MONTH(Monat.Tag1)=8,July!Monat.RAZ1_7.Bereich,IF(MONTH(Monat.Tag1)=9,August!Monat.RAZ1_7.Bereich,IF(MONTH(Monat.Tag1)=10,September!Monat.RAZ1_7.Bereich,IF(MONTH(Monat.Tag1)=11,October!Monat.RAZ1_7.Bereich,IF(MONTH(Monat.Tag1)=12,Monat.RAZ1_7.Bereich,""))))))))))),5)),"")</f>
        <v>0.35</v>
      </c>
      <c r="U7" s="155" t="n">
        <f aca="false">IF(EB.Anwendung&lt;&gt;"",IF(MONTH(Monat.Tag1)=1,INDEX(EB.RAZ1_7.Bereich,6),INDEX(IF(MONTH(Monat.Tag1)=2,January!Monat.RAZ1_7.Bereich,IF(MONTH(Monat.Tag1)=3,February!Monat.RAZ1_7.Bereich,IF(MONTH(Monat.Tag1)=4,March!Monat.RAZ1_7.Bereich,IF(MONTH(Monat.Tag1)=5,April!Monat.RAZ1_7.Bereich,IF(MONTH(Monat.Tag1)=6,May!Monat.RAZ1_7.Bereich,IF(MONTH(Monat.Tag1)=7,June!Monat.RAZ1_7.Bereich,IF(MONTH(Monat.Tag1)=8,July!Monat.RAZ1_7.Bereich,IF(MONTH(Monat.Tag1)=9,August!Monat.RAZ1_7.Bereich,IF(MONTH(Monat.Tag1)=10,September!Monat.RAZ1_7.Bereich,IF(MONTH(Monat.Tag1)=11,October!Monat.RAZ1_7.Bereich,IF(MONTH(Monat.Tag1)=12,Monat.RAZ1_7.Bereich,""))))))))))),6)),"")</f>
        <v>0</v>
      </c>
      <c r="V7" s="155" t="n">
        <f aca="false">IF(EB.Anwendung&lt;&gt;"",IF(MONTH(Monat.Tag1)=1,INDEX(EB.RAZ1_7.Bereich,7),INDEX(IF(MONTH(Monat.Tag1)=2,January!Monat.RAZ1_7.Bereich,IF(MONTH(Monat.Tag1)=3,February!Monat.RAZ1_7.Bereich,IF(MONTH(Monat.Tag1)=4,March!Monat.RAZ1_7.Bereich,IF(MONTH(Monat.Tag1)=5,April!Monat.RAZ1_7.Bereich,IF(MONTH(Monat.Tag1)=6,May!Monat.RAZ1_7.Bereich,IF(MONTH(Monat.Tag1)=7,June!Monat.RAZ1_7.Bereich,IF(MONTH(Monat.Tag1)=8,July!Monat.RAZ1_7.Bereich,IF(MONTH(Monat.Tag1)=9,August!Monat.RAZ1_7.Bereich,IF(MONTH(Monat.Tag1)=10,September!Monat.RAZ1_7.Bereich,IF(MONTH(Monat.Tag1)=11,October!Monat.RAZ1_7.Bereich,IF(MONTH(Monat.Tag1)=12,Monat.RAZ1_7.Bereich,""))))))))))),7)),"")</f>
        <v>0</v>
      </c>
      <c r="W7" s="39"/>
      <c r="X7" s="39"/>
      <c r="Y7" s="39"/>
      <c r="Z7" s="39"/>
      <c r="AA7" s="39"/>
      <c r="AB7" s="39"/>
      <c r="AC7" s="39"/>
      <c r="AD7" s="39"/>
      <c r="AE7" s="39"/>
      <c r="AF7" s="13"/>
      <c r="AG7" s="146"/>
      <c r="AH7" s="39"/>
      <c r="AI7" s="39"/>
      <c r="AJ7" s="39"/>
      <c r="AK7" s="39"/>
      <c r="AL7" s="39"/>
      <c r="AM7" s="147"/>
      <c r="AN7" s="39"/>
      <c r="AO7" s="39"/>
      <c r="AP7" s="39"/>
    </row>
    <row r="8" s="148" customFormat="true" ht="11.25" hidden="false" customHeight="true" outlineLevel="0" collapsed="false">
      <c r="A8" s="55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13"/>
      <c r="AG8" s="146"/>
      <c r="AH8" s="39"/>
      <c r="AI8" s="39"/>
      <c r="AJ8" s="39"/>
      <c r="AK8" s="39"/>
      <c r="AL8" s="39"/>
      <c r="AM8" s="147"/>
      <c r="AN8" s="39"/>
      <c r="AO8" s="39"/>
      <c r="AP8" s="39"/>
    </row>
    <row r="9" s="148" customFormat="true" ht="15" hidden="false" customHeight="true" outlineLevel="0" collapsed="false">
      <c r="A9" s="55"/>
      <c r="B9" s="156" t="str">
        <f aca="false">INDEX(Monat.Wochentage.Bereich,1,WEEKDAY(B10,2))</f>
        <v>Th</v>
      </c>
      <c r="C9" s="156" t="str">
        <f aca="false">INDEX(Monat.Wochentage.Bereich,1,WEEKDAY(C10,2))</f>
        <v>Fr</v>
      </c>
      <c r="D9" s="156" t="str">
        <f aca="false">INDEX(Monat.Wochentage.Bereich,1,WEEKDAY(D10,2))</f>
        <v>Sa</v>
      </c>
      <c r="E9" s="156" t="str">
        <f aca="false">INDEX(Monat.Wochentage.Bereich,1,WEEKDAY(E10,2))</f>
        <v>Su</v>
      </c>
      <c r="F9" s="156" t="str">
        <f aca="false">INDEX(Monat.Wochentage.Bereich,1,WEEKDAY(F10,2))</f>
        <v>Mo</v>
      </c>
      <c r="G9" s="156" t="str">
        <f aca="false">INDEX(Monat.Wochentage.Bereich,1,WEEKDAY(G10,2))</f>
        <v>Tu</v>
      </c>
      <c r="H9" s="156" t="str">
        <f aca="false">INDEX(Monat.Wochentage.Bereich,1,WEEKDAY(H10,2))</f>
        <v>We</v>
      </c>
      <c r="I9" s="156" t="str">
        <f aca="false">INDEX(Monat.Wochentage.Bereich,1,WEEKDAY(I10,2))</f>
        <v>Th</v>
      </c>
      <c r="J9" s="156" t="str">
        <f aca="false">INDEX(Monat.Wochentage.Bereich,1,WEEKDAY(J10,2))</f>
        <v>Fr</v>
      </c>
      <c r="K9" s="156" t="str">
        <f aca="false">INDEX(Monat.Wochentage.Bereich,1,WEEKDAY(K10,2))</f>
        <v>Sa</v>
      </c>
      <c r="L9" s="156" t="str">
        <f aca="false">INDEX(Monat.Wochentage.Bereich,1,WEEKDAY(L10,2))</f>
        <v>Su</v>
      </c>
      <c r="M9" s="156" t="str">
        <f aca="false">INDEX(Monat.Wochentage.Bereich,1,WEEKDAY(M10,2))</f>
        <v>Mo</v>
      </c>
      <c r="N9" s="156" t="str">
        <f aca="false">INDEX(Monat.Wochentage.Bereich,1,WEEKDAY(N10,2))</f>
        <v>Tu</v>
      </c>
      <c r="O9" s="156" t="str">
        <f aca="false">INDEX(Monat.Wochentage.Bereich,1,WEEKDAY(O10,2))</f>
        <v>We</v>
      </c>
      <c r="P9" s="156" t="str">
        <f aca="false">INDEX(Monat.Wochentage.Bereich,1,WEEKDAY(P10,2))</f>
        <v>Th</v>
      </c>
      <c r="Q9" s="156" t="str">
        <f aca="false">INDEX(Monat.Wochentage.Bereich,1,WEEKDAY(Q10,2))</f>
        <v>Fr</v>
      </c>
      <c r="R9" s="156" t="str">
        <f aca="false">INDEX(Monat.Wochentage.Bereich,1,WEEKDAY(R10,2))</f>
        <v>Sa</v>
      </c>
      <c r="S9" s="156" t="str">
        <f aca="false">INDEX(Monat.Wochentage.Bereich,1,WEEKDAY(S10,2))</f>
        <v>Su</v>
      </c>
      <c r="T9" s="156" t="str">
        <f aca="false">INDEX(Monat.Wochentage.Bereich,1,WEEKDAY(T10,2))</f>
        <v>Mo</v>
      </c>
      <c r="U9" s="156" t="str">
        <f aca="false">INDEX(Monat.Wochentage.Bereich,1,WEEKDAY(U10,2))</f>
        <v>Tu</v>
      </c>
      <c r="V9" s="156" t="str">
        <f aca="false">INDEX(Monat.Wochentage.Bereich,1,WEEKDAY(V10,2))</f>
        <v>We</v>
      </c>
      <c r="W9" s="156" t="str">
        <f aca="false">INDEX(Monat.Wochentage.Bereich,1,WEEKDAY(W10,2))</f>
        <v>Th</v>
      </c>
      <c r="X9" s="156" t="str">
        <f aca="false">INDEX(Monat.Wochentage.Bereich,1,WEEKDAY(X10,2))</f>
        <v>Fr</v>
      </c>
      <c r="Y9" s="156" t="str">
        <f aca="false">INDEX(Monat.Wochentage.Bereich,1,WEEKDAY(Y10,2))</f>
        <v>Sa</v>
      </c>
      <c r="Z9" s="156" t="str">
        <f aca="false">INDEX(Monat.Wochentage.Bereich,1,WEEKDAY(Z10,2))</f>
        <v>Su</v>
      </c>
      <c r="AA9" s="156" t="str">
        <f aca="false">INDEX(Monat.Wochentage.Bereich,1,WEEKDAY(AA10,2))</f>
        <v>Mo</v>
      </c>
      <c r="AB9" s="156" t="str">
        <f aca="false">INDEX(Monat.Wochentage.Bereich,1,WEEKDAY(AB10,2))</f>
        <v>Tu</v>
      </c>
      <c r="AC9" s="156" t="str">
        <f aca="false">INDEX(Monat.Wochentage.Bereich,1,WEEKDAY(AC10,2))</f>
        <v>We</v>
      </c>
      <c r="AD9" s="156" t="str">
        <f aca="false">INDEX(Monat.Wochentage.Bereich,1,WEEKDAY(AD10,2))</f>
        <v>Th</v>
      </c>
      <c r="AE9" s="156" t="str">
        <f aca="false">INDEX(Monat.Wochentage.Bereich,1,WEEKDAY(AE10,2))</f>
        <v>Fr</v>
      </c>
      <c r="AF9" s="13"/>
      <c r="AG9" s="146"/>
      <c r="AH9" s="39"/>
      <c r="AI9" s="39"/>
      <c r="AJ9" s="39"/>
      <c r="AK9" s="39"/>
      <c r="AL9" s="39"/>
      <c r="AM9" s="147"/>
      <c r="AN9" s="39"/>
      <c r="AO9" s="39"/>
      <c r="AP9" s="39"/>
    </row>
    <row r="10" s="164" customFormat="true" ht="39" hidden="false" customHeight="false" outlineLevel="0" collapsed="false">
      <c r="A10" s="157" t="s">
        <v>121</v>
      </c>
      <c r="B10" s="158" t="n">
        <v>41943</v>
      </c>
      <c r="C10" s="158" t="n">
        <f aca="false">B10+1</f>
        <v>41944</v>
      </c>
      <c r="D10" s="158" t="n">
        <f aca="false">C10+1</f>
        <v>41945</v>
      </c>
      <c r="E10" s="158" t="n">
        <f aca="false">D10+1</f>
        <v>41946</v>
      </c>
      <c r="F10" s="158" t="n">
        <f aca="false">E10+1</f>
        <v>41947</v>
      </c>
      <c r="G10" s="158" t="n">
        <f aca="false">F10+1</f>
        <v>41948</v>
      </c>
      <c r="H10" s="158" t="n">
        <f aca="false">G10+1</f>
        <v>41949</v>
      </c>
      <c r="I10" s="158" t="n">
        <f aca="false">H10+1</f>
        <v>41950</v>
      </c>
      <c r="J10" s="158" t="n">
        <f aca="false">I10+1</f>
        <v>41951</v>
      </c>
      <c r="K10" s="158" t="n">
        <f aca="false">J10+1</f>
        <v>41952</v>
      </c>
      <c r="L10" s="158" t="n">
        <f aca="false">K10+1</f>
        <v>41953</v>
      </c>
      <c r="M10" s="158" t="n">
        <f aca="false">L10+1</f>
        <v>41954</v>
      </c>
      <c r="N10" s="158" t="n">
        <f aca="false">M10+1</f>
        <v>41955</v>
      </c>
      <c r="O10" s="158" t="n">
        <f aca="false">N10+1</f>
        <v>41956</v>
      </c>
      <c r="P10" s="158" t="n">
        <f aca="false">O10+1</f>
        <v>41957</v>
      </c>
      <c r="Q10" s="158" t="n">
        <f aca="false">P10+1</f>
        <v>41958</v>
      </c>
      <c r="R10" s="158" t="n">
        <f aca="false">Q10+1</f>
        <v>41959</v>
      </c>
      <c r="S10" s="158" t="n">
        <f aca="false">R10+1</f>
        <v>41960</v>
      </c>
      <c r="T10" s="158" t="n">
        <f aca="false">S10+1</f>
        <v>41961</v>
      </c>
      <c r="U10" s="158" t="n">
        <f aca="false">T10+1</f>
        <v>41962</v>
      </c>
      <c r="V10" s="158" t="n">
        <f aca="false">U10+1</f>
        <v>41963</v>
      </c>
      <c r="W10" s="158" t="n">
        <f aca="false">V10+1</f>
        <v>41964</v>
      </c>
      <c r="X10" s="158" t="n">
        <f aca="false">W10+1</f>
        <v>41965</v>
      </c>
      <c r="Y10" s="158" t="n">
        <f aca="false">X10+1</f>
        <v>41966</v>
      </c>
      <c r="Z10" s="158" t="n">
        <f aca="false">Y10+1</f>
        <v>41967</v>
      </c>
      <c r="AA10" s="158" t="n">
        <f aca="false">Z10+1</f>
        <v>41968</v>
      </c>
      <c r="AB10" s="158" t="n">
        <f aca="false">AA10+1</f>
        <v>41969</v>
      </c>
      <c r="AC10" s="158" t="n">
        <f aca="false">AB10+1</f>
        <v>41970</v>
      </c>
      <c r="AD10" s="158" t="n">
        <f aca="false">AC10+1</f>
        <v>41971</v>
      </c>
      <c r="AE10" s="158" t="n">
        <f aca="false">AD10+1</f>
        <v>41972</v>
      </c>
      <c r="AF10" s="159" t="str">
        <f aca="false">A10</f>
        <v>Day</v>
      </c>
      <c r="AG10" s="160" t="str">
        <f aca="false">"Total " &amp; INDEX(EB.Monate.Bereich,MONTH(Monat.Tag1))</f>
        <v>Total November</v>
      </c>
      <c r="AH10" s="160"/>
      <c r="AI10" s="160" t="s">
        <v>122</v>
      </c>
      <c r="AJ10" s="161" t="s">
        <v>123</v>
      </c>
      <c r="AK10" s="161" t="s">
        <v>124</v>
      </c>
      <c r="AL10" s="161" t="s">
        <v>125</v>
      </c>
      <c r="AM10" s="162" t="s">
        <v>68</v>
      </c>
      <c r="AN10" s="156" t="str">
        <f aca="true">IF(EB.Sprache="DE","Jahressaldo per" &amp; CHAR(10) &amp; "    ME       " &amp; IFERROR(TEXT(TODAY(),"[$-0007]"&amp;"TT.MM.JJ"),TEXT(TODAY(),"[$-0007]"&amp;"DD.MM.YY")), "Yearly balance by" &amp; CHAR(10) &amp; "   eom      " &amp; IFERROR(TEXT(TODAY(),"[$-0809]"&amp;"DD.MM.YY"),TEXT(TODAY(),"[$-0809]"&amp;"TT.MM.JJ")))</f>
        <v>Yearly balance by
   eom      22.05.18</v>
      </c>
      <c r="AO10" s="156"/>
      <c r="AP10" s="163"/>
    </row>
    <row r="11" s="164" customFormat="true" ht="12" hidden="true" customHeight="true" outlineLevel="0" collapsed="false">
      <c r="A11" s="157" t="s">
        <v>126</v>
      </c>
      <c r="B11" s="165" t="n">
        <f aca="true">IFERROR(OFFSET(T.Feiertage.Bereich,MATCH(B$10,T.Feiertage.Bereich,0)-1,1,1,1),1)</f>
        <v>1</v>
      </c>
      <c r="C11" s="165" t="n">
        <f aca="true">IFERROR(OFFSET(T.Feiertage.Bereich,MATCH(C$10,T.Feiertage.Bereich,0)-1,1,1,1),1)</f>
        <v>1</v>
      </c>
      <c r="D11" s="165" t="n">
        <f aca="true">IFERROR(OFFSET(T.Feiertage.Bereich,MATCH(D$10,T.Feiertage.Bereich,0)-1,1,1,1),1)</f>
        <v>1</v>
      </c>
      <c r="E11" s="166" t="n">
        <f aca="true">IFERROR(OFFSET(T.Feiertage.Bereich,MATCH(E$10,T.Feiertage.Bereich,0)-1,1,1,1),1)</f>
        <v>1</v>
      </c>
      <c r="F11" s="165" t="n">
        <f aca="true">IFERROR(OFFSET(T.Feiertage.Bereich,MATCH(F$10,T.Feiertage.Bereich,0)-1,1,1,1),1)</f>
        <v>1</v>
      </c>
      <c r="G11" s="165" t="n">
        <f aca="true">IFERROR(OFFSET(T.Feiertage.Bereich,MATCH(G$10,T.Feiertage.Bereich,0)-1,1,1,1),1)</f>
        <v>1</v>
      </c>
      <c r="H11" s="165" t="n">
        <f aca="true">IFERROR(OFFSET(T.Feiertage.Bereich,MATCH(H$10,T.Feiertage.Bereich,0)-1,1,1,1),1)</f>
        <v>1</v>
      </c>
      <c r="I11" s="165" t="n">
        <f aca="true">IFERROR(OFFSET(T.Feiertage.Bereich,MATCH(I$10,T.Feiertage.Bereich,0)-1,1,1,1),1)</f>
        <v>1</v>
      </c>
      <c r="J11" s="166" t="n">
        <f aca="true">IFERROR(OFFSET(T.Feiertage.Bereich,MATCH(J$10,T.Feiertage.Bereich,0)-1,1,1,1),1)</f>
        <v>1</v>
      </c>
      <c r="K11" s="165" t="n">
        <f aca="true">IFERROR(OFFSET(T.Feiertage.Bereich,MATCH(K$10,T.Feiertage.Bereich,0)-1,1,1,1),1)</f>
        <v>1</v>
      </c>
      <c r="L11" s="166" t="n">
        <f aca="true">IFERROR(OFFSET(T.Feiertage.Bereich,MATCH(L$10,T.Feiertage.Bereich,0)-1,1,1,1),1)</f>
        <v>1</v>
      </c>
      <c r="M11" s="165" t="n">
        <f aca="true">IFERROR(OFFSET(T.Feiertage.Bereich,MATCH(M$10,T.Feiertage.Bereich,0)-1,1,1,1),1)</f>
        <v>1</v>
      </c>
      <c r="N11" s="165" t="n">
        <f aca="true">IFERROR(OFFSET(T.Feiertage.Bereich,MATCH(N$10,T.Feiertage.Bereich,0)-1,1,1,1),1)</f>
        <v>1</v>
      </c>
      <c r="O11" s="165" t="n">
        <f aca="true">IFERROR(OFFSET(T.Feiertage.Bereich,MATCH(O$10,T.Feiertage.Bereich,0)-1,1,1,1),1)</f>
        <v>1</v>
      </c>
      <c r="P11" s="165" t="n">
        <f aca="true">IFERROR(OFFSET(T.Feiertage.Bereich,MATCH(P$10,T.Feiertage.Bereich,0)-1,1,1,1),1)</f>
        <v>1</v>
      </c>
      <c r="Q11" s="166" t="n">
        <f aca="true">IFERROR(OFFSET(T.Feiertage.Bereich,MATCH(Q$10,T.Feiertage.Bereich,0)-1,1,1,1),1)</f>
        <v>1</v>
      </c>
      <c r="R11" s="165" t="n">
        <f aca="true">IFERROR(OFFSET(T.Feiertage.Bereich,MATCH(R$10,T.Feiertage.Bereich,0)-1,1,1,1),1)</f>
        <v>1</v>
      </c>
      <c r="S11" s="166" t="n">
        <f aca="true">IFERROR(OFFSET(T.Feiertage.Bereich,MATCH(S$10,T.Feiertage.Bereich,0)-1,1,1,1),1)</f>
        <v>1</v>
      </c>
      <c r="T11" s="166" t="n">
        <f aca="true">IFERROR(OFFSET(T.Feiertage.Bereich,MATCH(T$10,T.Feiertage.Bereich,0)-1,1,1,1),1)</f>
        <v>1</v>
      </c>
      <c r="U11" s="165" t="n">
        <f aca="true">IFERROR(OFFSET(T.Feiertage.Bereich,MATCH(U$10,T.Feiertage.Bereich,0)-1,1,1,1),1)</f>
        <v>1</v>
      </c>
      <c r="V11" s="165" t="n">
        <f aca="true">IFERROR(OFFSET(T.Feiertage.Bereich,MATCH(V$10,T.Feiertage.Bereich,0)-1,1,1,1),1)</f>
        <v>1</v>
      </c>
      <c r="W11" s="165" t="n">
        <f aca="true">IFERROR(OFFSET(T.Feiertage.Bereich,MATCH(W$10,T.Feiertage.Bereich,0)-1,1,1,1),1)</f>
        <v>1</v>
      </c>
      <c r="X11" s="166" t="n">
        <f aca="true">IFERROR(OFFSET(T.Feiertage.Bereich,MATCH(X$10,T.Feiertage.Bereich,0)-1,1,1,1),1)</f>
        <v>1</v>
      </c>
      <c r="Y11" s="165" t="n">
        <f aca="true">IFERROR(OFFSET(T.Feiertage.Bereich,MATCH(Y$10,T.Feiertage.Bereich,0)-1,1,1,1),1)</f>
        <v>1</v>
      </c>
      <c r="Z11" s="167" t="n">
        <f aca="true">IFERROR(OFFSET(T.Feiertage.Bereich,MATCH(Z$10,T.Feiertage.Bereich,0)-1,1,1,1),1)</f>
        <v>1</v>
      </c>
      <c r="AA11" s="165" t="n">
        <f aca="true">IFERROR(OFFSET(T.Feiertage.Bereich,MATCH(AA$10,T.Feiertage.Bereich,0)-1,1,1,1),1)</f>
        <v>1</v>
      </c>
      <c r="AB11" s="165" t="n">
        <f aca="true">IFERROR(OFFSET(T.Feiertage.Bereich,MATCH(AB$10,T.Feiertage.Bereich,0)-1,1,1,1),1)</f>
        <v>1</v>
      </c>
      <c r="AC11" s="165" t="n">
        <f aca="true">IFERROR(OFFSET(T.Feiertage.Bereich,MATCH(AC$10,T.Feiertage.Bereich,0)-1,1,1,1),1)</f>
        <v>1</v>
      </c>
      <c r="AD11" s="165" t="n">
        <f aca="true">IFERROR(OFFSET(T.Feiertage.Bereich,MATCH(AD$10,T.Feiertage.Bereich,0)-1,1,1,1),1)</f>
        <v>1</v>
      </c>
      <c r="AE11" s="166" t="n">
        <f aca="true">IFERROR(OFFSET(T.Feiertage.Bereich,MATCH(AE$10,T.Feiertage.Bereich,0)-1,1,1,1),1)</f>
        <v>1</v>
      </c>
      <c r="AF11" s="168"/>
      <c r="AG11" s="146"/>
      <c r="AH11" s="169"/>
      <c r="AI11" s="170"/>
      <c r="AJ11" s="171"/>
      <c r="AK11" s="172"/>
      <c r="AL11" s="172"/>
      <c r="AM11" s="171"/>
      <c r="AN11" s="172"/>
      <c r="AO11" s="172"/>
      <c r="AP11" s="163"/>
    </row>
    <row r="12" s="164" customFormat="true" ht="12" hidden="true" customHeight="true" outlineLevel="0" collapsed="false">
      <c r="A12" s="157" t="s">
        <v>127</v>
      </c>
      <c r="B12" s="173" t="n">
        <f aca="false">IF(OR(AND(ISNUMBER(EB.UJEintritt),EB.UJEintritt&gt;=B$10+1),AND(ISNUMBER(EB.UJAustritt),EB.UJAustritt&lt;=B$10-1)),0,1)</f>
        <v>1</v>
      </c>
      <c r="C12" s="173" t="n">
        <f aca="false">IF(OR(AND(ISNUMBER(EB.UJEintritt),EB.UJEintritt&gt;=C$10+1),AND(ISNUMBER(EB.UJAustritt),EB.UJAustritt&lt;=C$10-1)),0,1)</f>
        <v>1</v>
      </c>
      <c r="D12" s="173" t="n">
        <f aca="false">IF(OR(AND(ISNUMBER(EB.UJEintritt),EB.UJEintritt&gt;=D$10+1),AND(ISNUMBER(EB.UJAustritt),EB.UJAustritt&lt;=D$10-1)),0,1)</f>
        <v>1</v>
      </c>
      <c r="E12" s="156" t="n">
        <f aca="false">IF(OR(AND(ISNUMBER(EB.UJEintritt),EB.UJEintritt&gt;=E$10+1),AND(ISNUMBER(EB.UJAustritt),EB.UJAustritt&lt;=E$10-1)),0,1)</f>
        <v>1</v>
      </c>
      <c r="F12" s="173" t="n">
        <f aca="false">IF(OR(AND(ISNUMBER(EB.UJEintritt),EB.UJEintritt&gt;=F$10+1),AND(ISNUMBER(EB.UJAustritt),EB.UJAustritt&lt;=F$10-1)),0,1)</f>
        <v>1</v>
      </c>
      <c r="G12" s="173" t="n">
        <f aca="false">IF(OR(AND(ISNUMBER(EB.UJEintritt),EB.UJEintritt&gt;=G$10+1),AND(ISNUMBER(EB.UJAustritt),EB.UJAustritt&lt;=G$10-1)),0,1)</f>
        <v>1</v>
      </c>
      <c r="H12" s="173" t="n">
        <f aca="false">IF(OR(AND(ISNUMBER(EB.UJEintritt),EB.UJEintritt&gt;=H$10+1),AND(ISNUMBER(EB.UJAustritt),EB.UJAustritt&lt;=H$10-1)),0,1)</f>
        <v>1</v>
      </c>
      <c r="I12" s="173" t="n">
        <f aca="false">IF(OR(AND(ISNUMBER(EB.UJEintritt),EB.UJEintritt&gt;=I$10+1),AND(ISNUMBER(EB.UJAustritt),EB.UJAustritt&lt;=I$10-1)),0,1)</f>
        <v>1</v>
      </c>
      <c r="J12" s="156" t="n">
        <f aca="false">IF(OR(AND(ISNUMBER(EB.UJEintritt),EB.UJEintritt&gt;=J$10+1),AND(ISNUMBER(EB.UJAustritt),EB.UJAustritt&lt;=J$10-1)),0,1)</f>
        <v>1</v>
      </c>
      <c r="K12" s="173" t="n">
        <f aca="false">IF(OR(AND(ISNUMBER(EB.UJEintritt),EB.UJEintritt&gt;=K$10+1),AND(ISNUMBER(EB.UJAustritt),EB.UJAustritt&lt;=K$10-1)),0,1)</f>
        <v>1</v>
      </c>
      <c r="L12" s="156" t="n">
        <f aca="false">IF(OR(AND(ISNUMBER(EB.UJEintritt),EB.UJEintritt&gt;=L$10+1),AND(ISNUMBER(EB.UJAustritt),EB.UJAustritt&lt;=L$10-1)),0,1)</f>
        <v>1</v>
      </c>
      <c r="M12" s="173" t="n">
        <f aca="false">IF(OR(AND(ISNUMBER(EB.UJEintritt),EB.UJEintritt&gt;=M$10+1),AND(ISNUMBER(EB.UJAustritt),EB.UJAustritt&lt;=M$10-1)),0,1)</f>
        <v>1</v>
      </c>
      <c r="N12" s="173" t="n">
        <f aca="false">IF(OR(AND(ISNUMBER(EB.UJEintritt),EB.UJEintritt&gt;=N$10+1),AND(ISNUMBER(EB.UJAustritt),EB.UJAustritt&lt;=N$10-1)),0,1)</f>
        <v>1</v>
      </c>
      <c r="O12" s="173" t="n">
        <f aca="false">IF(OR(AND(ISNUMBER(EB.UJEintritt),EB.UJEintritt&gt;=O$10+1),AND(ISNUMBER(EB.UJAustritt),EB.UJAustritt&lt;=O$10-1)),0,1)</f>
        <v>1</v>
      </c>
      <c r="P12" s="173" t="n">
        <f aca="false">IF(OR(AND(ISNUMBER(EB.UJEintritt),EB.UJEintritt&gt;=P$10+1),AND(ISNUMBER(EB.UJAustritt),EB.UJAustritt&lt;=P$10-1)),0,1)</f>
        <v>1</v>
      </c>
      <c r="Q12" s="156" t="n">
        <f aca="false">IF(OR(AND(ISNUMBER(EB.UJEintritt),EB.UJEintritt&gt;=Q$10+1),AND(ISNUMBER(EB.UJAustritt),EB.UJAustritt&lt;=Q$10-1)),0,1)</f>
        <v>1</v>
      </c>
      <c r="R12" s="173" t="n">
        <f aca="false">IF(OR(AND(ISNUMBER(EB.UJEintritt),EB.UJEintritt&gt;=R$10+1),AND(ISNUMBER(EB.UJAustritt),EB.UJAustritt&lt;=R$10-1)),0,1)</f>
        <v>1</v>
      </c>
      <c r="S12" s="156" t="n">
        <f aca="false">IF(OR(AND(ISNUMBER(EB.UJEintritt),EB.UJEintritt&gt;=S$10+1),AND(ISNUMBER(EB.UJAustritt),EB.UJAustritt&lt;=S$10-1)),0,1)</f>
        <v>1</v>
      </c>
      <c r="T12" s="156" t="n">
        <f aca="false">IF(OR(AND(ISNUMBER(EB.UJEintritt),EB.UJEintritt&gt;=T$10+1),AND(ISNUMBER(EB.UJAustritt),EB.UJAustritt&lt;=T$10-1)),0,1)</f>
        <v>1</v>
      </c>
      <c r="U12" s="173" t="n">
        <f aca="false">IF(OR(AND(ISNUMBER(EB.UJEintritt),EB.UJEintritt&gt;=U$10+1),AND(ISNUMBER(EB.UJAustritt),EB.UJAustritt&lt;=U$10-1)),0,1)</f>
        <v>1</v>
      </c>
      <c r="V12" s="173" t="n">
        <f aca="false">IF(OR(AND(ISNUMBER(EB.UJEintritt),EB.UJEintritt&gt;=V$10+1),AND(ISNUMBER(EB.UJAustritt),EB.UJAustritt&lt;=V$10-1)),0,1)</f>
        <v>1</v>
      </c>
      <c r="W12" s="173" t="n">
        <f aca="false">IF(OR(AND(ISNUMBER(EB.UJEintritt),EB.UJEintritt&gt;=W$10+1),AND(ISNUMBER(EB.UJAustritt),EB.UJAustritt&lt;=W$10-1)),0,1)</f>
        <v>1</v>
      </c>
      <c r="X12" s="156" t="n">
        <f aca="false">IF(OR(AND(ISNUMBER(EB.UJEintritt),EB.UJEintritt&gt;=X$10+1),AND(ISNUMBER(EB.UJAustritt),EB.UJAustritt&lt;=X$10-1)),0,1)</f>
        <v>1</v>
      </c>
      <c r="Y12" s="173" t="n">
        <f aca="false">IF(OR(AND(ISNUMBER(EB.UJEintritt),EB.UJEintritt&gt;=Y$10+1),AND(ISNUMBER(EB.UJAustritt),EB.UJAustritt&lt;=Y$10-1)),0,1)</f>
        <v>1</v>
      </c>
      <c r="Z12" s="174" t="n">
        <f aca="false">IF(OR(AND(ISNUMBER(EB.UJEintritt),EB.UJEintritt&gt;=Z$10+1),AND(ISNUMBER(EB.UJAustritt),EB.UJAustritt&lt;=Z$10-1)),0,1)</f>
        <v>1</v>
      </c>
      <c r="AA12" s="173" t="n">
        <f aca="false">IF(OR(AND(ISNUMBER(EB.UJEintritt),EB.UJEintritt&gt;=AA$10+1),AND(ISNUMBER(EB.UJAustritt),EB.UJAustritt&lt;=AA$10-1)),0,1)</f>
        <v>1</v>
      </c>
      <c r="AB12" s="173" t="n">
        <f aca="false">IF(OR(AND(ISNUMBER(EB.UJEintritt),EB.UJEintritt&gt;=AB$10+1),AND(ISNUMBER(EB.UJAustritt),EB.UJAustritt&lt;=AB$10-1)),0,1)</f>
        <v>1</v>
      </c>
      <c r="AC12" s="173" t="n">
        <f aca="false">IF(OR(AND(ISNUMBER(EB.UJEintritt),EB.UJEintritt&gt;=AC$10+1),AND(ISNUMBER(EB.UJAustritt),EB.UJAustritt&lt;=AC$10-1)),0,1)</f>
        <v>1</v>
      </c>
      <c r="AD12" s="173" t="n">
        <f aca="false">IF(OR(AND(ISNUMBER(EB.UJEintritt),EB.UJEintritt&gt;=AD$10+1),AND(ISNUMBER(EB.UJAustritt),EB.UJAustritt&lt;=AD$10-1)),0,1)</f>
        <v>1</v>
      </c>
      <c r="AE12" s="156" t="n">
        <f aca="false">IF(OR(AND(ISNUMBER(EB.UJEintritt),EB.UJEintritt&gt;=AE$10+1),AND(ISNUMBER(EB.UJAustritt),EB.UJAustritt&lt;=AE$10-1)),0,1)</f>
        <v>1</v>
      </c>
      <c r="AF12" s="168"/>
      <c r="AG12" s="146"/>
      <c r="AH12" s="169"/>
      <c r="AI12" s="170"/>
      <c r="AJ12" s="171"/>
      <c r="AK12" s="172"/>
      <c r="AL12" s="172"/>
      <c r="AM12" s="171"/>
      <c r="AN12" s="172"/>
      <c r="AO12" s="172"/>
      <c r="AP12" s="163"/>
    </row>
    <row r="13" s="148" customFormat="true" ht="15" hidden="false" customHeight="true" outlineLevel="0" collapsed="false">
      <c r="A13" s="175" t="s">
        <v>128</v>
      </c>
      <c r="B13" s="176"/>
      <c r="C13" s="176"/>
      <c r="D13" s="176"/>
      <c r="E13" s="177"/>
      <c r="F13" s="176"/>
      <c r="G13" s="176"/>
      <c r="H13" s="176"/>
      <c r="I13" s="176"/>
      <c r="J13" s="177"/>
      <c r="K13" s="176"/>
      <c r="L13" s="177"/>
      <c r="M13" s="176"/>
      <c r="N13" s="176"/>
      <c r="O13" s="176"/>
      <c r="P13" s="176"/>
      <c r="Q13" s="177"/>
      <c r="R13" s="176"/>
      <c r="S13" s="177"/>
      <c r="T13" s="177"/>
      <c r="U13" s="176"/>
      <c r="V13" s="176"/>
      <c r="W13" s="176"/>
      <c r="X13" s="177"/>
      <c r="Y13" s="176"/>
      <c r="Z13" s="178"/>
      <c r="AA13" s="176"/>
      <c r="AB13" s="176"/>
      <c r="AC13" s="176"/>
      <c r="AD13" s="176"/>
      <c r="AE13" s="177"/>
      <c r="AF13" s="168" t="str">
        <f aca="false">A13</f>
        <v>in</v>
      </c>
      <c r="AG13" s="146"/>
      <c r="AH13" s="169"/>
      <c r="AI13" s="170"/>
      <c r="AJ13" s="171"/>
      <c r="AK13" s="172"/>
      <c r="AL13" s="172"/>
      <c r="AM13" s="171"/>
      <c r="AN13" s="172"/>
      <c r="AO13" s="172"/>
      <c r="AP13" s="39"/>
    </row>
    <row r="14" s="148" customFormat="true" ht="15" hidden="false" customHeight="true" outlineLevel="0" collapsed="false">
      <c r="A14" s="175" t="s">
        <v>129</v>
      </c>
      <c r="B14" s="176"/>
      <c r="C14" s="176"/>
      <c r="D14" s="176"/>
      <c r="E14" s="177"/>
      <c r="F14" s="176"/>
      <c r="G14" s="176"/>
      <c r="H14" s="176"/>
      <c r="I14" s="176"/>
      <c r="J14" s="177"/>
      <c r="K14" s="176"/>
      <c r="L14" s="177"/>
      <c r="M14" s="176"/>
      <c r="N14" s="176"/>
      <c r="O14" s="176"/>
      <c r="P14" s="176"/>
      <c r="Q14" s="177"/>
      <c r="R14" s="176"/>
      <c r="S14" s="177"/>
      <c r="T14" s="177"/>
      <c r="U14" s="176"/>
      <c r="V14" s="176"/>
      <c r="W14" s="176"/>
      <c r="X14" s="177"/>
      <c r="Y14" s="176"/>
      <c r="Z14" s="178"/>
      <c r="AA14" s="176"/>
      <c r="AB14" s="176"/>
      <c r="AC14" s="176"/>
      <c r="AD14" s="176"/>
      <c r="AE14" s="177"/>
      <c r="AF14" s="168" t="str">
        <f aca="false">A14</f>
        <v>out</v>
      </c>
      <c r="AG14" s="146"/>
      <c r="AH14" s="169"/>
      <c r="AI14" s="170"/>
      <c r="AJ14" s="171"/>
      <c r="AK14" s="172"/>
      <c r="AL14" s="172"/>
      <c r="AM14" s="171"/>
      <c r="AN14" s="172"/>
      <c r="AO14" s="172"/>
      <c r="AP14" s="39"/>
    </row>
    <row r="15" s="148" customFormat="true" ht="15" hidden="false" customHeight="true" outlineLevel="0" collapsed="false">
      <c r="A15" s="175" t="s">
        <v>128</v>
      </c>
      <c r="B15" s="176"/>
      <c r="C15" s="176"/>
      <c r="D15" s="176"/>
      <c r="E15" s="177"/>
      <c r="F15" s="176"/>
      <c r="G15" s="176"/>
      <c r="H15" s="176"/>
      <c r="I15" s="176"/>
      <c r="J15" s="177"/>
      <c r="K15" s="176"/>
      <c r="L15" s="177"/>
      <c r="M15" s="176"/>
      <c r="N15" s="176"/>
      <c r="O15" s="176"/>
      <c r="P15" s="176"/>
      <c r="Q15" s="177"/>
      <c r="R15" s="176"/>
      <c r="S15" s="177"/>
      <c r="T15" s="177"/>
      <c r="U15" s="176"/>
      <c r="V15" s="176"/>
      <c r="W15" s="176"/>
      <c r="X15" s="177"/>
      <c r="Y15" s="176"/>
      <c r="Z15" s="178"/>
      <c r="AA15" s="176"/>
      <c r="AB15" s="176"/>
      <c r="AC15" s="176"/>
      <c r="AD15" s="176"/>
      <c r="AE15" s="177"/>
      <c r="AF15" s="168" t="str">
        <f aca="false">A15</f>
        <v>in</v>
      </c>
      <c r="AG15" s="146"/>
      <c r="AH15" s="169"/>
      <c r="AI15" s="170"/>
      <c r="AJ15" s="171"/>
      <c r="AK15" s="172"/>
      <c r="AL15" s="172"/>
      <c r="AM15" s="171"/>
      <c r="AN15" s="172"/>
      <c r="AO15" s="172"/>
      <c r="AP15" s="39"/>
    </row>
    <row r="16" s="148" customFormat="true" ht="15" hidden="false" customHeight="true" outlineLevel="0" collapsed="false">
      <c r="A16" s="175" t="s">
        <v>129</v>
      </c>
      <c r="B16" s="176"/>
      <c r="C16" s="176"/>
      <c r="D16" s="176"/>
      <c r="E16" s="177"/>
      <c r="F16" s="176"/>
      <c r="G16" s="176"/>
      <c r="H16" s="176"/>
      <c r="I16" s="176"/>
      <c r="J16" s="177"/>
      <c r="K16" s="176"/>
      <c r="L16" s="177"/>
      <c r="M16" s="176"/>
      <c r="N16" s="176"/>
      <c r="O16" s="176"/>
      <c r="P16" s="176"/>
      <c r="Q16" s="177"/>
      <c r="R16" s="176"/>
      <c r="S16" s="177"/>
      <c r="T16" s="177"/>
      <c r="U16" s="176"/>
      <c r="V16" s="176"/>
      <c r="W16" s="176"/>
      <c r="X16" s="177"/>
      <c r="Y16" s="176"/>
      <c r="Z16" s="178"/>
      <c r="AA16" s="176"/>
      <c r="AB16" s="176"/>
      <c r="AC16" s="176"/>
      <c r="AD16" s="176"/>
      <c r="AE16" s="177"/>
      <c r="AF16" s="168" t="str">
        <f aca="false">A16</f>
        <v>out</v>
      </c>
      <c r="AG16" s="146"/>
      <c r="AH16" s="179"/>
      <c r="AI16" s="180"/>
      <c r="AJ16" s="172"/>
      <c r="AK16" s="172"/>
      <c r="AL16" s="172"/>
      <c r="AM16" s="171"/>
      <c r="AN16" s="172"/>
      <c r="AO16" s="172"/>
      <c r="AP16" s="39"/>
    </row>
    <row r="17" s="148" customFormat="true" ht="15" hidden="false" customHeight="true" outlineLevel="0" collapsed="false">
      <c r="A17" s="175" t="s">
        <v>128</v>
      </c>
      <c r="B17" s="176"/>
      <c r="C17" s="176"/>
      <c r="D17" s="176"/>
      <c r="E17" s="177"/>
      <c r="F17" s="176"/>
      <c r="G17" s="176"/>
      <c r="H17" s="176"/>
      <c r="I17" s="176"/>
      <c r="J17" s="177"/>
      <c r="K17" s="176"/>
      <c r="L17" s="177"/>
      <c r="M17" s="176"/>
      <c r="N17" s="176"/>
      <c r="O17" s="176"/>
      <c r="P17" s="176"/>
      <c r="Q17" s="177"/>
      <c r="R17" s="176"/>
      <c r="S17" s="177"/>
      <c r="T17" s="177"/>
      <c r="U17" s="176"/>
      <c r="V17" s="176"/>
      <c r="W17" s="176"/>
      <c r="X17" s="177"/>
      <c r="Y17" s="176"/>
      <c r="Z17" s="178"/>
      <c r="AA17" s="176"/>
      <c r="AB17" s="176"/>
      <c r="AC17" s="176"/>
      <c r="AD17" s="176"/>
      <c r="AE17" s="177"/>
      <c r="AF17" s="168" t="str">
        <f aca="false">A17</f>
        <v>in</v>
      </c>
      <c r="AG17" s="146"/>
      <c r="AH17" s="179"/>
      <c r="AI17" s="180"/>
      <c r="AJ17" s="172"/>
      <c r="AK17" s="172"/>
      <c r="AL17" s="172"/>
      <c r="AM17" s="171"/>
      <c r="AN17" s="172"/>
      <c r="AO17" s="172"/>
      <c r="AP17" s="39"/>
    </row>
    <row r="18" s="148" customFormat="true" ht="15" hidden="false" customHeight="true" outlineLevel="0" collapsed="false">
      <c r="A18" s="175" t="s">
        <v>129</v>
      </c>
      <c r="B18" s="176"/>
      <c r="C18" s="176"/>
      <c r="D18" s="176"/>
      <c r="E18" s="177"/>
      <c r="F18" s="176"/>
      <c r="G18" s="176"/>
      <c r="H18" s="176"/>
      <c r="I18" s="176"/>
      <c r="J18" s="177"/>
      <c r="K18" s="176"/>
      <c r="L18" s="177"/>
      <c r="M18" s="176"/>
      <c r="N18" s="176"/>
      <c r="O18" s="176"/>
      <c r="P18" s="176"/>
      <c r="Q18" s="177"/>
      <c r="R18" s="176"/>
      <c r="S18" s="177"/>
      <c r="T18" s="177"/>
      <c r="U18" s="176"/>
      <c r="V18" s="176"/>
      <c r="W18" s="176"/>
      <c r="X18" s="177"/>
      <c r="Y18" s="176"/>
      <c r="Z18" s="178"/>
      <c r="AA18" s="176"/>
      <c r="AB18" s="176"/>
      <c r="AC18" s="176"/>
      <c r="AD18" s="176"/>
      <c r="AE18" s="177"/>
      <c r="AF18" s="168" t="str">
        <f aca="false">A18</f>
        <v>out</v>
      </c>
      <c r="AG18" s="146"/>
      <c r="AH18" s="179"/>
      <c r="AI18" s="180"/>
      <c r="AJ18" s="172"/>
      <c r="AK18" s="172"/>
      <c r="AL18" s="172"/>
      <c r="AM18" s="171"/>
      <c r="AN18" s="172"/>
      <c r="AO18" s="172"/>
      <c r="AP18" s="39"/>
    </row>
    <row r="19" s="148" customFormat="true" ht="15" hidden="true" customHeight="true" outlineLevel="1" collapsed="false">
      <c r="A19" s="175" t="s">
        <v>128</v>
      </c>
      <c r="B19" s="176"/>
      <c r="C19" s="176"/>
      <c r="D19" s="176"/>
      <c r="E19" s="177"/>
      <c r="F19" s="176"/>
      <c r="G19" s="176"/>
      <c r="H19" s="176"/>
      <c r="I19" s="176"/>
      <c r="J19" s="177"/>
      <c r="K19" s="176"/>
      <c r="L19" s="177"/>
      <c r="M19" s="176"/>
      <c r="N19" s="176"/>
      <c r="O19" s="176"/>
      <c r="P19" s="176"/>
      <c r="Q19" s="177"/>
      <c r="R19" s="176"/>
      <c r="S19" s="177"/>
      <c r="T19" s="177"/>
      <c r="U19" s="176"/>
      <c r="V19" s="176"/>
      <c r="W19" s="176"/>
      <c r="X19" s="177"/>
      <c r="Y19" s="176"/>
      <c r="Z19" s="178"/>
      <c r="AA19" s="176"/>
      <c r="AB19" s="176"/>
      <c r="AC19" s="176"/>
      <c r="AD19" s="176"/>
      <c r="AE19" s="177"/>
      <c r="AF19" s="168" t="str">
        <f aca="false">A19</f>
        <v>in</v>
      </c>
      <c r="AG19" s="146"/>
      <c r="AH19" s="179"/>
      <c r="AI19" s="180"/>
      <c r="AJ19" s="172"/>
      <c r="AK19" s="172"/>
      <c r="AL19" s="172"/>
      <c r="AM19" s="171"/>
      <c r="AN19" s="172"/>
      <c r="AO19" s="172"/>
      <c r="AP19" s="39"/>
    </row>
    <row r="20" s="148" customFormat="true" ht="15" hidden="true" customHeight="true" outlineLevel="1" collapsed="false">
      <c r="A20" s="175" t="s">
        <v>129</v>
      </c>
      <c r="B20" s="176"/>
      <c r="C20" s="176"/>
      <c r="D20" s="176"/>
      <c r="E20" s="177"/>
      <c r="F20" s="176"/>
      <c r="G20" s="176"/>
      <c r="H20" s="176"/>
      <c r="I20" s="176"/>
      <c r="J20" s="177"/>
      <c r="K20" s="176"/>
      <c r="L20" s="177"/>
      <c r="M20" s="176"/>
      <c r="N20" s="176"/>
      <c r="O20" s="176"/>
      <c r="P20" s="176"/>
      <c r="Q20" s="177"/>
      <c r="R20" s="176"/>
      <c r="S20" s="177"/>
      <c r="T20" s="177"/>
      <c r="U20" s="176"/>
      <c r="V20" s="176"/>
      <c r="W20" s="176"/>
      <c r="X20" s="177"/>
      <c r="Y20" s="176"/>
      <c r="Z20" s="178"/>
      <c r="AA20" s="176"/>
      <c r="AB20" s="176"/>
      <c r="AC20" s="176"/>
      <c r="AD20" s="176"/>
      <c r="AE20" s="177"/>
      <c r="AF20" s="168" t="str">
        <f aca="false">A20</f>
        <v>out</v>
      </c>
      <c r="AG20" s="146"/>
      <c r="AH20" s="179"/>
      <c r="AI20" s="180"/>
      <c r="AJ20" s="172"/>
      <c r="AK20" s="172"/>
      <c r="AL20" s="172"/>
      <c r="AM20" s="171"/>
      <c r="AN20" s="172"/>
      <c r="AO20" s="172"/>
      <c r="AP20" s="39"/>
    </row>
    <row r="21" s="148" customFormat="true" ht="15" hidden="true" customHeight="true" outlineLevel="1" collapsed="false">
      <c r="A21" s="175" t="s">
        <v>128</v>
      </c>
      <c r="B21" s="176"/>
      <c r="C21" s="176"/>
      <c r="D21" s="176"/>
      <c r="E21" s="177"/>
      <c r="F21" s="176"/>
      <c r="G21" s="176"/>
      <c r="H21" s="176"/>
      <c r="I21" s="176"/>
      <c r="J21" s="177"/>
      <c r="K21" s="176"/>
      <c r="L21" s="177"/>
      <c r="M21" s="176"/>
      <c r="N21" s="176"/>
      <c r="O21" s="176"/>
      <c r="P21" s="176"/>
      <c r="Q21" s="177"/>
      <c r="R21" s="176"/>
      <c r="S21" s="177"/>
      <c r="T21" s="177"/>
      <c r="U21" s="176"/>
      <c r="V21" s="176"/>
      <c r="W21" s="176"/>
      <c r="X21" s="177"/>
      <c r="Y21" s="176"/>
      <c r="Z21" s="178"/>
      <c r="AA21" s="176"/>
      <c r="AB21" s="176"/>
      <c r="AC21" s="176"/>
      <c r="AD21" s="176"/>
      <c r="AE21" s="177"/>
      <c r="AF21" s="168" t="str">
        <f aca="false">A21</f>
        <v>in</v>
      </c>
      <c r="AG21" s="146"/>
      <c r="AH21" s="179"/>
      <c r="AI21" s="180"/>
      <c r="AJ21" s="172"/>
      <c r="AK21" s="172"/>
      <c r="AL21" s="172"/>
      <c r="AM21" s="171"/>
      <c r="AN21" s="172"/>
      <c r="AO21" s="172"/>
      <c r="AP21" s="39"/>
    </row>
    <row r="22" s="148" customFormat="true" ht="15" hidden="true" customHeight="true" outlineLevel="1" collapsed="false">
      <c r="A22" s="175" t="s">
        <v>129</v>
      </c>
      <c r="B22" s="176"/>
      <c r="C22" s="176"/>
      <c r="D22" s="176"/>
      <c r="E22" s="177"/>
      <c r="F22" s="176"/>
      <c r="G22" s="176"/>
      <c r="H22" s="176"/>
      <c r="I22" s="176"/>
      <c r="J22" s="177"/>
      <c r="K22" s="176"/>
      <c r="L22" s="177"/>
      <c r="M22" s="176"/>
      <c r="N22" s="176"/>
      <c r="O22" s="176"/>
      <c r="P22" s="176"/>
      <c r="Q22" s="177"/>
      <c r="R22" s="176"/>
      <c r="S22" s="177"/>
      <c r="T22" s="177"/>
      <c r="U22" s="176"/>
      <c r="V22" s="176"/>
      <c r="W22" s="176"/>
      <c r="X22" s="177"/>
      <c r="Y22" s="176"/>
      <c r="Z22" s="178"/>
      <c r="AA22" s="176"/>
      <c r="AB22" s="176"/>
      <c r="AC22" s="176"/>
      <c r="AD22" s="176"/>
      <c r="AE22" s="177"/>
      <c r="AF22" s="168" t="str">
        <f aca="false">A22</f>
        <v>out</v>
      </c>
      <c r="AG22" s="146"/>
      <c r="AH22" s="179"/>
      <c r="AI22" s="180"/>
      <c r="AJ22" s="172"/>
      <c r="AK22" s="172"/>
      <c r="AL22" s="172"/>
      <c r="AM22" s="171"/>
      <c r="AN22" s="172"/>
      <c r="AO22" s="172"/>
      <c r="AP22" s="39"/>
    </row>
    <row r="23" s="148" customFormat="true" ht="15" hidden="false" customHeight="true" outlineLevel="0" collapsed="false">
      <c r="A23" s="181" t="s">
        <v>130</v>
      </c>
      <c r="B23" s="182" t="n">
        <f aca="false">ROUND((B14-B13)+(B16-B15)+(B18-B17)+(B20-B19)+(B22-B21),9)</f>
        <v>0</v>
      </c>
      <c r="C23" s="182" t="n">
        <f aca="false">ROUND((C14-C13)+(C16-C15)+(C18-C17)+(C20-C19)+(C22-C21),9)</f>
        <v>0</v>
      </c>
      <c r="D23" s="182" t="n">
        <f aca="false">ROUND((D14-D13)+(D16-D15)+(D18-D17)+(D20-D19)+(D22-D21),9)</f>
        <v>0</v>
      </c>
      <c r="E23" s="182" t="n">
        <f aca="false">ROUND((E14-E13)+(E16-E15)+(E18-E17)+(E20-E19)+(E22-E21),9)</f>
        <v>0</v>
      </c>
      <c r="F23" s="182" t="n">
        <f aca="false">ROUND((F14-F13)+(F16-F15)+(F18-F17)+(F20-F19)+(F22-F21),9)</f>
        <v>0</v>
      </c>
      <c r="G23" s="182" t="n">
        <f aca="false">ROUND((G14-G13)+(G16-G15)+(G18-G17)+(G20-G19)+(G22-G21),9)</f>
        <v>0</v>
      </c>
      <c r="H23" s="182" t="n">
        <f aca="false">ROUND((H14-H13)+(H16-H15)+(H18-H17)+(H20-H19)+(H22-H21),9)</f>
        <v>0</v>
      </c>
      <c r="I23" s="182" t="n">
        <f aca="false">ROUND((I14-I13)+(I16-I15)+(I18-I17)+(I20-I19)+(I22-I21),9)</f>
        <v>0</v>
      </c>
      <c r="J23" s="182" t="n">
        <f aca="false">ROUND((J14-J13)+(J16-J15)+(J18-J17)+(J20-J19)+(J22-J21),9)</f>
        <v>0</v>
      </c>
      <c r="K23" s="182" t="n">
        <f aca="false">ROUND((K14-K13)+(K16-K15)+(K18-K17)+(K20-K19)+(K22-K21),9)</f>
        <v>0</v>
      </c>
      <c r="L23" s="182" t="n">
        <f aca="false">ROUND((L14-L13)+(L16-L15)+(L18-L17)+(L20-L19)+(L22-L21),9)</f>
        <v>0</v>
      </c>
      <c r="M23" s="182" t="n">
        <f aca="false">ROUND((M14-M13)+(M16-M15)+(M18-M17)+(M20-M19)+(M22-M21),9)</f>
        <v>0</v>
      </c>
      <c r="N23" s="182" t="n">
        <f aca="false">ROUND((N14-N13)+(N16-N15)+(N18-N17)+(N20-N19)+(N22-N21),9)</f>
        <v>0</v>
      </c>
      <c r="O23" s="182" t="n">
        <f aca="false">ROUND((O14-O13)+(O16-O15)+(O18-O17)+(O20-O19)+(O22-O21),9)</f>
        <v>0</v>
      </c>
      <c r="P23" s="182" t="n">
        <f aca="false">ROUND((P14-P13)+(P16-P15)+(P18-P17)+(P20-P19)+(P22-P21),9)</f>
        <v>0</v>
      </c>
      <c r="Q23" s="182" t="n">
        <f aca="false">ROUND((Q14-Q13)+(Q16-Q15)+(Q18-Q17)+(Q20-Q19)+(Q22-Q21),9)</f>
        <v>0</v>
      </c>
      <c r="R23" s="182" t="n">
        <f aca="false">ROUND((R14-R13)+(R16-R15)+(R18-R17)+(R20-R19)+(R22-R21),9)</f>
        <v>0</v>
      </c>
      <c r="S23" s="182" t="n">
        <f aca="false">ROUND((S14-S13)+(S16-S15)+(S18-S17)+(S20-S19)+(S22-S21),9)</f>
        <v>0</v>
      </c>
      <c r="T23" s="182" t="n">
        <f aca="false">ROUND((T14-T13)+(T16-T15)+(T18-T17)+(T20-T19)+(T22-T21),9)</f>
        <v>0</v>
      </c>
      <c r="U23" s="182" t="n">
        <f aca="false">ROUND((U14-U13)+(U16-U15)+(U18-U17)+(U20-U19)+(U22-U21),9)</f>
        <v>0</v>
      </c>
      <c r="V23" s="182" t="n">
        <f aca="false">ROUND((V14-V13)+(V16-V15)+(V18-V17)+(V20-V19)+(V22-V21),9)</f>
        <v>0</v>
      </c>
      <c r="W23" s="182" t="n">
        <f aca="false">ROUND((W14-W13)+(W16-W15)+(W18-W17)+(W20-W19)+(W22-W21),9)</f>
        <v>0</v>
      </c>
      <c r="X23" s="182" t="n">
        <f aca="false">ROUND((X14-X13)+(X16-X15)+(X18-X17)+(X20-X19)+(X22-X21),9)</f>
        <v>0</v>
      </c>
      <c r="Y23" s="182" t="n">
        <f aca="false">ROUND((Y14-Y13)+(Y16-Y15)+(Y18-Y17)+(Y20-Y19)+(Y22-Y21),9)</f>
        <v>0</v>
      </c>
      <c r="Z23" s="182" t="n">
        <f aca="false">ROUND((Z14-Z13)+(Z16-Z15)+(Z18-Z17)+(Z20-Z19)+(Z22-Z21),9)</f>
        <v>0</v>
      </c>
      <c r="AA23" s="182" t="n">
        <f aca="false">ROUND((AA14-AA13)+(AA16-AA15)+(AA18-AA17)+(AA20-AA19)+(AA22-AA21),9)</f>
        <v>0</v>
      </c>
      <c r="AB23" s="182" t="n">
        <f aca="false">ROUND((AB14-AB13)+(AB16-AB15)+(AB18-AB17)+(AB20-AB19)+(AB22-AB21),9)</f>
        <v>0</v>
      </c>
      <c r="AC23" s="182" t="n">
        <f aca="false">ROUND((AC14-AC13)+(AC16-AC15)+(AC18-AC17)+(AC20-AC19)+(AC22-AC21),9)</f>
        <v>0</v>
      </c>
      <c r="AD23" s="182" t="n">
        <f aca="false">ROUND((AD14-AD13)+(AD16-AD15)+(AD18-AD17)+(AD20-AD19)+(AD22-AD21),9)</f>
        <v>0</v>
      </c>
      <c r="AE23" s="182" t="n">
        <f aca="false">ROUND((AE14-AE13)+(AE16-AE15)+(AE18-AE17)+(AE20-AE19)+(AE22-AE21),9)</f>
        <v>0</v>
      </c>
      <c r="AF23" s="183" t="str">
        <f aca="false">A23</f>
        <v>Total in/out</v>
      </c>
      <c r="AG23" s="184"/>
      <c r="AH23" s="185" t="n">
        <f aca="false">SUM(B23:AE23)</f>
        <v>0</v>
      </c>
      <c r="AI23" s="180"/>
      <c r="AJ23" s="172"/>
      <c r="AK23" s="172"/>
      <c r="AL23" s="172"/>
      <c r="AM23" s="171"/>
      <c r="AN23" s="172"/>
      <c r="AO23" s="172"/>
      <c r="AP23" s="39"/>
    </row>
    <row r="24" s="148" customFormat="true" ht="3.75" hidden="true" customHeight="true" outlineLevel="1" collapsed="false">
      <c r="A24" s="186"/>
      <c r="B24" s="187"/>
      <c r="C24" s="187"/>
      <c r="D24" s="187"/>
      <c r="E24" s="187"/>
      <c r="F24" s="187"/>
      <c r="G24" s="187"/>
      <c r="H24" s="187"/>
      <c r="I24" s="187"/>
      <c r="J24" s="187"/>
      <c r="K24" s="187"/>
      <c r="L24" s="187"/>
      <c r="M24" s="187"/>
      <c r="N24" s="187"/>
      <c r="O24" s="187"/>
      <c r="P24" s="187"/>
      <c r="Q24" s="187"/>
      <c r="R24" s="187"/>
      <c r="S24" s="187"/>
      <c r="T24" s="187"/>
      <c r="U24" s="187"/>
      <c r="V24" s="187"/>
      <c r="W24" s="187"/>
      <c r="X24" s="187"/>
      <c r="Y24" s="187"/>
      <c r="Z24" s="187"/>
      <c r="AA24" s="187"/>
      <c r="AB24" s="187"/>
      <c r="AC24" s="187"/>
      <c r="AD24" s="187"/>
      <c r="AE24" s="187"/>
      <c r="AF24" s="168"/>
      <c r="AG24" s="146"/>
      <c r="AH24" s="179"/>
      <c r="AI24" s="180"/>
      <c r="AJ24" s="172"/>
      <c r="AK24" s="172"/>
      <c r="AL24" s="172"/>
      <c r="AM24" s="171"/>
      <c r="AN24" s="172"/>
      <c r="AO24" s="172"/>
      <c r="AP24" s="39"/>
    </row>
    <row r="25" s="148" customFormat="true" ht="15" hidden="true" customHeight="true" outlineLevel="1" collapsed="false">
      <c r="A25" s="175" t="s">
        <v>131</v>
      </c>
      <c r="B25" s="176"/>
      <c r="C25" s="176"/>
      <c r="D25" s="176"/>
      <c r="E25" s="189"/>
      <c r="F25" s="176"/>
      <c r="G25" s="176"/>
      <c r="H25" s="176"/>
      <c r="I25" s="176"/>
      <c r="J25" s="176"/>
      <c r="K25" s="176"/>
      <c r="L25" s="176"/>
      <c r="M25" s="176"/>
      <c r="N25" s="176"/>
      <c r="O25" s="176"/>
      <c r="P25" s="176"/>
      <c r="Q25" s="176"/>
      <c r="R25" s="176"/>
      <c r="S25" s="176"/>
      <c r="T25" s="176"/>
      <c r="U25" s="176"/>
      <c r="V25" s="176"/>
      <c r="W25" s="176"/>
      <c r="X25" s="176"/>
      <c r="Y25" s="176"/>
      <c r="Z25" s="190"/>
      <c r="AA25" s="176"/>
      <c r="AB25" s="176"/>
      <c r="AC25" s="176"/>
      <c r="AD25" s="176"/>
      <c r="AE25" s="176"/>
      <c r="AF25" s="168" t="str">
        <f aca="false">A25</f>
        <v>paid break in</v>
      </c>
      <c r="AG25" s="146"/>
      <c r="AH25" s="179"/>
      <c r="AI25" s="180"/>
      <c r="AJ25" s="172"/>
      <c r="AK25" s="172"/>
      <c r="AL25" s="172"/>
      <c r="AM25" s="171"/>
      <c r="AN25" s="172"/>
      <c r="AO25" s="172"/>
      <c r="AP25" s="39"/>
    </row>
    <row r="26" s="148" customFormat="true" ht="15" hidden="true" customHeight="true" outlineLevel="1" collapsed="false">
      <c r="A26" s="175" t="s">
        <v>132</v>
      </c>
      <c r="B26" s="176"/>
      <c r="C26" s="176"/>
      <c r="D26" s="176"/>
      <c r="E26" s="176"/>
      <c r="F26" s="176"/>
      <c r="G26" s="176"/>
      <c r="H26" s="176"/>
      <c r="I26" s="176"/>
      <c r="J26" s="176"/>
      <c r="K26" s="176"/>
      <c r="L26" s="176"/>
      <c r="M26" s="176"/>
      <c r="N26" s="176"/>
      <c r="O26" s="176"/>
      <c r="P26" s="176"/>
      <c r="Q26" s="176"/>
      <c r="R26" s="176"/>
      <c r="S26" s="176"/>
      <c r="T26" s="176"/>
      <c r="U26" s="176"/>
      <c r="V26" s="176"/>
      <c r="W26" s="176"/>
      <c r="X26" s="176"/>
      <c r="Y26" s="176"/>
      <c r="Z26" s="190"/>
      <c r="AA26" s="176"/>
      <c r="AB26" s="176"/>
      <c r="AC26" s="176"/>
      <c r="AD26" s="176"/>
      <c r="AE26" s="176"/>
      <c r="AF26" s="168" t="str">
        <f aca="false">A26</f>
        <v>paid break out</v>
      </c>
      <c r="AG26" s="146"/>
      <c r="AH26" s="179"/>
      <c r="AI26" s="180"/>
      <c r="AJ26" s="172"/>
      <c r="AK26" s="172"/>
      <c r="AL26" s="172"/>
      <c r="AM26" s="171"/>
      <c r="AN26" s="172"/>
      <c r="AO26" s="172"/>
      <c r="AP26" s="39"/>
    </row>
    <row r="27" s="148" customFormat="true" ht="15" hidden="true" customHeight="true" outlineLevel="1" collapsed="false">
      <c r="A27" s="175" t="s">
        <v>131</v>
      </c>
      <c r="B27" s="176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90"/>
      <c r="AA27" s="176"/>
      <c r="AB27" s="176"/>
      <c r="AC27" s="176"/>
      <c r="AD27" s="176"/>
      <c r="AE27" s="176"/>
      <c r="AF27" s="168" t="str">
        <f aca="false">A27</f>
        <v>paid break in</v>
      </c>
      <c r="AG27" s="146"/>
      <c r="AH27" s="179"/>
      <c r="AI27" s="180"/>
      <c r="AJ27" s="172"/>
      <c r="AK27" s="172"/>
      <c r="AL27" s="172"/>
      <c r="AM27" s="171"/>
      <c r="AN27" s="172"/>
      <c r="AO27" s="172"/>
      <c r="AP27" s="39"/>
    </row>
    <row r="28" s="148" customFormat="true" ht="15" hidden="true" customHeight="true" outlineLevel="1" collapsed="false">
      <c r="A28" s="175" t="s">
        <v>132</v>
      </c>
      <c r="B28" s="176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90"/>
      <c r="AA28" s="176"/>
      <c r="AB28" s="176"/>
      <c r="AC28" s="176"/>
      <c r="AD28" s="176"/>
      <c r="AE28" s="176"/>
      <c r="AF28" s="168" t="str">
        <f aca="false">A28</f>
        <v>paid break out</v>
      </c>
      <c r="AG28" s="146"/>
      <c r="AH28" s="179"/>
      <c r="AI28" s="180"/>
      <c r="AJ28" s="172"/>
      <c r="AK28" s="172"/>
      <c r="AL28" s="172"/>
      <c r="AM28" s="171"/>
      <c r="AN28" s="172"/>
      <c r="AO28" s="172"/>
      <c r="AP28" s="39"/>
    </row>
    <row r="29" s="148" customFormat="true" ht="15" hidden="true" customHeight="true" outlineLevel="1" collapsed="false">
      <c r="A29" s="175" t="s">
        <v>131</v>
      </c>
      <c r="B29" s="176"/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90"/>
      <c r="AA29" s="176"/>
      <c r="AB29" s="176"/>
      <c r="AC29" s="176"/>
      <c r="AD29" s="176"/>
      <c r="AE29" s="176"/>
      <c r="AF29" s="168" t="str">
        <f aca="false">A29</f>
        <v>paid break in</v>
      </c>
      <c r="AG29" s="146"/>
      <c r="AH29" s="179"/>
      <c r="AI29" s="180"/>
      <c r="AJ29" s="172"/>
      <c r="AK29" s="172"/>
      <c r="AL29" s="172"/>
      <c r="AM29" s="171"/>
      <c r="AN29" s="172"/>
      <c r="AO29" s="172"/>
      <c r="AP29" s="39"/>
    </row>
    <row r="30" s="148" customFormat="true" ht="15" hidden="true" customHeight="true" outlineLevel="1" collapsed="false">
      <c r="A30" s="175" t="s">
        <v>132</v>
      </c>
      <c r="B30" s="176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90"/>
      <c r="AA30" s="176"/>
      <c r="AB30" s="176"/>
      <c r="AC30" s="176"/>
      <c r="AD30" s="176"/>
      <c r="AE30" s="176"/>
      <c r="AF30" s="168" t="str">
        <f aca="false">A30</f>
        <v>paid break out</v>
      </c>
      <c r="AG30" s="146"/>
      <c r="AH30" s="179"/>
      <c r="AI30" s="180"/>
      <c r="AJ30" s="172"/>
      <c r="AK30" s="172"/>
      <c r="AL30" s="172"/>
      <c r="AM30" s="171"/>
      <c r="AN30" s="172"/>
      <c r="AO30" s="172"/>
      <c r="AP30" s="39"/>
    </row>
    <row r="31" s="148" customFormat="true" ht="3.75" hidden="true" customHeight="true" outlineLevel="1" collapsed="false">
      <c r="A31" s="186"/>
      <c r="B31" s="191"/>
      <c r="C31" s="191"/>
      <c r="D31" s="191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  <c r="AA31" s="191"/>
      <c r="AB31" s="191"/>
      <c r="AC31" s="191"/>
      <c r="AD31" s="191"/>
      <c r="AE31" s="191"/>
      <c r="AF31" s="168"/>
      <c r="AG31" s="146"/>
      <c r="AH31" s="179"/>
      <c r="AI31" s="180"/>
      <c r="AJ31" s="172"/>
      <c r="AK31" s="172"/>
      <c r="AL31" s="172"/>
      <c r="AM31" s="171"/>
      <c r="AN31" s="172"/>
      <c r="AO31" s="172"/>
      <c r="AP31" s="39"/>
    </row>
    <row r="32" s="148" customFormat="true" ht="15" hidden="true" customHeight="true" outlineLevel="1" collapsed="false">
      <c r="A32" s="181" t="s">
        <v>133</v>
      </c>
      <c r="B32" s="193" t="n">
        <f aca="false">ROUND(IF(MAX(0,B15-B14)&lt;1/24/60*180,MAX(0,B15-B14),0)+IF(MAX(0,B17-B16)&lt;1/24/60*180,MAX(0,B17-B16),0)+IF(MAX(0,B19-B18)&lt;1/24/60*180,MAX(0,B19-B18),0)+IF(MAX(0,B21-B20)&lt;1/24/60*180,MAX(0,B21-B20))+MAX(0,B26-B25)+MAX(0,B28-B27)+MAX(0,B30-B29),9)</f>
        <v>0</v>
      </c>
      <c r="C32" s="193" t="n">
        <f aca="false">ROUND(IF(MAX(0,C15-C14)&lt;1/24/60*180,MAX(0,C15-C14),0)+IF(MAX(0,C17-C16)&lt;1/24/60*180,MAX(0,C17-C16),0)+IF(MAX(0,C19-C18)&lt;1/24/60*180,MAX(0,C19-C18),0)+IF(MAX(0,C21-C20)&lt;1/24/60*180,MAX(0,C21-C20))+MAX(0,C26-C25)+MAX(0,C28-C27)+MAX(0,C30-C29),9)</f>
        <v>0</v>
      </c>
      <c r="D32" s="193" t="n">
        <f aca="false">ROUND(IF(MAX(0,D15-D14)&lt;1/24/60*180,MAX(0,D15-D14),0)+IF(MAX(0,D17-D16)&lt;1/24/60*180,MAX(0,D17-D16),0)+IF(MAX(0,D19-D18)&lt;1/24/60*180,MAX(0,D19-D18),0)+IF(MAX(0,D21-D20)&lt;1/24/60*180,MAX(0,D21-D20))+MAX(0,D26-D25)+MAX(0,D28-D27)+MAX(0,D30-D29),9)</f>
        <v>0</v>
      </c>
      <c r="E32" s="193" t="n">
        <f aca="false">ROUND(IF(MAX(0,E15-E14)&lt;1/24/60*180,MAX(0,E15-E14),0)+IF(MAX(0,E17-E16)&lt;1/24/60*180,MAX(0,E17-E16),0)+IF(MAX(0,E19-E18)&lt;1/24/60*180,MAX(0,E19-E18),0)+IF(MAX(0,E21-E20)&lt;1/24/60*180,MAX(0,E21-E20))+MAX(0,E26-E25)+MAX(0,E28-E27)+MAX(0,E30-E29),9)</f>
        <v>0</v>
      </c>
      <c r="F32" s="193" t="n">
        <f aca="false">ROUND(IF(MAX(0,F15-F14)&lt;1/24/60*180,MAX(0,F15-F14),0)+IF(MAX(0,F17-F16)&lt;1/24/60*180,MAX(0,F17-F16),0)+IF(MAX(0,F19-F18)&lt;1/24/60*180,MAX(0,F19-F18),0)+IF(MAX(0,F21-F20)&lt;1/24/60*180,MAX(0,F21-F20))+MAX(0,F26-F25)+MAX(0,F28-F27)+MAX(0,F30-F29),9)</f>
        <v>0</v>
      </c>
      <c r="G32" s="193" t="n">
        <f aca="false">ROUND(IF(MAX(0,G15-G14)&lt;1/24/60*180,MAX(0,G15-G14),0)+IF(MAX(0,G17-G16)&lt;1/24/60*180,MAX(0,G17-G16),0)+IF(MAX(0,G19-G18)&lt;1/24/60*180,MAX(0,G19-G18),0)+IF(MAX(0,G21-G20)&lt;1/24/60*180,MAX(0,G21-G20))+MAX(0,G26-G25)+MAX(0,G28-G27)+MAX(0,G30-G29),9)</f>
        <v>0</v>
      </c>
      <c r="H32" s="193" t="n">
        <f aca="false">ROUND(IF(MAX(0,H15-H14)&lt;1/24/60*180,MAX(0,H15-H14),0)+IF(MAX(0,H17-H16)&lt;1/24/60*180,MAX(0,H17-H16),0)+IF(MAX(0,H19-H18)&lt;1/24/60*180,MAX(0,H19-H18),0)+IF(MAX(0,H21-H20)&lt;1/24/60*180,MAX(0,H21-H20))+MAX(0,H26-H25)+MAX(0,H28-H27)+MAX(0,H30-H29),9)</f>
        <v>0</v>
      </c>
      <c r="I32" s="193" t="n">
        <f aca="false">ROUND(IF(MAX(0,I15-I14)&lt;1/24/60*180,MAX(0,I15-I14),0)+IF(MAX(0,I17-I16)&lt;1/24/60*180,MAX(0,I17-I16),0)+IF(MAX(0,I19-I18)&lt;1/24/60*180,MAX(0,I19-I18),0)+IF(MAX(0,I21-I20)&lt;1/24/60*180,MAX(0,I21-I20))+MAX(0,I26-I25)+MAX(0,I28-I27)+MAX(0,I30-I29),9)</f>
        <v>0</v>
      </c>
      <c r="J32" s="193" t="n">
        <f aca="false">ROUND(IF(MAX(0,J15-J14)&lt;1/24/60*180,MAX(0,J15-J14),0)+IF(MAX(0,J17-J16)&lt;1/24/60*180,MAX(0,J17-J16),0)+IF(MAX(0,J19-J18)&lt;1/24/60*180,MAX(0,J19-J18),0)+IF(MAX(0,J21-J20)&lt;1/24/60*180,MAX(0,J21-J20))+MAX(0,J26-J25)+MAX(0,J28-J27)+MAX(0,J30-J29),9)</f>
        <v>0</v>
      </c>
      <c r="K32" s="193" t="n">
        <f aca="false">ROUND(IF(MAX(0,K15-K14)&lt;1/24/60*180,MAX(0,K15-K14),0)+IF(MAX(0,K17-K16)&lt;1/24/60*180,MAX(0,K17-K16),0)+IF(MAX(0,K19-K18)&lt;1/24/60*180,MAX(0,K19-K18),0)+IF(MAX(0,K21-K20)&lt;1/24/60*180,MAX(0,K21-K20))+MAX(0,K26-K25)+MAX(0,K28-K27)+MAX(0,K30-K29),9)</f>
        <v>0</v>
      </c>
      <c r="L32" s="193" t="n">
        <f aca="false">ROUND(IF(MAX(0,L15-L14)&lt;1/24/60*180,MAX(0,L15-L14),0)+IF(MAX(0,L17-L16)&lt;1/24/60*180,MAX(0,L17-L16),0)+IF(MAX(0,L19-L18)&lt;1/24/60*180,MAX(0,L19-L18),0)+IF(MAX(0,L21-L20)&lt;1/24/60*180,MAX(0,L21-L20))+MAX(0,L26-L25)+MAX(0,L28-L27)+MAX(0,L30-L29),9)</f>
        <v>0</v>
      </c>
      <c r="M32" s="193" t="n">
        <f aca="false">ROUND(IF(MAX(0,M15-M14)&lt;1/24/60*180,MAX(0,M15-M14),0)+IF(MAX(0,M17-M16)&lt;1/24/60*180,MAX(0,M17-M16),0)+IF(MAX(0,M19-M18)&lt;1/24/60*180,MAX(0,M19-M18),0)+IF(MAX(0,M21-M20)&lt;1/24/60*180,MAX(0,M21-M20))+MAX(0,M26-M25)+MAX(0,M28-M27)+MAX(0,M30-M29),9)</f>
        <v>0</v>
      </c>
      <c r="N32" s="193" t="n">
        <f aca="false">ROUND(IF(MAX(0,N15-N14)&lt;1/24/60*180,MAX(0,N15-N14),0)+IF(MAX(0,N17-N16)&lt;1/24/60*180,MAX(0,N17-N16),0)+IF(MAX(0,N19-N18)&lt;1/24/60*180,MAX(0,N19-N18),0)+IF(MAX(0,N21-N20)&lt;1/24/60*180,MAX(0,N21-N20))+MAX(0,N26-N25)+MAX(0,N28-N27)+MAX(0,N30-N29),9)</f>
        <v>0</v>
      </c>
      <c r="O32" s="193" t="n">
        <f aca="false">ROUND(IF(MAX(0,O15-O14)&lt;1/24/60*180,MAX(0,O15-O14),0)+IF(MAX(0,O17-O16)&lt;1/24/60*180,MAX(0,O17-O16),0)+IF(MAX(0,O19-O18)&lt;1/24/60*180,MAX(0,O19-O18),0)+IF(MAX(0,O21-O20)&lt;1/24/60*180,MAX(0,O21-O20))+MAX(0,O26-O25)+MAX(0,O28-O27)+MAX(0,O30-O29),9)</f>
        <v>0</v>
      </c>
      <c r="P32" s="193" t="n">
        <f aca="false">ROUND(IF(MAX(0,P15-P14)&lt;1/24/60*180,MAX(0,P15-P14),0)+IF(MAX(0,P17-P16)&lt;1/24/60*180,MAX(0,P17-P16),0)+IF(MAX(0,P19-P18)&lt;1/24/60*180,MAX(0,P19-P18),0)+IF(MAX(0,P21-P20)&lt;1/24/60*180,MAX(0,P21-P20))+MAX(0,P26-P25)+MAX(0,P28-P27)+MAX(0,P30-P29),9)</f>
        <v>0</v>
      </c>
      <c r="Q32" s="193" t="n">
        <f aca="false">ROUND(IF(MAX(0,Q15-Q14)&lt;1/24/60*180,MAX(0,Q15-Q14),0)+IF(MAX(0,Q17-Q16)&lt;1/24/60*180,MAX(0,Q17-Q16),0)+IF(MAX(0,Q19-Q18)&lt;1/24/60*180,MAX(0,Q19-Q18),0)+IF(MAX(0,Q21-Q20)&lt;1/24/60*180,MAX(0,Q21-Q20))+MAX(0,Q26-Q25)+MAX(0,Q28-Q27)+MAX(0,Q30-Q29),9)</f>
        <v>0</v>
      </c>
      <c r="R32" s="193" t="n">
        <f aca="false">ROUND(IF(MAX(0,R15-R14)&lt;1/24/60*180,MAX(0,R15-R14),0)+IF(MAX(0,R17-R16)&lt;1/24/60*180,MAX(0,R17-R16),0)+IF(MAX(0,R19-R18)&lt;1/24/60*180,MAX(0,R19-R18),0)+IF(MAX(0,R21-R20)&lt;1/24/60*180,MAX(0,R21-R20))+MAX(0,R26-R25)+MAX(0,R28-R27)+MAX(0,R30-R29),9)</f>
        <v>0</v>
      </c>
      <c r="S32" s="193" t="n">
        <f aca="false">ROUND(IF(MAX(0,S15-S14)&lt;1/24/60*180,MAX(0,S15-S14),0)+IF(MAX(0,S17-S16)&lt;1/24/60*180,MAX(0,S17-S16),0)+IF(MAX(0,S19-S18)&lt;1/24/60*180,MAX(0,S19-S18),0)+IF(MAX(0,S21-S20)&lt;1/24/60*180,MAX(0,S21-S20))+MAX(0,S26-S25)+MAX(0,S28-S27)+MAX(0,S30-S29),9)</f>
        <v>0</v>
      </c>
      <c r="T32" s="193" t="n">
        <f aca="false">ROUND(IF(MAX(0,T15-T14)&lt;1/24/60*180,MAX(0,T15-T14),0)+IF(MAX(0,T17-T16)&lt;1/24/60*180,MAX(0,T17-T16),0)+IF(MAX(0,T19-T18)&lt;1/24/60*180,MAX(0,T19-T18),0)+IF(MAX(0,T21-T20)&lt;1/24/60*180,MAX(0,T21-T20))+MAX(0,T26-T25)+MAX(0,T28-T27)+MAX(0,T30-T29),9)</f>
        <v>0</v>
      </c>
      <c r="U32" s="193" t="n">
        <f aca="false">ROUND(IF(MAX(0,U15-U14)&lt;1/24/60*180,MAX(0,U15-U14),0)+IF(MAX(0,U17-U16)&lt;1/24/60*180,MAX(0,U17-U16),0)+IF(MAX(0,U19-U18)&lt;1/24/60*180,MAX(0,U19-U18),0)+IF(MAX(0,U21-U20)&lt;1/24/60*180,MAX(0,U21-U20))+MAX(0,U26-U25)+MAX(0,U28-U27)+MAX(0,U30-U29),9)</f>
        <v>0</v>
      </c>
      <c r="V32" s="193" t="n">
        <f aca="false">ROUND(IF(MAX(0,V15-V14)&lt;1/24/60*180,MAX(0,V15-V14),0)+IF(MAX(0,V17-V16)&lt;1/24/60*180,MAX(0,V17-V16),0)+IF(MAX(0,V19-V18)&lt;1/24/60*180,MAX(0,V19-V18),0)+IF(MAX(0,V21-V20)&lt;1/24/60*180,MAX(0,V21-V20))+MAX(0,V26-V25)+MAX(0,V28-V27)+MAX(0,V30-V29),9)</f>
        <v>0</v>
      </c>
      <c r="W32" s="193" t="n">
        <f aca="false">ROUND(IF(MAX(0,W15-W14)&lt;1/24/60*180,MAX(0,W15-W14),0)+IF(MAX(0,W17-W16)&lt;1/24/60*180,MAX(0,W17-W16),0)+IF(MAX(0,W19-W18)&lt;1/24/60*180,MAX(0,W19-W18),0)+IF(MAX(0,W21-W20)&lt;1/24/60*180,MAX(0,W21-W20))+MAX(0,W26-W25)+MAX(0,W28-W27)+MAX(0,W30-W29),9)</f>
        <v>0</v>
      </c>
      <c r="X32" s="193" t="n">
        <f aca="false">ROUND(IF(MAX(0,X15-X14)&lt;1/24/60*180,MAX(0,X15-X14),0)+IF(MAX(0,X17-X16)&lt;1/24/60*180,MAX(0,X17-X16),0)+IF(MAX(0,X19-X18)&lt;1/24/60*180,MAX(0,X19-X18),0)+IF(MAX(0,X21-X20)&lt;1/24/60*180,MAX(0,X21-X20))+MAX(0,X26-X25)+MAX(0,X28-X27)+MAX(0,X30-X29),9)</f>
        <v>0</v>
      </c>
      <c r="Y32" s="193" t="n">
        <f aca="false">ROUND(IF(MAX(0,Y15-Y14)&lt;1/24/60*180,MAX(0,Y15-Y14),0)+IF(MAX(0,Y17-Y16)&lt;1/24/60*180,MAX(0,Y17-Y16),0)+IF(MAX(0,Y19-Y18)&lt;1/24/60*180,MAX(0,Y19-Y18),0)+IF(MAX(0,Y21-Y20)&lt;1/24/60*180,MAX(0,Y21-Y20))+MAX(0,Y26-Y25)+MAX(0,Y28-Y27)+MAX(0,Y30-Y29),9)</f>
        <v>0</v>
      </c>
      <c r="Z32" s="193" t="n">
        <f aca="false">ROUND(IF(MAX(0,Z15-Z14)&lt;1/24/60*180,MAX(0,Z15-Z14),0)+IF(MAX(0,Z17-Z16)&lt;1/24/60*180,MAX(0,Z17-Z16),0)+IF(MAX(0,Z19-Z18)&lt;1/24/60*180,MAX(0,Z19-Z18),0)+IF(MAX(0,Z21-Z20)&lt;1/24/60*180,MAX(0,Z21-Z20))+MAX(0,Z26-Z25)+MAX(0,Z28-Z27)+MAX(0,Z30-Z29),9)</f>
        <v>0</v>
      </c>
      <c r="AA32" s="193" t="n">
        <f aca="false">ROUND(IF(MAX(0,AA15-AA14)&lt;1/24/60*180,MAX(0,AA15-AA14),0)+IF(MAX(0,AA17-AA16)&lt;1/24/60*180,MAX(0,AA17-AA16),0)+IF(MAX(0,AA19-AA18)&lt;1/24/60*180,MAX(0,AA19-AA18),0)+IF(MAX(0,AA21-AA20)&lt;1/24/60*180,MAX(0,AA21-AA20))+MAX(0,AA26-AA25)+MAX(0,AA28-AA27)+MAX(0,AA30-AA29),9)</f>
        <v>0</v>
      </c>
      <c r="AB32" s="193" t="n">
        <f aca="false">ROUND(IF(MAX(0,AB15-AB14)&lt;1/24/60*180,MAX(0,AB15-AB14),0)+IF(MAX(0,AB17-AB16)&lt;1/24/60*180,MAX(0,AB17-AB16),0)+IF(MAX(0,AB19-AB18)&lt;1/24/60*180,MAX(0,AB19-AB18),0)+IF(MAX(0,AB21-AB20)&lt;1/24/60*180,MAX(0,AB21-AB20))+MAX(0,AB26-AB25)+MAX(0,AB28-AB27)+MAX(0,AB30-AB29),9)</f>
        <v>0</v>
      </c>
      <c r="AC32" s="193" t="n">
        <f aca="false">ROUND(IF(MAX(0,AC15-AC14)&lt;1/24/60*180,MAX(0,AC15-AC14),0)+IF(MAX(0,AC17-AC16)&lt;1/24/60*180,MAX(0,AC17-AC16),0)+IF(MAX(0,AC19-AC18)&lt;1/24/60*180,MAX(0,AC19-AC18),0)+IF(MAX(0,AC21-AC20)&lt;1/24/60*180,MAX(0,AC21-AC20))+MAX(0,AC26-AC25)+MAX(0,AC28-AC27)+MAX(0,AC30-AC29),9)</f>
        <v>0</v>
      </c>
      <c r="AD32" s="193" t="n">
        <f aca="false">ROUND(IF(MAX(0,AD15-AD14)&lt;1/24/60*180,MAX(0,AD15-AD14),0)+IF(MAX(0,AD17-AD16)&lt;1/24/60*180,MAX(0,AD17-AD16),0)+IF(MAX(0,AD19-AD18)&lt;1/24/60*180,MAX(0,AD19-AD18),0)+IF(MAX(0,AD21-AD20)&lt;1/24/60*180,MAX(0,AD21-AD20))+MAX(0,AD26-AD25)+MAX(0,AD28-AD27)+MAX(0,AD30-AD29),9)</f>
        <v>0</v>
      </c>
      <c r="AE32" s="193" t="n">
        <f aca="false">ROUND(IF(MAX(0,AE15-AE14)&lt;1/24/60*180,MAX(0,AE15-AE14),0)+IF(MAX(0,AE17-AE16)&lt;1/24/60*180,MAX(0,AE17-AE16),0)+IF(MAX(0,AE19-AE18)&lt;1/24/60*180,MAX(0,AE19-AE18),0)+IF(MAX(0,AE21-AE20)&lt;1/24/60*180,MAX(0,AE21-AE20))+MAX(0,AE26-AE25)+MAX(0,AE28-AE27)+MAX(0,AE30-AE29),9)</f>
        <v>0</v>
      </c>
      <c r="AF32" s="183" t="str">
        <f aca="false">A32</f>
        <v>Total breaks (in out/paid)</v>
      </c>
      <c r="AG32" s="184"/>
      <c r="AH32" s="185" t="n">
        <f aca="false">SUM(B32:AE32)</f>
        <v>0</v>
      </c>
      <c r="AI32" s="180"/>
      <c r="AJ32" s="172"/>
      <c r="AK32" s="172"/>
      <c r="AL32" s="172"/>
      <c r="AM32" s="171"/>
      <c r="AN32" s="172"/>
      <c r="AO32" s="172"/>
      <c r="AP32" s="39"/>
    </row>
    <row r="33" s="148" customFormat="true" ht="3.75" hidden="false" customHeight="true" outlineLevel="0" collapsed="false">
      <c r="A33" s="186"/>
      <c r="B33" s="194"/>
      <c r="C33" s="194"/>
      <c r="D33" s="194"/>
      <c r="E33" s="194"/>
      <c r="F33" s="194"/>
      <c r="G33" s="194"/>
      <c r="H33" s="194"/>
      <c r="I33" s="194"/>
      <c r="J33" s="194"/>
      <c r="K33" s="194"/>
      <c r="L33" s="194"/>
      <c r="M33" s="194"/>
      <c r="N33" s="194"/>
      <c r="O33" s="194"/>
      <c r="P33" s="194"/>
      <c r="Q33" s="194"/>
      <c r="R33" s="194"/>
      <c r="S33" s="194"/>
      <c r="T33" s="194"/>
      <c r="U33" s="194"/>
      <c r="V33" s="194"/>
      <c r="W33" s="194"/>
      <c r="X33" s="194"/>
      <c r="Y33" s="194"/>
      <c r="Z33" s="194"/>
      <c r="AA33" s="194"/>
      <c r="AB33" s="194"/>
      <c r="AC33" s="194"/>
      <c r="AD33" s="194"/>
      <c r="AE33" s="194"/>
      <c r="AF33" s="168"/>
      <c r="AG33" s="146"/>
      <c r="AH33" s="179"/>
      <c r="AI33" s="180"/>
      <c r="AJ33" s="172"/>
      <c r="AK33" s="172"/>
      <c r="AL33" s="172"/>
      <c r="AM33" s="171"/>
      <c r="AN33" s="172"/>
      <c r="AO33" s="172"/>
      <c r="AP33" s="39"/>
    </row>
    <row r="34" s="148" customFormat="true" ht="15" hidden="false" customHeight="true" outlineLevel="1" collapsed="false">
      <c r="A34" s="175" t="s">
        <v>134</v>
      </c>
      <c r="B34" s="196" t="str">
        <f aca="true">IF(EB.Anwendung&lt;&gt;"",IF(EB.Wochenarbeitszeit=50/24,INDEX(T.Pikett.Bereich,1),IF(DAY(B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Monat.Pikett,"")))))))))))),IF(A34="B",INDEX(T.Pikett.Bereich,4),IF(A34="E",INDEX(T.Pikett.Bereich,1),A34)))),"")</f>
        <v>No</v>
      </c>
      <c r="C34" s="196" t="str">
        <f aca="true">IF(EB.Anwendung&lt;&gt;"",IF(EB.Wochenarbeitszeit=50/24,INDEX(T.Pikett.Bereich,1),IF(DAY(C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Monat.Pikett,"")))))))))))),IF(B34="B",INDEX(T.Pikett.Bereich,4),IF(B34="E",INDEX(T.Pikett.Bereich,1),B34)))),"")</f>
        <v>No</v>
      </c>
      <c r="D34" s="196" t="str">
        <f aca="true">IF(EB.Anwendung&lt;&gt;"",IF(EB.Wochenarbeitszeit=50/24,INDEX(T.Pikett.Bereich,1),IF(DAY(D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Monat.Pikett,"")))))))))))),IF(C34="B",INDEX(T.Pikett.Bereich,4),IF(C34="E",INDEX(T.Pikett.Bereich,1),C34)))),"")</f>
        <v>No</v>
      </c>
      <c r="E34" s="196" t="str">
        <f aca="true">IF(EB.Anwendung&lt;&gt;"",IF(EB.Wochenarbeitszeit=50/24,INDEX(T.Pikett.Bereich,1),IF(DAY(E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Monat.Pikett,"")))))))))))),IF(D34="B",INDEX(T.Pikett.Bereich,4),IF(D34="E",INDEX(T.Pikett.Bereich,1),D34)))),"")</f>
        <v>No</v>
      </c>
      <c r="F34" s="196" t="str">
        <f aca="true">IF(EB.Anwendung&lt;&gt;"",IF(EB.Wochenarbeitszeit=50/24,INDEX(T.Pikett.Bereich,1),IF(DAY(F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Monat.Pikett,"")))))))))))),IF(E34="B",INDEX(T.Pikett.Bereich,4),IF(E34="E",INDEX(T.Pikett.Bereich,1),E34)))),"")</f>
        <v>No</v>
      </c>
      <c r="G34" s="196" t="str">
        <f aca="true">IF(EB.Anwendung&lt;&gt;"",IF(EB.Wochenarbeitszeit=50/24,INDEX(T.Pikett.Bereich,1),IF(DAY(G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Monat.Pikett,"")))))))))))),IF(F34="B",INDEX(T.Pikett.Bereich,4),IF(F34="E",INDEX(T.Pikett.Bereich,1),F34)))),"")</f>
        <v>No</v>
      </c>
      <c r="H34" s="196" t="str">
        <f aca="true">IF(EB.Anwendung&lt;&gt;"",IF(EB.Wochenarbeitszeit=50/24,INDEX(T.Pikett.Bereich,1),IF(DAY(H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Monat.Pikett,"")))))))))))),IF(G34="B",INDEX(T.Pikett.Bereich,4),IF(G34="E",INDEX(T.Pikett.Bereich,1),G34)))),"")</f>
        <v>No</v>
      </c>
      <c r="I34" s="196" t="str">
        <f aca="true">IF(EB.Anwendung&lt;&gt;"",IF(EB.Wochenarbeitszeit=50/24,INDEX(T.Pikett.Bereich,1),IF(DAY(I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Monat.Pikett,"")))))))))))),IF(H34="B",INDEX(T.Pikett.Bereich,4),IF(H34="E",INDEX(T.Pikett.Bereich,1),H34)))),"")</f>
        <v>No</v>
      </c>
      <c r="J34" s="196" t="str">
        <f aca="true">IF(EB.Anwendung&lt;&gt;"",IF(EB.Wochenarbeitszeit=50/24,INDEX(T.Pikett.Bereich,1),IF(DAY(J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Monat.Pikett,"")))))))))))),IF(I34="B",INDEX(T.Pikett.Bereich,4),IF(I34="E",INDEX(T.Pikett.Bereich,1),I34)))),"")</f>
        <v>No</v>
      </c>
      <c r="K34" s="196" t="str">
        <f aca="true">IF(EB.Anwendung&lt;&gt;"",IF(EB.Wochenarbeitszeit=50/24,INDEX(T.Pikett.Bereich,1),IF(DAY(K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Monat.Pikett,"")))))))))))),IF(J34="B",INDEX(T.Pikett.Bereich,4),IF(J34="E",INDEX(T.Pikett.Bereich,1),J34)))),"")</f>
        <v>No</v>
      </c>
      <c r="L34" s="196" t="str">
        <f aca="true">IF(EB.Anwendung&lt;&gt;"",IF(EB.Wochenarbeitszeit=50/24,INDEX(T.Pikett.Bereich,1),IF(DAY(L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Monat.Pikett,"")))))))))))),IF(K34="B",INDEX(T.Pikett.Bereich,4),IF(K34="E",INDEX(T.Pikett.Bereich,1),K34)))),"")</f>
        <v>No</v>
      </c>
      <c r="M34" s="196" t="str">
        <f aca="true">IF(EB.Anwendung&lt;&gt;"",IF(EB.Wochenarbeitszeit=50/24,INDEX(T.Pikett.Bereich,1),IF(DAY(M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Monat.Pikett,"")))))))))))),IF(L34="B",INDEX(T.Pikett.Bereich,4),IF(L34="E",INDEX(T.Pikett.Bereich,1),L34)))),"")</f>
        <v>No</v>
      </c>
      <c r="N34" s="196" t="str">
        <f aca="true">IF(EB.Anwendung&lt;&gt;"",IF(EB.Wochenarbeitszeit=50/24,INDEX(T.Pikett.Bereich,1),IF(DAY(N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Monat.Pikett,"")))))))))))),IF(M34="B",INDEX(T.Pikett.Bereich,4),IF(M34="E",INDEX(T.Pikett.Bereich,1),M34)))),"")</f>
        <v>No</v>
      </c>
      <c r="O34" s="196" t="str">
        <f aca="true">IF(EB.Anwendung&lt;&gt;"",IF(EB.Wochenarbeitszeit=50/24,INDEX(T.Pikett.Bereich,1),IF(DAY(O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Monat.Pikett,"")))))))))))),IF(N34="B",INDEX(T.Pikett.Bereich,4),IF(N34="E",INDEX(T.Pikett.Bereich,1),N34)))),"")</f>
        <v>No</v>
      </c>
      <c r="P34" s="196" t="str">
        <f aca="true">IF(EB.Anwendung&lt;&gt;"",IF(EB.Wochenarbeitszeit=50/24,INDEX(T.Pikett.Bereich,1),IF(DAY(P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Monat.Pikett,"")))))))))))),IF(O34="B",INDEX(T.Pikett.Bereich,4),IF(O34="E",INDEX(T.Pikett.Bereich,1),O34)))),"")</f>
        <v>No</v>
      </c>
      <c r="Q34" s="196" t="str">
        <f aca="true">IF(EB.Anwendung&lt;&gt;"",IF(EB.Wochenarbeitszeit=50/24,INDEX(T.Pikett.Bereich,1),IF(DAY(Q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Monat.Pikett,"")))))))))))),IF(P34="B",INDEX(T.Pikett.Bereich,4),IF(P34="E",INDEX(T.Pikett.Bereich,1),P34)))),"")</f>
        <v>No</v>
      </c>
      <c r="R34" s="196" t="str">
        <f aca="true">IF(EB.Anwendung&lt;&gt;"",IF(EB.Wochenarbeitszeit=50/24,INDEX(T.Pikett.Bereich,1),IF(DAY(R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Monat.Pikett,"")))))))))))),IF(Q34="B",INDEX(T.Pikett.Bereich,4),IF(Q34="E",INDEX(T.Pikett.Bereich,1),Q34)))),"")</f>
        <v>No</v>
      </c>
      <c r="S34" s="196" t="str">
        <f aca="true">IF(EB.Anwendung&lt;&gt;"",IF(EB.Wochenarbeitszeit=50/24,INDEX(T.Pikett.Bereich,1),IF(DAY(S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Monat.Pikett,"")))))))))))),IF(R34="B",INDEX(T.Pikett.Bereich,4),IF(R34="E",INDEX(T.Pikett.Bereich,1),R34)))),"")</f>
        <v>No</v>
      </c>
      <c r="T34" s="196" t="str">
        <f aca="true">IF(EB.Anwendung&lt;&gt;"",IF(EB.Wochenarbeitszeit=50/24,INDEX(T.Pikett.Bereich,1),IF(DAY(T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Monat.Pikett,"")))))))))))),IF(S34="B",INDEX(T.Pikett.Bereich,4),IF(S34="E",INDEX(T.Pikett.Bereich,1),S34)))),"")</f>
        <v>No</v>
      </c>
      <c r="U34" s="196" t="str">
        <f aca="true">IF(EB.Anwendung&lt;&gt;"",IF(EB.Wochenarbeitszeit=50/24,INDEX(T.Pikett.Bereich,1),IF(DAY(U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Monat.Pikett,"")))))))))))),IF(T34="B",INDEX(T.Pikett.Bereich,4),IF(T34="E",INDEX(T.Pikett.Bereich,1),T34)))),"")</f>
        <v>No</v>
      </c>
      <c r="V34" s="196" t="str">
        <f aca="true">IF(EB.Anwendung&lt;&gt;"",IF(EB.Wochenarbeitszeit=50/24,INDEX(T.Pikett.Bereich,1),IF(DAY(V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Monat.Pikett,"")))))))))))),IF(U34="B",INDEX(T.Pikett.Bereich,4),IF(U34="E",INDEX(T.Pikett.Bereich,1),U34)))),"")</f>
        <v>No</v>
      </c>
      <c r="W34" s="196" t="str">
        <f aca="true">IF(EB.Anwendung&lt;&gt;"",IF(EB.Wochenarbeitszeit=50/24,INDEX(T.Pikett.Bereich,1),IF(DAY(W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Monat.Pikett,"")))))))))))),IF(V34="B",INDEX(T.Pikett.Bereich,4),IF(V34="E",INDEX(T.Pikett.Bereich,1),V34)))),"")</f>
        <v>No</v>
      </c>
      <c r="X34" s="196" t="str">
        <f aca="true">IF(EB.Anwendung&lt;&gt;"",IF(EB.Wochenarbeitszeit=50/24,INDEX(T.Pikett.Bereich,1),IF(DAY(X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Monat.Pikett,"")))))))))))),IF(W34="B",INDEX(T.Pikett.Bereich,4),IF(W34="E",INDEX(T.Pikett.Bereich,1),W34)))),"")</f>
        <v>No</v>
      </c>
      <c r="Y34" s="196" t="str">
        <f aca="true">IF(EB.Anwendung&lt;&gt;"",IF(EB.Wochenarbeitszeit=50/24,INDEX(T.Pikett.Bereich,1),IF(DAY(Y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Monat.Pikett,"")))))))))))),IF(X34="B",INDEX(T.Pikett.Bereich,4),IF(X34="E",INDEX(T.Pikett.Bereich,1),X34)))),"")</f>
        <v>No</v>
      </c>
      <c r="Z34" s="196" t="str">
        <f aca="true">IF(EB.Anwendung&lt;&gt;"",IF(EB.Wochenarbeitszeit=50/24,INDEX(T.Pikett.Bereich,1),IF(DAY(Z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Monat.Pikett,"")))))))))))),IF(Y34="B",INDEX(T.Pikett.Bereich,4),IF(Y34="E",INDEX(T.Pikett.Bereich,1),Y34)))),"")</f>
        <v>No</v>
      </c>
      <c r="AA34" s="196" t="str">
        <f aca="true">IF(EB.Anwendung&lt;&gt;"",IF(EB.Wochenarbeitszeit=50/24,INDEX(T.Pikett.Bereich,1),IF(DAY(AA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Monat.Pikett,"")))))))))))),IF(Z34="B",INDEX(T.Pikett.Bereich,4),IF(Z34="E",INDEX(T.Pikett.Bereich,1),Z34)))),"")</f>
        <v>No</v>
      </c>
      <c r="AB34" s="196" t="str">
        <f aca="true">IF(EB.Anwendung&lt;&gt;"",IF(EB.Wochenarbeitszeit=50/24,INDEX(T.Pikett.Bereich,1),IF(DAY(AB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Monat.Pikett,"")))))))))))),IF(AA34="B",INDEX(T.Pikett.Bereich,4),IF(AA34="E",INDEX(T.Pikett.Bereich,1),AA34)))),"")</f>
        <v>No</v>
      </c>
      <c r="AC34" s="196" t="str">
        <f aca="true">IF(EB.Anwendung&lt;&gt;"",IF(EB.Wochenarbeitszeit=50/24,INDEX(T.Pikett.Bereich,1),IF(DAY(AC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Monat.Pikett,"")))))))))))),IF(AB34="B",INDEX(T.Pikett.Bereich,4),IF(AB34="E",INDEX(T.Pikett.Bereich,1),AB34)))),"")</f>
        <v>No</v>
      </c>
      <c r="AD34" s="196" t="str">
        <f aca="true">IF(EB.Anwendung&lt;&gt;"",IF(EB.Wochenarbeitszeit=50/24,INDEX(T.Pikett.Bereich,1),IF(DAY(AD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Monat.Pikett,"")))))))))))),IF(AC34="B",INDEX(T.Pikett.Bereich,4),IF(AC34="E",INDEX(T.Pikett.Bereich,1),AC34)))),"")</f>
        <v>No</v>
      </c>
      <c r="AE34" s="196" t="str">
        <f aca="true">IF(EB.Anwendung&lt;&gt;"",IF(EB.Wochenarbeitszeit=50/24,INDEX(T.Pikett.Bereich,1),IF(DAY(AE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Monat.Pikett,"")))))))))))),IF(AD34="B",INDEX(T.Pikett.Bereich,4),IF(AD34="E",INDEX(T.Pikett.Bereich,1),AD34)))),"")</f>
        <v>No</v>
      </c>
      <c r="AF34" s="183" t="str">
        <f aca="true">IF(OFFSET(B34,0,DAY(EOMONTH(Monat.Tag1,0))-1,1,1)="B",INDEX(T.Pikett.Bereich,4),IF(OFFSET(B34,0,DAY(EOMONTH(Monat.Tag1,0))-1,1,1)="E",INDEX(T.Pikett.Bereich,1),OFFSET(B34,0,DAY(EOMONTH(Monat.Tag1,0))-1,1,1)))</f>
        <v>No</v>
      </c>
      <c r="AG34" s="197"/>
      <c r="AH34" s="192"/>
      <c r="AI34" s="198" t="str">
        <f aca="true">IF(T.50_Vetsuisse,IFERROR(SUMPRODUCT((B34:AE34=INDEX(T.Pikett.Bereich,4))*((B49:AE49)&lt;1/24*5)),0) &amp; " / " &amp; IFERROR(SUMPRODUCT((B34:AE34=INDEX(T.Pikett.Bereich,4))*((B49:AE49)&gt;=1/24*5)),0) &amp; " / " &amp; IFERROR(SUMPRODUCT((B34:AE34=INDEX(T.Pikett.Bereich,4))*((B49:AE49)&lt;1/24*5)),0) + IFERROR(SUMPRODUCT((B34:AE34=INDEX(T.Pikett.Bereich,4))*((B49:AE49)&gt;=1/24*5)),0), IFERROR(SUMPRODUCT((B34:AE34=INDEX(T.Pikett.Bereich,4))*(WEEKDAY(B10:AE10,2)&lt;6)*(B11:AE11&lt;&gt;0)),0) &amp; " / " &amp; IFERROR(SUMPRODUCT((B34:AE34=INDEX(T.Pikett.Bereich,4))*(WEEKDAY(B10:AE10,2)&gt;5)*(B11:AE11&lt;&gt;0))+SUMPRODUCT((B34:AE34=INDEX(T.Pikett.Bereich,4))*(B11:AE11=0)),0) &amp; " / " &amp; IFERROR(SUMPRODUCT((B34:AE34=INDEX(T.Pikett.Bereich,4))*(WEEKDAY(B10:AE10,2)&lt;6)*(B11:AE11&lt;&gt;0)),0) + IFERROR(SUMPRODUCT((B34:AE34=INDEX(T.Pikett.Bereich,4))*(WEEKDAY(B10:AE10,2)&gt;5)*(B11:AE11&lt;&gt;0))+SUMPRODUCT((B34:AE34=INDEX(T.Pikett.Bereich,4))*(B11:AE11=0)),0))</f>
        <v>0 / 0 / 0</v>
      </c>
      <c r="AJ34" s="172"/>
      <c r="AK34" s="172"/>
      <c r="AL34" s="172"/>
      <c r="AM34" s="171"/>
      <c r="AN34" s="172"/>
      <c r="AO34" s="172"/>
      <c r="AP34" s="39"/>
    </row>
    <row r="35" s="148" customFormat="true" ht="15" hidden="false" customHeight="true" outlineLevel="1" collapsed="false">
      <c r="A35" s="175" t="s">
        <v>128</v>
      </c>
      <c r="B35" s="176"/>
      <c r="C35" s="176"/>
      <c r="D35" s="176"/>
      <c r="E35" s="177"/>
      <c r="F35" s="176"/>
      <c r="G35" s="176"/>
      <c r="H35" s="176"/>
      <c r="I35" s="176"/>
      <c r="J35" s="177"/>
      <c r="K35" s="176"/>
      <c r="L35" s="177"/>
      <c r="M35" s="176"/>
      <c r="N35" s="176"/>
      <c r="O35" s="176"/>
      <c r="P35" s="176"/>
      <c r="Q35" s="177"/>
      <c r="R35" s="176"/>
      <c r="S35" s="177"/>
      <c r="T35" s="177"/>
      <c r="U35" s="176"/>
      <c r="V35" s="176"/>
      <c r="W35" s="176"/>
      <c r="X35" s="177"/>
      <c r="Y35" s="176"/>
      <c r="Z35" s="178"/>
      <c r="AA35" s="176"/>
      <c r="AB35" s="176"/>
      <c r="AC35" s="176"/>
      <c r="AD35" s="176"/>
      <c r="AE35" s="177"/>
      <c r="AF35" s="168" t="str">
        <f aca="false">A35</f>
        <v>in</v>
      </c>
      <c r="AG35" s="146"/>
      <c r="AH35" s="179"/>
      <c r="AI35" s="180"/>
      <c r="AJ35" s="172"/>
      <c r="AK35" s="172"/>
      <c r="AL35" s="172"/>
      <c r="AM35" s="171"/>
      <c r="AN35" s="172"/>
      <c r="AO35" s="172"/>
      <c r="AP35" s="39"/>
    </row>
    <row r="36" s="148" customFormat="true" ht="15" hidden="false" customHeight="true" outlineLevel="1" collapsed="false">
      <c r="A36" s="175" t="s">
        <v>129</v>
      </c>
      <c r="B36" s="176"/>
      <c r="C36" s="176"/>
      <c r="D36" s="176"/>
      <c r="E36" s="177"/>
      <c r="F36" s="176"/>
      <c r="G36" s="176"/>
      <c r="H36" s="176"/>
      <c r="I36" s="176"/>
      <c r="J36" s="177"/>
      <c r="K36" s="176"/>
      <c r="L36" s="177"/>
      <c r="M36" s="176"/>
      <c r="N36" s="176"/>
      <c r="O36" s="176"/>
      <c r="P36" s="176"/>
      <c r="Q36" s="177"/>
      <c r="R36" s="176"/>
      <c r="S36" s="177"/>
      <c r="T36" s="177"/>
      <c r="U36" s="176"/>
      <c r="V36" s="176"/>
      <c r="W36" s="176"/>
      <c r="X36" s="177"/>
      <c r="Y36" s="176"/>
      <c r="Z36" s="178"/>
      <c r="AA36" s="176"/>
      <c r="AB36" s="176"/>
      <c r="AC36" s="176"/>
      <c r="AD36" s="176"/>
      <c r="AE36" s="177"/>
      <c r="AF36" s="168" t="str">
        <f aca="false">A36</f>
        <v>out</v>
      </c>
      <c r="AG36" s="146"/>
      <c r="AH36" s="179"/>
      <c r="AI36" s="180"/>
      <c r="AJ36" s="172"/>
      <c r="AK36" s="172"/>
      <c r="AL36" s="172"/>
      <c r="AM36" s="171"/>
      <c r="AN36" s="172"/>
      <c r="AO36" s="172"/>
      <c r="AP36" s="39"/>
    </row>
    <row r="37" s="148" customFormat="true" ht="15" hidden="false" customHeight="true" outlineLevel="1" collapsed="false">
      <c r="A37" s="175" t="s">
        <v>128</v>
      </c>
      <c r="B37" s="176"/>
      <c r="C37" s="176"/>
      <c r="D37" s="176"/>
      <c r="E37" s="177"/>
      <c r="F37" s="176"/>
      <c r="G37" s="176"/>
      <c r="H37" s="176"/>
      <c r="I37" s="176"/>
      <c r="J37" s="177"/>
      <c r="K37" s="176"/>
      <c r="L37" s="177"/>
      <c r="M37" s="176"/>
      <c r="N37" s="176"/>
      <c r="O37" s="176"/>
      <c r="P37" s="176"/>
      <c r="Q37" s="177"/>
      <c r="R37" s="176"/>
      <c r="S37" s="177"/>
      <c r="T37" s="177"/>
      <c r="U37" s="176"/>
      <c r="V37" s="176"/>
      <c r="W37" s="176"/>
      <c r="X37" s="177"/>
      <c r="Y37" s="176"/>
      <c r="Z37" s="178"/>
      <c r="AA37" s="176"/>
      <c r="AB37" s="176"/>
      <c r="AC37" s="176"/>
      <c r="AD37" s="176"/>
      <c r="AE37" s="177"/>
      <c r="AF37" s="168" t="str">
        <f aca="false">A37</f>
        <v>in</v>
      </c>
      <c r="AG37" s="146"/>
      <c r="AH37" s="179"/>
      <c r="AI37" s="180"/>
      <c r="AJ37" s="172"/>
      <c r="AK37" s="172"/>
      <c r="AL37" s="172"/>
      <c r="AM37" s="171"/>
      <c r="AN37" s="172"/>
      <c r="AO37" s="172"/>
      <c r="AP37" s="39"/>
    </row>
    <row r="38" s="148" customFormat="true" ht="15" hidden="false" customHeight="true" outlineLevel="1" collapsed="false">
      <c r="A38" s="175" t="s">
        <v>129</v>
      </c>
      <c r="B38" s="176"/>
      <c r="C38" s="176"/>
      <c r="D38" s="176"/>
      <c r="E38" s="177"/>
      <c r="F38" s="176"/>
      <c r="G38" s="176"/>
      <c r="H38" s="176"/>
      <c r="I38" s="176"/>
      <c r="J38" s="177"/>
      <c r="K38" s="176"/>
      <c r="L38" s="177"/>
      <c r="M38" s="176"/>
      <c r="N38" s="176"/>
      <c r="O38" s="176"/>
      <c r="P38" s="176"/>
      <c r="Q38" s="177"/>
      <c r="R38" s="176"/>
      <c r="S38" s="177"/>
      <c r="T38" s="177"/>
      <c r="U38" s="176"/>
      <c r="V38" s="176"/>
      <c r="W38" s="176"/>
      <c r="X38" s="177"/>
      <c r="Y38" s="176"/>
      <c r="Z38" s="178"/>
      <c r="AA38" s="176"/>
      <c r="AB38" s="176"/>
      <c r="AC38" s="176"/>
      <c r="AD38" s="176"/>
      <c r="AE38" s="177"/>
      <c r="AF38" s="168" t="str">
        <f aca="false">A38</f>
        <v>out</v>
      </c>
      <c r="AG38" s="146"/>
      <c r="AH38" s="179"/>
      <c r="AI38" s="180"/>
      <c r="AJ38" s="172"/>
      <c r="AK38" s="172"/>
      <c r="AL38" s="172"/>
      <c r="AM38" s="171"/>
      <c r="AN38" s="172"/>
      <c r="AO38" s="172"/>
      <c r="AP38" s="39"/>
    </row>
    <row r="39" s="148" customFormat="true" ht="15" hidden="false" customHeight="true" outlineLevel="1" collapsed="false">
      <c r="A39" s="175" t="s">
        <v>128</v>
      </c>
      <c r="B39" s="176"/>
      <c r="C39" s="176"/>
      <c r="D39" s="176"/>
      <c r="E39" s="177"/>
      <c r="F39" s="176"/>
      <c r="G39" s="176"/>
      <c r="H39" s="176"/>
      <c r="I39" s="176"/>
      <c r="J39" s="177"/>
      <c r="K39" s="176"/>
      <c r="L39" s="177"/>
      <c r="M39" s="176"/>
      <c r="N39" s="176"/>
      <c r="O39" s="176"/>
      <c r="P39" s="176"/>
      <c r="Q39" s="177"/>
      <c r="R39" s="176"/>
      <c r="S39" s="177"/>
      <c r="T39" s="177"/>
      <c r="U39" s="176"/>
      <c r="V39" s="176"/>
      <c r="W39" s="176"/>
      <c r="X39" s="177"/>
      <c r="Y39" s="176"/>
      <c r="Z39" s="178"/>
      <c r="AA39" s="176"/>
      <c r="AB39" s="176"/>
      <c r="AC39" s="176"/>
      <c r="AD39" s="176"/>
      <c r="AE39" s="177"/>
      <c r="AF39" s="168" t="str">
        <f aca="false">A39</f>
        <v>in</v>
      </c>
      <c r="AG39" s="146"/>
      <c r="AH39" s="179"/>
      <c r="AI39" s="180"/>
      <c r="AJ39" s="172"/>
      <c r="AK39" s="172"/>
      <c r="AL39" s="172"/>
      <c r="AM39" s="171"/>
      <c r="AN39" s="172"/>
      <c r="AO39" s="172"/>
      <c r="AP39" s="39"/>
    </row>
    <row r="40" s="148" customFormat="true" ht="15" hidden="false" customHeight="true" outlineLevel="1" collapsed="false">
      <c r="A40" s="175" t="s">
        <v>129</v>
      </c>
      <c r="B40" s="176"/>
      <c r="C40" s="176"/>
      <c r="D40" s="176"/>
      <c r="E40" s="177"/>
      <c r="F40" s="176"/>
      <c r="G40" s="176"/>
      <c r="H40" s="176"/>
      <c r="I40" s="176"/>
      <c r="J40" s="177"/>
      <c r="K40" s="176"/>
      <c r="L40" s="177"/>
      <c r="M40" s="176"/>
      <c r="N40" s="176"/>
      <c r="O40" s="176"/>
      <c r="P40" s="176"/>
      <c r="Q40" s="177"/>
      <c r="R40" s="176"/>
      <c r="S40" s="177"/>
      <c r="T40" s="177"/>
      <c r="U40" s="176"/>
      <c r="V40" s="176"/>
      <c r="W40" s="176"/>
      <c r="X40" s="177"/>
      <c r="Y40" s="176"/>
      <c r="Z40" s="178"/>
      <c r="AA40" s="176"/>
      <c r="AB40" s="176"/>
      <c r="AC40" s="176"/>
      <c r="AD40" s="176"/>
      <c r="AE40" s="177"/>
      <c r="AF40" s="168" t="str">
        <f aca="false">A40</f>
        <v>out</v>
      </c>
      <c r="AG40" s="146"/>
      <c r="AH40" s="179"/>
      <c r="AI40" s="180"/>
      <c r="AJ40" s="172"/>
      <c r="AK40" s="172"/>
      <c r="AL40" s="172"/>
      <c r="AM40" s="171"/>
      <c r="AN40" s="172"/>
      <c r="AO40" s="172"/>
      <c r="AP40" s="39"/>
    </row>
    <row r="41" s="148" customFormat="true" ht="15" hidden="true" customHeight="true" outlineLevel="1" collapsed="false">
      <c r="A41" s="175" t="s">
        <v>128</v>
      </c>
      <c r="B41" s="176"/>
      <c r="C41" s="176"/>
      <c r="D41" s="176"/>
      <c r="E41" s="177"/>
      <c r="F41" s="176"/>
      <c r="G41" s="176"/>
      <c r="H41" s="176"/>
      <c r="I41" s="176"/>
      <c r="J41" s="177"/>
      <c r="K41" s="176"/>
      <c r="L41" s="177"/>
      <c r="M41" s="176"/>
      <c r="N41" s="176"/>
      <c r="O41" s="176"/>
      <c r="P41" s="176"/>
      <c r="Q41" s="177"/>
      <c r="R41" s="176"/>
      <c r="S41" s="177"/>
      <c r="T41" s="177"/>
      <c r="U41" s="176"/>
      <c r="V41" s="176"/>
      <c r="W41" s="176"/>
      <c r="X41" s="177"/>
      <c r="Y41" s="176"/>
      <c r="Z41" s="178"/>
      <c r="AA41" s="176"/>
      <c r="AB41" s="176"/>
      <c r="AC41" s="176"/>
      <c r="AD41" s="176"/>
      <c r="AE41" s="177"/>
      <c r="AF41" s="168" t="str">
        <f aca="false">A41</f>
        <v>in</v>
      </c>
      <c r="AG41" s="146"/>
      <c r="AH41" s="179"/>
      <c r="AI41" s="180"/>
      <c r="AJ41" s="172"/>
      <c r="AK41" s="172"/>
      <c r="AL41" s="172"/>
      <c r="AM41" s="171"/>
      <c r="AN41" s="172"/>
      <c r="AO41" s="172"/>
      <c r="AP41" s="39"/>
    </row>
    <row r="42" s="148" customFormat="true" ht="15" hidden="true" customHeight="true" outlineLevel="1" collapsed="false">
      <c r="A42" s="175" t="s">
        <v>129</v>
      </c>
      <c r="B42" s="176"/>
      <c r="C42" s="176"/>
      <c r="D42" s="176"/>
      <c r="E42" s="177"/>
      <c r="F42" s="176"/>
      <c r="G42" s="176"/>
      <c r="H42" s="176"/>
      <c r="I42" s="176"/>
      <c r="J42" s="177"/>
      <c r="K42" s="176"/>
      <c r="L42" s="177"/>
      <c r="M42" s="176"/>
      <c r="N42" s="176"/>
      <c r="O42" s="176"/>
      <c r="P42" s="176"/>
      <c r="Q42" s="177"/>
      <c r="R42" s="176"/>
      <c r="S42" s="177"/>
      <c r="T42" s="177"/>
      <c r="U42" s="176"/>
      <c r="V42" s="176"/>
      <c r="W42" s="176"/>
      <c r="X42" s="177"/>
      <c r="Y42" s="176"/>
      <c r="Z42" s="178"/>
      <c r="AA42" s="176"/>
      <c r="AB42" s="176"/>
      <c r="AC42" s="176"/>
      <c r="AD42" s="176"/>
      <c r="AE42" s="177"/>
      <c r="AF42" s="168" t="str">
        <f aca="false">A42</f>
        <v>out</v>
      </c>
      <c r="AG42" s="146"/>
      <c r="AH42" s="179"/>
      <c r="AI42" s="180"/>
      <c r="AJ42" s="172"/>
      <c r="AK42" s="172"/>
      <c r="AL42" s="172"/>
      <c r="AM42" s="171"/>
      <c r="AN42" s="172"/>
      <c r="AO42" s="172"/>
      <c r="AP42" s="39"/>
    </row>
    <row r="43" s="148" customFormat="true" ht="15" hidden="true" customHeight="true" outlineLevel="1" collapsed="false">
      <c r="A43" s="175" t="s">
        <v>128</v>
      </c>
      <c r="B43" s="176"/>
      <c r="C43" s="176"/>
      <c r="D43" s="176"/>
      <c r="E43" s="177"/>
      <c r="F43" s="176"/>
      <c r="G43" s="176"/>
      <c r="H43" s="176"/>
      <c r="I43" s="176"/>
      <c r="J43" s="177"/>
      <c r="K43" s="176"/>
      <c r="L43" s="177"/>
      <c r="M43" s="176"/>
      <c r="N43" s="176"/>
      <c r="O43" s="176"/>
      <c r="P43" s="176"/>
      <c r="Q43" s="177"/>
      <c r="R43" s="176"/>
      <c r="S43" s="177"/>
      <c r="T43" s="177"/>
      <c r="U43" s="176"/>
      <c r="V43" s="176"/>
      <c r="W43" s="176"/>
      <c r="X43" s="177"/>
      <c r="Y43" s="176"/>
      <c r="Z43" s="178"/>
      <c r="AA43" s="176"/>
      <c r="AB43" s="176"/>
      <c r="AC43" s="176"/>
      <c r="AD43" s="176"/>
      <c r="AE43" s="177"/>
      <c r="AF43" s="168" t="str">
        <f aca="false">A43</f>
        <v>in</v>
      </c>
      <c r="AG43" s="146"/>
      <c r="AH43" s="179"/>
      <c r="AI43" s="180"/>
      <c r="AJ43" s="172"/>
      <c r="AK43" s="172"/>
      <c r="AL43" s="172"/>
      <c r="AM43" s="171"/>
      <c r="AN43" s="172"/>
      <c r="AO43" s="172"/>
      <c r="AP43" s="39"/>
    </row>
    <row r="44" s="148" customFormat="true" ht="15" hidden="true" customHeight="true" outlineLevel="1" collapsed="false">
      <c r="A44" s="175" t="s">
        <v>129</v>
      </c>
      <c r="B44" s="176"/>
      <c r="C44" s="176"/>
      <c r="D44" s="176"/>
      <c r="E44" s="177"/>
      <c r="F44" s="176"/>
      <c r="G44" s="176"/>
      <c r="H44" s="176"/>
      <c r="I44" s="176"/>
      <c r="J44" s="177"/>
      <c r="K44" s="176"/>
      <c r="L44" s="177"/>
      <c r="M44" s="176"/>
      <c r="N44" s="176"/>
      <c r="O44" s="176"/>
      <c r="P44" s="176"/>
      <c r="Q44" s="177"/>
      <c r="R44" s="176"/>
      <c r="S44" s="177"/>
      <c r="T44" s="177"/>
      <c r="U44" s="176"/>
      <c r="V44" s="176"/>
      <c r="W44" s="176"/>
      <c r="X44" s="177"/>
      <c r="Y44" s="176"/>
      <c r="Z44" s="178"/>
      <c r="AA44" s="176"/>
      <c r="AB44" s="176"/>
      <c r="AC44" s="176"/>
      <c r="AD44" s="176"/>
      <c r="AE44" s="177"/>
      <c r="AF44" s="168" t="str">
        <f aca="false">A44</f>
        <v>out</v>
      </c>
      <c r="AG44" s="146"/>
      <c r="AH44" s="179"/>
      <c r="AI44" s="180"/>
      <c r="AJ44" s="172"/>
      <c r="AK44" s="172"/>
      <c r="AL44" s="172"/>
      <c r="AM44" s="171"/>
      <c r="AN44" s="172"/>
      <c r="AO44" s="172"/>
      <c r="AP44" s="39"/>
    </row>
    <row r="45" s="148" customFormat="true" ht="15" hidden="false" customHeight="true" outlineLevel="1" collapsed="false">
      <c r="A45" s="181" t="s">
        <v>135</v>
      </c>
      <c r="B45" s="182" t="n">
        <f aca="false">ROUND((B36-B35)+(B38-B37)+(B40-B39)+(B42-B41)+(B44-B43),9)</f>
        <v>0</v>
      </c>
      <c r="C45" s="182" t="n">
        <f aca="false">ROUND((C36-C35)+(C38-C37)+(C40-C39)+(C42-C41)+(C44-C43),9)</f>
        <v>0</v>
      </c>
      <c r="D45" s="182" t="n">
        <f aca="false">ROUND((D36-D35)+(D38-D37)+(D40-D39)+(D42-D41)+(D44-D43),9)</f>
        <v>0</v>
      </c>
      <c r="E45" s="182" t="n">
        <f aca="false">ROUND((E36-E35)+(E38-E37)+(E40-E39)+(E42-E41)+(E44-E43),9)</f>
        <v>0</v>
      </c>
      <c r="F45" s="182" t="n">
        <f aca="false">ROUND((F36-F35)+(F38-F37)+(F40-F39)+(F42-F41)+(F44-F43),9)</f>
        <v>0</v>
      </c>
      <c r="G45" s="182" t="n">
        <f aca="false">ROUND((G36-G35)+(G38-G37)+(G40-G39)+(G42-G41)+(G44-G43),9)</f>
        <v>0</v>
      </c>
      <c r="H45" s="182" t="n">
        <f aca="false">ROUND((H36-H35)+(H38-H37)+(H40-H39)+(H42-H41)+(H44-H43),9)</f>
        <v>0</v>
      </c>
      <c r="I45" s="182" t="n">
        <f aca="false">ROUND((I36-I35)+(I38-I37)+(I40-I39)+(I42-I41)+(I44-I43),9)</f>
        <v>0</v>
      </c>
      <c r="J45" s="182" t="n">
        <f aca="false">ROUND((J36-J35)+(J38-J37)+(J40-J39)+(J42-J41)+(J44-J43),9)</f>
        <v>0</v>
      </c>
      <c r="K45" s="182" t="n">
        <f aca="false">ROUND((K36-K35)+(K38-K37)+(K40-K39)+(K42-K41)+(K44-K43),9)</f>
        <v>0</v>
      </c>
      <c r="L45" s="182" t="n">
        <f aca="false">ROUND((L36-L35)+(L38-L37)+(L40-L39)+(L42-L41)+(L44-L43),9)</f>
        <v>0</v>
      </c>
      <c r="M45" s="182" t="n">
        <f aca="false">ROUND((M36-M35)+(M38-M37)+(M40-M39)+(M42-M41)+(M44-M43),9)</f>
        <v>0</v>
      </c>
      <c r="N45" s="182" t="n">
        <f aca="false">ROUND((N36-N35)+(N38-N37)+(N40-N39)+(N42-N41)+(N44-N43),9)</f>
        <v>0</v>
      </c>
      <c r="O45" s="182" t="n">
        <f aca="false">ROUND((O36-O35)+(O38-O37)+(O40-O39)+(O42-O41)+(O44-O43),9)</f>
        <v>0</v>
      </c>
      <c r="P45" s="182" t="n">
        <f aca="false">ROUND((P36-P35)+(P38-P37)+(P40-P39)+(P42-P41)+(P44-P43),9)</f>
        <v>0</v>
      </c>
      <c r="Q45" s="182" t="n">
        <f aca="false">ROUND((Q36-Q35)+(Q38-Q37)+(Q40-Q39)+(Q42-Q41)+(Q44-Q43),9)</f>
        <v>0</v>
      </c>
      <c r="R45" s="182" t="n">
        <f aca="false">ROUND((R36-R35)+(R38-R37)+(R40-R39)+(R42-R41)+(R44-R43),9)</f>
        <v>0</v>
      </c>
      <c r="S45" s="182" t="n">
        <f aca="false">ROUND((S36-S35)+(S38-S37)+(S40-S39)+(S42-S41)+(S44-S43),9)</f>
        <v>0</v>
      </c>
      <c r="T45" s="182" t="n">
        <f aca="false">ROUND((T36-T35)+(T38-T37)+(T40-T39)+(T42-T41)+(T44-T43),9)</f>
        <v>0</v>
      </c>
      <c r="U45" s="182" t="n">
        <f aca="false">ROUND((U36-U35)+(U38-U37)+(U40-U39)+(U42-U41)+(U44-U43),9)</f>
        <v>0</v>
      </c>
      <c r="V45" s="182" t="n">
        <f aca="false">ROUND((V36-V35)+(V38-V37)+(V40-V39)+(V42-V41)+(V44-V43),9)</f>
        <v>0</v>
      </c>
      <c r="W45" s="182" t="n">
        <f aca="false">ROUND((W36-W35)+(W38-W37)+(W40-W39)+(W42-W41)+(W44-W43),9)</f>
        <v>0</v>
      </c>
      <c r="X45" s="182" t="n">
        <f aca="false">ROUND((X36-X35)+(X38-X37)+(X40-X39)+(X42-X41)+(X44-X43),9)</f>
        <v>0</v>
      </c>
      <c r="Y45" s="182" t="n">
        <f aca="false">ROUND((Y36-Y35)+(Y38-Y37)+(Y40-Y39)+(Y42-Y41)+(Y44-Y43),9)</f>
        <v>0</v>
      </c>
      <c r="Z45" s="182" t="n">
        <f aca="false">ROUND((Z36-Z35)+(Z38-Z37)+(Z40-Z39)+(Z42-Z41)+(Z44-Z43),9)</f>
        <v>0</v>
      </c>
      <c r="AA45" s="182" t="n">
        <f aca="false">ROUND((AA36-AA35)+(AA38-AA37)+(AA40-AA39)+(AA42-AA41)+(AA44-AA43),9)</f>
        <v>0</v>
      </c>
      <c r="AB45" s="182" t="n">
        <f aca="false">ROUND((AB36-AB35)+(AB38-AB37)+(AB40-AB39)+(AB42-AB41)+(AB44-AB43),9)</f>
        <v>0</v>
      </c>
      <c r="AC45" s="182" t="n">
        <f aca="false">ROUND((AC36-AC35)+(AC38-AC37)+(AC40-AC39)+(AC42-AC41)+(AC44-AC43),9)</f>
        <v>0</v>
      </c>
      <c r="AD45" s="182" t="n">
        <f aca="false">ROUND((AD36-AD35)+(AD38-AD37)+(AD40-AD39)+(AD42-AD41)+(AD44-AD43),9)</f>
        <v>0</v>
      </c>
      <c r="AE45" s="182" t="n">
        <f aca="false">ROUND((AE36-AE35)+(AE38-AE37)+(AE40-AE39)+(AE42-AE41)+(AE44-AE43),9)</f>
        <v>0</v>
      </c>
      <c r="AF45" s="183" t="str">
        <f aca="false">A45</f>
        <v>Total on call standby in/out</v>
      </c>
      <c r="AG45" s="184"/>
      <c r="AH45" s="185" t="n">
        <f aca="false">SUM(B45:AE45)</f>
        <v>0</v>
      </c>
      <c r="AI45" s="180"/>
      <c r="AJ45" s="172"/>
      <c r="AK45" s="172"/>
      <c r="AL45" s="172"/>
      <c r="AM45" s="171"/>
      <c r="AN45" s="172"/>
      <c r="AO45" s="172"/>
      <c r="AP45" s="39"/>
    </row>
    <row r="46" s="148" customFormat="true" ht="3.75" hidden="false" customHeight="true" outlineLevel="0" collapsed="false">
      <c r="A46" s="186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168"/>
      <c r="AG46" s="146"/>
      <c r="AH46" s="179"/>
      <c r="AI46" s="180"/>
      <c r="AJ46" s="172"/>
      <c r="AK46" s="172"/>
      <c r="AL46" s="172"/>
      <c r="AM46" s="171"/>
      <c r="AN46" s="172"/>
      <c r="AO46" s="172"/>
      <c r="AP46" s="39"/>
    </row>
    <row r="47" s="148" customFormat="true" ht="16.5" hidden="true" customHeight="true" outlineLevel="1" collapsed="false">
      <c r="A47" s="181" t="s">
        <v>136</v>
      </c>
      <c r="B47" s="182" t="n">
        <f aca="false">IF(B45&gt;0,ROUND(B45- IF(B35&lt;T.PikettVetsuissebis,MIN(T.PikettVetsuissebis-B35,B36-B35)+IF(B37&lt;T.PikettVetsuissebis,MIN(T.PikettVetsuissebis-B37,B38-B37)+IF(B39&lt;T.PikettVetsuissebis,MIN(T.PikettVetsuissebis-B39,B40-B39)+IF(B41&lt;T.PikettVetsuissebis,MIN(T.PikettVetsuissebis-B41,B42-B41)+IF(B43&lt;T.PikettVetsuissebis,MIN(T.PikettVetsuissebis-B43,B44-B43),0),0),0),0),0),9),0)</f>
        <v>0</v>
      </c>
      <c r="C47" s="182" t="n">
        <f aca="false">IF(C45&gt;0,ROUND(C45- IF(C35&lt;T.PikettVetsuissebis,MIN(T.PikettVetsuissebis-C35,C36-C35)+IF(C37&lt;T.PikettVetsuissebis,MIN(T.PikettVetsuissebis-C37,C38-C37)+IF(C39&lt;T.PikettVetsuissebis,MIN(T.PikettVetsuissebis-C39,C40-C39)+IF(C41&lt;T.PikettVetsuissebis,MIN(T.PikettVetsuissebis-C41,C42-C41)+IF(C43&lt;T.PikettVetsuissebis,MIN(T.PikettVetsuissebis-C43,C44-C43),0),0),0),0),0),9),0)</f>
        <v>0</v>
      </c>
      <c r="D47" s="182" t="n">
        <f aca="false">IF(D45&gt;0,ROUND(D45- IF(D35&lt;T.PikettVetsuissebis,MIN(T.PikettVetsuissebis-D35,D36-D35)+IF(D37&lt;T.PikettVetsuissebis,MIN(T.PikettVetsuissebis-D37,D38-D37)+IF(D39&lt;T.PikettVetsuissebis,MIN(T.PikettVetsuissebis-D39,D40-D39)+IF(D41&lt;T.PikettVetsuissebis,MIN(T.PikettVetsuissebis-D41,D42-D41)+IF(D43&lt;T.PikettVetsuissebis,MIN(T.PikettVetsuissebis-D43,D44-D43),0),0),0),0),0),9),0)</f>
        <v>0</v>
      </c>
      <c r="E47" s="182" t="n">
        <f aca="false">IF(E45&gt;0,ROUND(E45- IF(E35&lt;T.PikettVetsuissebis,MIN(T.PikettVetsuissebis-E35,E36-E35)+IF(E37&lt;T.PikettVetsuissebis,MIN(T.PikettVetsuissebis-E37,E38-E37)+IF(E39&lt;T.PikettVetsuissebis,MIN(T.PikettVetsuissebis-E39,E40-E39)+IF(E41&lt;T.PikettVetsuissebis,MIN(T.PikettVetsuissebis-E41,E42-E41)+IF(E43&lt;T.PikettVetsuissebis,MIN(T.PikettVetsuissebis-E43,E44-E43),0),0),0),0),0),9),0)</f>
        <v>0</v>
      </c>
      <c r="F47" s="182" t="n">
        <f aca="false">IF(F45&gt;0,ROUND(F45- IF(F35&lt;T.PikettVetsuissebis,MIN(T.PikettVetsuissebis-F35,F36-F35)+IF(F37&lt;T.PikettVetsuissebis,MIN(T.PikettVetsuissebis-F37,F38-F37)+IF(F39&lt;T.PikettVetsuissebis,MIN(T.PikettVetsuissebis-F39,F40-F39)+IF(F41&lt;T.PikettVetsuissebis,MIN(T.PikettVetsuissebis-F41,F42-F41)+IF(F43&lt;T.PikettVetsuissebis,MIN(T.PikettVetsuissebis-F43,F44-F43),0),0),0),0),0),9),0)</f>
        <v>0</v>
      </c>
      <c r="G47" s="182" t="n">
        <f aca="false">IF(G45&gt;0,ROUND(G45- IF(G35&lt;T.PikettVetsuissebis,MIN(T.PikettVetsuissebis-G35,G36-G35)+IF(G37&lt;T.PikettVetsuissebis,MIN(T.PikettVetsuissebis-G37,G38-G37)+IF(G39&lt;T.PikettVetsuissebis,MIN(T.PikettVetsuissebis-G39,G40-G39)+IF(G41&lt;T.PikettVetsuissebis,MIN(T.PikettVetsuissebis-G41,G42-G41)+IF(G43&lt;T.PikettVetsuissebis,MIN(T.PikettVetsuissebis-G43,G44-G43),0),0),0),0),0),9),0)</f>
        <v>0</v>
      </c>
      <c r="H47" s="182" t="n">
        <f aca="false">IF(H45&gt;0,ROUND(H45- IF(H35&lt;T.PikettVetsuissebis,MIN(T.PikettVetsuissebis-H35,H36-H35)+IF(H37&lt;T.PikettVetsuissebis,MIN(T.PikettVetsuissebis-H37,H38-H37)+IF(H39&lt;T.PikettVetsuissebis,MIN(T.PikettVetsuissebis-H39,H40-H39)+IF(H41&lt;T.PikettVetsuissebis,MIN(T.PikettVetsuissebis-H41,H42-H41)+IF(H43&lt;T.PikettVetsuissebis,MIN(T.PikettVetsuissebis-H43,H44-H43),0),0),0),0),0),9),0)</f>
        <v>0</v>
      </c>
      <c r="I47" s="182" t="n">
        <f aca="false">IF(I45&gt;0,ROUND(I45- IF(I35&lt;T.PikettVetsuissebis,MIN(T.PikettVetsuissebis-I35,I36-I35)+IF(I37&lt;T.PikettVetsuissebis,MIN(T.PikettVetsuissebis-I37,I38-I37)+IF(I39&lt;T.PikettVetsuissebis,MIN(T.PikettVetsuissebis-I39,I40-I39)+IF(I41&lt;T.PikettVetsuissebis,MIN(T.PikettVetsuissebis-I41,I42-I41)+IF(I43&lt;T.PikettVetsuissebis,MIN(T.PikettVetsuissebis-I43,I44-I43),0),0),0),0),0),9),0)</f>
        <v>0</v>
      </c>
      <c r="J47" s="182" t="n">
        <f aca="false">IF(J45&gt;0,ROUND(J45- IF(J35&lt;T.PikettVetsuissebis,MIN(T.PikettVetsuissebis-J35,J36-J35)+IF(J37&lt;T.PikettVetsuissebis,MIN(T.PikettVetsuissebis-J37,J38-J37)+IF(J39&lt;T.PikettVetsuissebis,MIN(T.PikettVetsuissebis-J39,J40-J39)+IF(J41&lt;T.PikettVetsuissebis,MIN(T.PikettVetsuissebis-J41,J42-J41)+IF(J43&lt;T.PikettVetsuissebis,MIN(T.PikettVetsuissebis-J43,J44-J43),0),0),0),0),0),9),0)</f>
        <v>0</v>
      </c>
      <c r="K47" s="182" t="n">
        <f aca="false">IF(K45&gt;0,ROUND(K45- IF(K35&lt;T.PikettVetsuissebis,MIN(T.PikettVetsuissebis-K35,K36-K35)+IF(K37&lt;T.PikettVetsuissebis,MIN(T.PikettVetsuissebis-K37,K38-K37)+IF(K39&lt;T.PikettVetsuissebis,MIN(T.PikettVetsuissebis-K39,K40-K39)+IF(K41&lt;T.PikettVetsuissebis,MIN(T.PikettVetsuissebis-K41,K42-K41)+IF(K43&lt;T.PikettVetsuissebis,MIN(T.PikettVetsuissebis-K43,K44-K43),0),0),0),0),0),9),0)</f>
        <v>0</v>
      </c>
      <c r="L47" s="182" t="n">
        <f aca="false">IF(L45&gt;0,ROUND(L45- IF(L35&lt;T.PikettVetsuissebis,MIN(T.PikettVetsuissebis-L35,L36-L35)+IF(L37&lt;T.PikettVetsuissebis,MIN(T.PikettVetsuissebis-L37,L38-L37)+IF(L39&lt;T.PikettVetsuissebis,MIN(T.PikettVetsuissebis-L39,L40-L39)+IF(L41&lt;T.PikettVetsuissebis,MIN(T.PikettVetsuissebis-L41,L42-L41)+IF(L43&lt;T.PikettVetsuissebis,MIN(T.PikettVetsuissebis-L43,L44-L43),0),0),0),0),0),9),0)</f>
        <v>0</v>
      </c>
      <c r="M47" s="182" t="n">
        <f aca="false">IF(M45&gt;0,ROUND(M45- IF(M35&lt;T.PikettVetsuissebis,MIN(T.PikettVetsuissebis-M35,M36-M35)+IF(M37&lt;T.PikettVetsuissebis,MIN(T.PikettVetsuissebis-M37,M38-M37)+IF(M39&lt;T.PikettVetsuissebis,MIN(T.PikettVetsuissebis-M39,M40-M39)+IF(M41&lt;T.PikettVetsuissebis,MIN(T.PikettVetsuissebis-M41,M42-M41)+IF(M43&lt;T.PikettVetsuissebis,MIN(T.PikettVetsuissebis-M43,M44-M43),0),0),0),0),0),9),0)</f>
        <v>0</v>
      </c>
      <c r="N47" s="182" t="n">
        <f aca="false">IF(N45&gt;0,ROUND(N45- IF(N35&lt;T.PikettVetsuissebis,MIN(T.PikettVetsuissebis-N35,N36-N35)+IF(N37&lt;T.PikettVetsuissebis,MIN(T.PikettVetsuissebis-N37,N38-N37)+IF(N39&lt;T.PikettVetsuissebis,MIN(T.PikettVetsuissebis-N39,N40-N39)+IF(N41&lt;T.PikettVetsuissebis,MIN(T.PikettVetsuissebis-N41,N42-N41)+IF(N43&lt;T.PikettVetsuissebis,MIN(T.PikettVetsuissebis-N43,N44-N43),0),0),0),0),0),9),0)</f>
        <v>0</v>
      </c>
      <c r="O47" s="182" t="n">
        <f aca="false">IF(O45&gt;0,ROUND(O45- IF(O35&lt;T.PikettVetsuissebis,MIN(T.PikettVetsuissebis-O35,O36-O35)+IF(O37&lt;T.PikettVetsuissebis,MIN(T.PikettVetsuissebis-O37,O38-O37)+IF(O39&lt;T.PikettVetsuissebis,MIN(T.PikettVetsuissebis-O39,O40-O39)+IF(O41&lt;T.PikettVetsuissebis,MIN(T.PikettVetsuissebis-O41,O42-O41)+IF(O43&lt;T.PikettVetsuissebis,MIN(T.PikettVetsuissebis-O43,O44-O43),0),0),0),0),0),9),0)</f>
        <v>0</v>
      </c>
      <c r="P47" s="182" t="n">
        <f aca="false">IF(P45&gt;0,ROUND(P45- IF(P35&lt;T.PikettVetsuissebis,MIN(T.PikettVetsuissebis-P35,P36-P35)+IF(P37&lt;T.PikettVetsuissebis,MIN(T.PikettVetsuissebis-P37,P38-P37)+IF(P39&lt;T.PikettVetsuissebis,MIN(T.PikettVetsuissebis-P39,P40-P39)+IF(P41&lt;T.PikettVetsuissebis,MIN(T.PikettVetsuissebis-P41,P42-P41)+IF(P43&lt;T.PikettVetsuissebis,MIN(T.PikettVetsuissebis-P43,P44-P43),0),0),0),0),0),9),0)</f>
        <v>0</v>
      </c>
      <c r="Q47" s="182" t="n">
        <f aca="false">IF(Q45&gt;0,ROUND(Q45- IF(Q35&lt;T.PikettVetsuissebis,MIN(T.PikettVetsuissebis-Q35,Q36-Q35)+IF(Q37&lt;T.PikettVetsuissebis,MIN(T.PikettVetsuissebis-Q37,Q38-Q37)+IF(Q39&lt;T.PikettVetsuissebis,MIN(T.PikettVetsuissebis-Q39,Q40-Q39)+IF(Q41&lt;T.PikettVetsuissebis,MIN(T.PikettVetsuissebis-Q41,Q42-Q41)+IF(Q43&lt;T.PikettVetsuissebis,MIN(T.PikettVetsuissebis-Q43,Q44-Q43),0),0),0),0),0),9),0)</f>
        <v>0</v>
      </c>
      <c r="R47" s="182" t="n">
        <f aca="false">IF(R45&gt;0,ROUND(R45- IF(R35&lt;T.PikettVetsuissebis,MIN(T.PikettVetsuissebis-R35,R36-R35)+IF(R37&lt;T.PikettVetsuissebis,MIN(T.PikettVetsuissebis-R37,R38-R37)+IF(R39&lt;T.PikettVetsuissebis,MIN(T.PikettVetsuissebis-R39,R40-R39)+IF(R41&lt;T.PikettVetsuissebis,MIN(T.PikettVetsuissebis-R41,R42-R41)+IF(R43&lt;T.PikettVetsuissebis,MIN(T.PikettVetsuissebis-R43,R44-R43),0),0),0),0),0),9),0)</f>
        <v>0</v>
      </c>
      <c r="S47" s="182" t="n">
        <f aca="false">IF(S45&gt;0,ROUND(S45- IF(S35&lt;T.PikettVetsuissebis,MIN(T.PikettVetsuissebis-S35,S36-S35)+IF(S37&lt;T.PikettVetsuissebis,MIN(T.PikettVetsuissebis-S37,S38-S37)+IF(S39&lt;T.PikettVetsuissebis,MIN(T.PikettVetsuissebis-S39,S40-S39)+IF(S41&lt;T.PikettVetsuissebis,MIN(T.PikettVetsuissebis-S41,S42-S41)+IF(S43&lt;T.PikettVetsuissebis,MIN(T.PikettVetsuissebis-S43,S44-S43),0),0),0),0),0),9),0)</f>
        <v>0</v>
      </c>
      <c r="T47" s="182" t="n">
        <f aca="false">IF(T45&gt;0,ROUND(T45- IF(T35&lt;T.PikettVetsuissebis,MIN(T.PikettVetsuissebis-T35,T36-T35)+IF(T37&lt;T.PikettVetsuissebis,MIN(T.PikettVetsuissebis-T37,T38-T37)+IF(T39&lt;T.PikettVetsuissebis,MIN(T.PikettVetsuissebis-T39,T40-T39)+IF(T41&lt;T.PikettVetsuissebis,MIN(T.PikettVetsuissebis-T41,T42-T41)+IF(T43&lt;T.PikettVetsuissebis,MIN(T.PikettVetsuissebis-T43,T44-T43),0),0),0),0),0),9),0)</f>
        <v>0</v>
      </c>
      <c r="U47" s="182" t="n">
        <f aca="false">IF(U45&gt;0,ROUND(U45- IF(U35&lt;T.PikettVetsuissebis,MIN(T.PikettVetsuissebis-U35,U36-U35)+IF(U37&lt;T.PikettVetsuissebis,MIN(T.PikettVetsuissebis-U37,U38-U37)+IF(U39&lt;T.PikettVetsuissebis,MIN(T.PikettVetsuissebis-U39,U40-U39)+IF(U41&lt;T.PikettVetsuissebis,MIN(T.PikettVetsuissebis-U41,U42-U41)+IF(U43&lt;T.PikettVetsuissebis,MIN(T.PikettVetsuissebis-U43,U44-U43),0),0),0),0),0),9),0)</f>
        <v>0</v>
      </c>
      <c r="V47" s="182" t="n">
        <f aca="false">IF(V45&gt;0,ROUND(V45- IF(V35&lt;T.PikettVetsuissebis,MIN(T.PikettVetsuissebis-V35,V36-V35)+IF(V37&lt;T.PikettVetsuissebis,MIN(T.PikettVetsuissebis-V37,V38-V37)+IF(V39&lt;T.PikettVetsuissebis,MIN(T.PikettVetsuissebis-V39,V40-V39)+IF(V41&lt;T.PikettVetsuissebis,MIN(T.PikettVetsuissebis-V41,V42-V41)+IF(V43&lt;T.PikettVetsuissebis,MIN(T.PikettVetsuissebis-V43,V44-V43),0),0),0),0),0),9),0)</f>
        <v>0</v>
      </c>
      <c r="W47" s="182" t="n">
        <f aca="false">IF(W45&gt;0,ROUND(W45- IF(W35&lt;T.PikettVetsuissebis,MIN(T.PikettVetsuissebis-W35,W36-W35)+IF(W37&lt;T.PikettVetsuissebis,MIN(T.PikettVetsuissebis-W37,W38-W37)+IF(W39&lt;T.PikettVetsuissebis,MIN(T.PikettVetsuissebis-W39,W40-W39)+IF(W41&lt;T.PikettVetsuissebis,MIN(T.PikettVetsuissebis-W41,W42-W41)+IF(W43&lt;T.PikettVetsuissebis,MIN(T.PikettVetsuissebis-W43,W44-W43),0),0),0),0),0),9),0)</f>
        <v>0</v>
      </c>
      <c r="X47" s="182" t="n">
        <f aca="false">IF(X45&gt;0,ROUND(X45- IF(X35&lt;T.PikettVetsuissebis,MIN(T.PikettVetsuissebis-X35,X36-X35)+IF(X37&lt;T.PikettVetsuissebis,MIN(T.PikettVetsuissebis-X37,X38-X37)+IF(X39&lt;T.PikettVetsuissebis,MIN(T.PikettVetsuissebis-X39,X40-X39)+IF(X41&lt;T.PikettVetsuissebis,MIN(T.PikettVetsuissebis-X41,X42-X41)+IF(X43&lt;T.PikettVetsuissebis,MIN(T.PikettVetsuissebis-X43,X44-X43),0),0),0),0),0),9),0)</f>
        <v>0</v>
      </c>
      <c r="Y47" s="182" t="n">
        <f aca="false">IF(Y45&gt;0,ROUND(Y45- IF(Y35&lt;T.PikettVetsuissebis,MIN(T.PikettVetsuissebis-Y35,Y36-Y35)+IF(Y37&lt;T.PikettVetsuissebis,MIN(T.PikettVetsuissebis-Y37,Y38-Y37)+IF(Y39&lt;T.PikettVetsuissebis,MIN(T.PikettVetsuissebis-Y39,Y40-Y39)+IF(Y41&lt;T.PikettVetsuissebis,MIN(T.PikettVetsuissebis-Y41,Y42-Y41)+IF(Y43&lt;T.PikettVetsuissebis,MIN(T.PikettVetsuissebis-Y43,Y44-Y43),0),0),0),0),0),9),0)</f>
        <v>0</v>
      </c>
      <c r="Z47" s="182" t="n">
        <f aca="false">IF(Z45&gt;0,ROUND(Z45- IF(Z35&lt;T.PikettVetsuissebis,MIN(T.PikettVetsuissebis-Z35,Z36-Z35)+IF(Z37&lt;T.PikettVetsuissebis,MIN(T.PikettVetsuissebis-Z37,Z38-Z37)+IF(Z39&lt;T.PikettVetsuissebis,MIN(T.PikettVetsuissebis-Z39,Z40-Z39)+IF(Z41&lt;T.PikettVetsuissebis,MIN(T.PikettVetsuissebis-Z41,Z42-Z41)+IF(Z43&lt;T.PikettVetsuissebis,MIN(T.PikettVetsuissebis-Z43,Z44-Z43),0),0),0),0),0),9),0)</f>
        <v>0</v>
      </c>
      <c r="AA47" s="182" t="n">
        <f aca="false">IF(AA45&gt;0,ROUND(AA45- IF(AA35&lt;T.PikettVetsuissebis,MIN(T.PikettVetsuissebis-AA35,AA36-AA35)+IF(AA37&lt;T.PikettVetsuissebis,MIN(T.PikettVetsuissebis-AA37,AA38-AA37)+IF(AA39&lt;T.PikettVetsuissebis,MIN(T.PikettVetsuissebis-AA39,AA40-AA39)+IF(AA41&lt;T.PikettVetsuissebis,MIN(T.PikettVetsuissebis-AA41,AA42-AA41)+IF(AA43&lt;T.PikettVetsuissebis,MIN(T.PikettVetsuissebis-AA43,AA44-AA43),0),0),0),0),0),9),0)</f>
        <v>0</v>
      </c>
      <c r="AB47" s="182" t="n">
        <f aca="false">IF(AB45&gt;0,ROUND(AB45- IF(AB35&lt;T.PikettVetsuissebis,MIN(T.PikettVetsuissebis-AB35,AB36-AB35)+IF(AB37&lt;T.PikettVetsuissebis,MIN(T.PikettVetsuissebis-AB37,AB38-AB37)+IF(AB39&lt;T.PikettVetsuissebis,MIN(T.PikettVetsuissebis-AB39,AB40-AB39)+IF(AB41&lt;T.PikettVetsuissebis,MIN(T.PikettVetsuissebis-AB41,AB42-AB41)+IF(AB43&lt;T.PikettVetsuissebis,MIN(T.PikettVetsuissebis-AB43,AB44-AB43),0),0),0),0),0),9),0)</f>
        <v>0</v>
      </c>
      <c r="AC47" s="182" t="n">
        <f aca="false">IF(AC45&gt;0,ROUND(AC45- IF(AC35&lt;T.PikettVetsuissebis,MIN(T.PikettVetsuissebis-AC35,AC36-AC35)+IF(AC37&lt;T.PikettVetsuissebis,MIN(T.PikettVetsuissebis-AC37,AC38-AC37)+IF(AC39&lt;T.PikettVetsuissebis,MIN(T.PikettVetsuissebis-AC39,AC40-AC39)+IF(AC41&lt;T.PikettVetsuissebis,MIN(T.PikettVetsuissebis-AC41,AC42-AC41)+IF(AC43&lt;T.PikettVetsuissebis,MIN(T.PikettVetsuissebis-AC43,AC44-AC43),0),0),0),0),0),9),0)</f>
        <v>0</v>
      </c>
      <c r="AD47" s="182" t="n">
        <f aca="false">IF(AD45&gt;0,ROUND(AD45- IF(AD35&lt;T.PikettVetsuissebis,MIN(T.PikettVetsuissebis-AD35,AD36-AD35)+IF(AD37&lt;T.PikettVetsuissebis,MIN(T.PikettVetsuissebis-AD37,AD38-AD37)+IF(AD39&lt;T.PikettVetsuissebis,MIN(T.PikettVetsuissebis-AD39,AD40-AD39)+IF(AD41&lt;T.PikettVetsuissebis,MIN(T.PikettVetsuissebis-AD41,AD42-AD41)+IF(AD43&lt;T.PikettVetsuissebis,MIN(T.PikettVetsuissebis-AD43,AD44-AD43),0),0),0),0),0),9),0)</f>
        <v>0</v>
      </c>
      <c r="AE47" s="182" t="n">
        <f aca="false">IF(AE45&gt;0,ROUND(AE45- IF(AE35&lt;T.PikettVetsuissebis,MIN(T.PikettVetsuissebis-AE35,AE36-AE35)+IF(AE37&lt;T.PikettVetsuissebis,MIN(T.PikettVetsuissebis-AE37,AE38-AE37)+IF(AE39&lt;T.PikettVetsuissebis,MIN(T.PikettVetsuissebis-AE39,AE40-AE39)+IF(AE41&lt;T.PikettVetsuissebis,MIN(T.PikettVetsuissebis-AE41,AE42-AE41)+IF(AE43&lt;T.PikettVetsuissebis,MIN(T.PikettVetsuissebis-AE43,AE44-AE43),0),0),0),0),0),9),0)</f>
        <v>0</v>
      </c>
      <c r="AF47" s="183" t="str">
        <f aca="false">A47</f>
        <v>Total on call hours today</v>
      </c>
      <c r="AG47" s="146"/>
      <c r="AH47" s="179"/>
      <c r="AI47" s="180"/>
      <c r="AJ47" s="172"/>
      <c r="AK47" s="172"/>
      <c r="AL47" s="172"/>
      <c r="AM47" s="171"/>
      <c r="AN47" s="172"/>
      <c r="AO47" s="172"/>
      <c r="AP47" s="39"/>
    </row>
    <row r="48" s="148" customFormat="true" ht="16.5" hidden="true" customHeight="true" outlineLevel="1" collapsed="false">
      <c r="A48" s="181" t="s">
        <v>137</v>
      </c>
      <c r="B48" s="193" t="n">
        <f aca="false">B45-B47</f>
        <v>0</v>
      </c>
      <c r="C48" s="193" t="n">
        <f aca="false">C45-C47</f>
        <v>0</v>
      </c>
      <c r="D48" s="193" t="n">
        <f aca="false">D45-D47</f>
        <v>0</v>
      </c>
      <c r="E48" s="193" t="n">
        <f aca="false">E45-E47</f>
        <v>0</v>
      </c>
      <c r="F48" s="193" t="n">
        <f aca="false">F45-F47</f>
        <v>0</v>
      </c>
      <c r="G48" s="193" t="n">
        <f aca="false">G45-G47</f>
        <v>0</v>
      </c>
      <c r="H48" s="193" t="n">
        <f aca="false">H45-H47</f>
        <v>0</v>
      </c>
      <c r="I48" s="193" t="n">
        <f aca="false">I45-I47</f>
        <v>0</v>
      </c>
      <c r="J48" s="193" t="n">
        <f aca="false">J45-J47</f>
        <v>0</v>
      </c>
      <c r="K48" s="193" t="n">
        <f aca="false">K45-K47</f>
        <v>0</v>
      </c>
      <c r="L48" s="193" t="n">
        <f aca="false">L45-L47</f>
        <v>0</v>
      </c>
      <c r="M48" s="193" t="n">
        <f aca="false">M45-M47</f>
        <v>0</v>
      </c>
      <c r="N48" s="193" t="n">
        <f aca="false">N45-N47</f>
        <v>0</v>
      </c>
      <c r="O48" s="193" t="n">
        <f aca="false">O45-O47</f>
        <v>0</v>
      </c>
      <c r="P48" s="193" t="n">
        <f aca="false">P45-P47</f>
        <v>0</v>
      </c>
      <c r="Q48" s="193" t="n">
        <f aca="false">Q45-Q47</f>
        <v>0</v>
      </c>
      <c r="R48" s="193" t="n">
        <f aca="false">R45-R47</f>
        <v>0</v>
      </c>
      <c r="S48" s="193" t="n">
        <f aca="false">S45-S47</f>
        <v>0</v>
      </c>
      <c r="T48" s="193" t="n">
        <f aca="false">T45-T47</f>
        <v>0</v>
      </c>
      <c r="U48" s="193" t="n">
        <f aca="false">U45-U47</f>
        <v>0</v>
      </c>
      <c r="V48" s="193" t="n">
        <f aca="false">V45-V47</f>
        <v>0</v>
      </c>
      <c r="W48" s="193" t="n">
        <f aca="false">W45-W47</f>
        <v>0</v>
      </c>
      <c r="X48" s="193" t="n">
        <f aca="false">X45-X47</f>
        <v>0</v>
      </c>
      <c r="Y48" s="193" t="n">
        <f aca="false">Y45-Y47</f>
        <v>0</v>
      </c>
      <c r="Z48" s="193" t="n">
        <f aca="false">Z45-Z47</f>
        <v>0</v>
      </c>
      <c r="AA48" s="193" t="n">
        <f aca="false">AA45-AA47</f>
        <v>0</v>
      </c>
      <c r="AB48" s="193" t="n">
        <f aca="false">AB45-AB47</f>
        <v>0</v>
      </c>
      <c r="AC48" s="193" t="n">
        <f aca="false">AC45-AC47</f>
        <v>0</v>
      </c>
      <c r="AD48" s="193" t="n">
        <f aca="false">AD45-AD47</f>
        <v>0</v>
      </c>
      <c r="AE48" s="193" t="n">
        <f aca="false">AE45-AE47</f>
        <v>0</v>
      </c>
      <c r="AF48" s="183" t="str">
        <f aca="false">A48</f>
        <v>Total on call hours yesterday</v>
      </c>
      <c r="AG48" s="146"/>
      <c r="AH48" s="179"/>
      <c r="AI48" s="180"/>
      <c r="AJ48" s="172"/>
      <c r="AK48" s="172"/>
      <c r="AL48" s="199" t="n">
        <f aca="false">IF(EB.Anwendung&lt;&gt;"",IF(MONTH(Monat.Tag1)=12,0,IF(MONTH(Monat.Tag1)=1,February!Monat.PikettgesternTag1,IF(MONTH(Monat.Tag1)=2,March!Monat.PikettgesternTag1,IF(MONTH(Monat.Tag1)=3,April!Monat.PikettgesternTag1,IF(MONTH(Monat.Tag1)=4,May!Monat.PikettgesternTag1,IF(MONTH(Monat.Tag1)=5,June!Monat.PikettgesternTag1,IF(MONTH(Monat.Tag1)=6,July!Monat.PikettgesternTag1,IF(MONTH(Monat.Tag1)=7,August!Monat.PikettgesternTag1,IF(MONTH(Monat.Tag1)=8,September!Monat.PikettgesternTag1,IF(MONTH(Monat.Tag1)=9,October!Monat.PikettgesternTag1,IF(MONTH(Monat.Tag1)=10,Monat.PikettgesternTag1,IF(MONTH(Monat.Tag1)=11,December!Monat.PikettgesternTag1,"")))))))))))),"")</f>
        <v>0</v>
      </c>
      <c r="AM48" s="171"/>
      <c r="AN48" s="172"/>
      <c r="AO48" s="172"/>
      <c r="AP48" s="39"/>
    </row>
    <row r="49" s="148" customFormat="true" ht="16.5" hidden="true" customHeight="true" outlineLevel="1" collapsed="false">
      <c r="A49" s="181" t="s">
        <v>138</v>
      </c>
      <c r="B49" s="182" t="n">
        <f aca="false">B47+IF(B$10=EOMONTH(B$10,0),$AL48,C48)</f>
        <v>0</v>
      </c>
      <c r="C49" s="182" t="n">
        <f aca="false">C47+IF(C$10=EOMONTH(C$10,0),$AL48,D48)</f>
        <v>0</v>
      </c>
      <c r="D49" s="182" t="n">
        <f aca="false">D47+IF(D$10=EOMONTH(D$10,0),$AL48,E48)</f>
        <v>0</v>
      </c>
      <c r="E49" s="182" t="n">
        <f aca="false">E47+IF(E$10=EOMONTH(E$10,0),$AL48,F48)</f>
        <v>0</v>
      </c>
      <c r="F49" s="182" t="n">
        <f aca="false">F47+IF(F$10=EOMONTH(F$10,0),$AL48,G48)</f>
        <v>0</v>
      </c>
      <c r="G49" s="182" t="n">
        <f aca="false">G47+IF(G$10=EOMONTH(G$10,0),$AL48,H48)</f>
        <v>0</v>
      </c>
      <c r="H49" s="182" t="n">
        <f aca="false">H47+IF(H$10=EOMONTH(H$10,0),$AL48,I48)</f>
        <v>0</v>
      </c>
      <c r="I49" s="182" t="n">
        <f aca="false">I47+IF(I$10=EOMONTH(I$10,0),$AL48,J48)</f>
        <v>0</v>
      </c>
      <c r="J49" s="182" t="n">
        <f aca="false">J47+IF(J$10=EOMONTH(J$10,0),$AL48,K48)</f>
        <v>0</v>
      </c>
      <c r="K49" s="182" t="n">
        <f aca="false">K47+IF(K$10=EOMONTH(K$10,0),$AL48,L48)</f>
        <v>0</v>
      </c>
      <c r="L49" s="182" t="n">
        <f aca="false">L47+IF(L$10=EOMONTH(L$10,0),$AL48,M48)</f>
        <v>0</v>
      </c>
      <c r="M49" s="182" t="n">
        <f aca="false">M47+IF(M$10=EOMONTH(M$10,0),$AL48,N48)</f>
        <v>0</v>
      </c>
      <c r="N49" s="182" t="n">
        <f aca="false">N47+IF(N$10=EOMONTH(N$10,0),$AL48,O48)</f>
        <v>0</v>
      </c>
      <c r="O49" s="182" t="n">
        <f aca="false">O47+IF(O$10=EOMONTH(O$10,0),$AL48,P48)</f>
        <v>0</v>
      </c>
      <c r="P49" s="182" t="n">
        <f aca="false">P47+IF(P$10=EOMONTH(P$10,0),$AL48,Q48)</f>
        <v>0</v>
      </c>
      <c r="Q49" s="182" t="n">
        <f aca="false">Q47+IF(Q$10=EOMONTH(Q$10,0),$AL48,R48)</f>
        <v>0</v>
      </c>
      <c r="R49" s="182" t="n">
        <f aca="false">R47+IF(R$10=EOMONTH(R$10,0),$AL48,S48)</f>
        <v>0</v>
      </c>
      <c r="S49" s="182" t="n">
        <f aca="false">S47+IF(S$10=EOMONTH(S$10,0),$AL48,T48)</f>
        <v>0</v>
      </c>
      <c r="T49" s="182" t="n">
        <f aca="false">T47+IF(T$10=EOMONTH(T$10,0),$AL48,U48)</f>
        <v>0</v>
      </c>
      <c r="U49" s="182" t="n">
        <f aca="false">U47+IF(U$10=EOMONTH(U$10,0),$AL48,V48)</f>
        <v>0</v>
      </c>
      <c r="V49" s="182" t="n">
        <f aca="false">V47+IF(V$10=EOMONTH(V$10,0),$AL48,W48)</f>
        <v>0</v>
      </c>
      <c r="W49" s="182" t="n">
        <f aca="false">W47+IF(W$10=EOMONTH(W$10,0),$AL48,X48)</f>
        <v>0</v>
      </c>
      <c r="X49" s="182" t="n">
        <f aca="false">X47+IF(X$10=EOMONTH(X$10,0),$AL48,Y48)</f>
        <v>0</v>
      </c>
      <c r="Y49" s="182" t="n">
        <f aca="false">Y47+IF(Y$10=EOMONTH(Y$10,0),$AL48,Z48)</f>
        <v>0</v>
      </c>
      <c r="Z49" s="182" t="n">
        <f aca="false">Z47+IF(Z$10=EOMONTH(Z$10,0),$AL48,AA48)</f>
        <v>0</v>
      </c>
      <c r="AA49" s="182" t="n">
        <f aca="false">AA47+IF(AA$10=EOMONTH(AA$10,0),$AL48,AB48)</f>
        <v>0</v>
      </c>
      <c r="AB49" s="182" t="n">
        <f aca="false">AB47+IF(AB$10=EOMONTH(AB$10,0),$AL48,AC48)</f>
        <v>0</v>
      </c>
      <c r="AC49" s="182" t="n">
        <f aca="false">AC47+IF(AC$10=EOMONTH(AC$10,0),$AL48,AD48)</f>
        <v>0</v>
      </c>
      <c r="AD49" s="182" t="n">
        <f aca="false">AD47+IF(AD$10=EOMONTH(AD$10,0),$AL48,AE48)</f>
        <v>0</v>
      </c>
      <c r="AE49" s="182" t="n">
        <f aca="false">AE47+IF(AE$10=EOMONTH(AE$10,0),$AL48,#REF!)</f>
        <v>0</v>
      </c>
      <c r="AF49" s="183" t="str">
        <f aca="false">A49</f>
        <v>Total on call standby hours</v>
      </c>
      <c r="AG49" s="184"/>
      <c r="AH49" s="185" t="n">
        <f aca="false">SUM(B49:AE49)</f>
        <v>0</v>
      </c>
      <c r="AI49" s="180"/>
      <c r="AJ49" s="172"/>
      <c r="AK49" s="172"/>
      <c r="AL49" s="172"/>
      <c r="AM49" s="171"/>
      <c r="AN49" s="172"/>
      <c r="AO49" s="172"/>
      <c r="AP49" s="39"/>
    </row>
    <row r="50" s="148" customFormat="true" ht="3.75" hidden="false" customHeight="true" outlineLevel="0" collapsed="false">
      <c r="A50" s="200"/>
      <c r="B50" s="187"/>
      <c r="C50" s="187"/>
      <c r="D50" s="187"/>
      <c r="E50" s="187"/>
      <c r="F50" s="187"/>
      <c r="G50" s="187"/>
      <c r="H50" s="187"/>
      <c r="I50" s="187"/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87"/>
      <c r="U50" s="187"/>
      <c r="V50" s="187"/>
      <c r="W50" s="187"/>
      <c r="X50" s="187"/>
      <c r="Y50" s="187"/>
      <c r="Z50" s="187"/>
      <c r="AA50" s="187"/>
      <c r="AB50" s="187"/>
      <c r="AC50" s="187"/>
      <c r="AD50" s="187"/>
      <c r="AE50" s="187"/>
      <c r="AF50" s="201"/>
      <c r="AG50" s="202"/>
      <c r="AH50" s="188"/>
      <c r="AI50" s="180"/>
      <c r="AJ50" s="172"/>
      <c r="AK50" s="172"/>
      <c r="AL50" s="172"/>
      <c r="AM50" s="171"/>
      <c r="AN50" s="172"/>
      <c r="AO50" s="172"/>
      <c r="AP50" s="39"/>
    </row>
    <row r="51" s="148" customFormat="true" ht="15" hidden="false" customHeight="true" outlineLevel="0" collapsed="false">
      <c r="A51" s="181" t="s">
        <v>139</v>
      </c>
      <c r="B51" s="203" t="n">
        <f aca="false">ROUND(B23+B45+B84+SUM(B86:B95)+IF(T.50_Vetsuisse,B71,0),9)</f>
        <v>0</v>
      </c>
      <c r="C51" s="203" t="n">
        <f aca="false">ROUND(C23+C45+C84+SUM(C86:C95)+IF(T.50_Vetsuisse,C71,0),9)</f>
        <v>0</v>
      </c>
      <c r="D51" s="203" t="n">
        <f aca="false">ROUND(D23+D45+D84+SUM(D86:D95)+IF(T.50_Vetsuisse,D71,0),9)</f>
        <v>0</v>
      </c>
      <c r="E51" s="204" t="n">
        <f aca="false">ROUND(E23+E45+E84+SUM(E86:E95)+IF(T.50_Vetsuisse,E71,0),9)</f>
        <v>0</v>
      </c>
      <c r="F51" s="203" t="n">
        <f aca="false">ROUND(F23+F45+F84+SUM(F86:F95)+IF(T.50_Vetsuisse,F71,0),9)</f>
        <v>0</v>
      </c>
      <c r="G51" s="203" t="n">
        <f aca="false">ROUND(G23+G45+G84+SUM(G86:G95)+IF(T.50_Vetsuisse,G71,0),9)</f>
        <v>0</v>
      </c>
      <c r="H51" s="203" t="n">
        <f aca="false">ROUND(H23+H45+H84+SUM(H86:H95)+IF(T.50_Vetsuisse,H71,0),9)</f>
        <v>0</v>
      </c>
      <c r="I51" s="203" t="n">
        <f aca="false">ROUND(I23+I45+I84+SUM(I86:I95)+IF(T.50_Vetsuisse,I71,0),9)</f>
        <v>0</v>
      </c>
      <c r="J51" s="205" t="n">
        <f aca="false">ROUND(J23+J45+J84+SUM(J86:J95)+IF(T.50_Vetsuisse,J71,0),9)</f>
        <v>0</v>
      </c>
      <c r="K51" s="203" t="n">
        <f aca="false">ROUND(K23+K45+K84+SUM(K86:K95)+IF(T.50_Vetsuisse,K71,0),9)</f>
        <v>0</v>
      </c>
      <c r="L51" s="205" t="n">
        <f aca="false">ROUND(L23+L45+L84+SUM(L86:L95)+IF(T.50_Vetsuisse,L71,0),9)</f>
        <v>0</v>
      </c>
      <c r="M51" s="203" t="n">
        <f aca="false">ROUND(M23+M45+M84+SUM(M86:M95)+IF(T.50_Vetsuisse,M71,0),9)</f>
        <v>0</v>
      </c>
      <c r="N51" s="203" t="n">
        <f aca="false">ROUND(N23+N45+N84+SUM(N86:N95)+IF(T.50_Vetsuisse,N71,0),9)</f>
        <v>0</v>
      </c>
      <c r="O51" s="203" t="n">
        <f aca="false">ROUND(O23+O45+O84+SUM(O86:O95)+IF(T.50_Vetsuisse,O71,0),9)</f>
        <v>0</v>
      </c>
      <c r="P51" s="203" t="n">
        <f aca="false">ROUND(P23+P45+P84+SUM(P86:P95)+IF(T.50_Vetsuisse,P71,0),9)</f>
        <v>0</v>
      </c>
      <c r="Q51" s="205" t="n">
        <f aca="false">ROUND(Q23+Q45+Q84+SUM(Q86:Q95)+IF(T.50_Vetsuisse,Q71,0),9)</f>
        <v>0</v>
      </c>
      <c r="R51" s="203" t="n">
        <f aca="false">ROUND(R23+R45+R84+SUM(R86:R95)+IF(T.50_Vetsuisse,R71,0),9)</f>
        <v>0</v>
      </c>
      <c r="S51" s="205" t="n">
        <f aca="false">ROUND(S23+S45+S84+SUM(S86:S95)+IF(T.50_Vetsuisse,S71,0),9)</f>
        <v>0</v>
      </c>
      <c r="T51" s="205" t="n">
        <f aca="false">ROUND(T23+T45+T84+SUM(T86:T95)+IF(T.50_Vetsuisse,T71,0),9)</f>
        <v>0</v>
      </c>
      <c r="U51" s="203" t="n">
        <f aca="false">ROUND(U23+U45+U84+SUM(U86:U95)+IF(T.50_Vetsuisse,U71,0),9)</f>
        <v>0</v>
      </c>
      <c r="V51" s="203" t="n">
        <f aca="false">ROUND(V23+V45+V84+SUM(V86:V95)+IF(T.50_Vetsuisse,V71,0),9)</f>
        <v>0</v>
      </c>
      <c r="W51" s="203" t="n">
        <f aca="false">ROUND(W23+W45+W84+SUM(W86:W95)+IF(T.50_Vetsuisse,W71,0),9)</f>
        <v>0</v>
      </c>
      <c r="X51" s="205" t="n">
        <f aca="false">ROUND(X23+X45+X84+SUM(X86:X95)+IF(T.50_Vetsuisse,X71,0),9)</f>
        <v>0</v>
      </c>
      <c r="Y51" s="203" t="n">
        <f aca="false">ROUND(Y23+Y45+Y84+SUM(Y86:Y95)+IF(T.50_Vetsuisse,Y71,0),9)</f>
        <v>0</v>
      </c>
      <c r="Z51" s="206" t="n">
        <f aca="false">ROUND(Z23+Z45+Z84+SUM(Z86:Z95)+IF(T.50_Vetsuisse,Z71,0),9)</f>
        <v>0</v>
      </c>
      <c r="AA51" s="203" t="n">
        <f aca="false">ROUND(AA23+AA45+AA84+SUM(AA86:AA95)+IF(T.50_Vetsuisse,AA71,0),9)</f>
        <v>0</v>
      </c>
      <c r="AB51" s="203" t="n">
        <f aca="false">ROUND(AB23+AB45+AB84+SUM(AB86:AB95)+IF(T.50_Vetsuisse,AB71,0),9)</f>
        <v>0</v>
      </c>
      <c r="AC51" s="203" t="n">
        <f aca="false">ROUND(AC23+AC45+AC84+SUM(AC86:AC95)+IF(T.50_Vetsuisse,AC71,0),9)</f>
        <v>0</v>
      </c>
      <c r="AD51" s="203" t="n">
        <f aca="false">ROUND(AD23+AD45+AD84+SUM(AD86:AD95)+IF(T.50_Vetsuisse,AD71,0),9)</f>
        <v>0</v>
      </c>
      <c r="AE51" s="205" t="n">
        <f aca="false">ROUND(AE23+AE45+AE84+SUM(AE86:AE95)+IF(T.50_Vetsuisse,AE71,0),9)</f>
        <v>0</v>
      </c>
      <c r="AF51" s="183" t="str">
        <f aca="false">A51</f>
        <v>Actual hours worked</v>
      </c>
      <c r="AG51" s="184"/>
      <c r="AH51" s="207" t="n">
        <f aca="false">SUM(B51:AE51)</f>
        <v>0</v>
      </c>
      <c r="AI51" s="180"/>
      <c r="AJ51" s="172"/>
      <c r="AK51" s="172"/>
      <c r="AL51" s="172"/>
      <c r="AM51" s="208" t="n">
        <f aca="true">IF(WEEKDAY(EOMONTH(Monat.Tag1,0),2)=7,0,MAX(0,SUM(OFFSET(B51,0,DAY(EOMONTH(Monat.Tag1,0))-WEEKDAY(EOMONTH(Monat.Tag1,0),2),1,WEEKDAY(EOMONTH(Monat.Tag1,0),2)))))</f>
        <v>0</v>
      </c>
      <c r="AN51" s="172"/>
      <c r="AO51" s="172"/>
      <c r="AP51" s="39"/>
    </row>
    <row r="52" s="148" customFormat="true" ht="15" hidden="false" customHeight="true" outlineLevel="1" collapsed="false">
      <c r="A52" s="175" t="s">
        <v>140</v>
      </c>
      <c r="B52" s="209" t="n">
        <f aca="false">IF(B$12=0,0,ROUND(INDEX(Monat.RAZ1_7.Bereich,WEEKDAY(B$10,2))*B$11,9))</f>
        <v>0.35</v>
      </c>
      <c r="C52" s="209" t="n">
        <f aca="false">IF(C$12=0,0,ROUND(INDEX(Monat.RAZ1_7.Bereich,WEEKDAY(C$10,2))*C$11,9))</f>
        <v>0.35</v>
      </c>
      <c r="D52" s="210" t="n">
        <f aca="false">IF(D$12=0,0,ROUND(INDEX(Monat.RAZ1_7.Bereich,WEEKDAY(D$10,2))*D$11,9))</f>
        <v>0</v>
      </c>
      <c r="E52" s="209" t="n">
        <f aca="false">IF(E$12=0,0,ROUND(INDEX(Monat.RAZ1_7.Bereich,WEEKDAY(E$10,2))*E$11,9))</f>
        <v>0</v>
      </c>
      <c r="F52" s="210" t="n">
        <f aca="false">IF(F$12=0,0,ROUND(INDEX(Monat.RAZ1_7.Bereich,WEEKDAY(F$10,2))*F$11,9))</f>
        <v>0.35</v>
      </c>
      <c r="G52" s="210" t="n">
        <f aca="false">IF(G$12=0,0,ROUND(INDEX(Monat.RAZ1_7.Bereich,WEEKDAY(G$10,2))*G$11,9))</f>
        <v>0.35</v>
      </c>
      <c r="H52" s="210" t="n">
        <f aca="false">IF(H$12=0,0,ROUND(INDEX(Monat.RAZ1_7.Bereich,WEEKDAY(H$10,2))*H$11,9))</f>
        <v>0.35</v>
      </c>
      <c r="I52" s="210" t="n">
        <f aca="false">IF(I$12=0,0,ROUND(INDEX(Monat.RAZ1_7.Bereich,WEEKDAY(I$10,2))*I$11,9))</f>
        <v>0.35</v>
      </c>
      <c r="J52" s="209" t="n">
        <f aca="false">IF(J$12=0,0,ROUND(INDEX(Monat.RAZ1_7.Bereich,WEEKDAY(J$10,2))*J$11,9))</f>
        <v>0.35</v>
      </c>
      <c r="K52" s="210" t="n">
        <f aca="false">IF(K$12=0,0,ROUND(INDEX(Monat.RAZ1_7.Bereich,WEEKDAY(K$10,2))*K$11,9))</f>
        <v>0</v>
      </c>
      <c r="L52" s="209" t="n">
        <f aca="false">IF(L$12=0,0,ROUND(INDEX(Monat.RAZ1_7.Bereich,WEEKDAY(L$10,2))*L$11,9))</f>
        <v>0</v>
      </c>
      <c r="M52" s="210" t="n">
        <f aca="false">IF(M$12=0,0,ROUND(INDEX(Monat.RAZ1_7.Bereich,WEEKDAY(M$10,2))*M$11,9))</f>
        <v>0.35</v>
      </c>
      <c r="N52" s="210" t="n">
        <f aca="false">IF(N$12=0,0,ROUND(INDEX(Monat.RAZ1_7.Bereich,WEEKDAY(N$10,2))*N$11,9))</f>
        <v>0.35</v>
      </c>
      <c r="O52" s="210" t="n">
        <f aca="false">IF(O$12=0,0,ROUND(INDEX(Monat.RAZ1_7.Bereich,WEEKDAY(O$10,2))*O$11,9))</f>
        <v>0.35</v>
      </c>
      <c r="P52" s="210" t="n">
        <f aca="false">IF(P$12=0,0,ROUND(INDEX(Monat.RAZ1_7.Bereich,WEEKDAY(P$10,2))*P$11,9))</f>
        <v>0.35</v>
      </c>
      <c r="Q52" s="209" t="n">
        <f aca="false">IF(Q$12=0,0,ROUND(INDEX(Monat.RAZ1_7.Bereich,WEEKDAY(Q$10,2))*Q$11,9))</f>
        <v>0.35</v>
      </c>
      <c r="R52" s="210" t="n">
        <f aca="false">IF(R$12=0,0,ROUND(INDEX(Monat.RAZ1_7.Bereich,WEEKDAY(R$10,2))*R$11,9))</f>
        <v>0</v>
      </c>
      <c r="S52" s="209" t="n">
        <f aca="false">IF(S$12=0,0,ROUND(INDEX(Monat.RAZ1_7.Bereich,WEEKDAY(S$10,2))*S$11,9))</f>
        <v>0</v>
      </c>
      <c r="T52" s="209" t="n">
        <f aca="false">IF(T$12=0,0,ROUND(INDEX(Monat.RAZ1_7.Bereich,WEEKDAY(T$10,2))*T$11,9))</f>
        <v>0.35</v>
      </c>
      <c r="U52" s="210" t="n">
        <f aca="false">IF(U$12=0,0,ROUND(INDEX(Monat.RAZ1_7.Bereich,WEEKDAY(U$10,2))*U$11,9))</f>
        <v>0.35</v>
      </c>
      <c r="V52" s="210" t="n">
        <f aca="false">IF(V$12=0,0,ROUND(INDEX(Monat.RAZ1_7.Bereich,WEEKDAY(V$10,2))*V$11,9))</f>
        <v>0.35</v>
      </c>
      <c r="W52" s="210" t="n">
        <f aca="false">IF(W$12=0,0,ROUND(INDEX(Monat.RAZ1_7.Bereich,WEEKDAY(W$10,2))*W$11,9))</f>
        <v>0.35</v>
      </c>
      <c r="X52" s="209" t="n">
        <f aca="false">IF(X$12=0,0,ROUND(INDEX(Monat.RAZ1_7.Bereich,WEEKDAY(X$10,2))*X$11,9))</f>
        <v>0.35</v>
      </c>
      <c r="Y52" s="210" t="n">
        <f aca="false">IF(Y$12=0,0,ROUND(INDEX(Monat.RAZ1_7.Bereich,WEEKDAY(Y$10,2))*Y$11,9))</f>
        <v>0</v>
      </c>
      <c r="Z52" s="211" t="n">
        <f aca="false">IF(Z$12=0,0,ROUND(INDEX(Monat.RAZ1_7.Bereich,WEEKDAY(Z$10,2))*Z$11,9))</f>
        <v>0</v>
      </c>
      <c r="AA52" s="210" t="n">
        <f aca="false">IF(AA$12=0,0,ROUND(INDEX(Monat.RAZ1_7.Bereich,WEEKDAY(AA$10,2))*AA$11,9))</f>
        <v>0.35</v>
      </c>
      <c r="AB52" s="210" t="n">
        <f aca="false">IF(AB$12=0,0,ROUND(INDEX(Monat.RAZ1_7.Bereich,WEEKDAY(AB$10,2))*AB$11,9))</f>
        <v>0.35</v>
      </c>
      <c r="AC52" s="210" t="n">
        <f aca="false">IF(AC$12=0,0,ROUND(INDEX(Monat.RAZ1_7.Bereich,WEEKDAY(AC$10,2))*AC$11,9))</f>
        <v>0.35</v>
      </c>
      <c r="AD52" s="210" t="n">
        <f aca="false">IF(AD$12=0,0,ROUND(INDEX(Monat.RAZ1_7.Bereich,WEEKDAY(AD$10,2))*AD$11,9))</f>
        <v>0.35</v>
      </c>
      <c r="AE52" s="209" t="n">
        <f aca="false">IF(AE$12=0,0,ROUND(INDEX(Monat.RAZ1_7.Bereich,WEEKDAY(AE$10,2))*AE$11,9))</f>
        <v>0.35</v>
      </c>
      <c r="AF52" s="212" t="str">
        <f aca="false">A52</f>
        <v>Standardized hours (Info)</v>
      </c>
      <c r="AG52" s="184"/>
      <c r="AH52" s="179"/>
      <c r="AI52" s="180"/>
      <c r="AJ52" s="172"/>
      <c r="AK52" s="172"/>
      <c r="AL52" s="172"/>
      <c r="AM52" s="171"/>
      <c r="AN52" s="172"/>
      <c r="AO52" s="172"/>
      <c r="AP52" s="39"/>
    </row>
    <row r="53" s="148" customFormat="true" ht="15" hidden="false" customHeight="true" outlineLevel="0" collapsed="false">
      <c r="A53" s="175" t="s">
        <v>141</v>
      </c>
      <c r="B53" s="213" t="n">
        <f aca="false">IF(B$12=0,0,ROUND(INDEX(EB.AZSOLLTag100.Bereich,MATCH(INDEX(EB.Monate.Bereich,MONTH(Monat.Tag1)),EB.Monate.Bereich,0))*B$11*IF(WEEKDAY(B$10,2)&gt;5,0,1)*$V$2/100,9))</f>
        <v>0.35</v>
      </c>
      <c r="C53" s="213" t="n">
        <f aca="false">IF(C$12=0,0,ROUND(INDEX(EB.AZSOLLTag100.Bereich,MATCH(INDEX(EB.Monate.Bereich,MONTH(Monat.Tag1)),EB.Monate.Bereich,0))*C$11*IF(WEEKDAY(C$10,2)&gt;5,0,1)*$V$2/100,9))</f>
        <v>0.35</v>
      </c>
      <c r="D53" s="213" t="n">
        <f aca="false">IF(D$12=0,0,ROUND(INDEX(EB.AZSOLLTag100.Bereich,MATCH(INDEX(EB.Monate.Bereich,MONTH(Monat.Tag1)),EB.Monate.Bereich,0))*D$11*IF(WEEKDAY(D$10,2)&gt;5,0,1)*$V$2/100,9))</f>
        <v>0</v>
      </c>
      <c r="E53" s="213" t="n">
        <f aca="false">IF(E$12=0,0,ROUND(INDEX(EB.AZSOLLTag100.Bereich,MATCH(INDEX(EB.Monate.Bereich,MONTH(Monat.Tag1)),EB.Monate.Bereich,0))*E$11*IF(WEEKDAY(E$10,2)&gt;5,0,1)*$V$2/100,9))</f>
        <v>0</v>
      </c>
      <c r="F53" s="213" t="n">
        <f aca="false">IF(F$12=0,0,ROUND(INDEX(EB.AZSOLLTag100.Bereich,MATCH(INDEX(EB.Monate.Bereich,MONTH(Monat.Tag1)),EB.Monate.Bereich,0))*F$11*IF(WEEKDAY(F$10,2)&gt;5,0,1)*$V$2/100,9))</f>
        <v>0.35</v>
      </c>
      <c r="G53" s="213" t="n">
        <f aca="false">IF(G$12=0,0,ROUND(INDEX(EB.AZSOLLTag100.Bereich,MATCH(INDEX(EB.Monate.Bereich,MONTH(Monat.Tag1)),EB.Monate.Bereich,0))*G$11*IF(WEEKDAY(G$10,2)&gt;5,0,1)*$V$2/100,9))</f>
        <v>0.35</v>
      </c>
      <c r="H53" s="213" t="n">
        <f aca="false">IF(H$12=0,0,ROUND(INDEX(EB.AZSOLLTag100.Bereich,MATCH(INDEX(EB.Monate.Bereich,MONTH(Monat.Tag1)),EB.Monate.Bereich,0))*H$11*IF(WEEKDAY(H$10,2)&gt;5,0,1)*$V$2/100,9))</f>
        <v>0.35</v>
      </c>
      <c r="I53" s="213" t="n">
        <f aca="false">IF(I$12=0,0,ROUND(INDEX(EB.AZSOLLTag100.Bereich,MATCH(INDEX(EB.Monate.Bereich,MONTH(Monat.Tag1)),EB.Monate.Bereich,0))*I$11*IF(WEEKDAY(I$10,2)&gt;5,0,1)*$V$2/100,9))</f>
        <v>0.35</v>
      </c>
      <c r="J53" s="213" t="n">
        <f aca="false">IF(J$12=0,0,ROUND(INDEX(EB.AZSOLLTag100.Bereich,MATCH(INDEX(EB.Monate.Bereich,MONTH(Monat.Tag1)),EB.Monate.Bereich,0))*J$11*IF(WEEKDAY(J$10,2)&gt;5,0,1)*$V$2/100,9))</f>
        <v>0.35</v>
      </c>
      <c r="K53" s="213" t="n">
        <f aca="false">IF(K$12=0,0,ROUND(INDEX(EB.AZSOLLTag100.Bereich,MATCH(INDEX(EB.Monate.Bereich,MONTH(Monat.Tag1)),EB.Monate.Bereich,0))*K$11*IF(WEEKDAY(K$10,2)&gt;5,0,1)*$V$2/100,9))</f>
        <v>0</v>
      </c>
      <c r="L53" s="213" t="n">
        <f aca="false">IF(L$12=0,0,ROUND(INDEX(EB.AZSOLLTag100.Bereich,MATCH(INDEX(EB.Monate.Bereich,MONTH(Monat.Tag1)),EB.Monate.Bereich,0))*L$11*IF(WEEKDAY(L$10,2)&gt;5,0,1)*$V$2/100,9))</f>
        <v>0</v>
      </c>
      <c r="M53" s="213" t="n">
        <f aca="false">IF(M$12=0,0,ROUND(INDEX(EB.AZSOLLTag100.Bereich,MATCH(INDEX(EB.Monate.Bereich,MONTH(Monat.Tag1)),EB.Monate.Bereich,0))*M$11*IF(WEEKDAY(M$10,2)&gt;5,0,1)*$V$2/100,9))</f>
        <v>0.35</v>
      </c>
      <c r="N53" s="213" t="n">
        <f aca="false">IF(N$12=0,0,ROUND(INDEX(EB.AZSOLLTag100.Bereich,MATCH(INDEX(EB.Monate.Bereich,MONTH(Monat.Tag1)),EB.Monate.Bereich,0))*N$11*IF(WEEKDAY(N$10,2)&gt;5,0,1)*$V$2/100,9))</f>
        <v>0.35</v>
      </c>
      <c r="O53" s="213" t="n">
        <f aca="false">IF(O$12=0,0,ROUND(INDEX(EB.AZSOLLTag100.Bereich,MATCH(INDEX(EB.Monate.Bereich,MONTH(Monat.Tag1)),EB.Monate.Bereich,0))*O$11*IF(WEEKDAY(O$10,2)&gt;5,0,1)*$V$2/100,9))</f>
        <v>0.35</v>
      </c>
      <c r="P53" s="213" t="n">
        <f aca="false">IF(P$12=0,0,ROUND(INDEX(EB.AZSOLLTag100.Bereich,MATCH(INDEX(EB.Monate.Bereich,MONTH(Monat.Tag1)),EB.Monate.Bereich,0))*P$11*IF(WEEKDAY(P$10,2)&gt;5,0,1)*$V$2/100,9))</f>
        <v>0.35</v>
      </c>
      <c r="Q53" s="213" t="n">
        <f aca="false">IF(Q$12=0,0,ROUND(INDEX(EB.AZSOLLTag100.Bereich,MATCH(INDEX(EB.Monate.Bereich,MONTH(Monat.Tag1)),EB.Monate.Bereich,0))*Q$11*IF(WEEKDAY(Q$10,2)&gt;5,0,1)*$V$2/100,9))</f>
        <v>0.35</v>
      </c>
      <c r="R53" s="213" t="n">
        <f aca="false">IF(R$12=0,0,ROUND(INDEX(EB.AZSOLLTag100.Bereich,MATCH(INDEX(EB.Monate.Bereich,MONTH(Monat.Tag1)),EB.Monate.Bereich,0))*R$11*IF(WEEKDAY(R$10,2)&gt;5,0,1)*$V$2/100,9))</f>
        <v>0</v>
      </c>
      <c r="S53" s="213" t="n">
        <f aca="false">IF(S$12=0,0,ROUND(INDEX(EB.AZSOLLTag100.Bereich,MATCH(INDEX(EB.Monate.Bereich,MONTH(Monat.Tag1)),EB.Monate.Bereich,0))*S$11*IF(WEEKDAY(S$10,2)&gt;5,0,1)*$V$2/100,9))</f>
        <v>0</v>
      </c>
      <c r="T53" s="213" t="n">
        <f aca="false">IF(T$12=0,0,ROUND(INDEX(EB.AZSOLLTag100.Bereich,MATCH(INDEX(EB.Monate.Bereich,MONTH(Monat.Tag1)),EB.Monate.Bereich,0))*T$11*IF(WEEKDAY(T$10,2)&gt;5,0,1)*$V$2/100,9))</f>
        <v>0.35</v>
      </c>
      <c r="U53" s="213" t="n">
        <f aca="false">IF(U$12=0,0,ROUND(INDEX(EB.AZSOLLTag100.Bereich,MATCH(INDEX(EB.Monate.Bereich,MONTH(Monat.Tag1)),EB.Monate.Bereich,0))*U$11*IF(WEEKDAY(U$10,2)&gt;5,0,1)*$V$2/100,9))</f>
        <v>0.35</v>
      </c>
      <c r="V53" s="213" t="n">
        <f aca="false">IF(V$12=0,0,ROUND(INDEX(EB.AZSOLLTag100.Bereich,MATCH(INDEX(EB.Monate.Bereich,MONTH(Monat.Tag1)),EB.Monate.Bereich,0))*V$11*IF(WEEKDAY(V$10,2)&gt;5,0,1)*$V$2/100,9))</f>
        <v>0.35</v>
      </c>
      <c r="W53" s="213" t="n">
        <f aca="false">IF(W$12=0,0,ROUND(INDEX(EB.AZSOLLTag100.Bereich,MATCH(INDEX(EB.Monate.Bereich,MONTH(Monat.Tag1)),EB.Monate.Bereich,0))*W$11*IF(WEEKDAY(W$10,2)&gt;5,0,1)*$V$2/100,9))</f>
        <v>0.35</v>
      </c>
      <c r="X53" s="213" t="n">
        <f aca="false">IF(X$12=0,0,ROUND(INDEX(EB.AZSOLLTag100.Bereich,MATCH(INDEX(EB.Monate.Bereich,MONTH(Monat.Tag1)),EB.Monate.Bereich,0))*X$11*IF(WEEKDAY(X$10,2)&gt;5,0,1)*$V$2/100,9))</f>
        <v>0.35</v>
      </c>
      <c r="Y53" s="213" t="n">
        <f aca="false">IF(Y$12=0,0,ROUND(INDEX(EB.AZSOLLTag100.Bereich,MATCH(INDEX(EB.Monate.Bereich,MONTH(Monat.Tag1)),EB.Monate.Bereich,0))*Y$11*IF(WEEKDAY(Y$10,2)&gt;5,0,1)*$V$2/100,9))</f>
        <v>0</v>
      </c>
      <c r="Z53" s="213" t="n">
        <f aca="false">IF(Z$12=0,0,ROUND(INDEX(EB.AZSOLLTag100.Bereich,MATCH(INDEX(EB.Monate.Bereich,MONTH(Monat.Tag1)),EB.Monate.Bereich,0))*Z$11*IF(WEEKDAY(Z$10,2)&gt;5,0,1)*$V$2/100,9))</f>
        <v>0</v>
      </c>
      <c r="AA53" s="213" t="n">
        <f aca="false">IF(AA$12=0,0,ROUND(INDEX(EB.AZSOLLTag100.Bereich,MATCH(INDEX(EB.Monate.Bereich,MONTH(Monat.Tag1)),EB.Monate.Bereich,0))*AA$11*IF(WEEKDAY(AA$10,2)&gt;5,0,1)*$V$2/100,9))</f>
        <v>0.35</v>
      </c>
      <c r="AB53" s="213" t="n">
        <f aca="false">IF(AB$12=0,0,ROUND(INDEX(EB.AZSOLLTag100.Bereich,MATCH(INDEX(EB.Monate.Bereich,MONTH(Monat.Tag1)),EB.Monate.Bereich,0))*AB$11*IF(WEEKDAY(AB$10,2)&gt;5,0,1)*$V$2/100,9))</f>
        <v>0.35</v>
      </c>
      <c r="AC53" s="213" t="n">
        <f aca="false">IF(AC$12=0,0,ROUND(INDEX(EB.AZSOLLTag100.Bereich,MATCH(INDEX(EB.Monate.Bereich,MONTH(Monat.Tag1)),EB.Monate.Bereich,0))*AC$11*IF(WEEKDAY(AC$10,2)&gt;5,0,1)*$V$2/100,9))</f>
        <v>0.35</v>
      </c>
      <c r="AD53" s="213" t="n">
        <f aca="false">IF(AD$12=0,0,ROUND(INDEX(EB.AZSOLLTag100.Bereich,MATCH(INDEX(EB.Monate.Bereich,MONTH(Monat.Tag1)),EB.Monate.Bereich,0))*AD$11*IF(WEEKDAY(AD$10,2)&gt;5,0,1)*$V$2/100,9))</f>
        <v>0.35</v>
      </c>
      <c r="AE53" s="213" t="n">
        <f aca="false">IF(AE$12=0,0,ROUND(INDEX(EB.AZSOLLTag100.Bereich,MATCH(INDEX(EB.Monate.Bereich,MONTH(Monat.Tag1)),EB.Monate.Bereich,0))*AE$11*IF(WEEKDAY(AE$10,2)&gt;5,0,1)*$V$2/100,9))</f>
        <v>0.35</v>
      </c>
      <c r="AF53" s="168" t="str">
        <f aca="false">A53</f>
        <v>Req. hours of work FTE</v>
      </c>
      <c r="AG53" s="184"/>
      <c r="AH53" s="207" t="n">
        <f aca="false">SUM(B53:AE53)</f>
        <v>7.7</v>
      </c>
      <c r="AI53" s="180"/>
      <c r="AJ53" s="172"/>
      <c r="AK53" s="172"/>
      <c r="AL53" s="172"/>
      <c r="AM53" s="171"/>
      <c r="AN53" s="172"/>
      <c r="AO53" s="172"/>
      <c r="AP53" s="39"/>
    </row>
    <row r="54" s="148" customFormat="true" ht="15" hidden="true" customHeight="true" outlineLevel="1" collapsed="false">
      <c r="A54" s="175" t="s">
        <v>142</v>
      </c>
      <c r="B54" s="213" t="n">
        <f aca="false">ROUND(INDEX(EB.AZSOLLTag100.Bereich,MATCH(INDEX(EB.Monate.Bereich,MONTH(Monat.Tag1)),EB.Monate.Bereich,0))*B$11*IF(WEEKDAY(B$10,2)&gt;5,0,1),9)</f>
        <v>0.35</v>
      </c>
      <c r="C54" s="213" t="n">
        <f aca="false">ROUND(INDEX(EB.AZSOLLTag100.Bereich,MATCH(INDEX(EB.Monate.Bereich,MONTH(Monat.Tag1)),EB.Monate.Bereich,0))*C$11*IF(WEEKDAY(C$10,2)&gt;5,0,1),9)</f>
        <v>0.35</v>
      </c>
      <c r="D54" s="214" t="n">
        <f aca="false">ROUND(INDEX(EB.AZSOLLTag100.Bereich,MATCH(INDEX(EB.Monate.Bereich,MONTH(Monat.Tag1)),EB.Monate.Bereich,0))*D$11*IF(WEEKDAY(D$10,2)&gt;5,0,1),9)</f>
        <v>0</v>
      </c>
      <c r="E54" s="213" t="n">
        <f aca="false">ROUND(INDEX(EB.AZSOLLTag100.Bereich,MATCH(INDEX(EB.Monate.Bereich,MONTH(Monat.Tag1)),EB.Monate.Bereich,0))*E$11*IF(WEEKDAY(E$10,2)&gt;5,0,1),9)</f>
        <v>0</v>
      </c>
      <c r="F54" s="214" t="n">
        <f aca="false">ROUND(INDEX(EB.AZSOLLTag100.Bereich,MATCH(INDEX(EB.Monate.Bereich,MONTH(Monat.Tag1)),EB.Monate.Bereich,0))*F$11*IF(WEEKDAY(F$10,2)&gt;5,0,1),9)</f>
        <v>0.35</v>
      </c>
      <c r="G54" s="214" t="n">
        <f aca="false">ROUND(INDEX(EB.AZSOLLTag100.Bereich,MATCH(INDEX(EB.Monate.Bereich,MONTH(Monat.Tag1)),EB.Monate.Bereich,0))*G$11*IF(WEEKDAY(G$10,2)&gt;5,0,1),9)</f>
        <v>0.35</v>
      </c>
      <c r="H54" s="214" t="n">
        <f aca="false">ROUND(INDEX(EB.AZSOLLTag100.Bereich,MATCH(INDEX(EB.Monate.Bereich,MONTH(Monat.Tag1)),EB.Monate.Bereich,0))*H$11*IF(WEEKDAY(H$10,2)&gt;5,0,1),9)</f>
        <v>0.35</v>
      </c>
      <c r="I54" s="214" t="n">
        <f aca="false">ROUND(INDEX(EB.AZSOLLTag100.Bereich,MATCH(INDEX(EB.Monate.Bereich,MONTH(Monat.Tag1)),EB.Monate.Bereich,0))*I$11*IF(WEEKDAY(I$10,2)&gt;5,0,1),9)</f>
        <v>0.35</v>
      </c>
      <c r="J54" s="213" t="n">
        <f aca="false">ROUND(INDEX(EB.AZSOLLTag100.Bereich,MATCH(INDEX(EB.Monate.Bereich,MONTH(Monat.Tag1)),EB.Monate.Bereich,0))*J$11*IF(WEEKDAY(J$10,2)&gt;5,0,1),9)</f>
        <v>0.35</v>
      </c>
      <c r="K54" s="214" t="n">
        <f aca="false">ROUND(INDEX(EB.AZSOLLTag100.Bereich,MATCH(INDEX(EB.Monate.Bereich,MONTH(Monat.Tag1)),EB.Monate.Bereich,0))*K$11*IF(WEEKDAY(K$10,2)&gt;5,0,1),9)</f>
        <v>0</v>
      </c>
      <c r="L54" s="213" t="n">
        <f aca="false">ROUND(INDEX(EB.AZSOLLTag100.Bereich,MATCH(INDEX(EB.Monate.Bereich,MONTH(Monat.Tag1)),EB.Monate.Bereich,0))*L$11*IF(WEEKDAY(L$10,2)&gt;5,0,1),9)</f>
        <v>0</v>
      </c>
      <c r="M54" s="214" t="n">
        <f aca="false">ROUND(INDEX(EB.AZSOLLTag100.Bereich,MATCH(INDEX(EB.Monate.Bereich,MONTH(Monat.Tag1)),EB.Monate.Bereich,0))*M$11*IF(WEEKDAY(M$10,2)&gt;5,0,1),9)</f>
        <v>0.35</v>
      </c>
      <c r="N54" s="214" t="n">
        <f aca="false">ROUND(INDEX(EB.AZSOLLTag100.Bereich,MATCH(INDEX(EB.Monate.Bereich,MONTH(Monat.Tag1)),EB.Monate.Bereich,0))*N$11*IF(WEEKDAY(N$10,2)&gt;5,0,1),9)</f>
        <v>0.35</v>
      </c>
      <c r="O54" s="214" t="n">
        <f aca="false">ROUND(INDEX(EB.AZSOLLTag100.Bereich,MATCH(INDEX(EB.Monate.Bereich,MONTH(Monat.Tag1)),EB.Monate.Bereich,0))*O$11*IF(WEEKDAY(O$10,2)&gt;5,0,1),9)</f>
        <v>0.35</v>
      </c>
      <c r="P54" s="214" t="n">
        <f aca="false">ROUND(INDEX(EB.AZSOLLTag100.Bereich,MATCH(INDEX(EB.Monate.Bereich,MONTH(Monat.Tag1)),EB.Monate.Bereich,0))*P$11*IF(WEEKDAY(P$10,2)&gt;5,0,1),9)</f>
        <v>0.35</v>
      </c>
      <c r="Q54" s="213" t="n">
        <f aca="false">ROUND(INDEX(EB.AZSOLLTag100.Bereich,MATCH(INDEX(EB.Monate.Bereich,MONTH(Monat.Tag1)),EB.Monate.Bereich,0))*Q$11*IF(WEEKDAY(Q$10,2)&gt;5,0,1),9)</f>
        <v>0.35</v>
      </c>
      <c r="R54" s="214" t="n">
        <f aca="false">ROUND(INDEX(EB.AZSOLLTag100.Bereich,MATCH(INDEX(EB.Monate.Bereich,MONTH(Monat.Tag1)),EB.Monate.Bereich,0))*R$11*IF(WEEKDAY(R$10,2)&gt;5,0,1),9)</f>
        <v>0</v>
      </c>
      <c r="S54" s="213" t="n">
        <f aca="false">ROUND(INDEX(EB.AZSOLLTag100.Bereich,MATCH(INDEX(EB.Monate.Bereich,MONTH(Monat.Tag1)),EB.Monate.Bereich,0))*S$11*IF(WEEKDAY(S$10,2)&gt;5,0,1),9)</f>
        <v>0</v>
      </c>
      <c r="T54" s="213" t="n">
        <f aca="false">ROUND(INDEX(EB.AZSOLLTag100.Bereich,MATCH(INDEX(EB.Monate.Bereich,MONTH(Monat.Tag1)),EB.Monate.Bereich,0))*T$11*IF(WEEKDAY(T$10,2)&gt;5,0,1),9)</f>
        <v>0.35</v>
      </c>
      <c r="U54" s="214" t="n">
        <f aca="false">ROUND(INDEX(EB.AZSOLLTag100.Bereich,MATCH(INDEX(EB.Monate.Bereich,MONTH(Monat.Tag1)),EB.Monate.Bereich,0))*U$11*IF(WEEKDAY(U$10,2)&gt;5,0,1),9)</f>
        <v>0.35</v>
      </c>
      <c r="V54" s="214" t="n">
        <f aca="false">ROUND(INDEX(EB.AZSOLLTag100.Bereich,MATCH(INDEX(EB.Monate.Bereich,MONTH(Monat.Tag1)),EB.Monate.Bereich,0))*V$11*IF(WEEKDAY(V$10,2)&gt;5,0,1),9)</f>
        <v>0.35</v>
      </c>
      <c r="W54" s="214" t="n">
        <f aca="false">ROUND(INDEX(EB.AZSOLLTag100.Bereich,MATCH(INDEX(EB.Monate.Bereich,MONTH(Monat.Tag1)),EB.Monate.Bereich,0))*W$11*IF(WEEKDAY(W$10,2)&gt;5,0,1),9)</f>
        <v>0.35</v>
      </c>
      <c r="X54" s="213" t="n">
        <f aca="false">ROUND(INDEX(EB.AZSOLLTag100.Bereich,MATCH(INDEX(EB.Monate.Bereich,MONTH(Monat.Tag1)),EB.Monate.Bereich,0))*X$11*IF(WEEKDAY(X$10,2)&gt;5,0,1),9)</f>
        <v>0.35</v>
      </c>
      <c r="Y54" s="214" t="n">
        <f aca="false">ROUND(INDEX(EB.AZSOLLTag100.Bereich,MATCH(INDEX(EB.Monate.Bereich,MONTH(Monat.Tag1)),EB.Monate.Bereich,0))*Y$11*IF(WEEKDAY(Y$10,2)&gt;5,0,1),9)</f>
        <v>0</v>
      </c>
      <c r="Z54" s="215" t="n">
        <f aca="false">ROUND(INDEX(EB.AZSOLLTag100.Bereich,MATCH(INDEX(EB.Monate.Bereich,MONTH(Monat.Tag1)),EB.Monate.Bereich,0))*Z$11*IF(WEEKDAY(Z$10,2)&gt;5,0,1),9)</f>
        <v>0</v>
      </c>
      <c r="AA54" s="214" t="n">
        <f aca="false">ROUND(INDEX(EB.AZSOLLTag100.Bereich,MATCH(INDEX(EB.Monate.Bereich,MONTH(Monat.Tag1)),EB.Monate.Bereich,0))*AA$11*IF(WEEKDAY(AA$10,2)&gt;5,0,1),9)</f>
        <v>0.35</v>
      </c>
      <c r="AB54" s="214" t="n">
        <f aca="false">ROUND(INDEX(EB.AZSOLLTag100.Bereich,MATCH(INDEX(EB.Monate.Bereich,MONTH(Monat.Tag1)),EB.Monate.Bereich,0))*AB$11*IF(WEEKDAY(AB$10,2)&gt;5,0,1),9)</f>
        <v>0.35</v>
      </c>
      <c r="AC54" s="214" t="n">
        <f aca="false">ROUND(INDEX(EB.AZSOLLTag100.Bereich,MATCH(INDEX(EB.Monate.Bereich,MONTH(Monat.Tag1)),EB.Monate.Bereich,0))*AC$11*IF(WEEKDAY(AC$10,2)&gt;5,0,1),9)</f>
        <v>0.35</v>
      </c>
      <c r="AD54" s="214" t="n">
        <f aca="false">ROUND(INDEX(EB.AZSOLLTag100.Bereich,MATCH(INDEX(EB.Monate.Bereich,MONTH(Monat.Tag1)),EB.Monate.Bereich,0))*AD$11*IF(WEEKDAY(AD$10,2)&gt;5,0,1),9)</f>
        <v>0.35</v>
      </c>
      <c r="AE54" s="213" t="n">
        <f aca="false">ROUND(INDEX(EB.AZSOLLTag100.Bereich,MATCH(INDEX(EB.Monate.Bereich,MONTH(Monat.Tag1)),EB.Monate.Bereich,0))*AE$11*IF(WEEKDAY(AE$10,2)&gt;5,0,1),9)</f>
        <v>0.35</v>
      </c>
      <c r="AF54" s="168" t="str">
        <f aca="false">A54</f>
        <v>Req. hours of work 100%</v>
      </c>
      <c r="AG54" s="184"/>
      <c r="AH54" s="207" t="n">
        <f aca="false">SUM(B54:AE54)</f>
        <v>7.7</v>
      </c>
      <c r="AI54" s="180"/>
      <c r="AJ54" s="172"/>
      <c r="AK54" s="172"/>
      <c r="AL54" s="172"/>
      <c r="AM54" s="171"/>
      <c r="AN54" s="172"/>
      <c r="AO54" s="172"/>
      <c r="AP54" s="39"/>
    </row>
    <row r="55" s="148" customFormat="true" ht="15" hidden="false" customHeight="true" outlineLevel="0" collapsed="false">
      <c r="A55" s="175" t="s">
        <v>143</v>
      </c>
      <c r="B55" s="203" t="n">
        <f aca="false">ROUND(B51-B53,9)</f>
        <v>-0.35</v>
      </c>
      <c r="C55" s="203" t="n">
        <f aca="false">ROUND(C51-C53,9)</f>
        <v>-0.35</v>
      </c>
      <c r="D55" s="203" t="n">
        <f aca="false">ROUND(D51-D53,9)</f>
        <v>0</v>
      </c>
      <c r="E55" s="205" t="n">
        <f aca="false">ROUND(E51-E53,9)</f>
        <v>0</v>
      </c>
      <c r="F55" s="203" t="n">
        <f aca="false">ROUND(F51-F53,9)</f>
        <v>-0.35</v>
      </c>
      <c r="G55" s="203" t="n">
        <f aca="false">ROUND(G51-G53,9)</f>
        <v>-0.35</v>
      </c>
      <c r="H55" s="203" t="n">
        <f aca="false">ROUND(H51-H53,9)</f>
        <v>-0.35</v>
      </c>
      <c r="I55" s="203" t="n">
        <f aca="false">ROUND(I51-I53,9)</f>
        <v>-0.35</v>
      </c>
      <c r="J55" s="205" t="n">
        <f aca="false">ROUND(J51-J53,9)</f>
        <v>-0.35</v>
      </c>
      <c r="K55" s="203" t="n">
        <f aca="false">ROUND(K51-K53,9)</f>
        <v>0</v>
      </c>
      <c r="L55" s="205" t="n">
        <f aca="false">ROUND(L51-L53,9)</f>
        <v>0</v>
      </c>
      <c r="M55" s="203" t="n">
        <f aca="false">ROUND(M51-M53,9)</f>
        <v>-0.35</v>
      </c>
      <c r="N55" s="203" t="n">
        <f aca="false">ROUND(N51-N53,9)</f>
        <v>-0.35</v>
      </c>
      <c r="O55" s="203" t="n">
        <f aca="false">ROUND(O51-O53,9)</f>
        <v>-0.35</v>
      </c>
      <c r="P55" s="203" t="n">
        <f aca="false">ROUND(P51-P53,9)</f>
        <v>-0.35</v>
      </c>
      <c r="Q55" s="205" t="n">
        <f aca="false">ROUND(Q51-Q53,9)</f>
        <v>-0.35</v>
      </c>
      <c r="R55" s="203" t="n">
        <f aca="false">ROUND(R51-R53,9)</f>
        <v>0</v>
      </c>
      <c r="S55" s="205" t="n">
        <f aca="false">ROUND(S51-S53,9)</f>
        <v>0</v>
      </c>
      <c r="T55" s="205" t="n">
        <f aca="false">ROUND(T51-T53,9)</f>
        <v>-0.35</v>
      </c>
      <c r="U55" s="203" t="n">
        <f aca="false">ROUND(U51-U53,9)</f>
        <v>-0.35</v>
      </c>
      <c r="V55" s="203" t="n">
        <f aca="false">ROUND(V51-V53,9)</f>
        <v>-0.35</v>
      </c>
      <c r="W55" s="203" t="n">
        <f aca="false">ROUND(W51-W53,9)</f>
        <v>-0.35</v>
      </c>
      <c r="X55" s="205" t="n">
        <f aca="false">ROUND(X51-X53,9)</f>
        <v>-0.35</v>
      </c>
      <c r="Y55" s="203" t="n">
        <f aca="false">ROUND(Y51-Y53,9)</f>
        <v>0</v>
      </c>
      <c r="Z55" s="206" t="n">
        <f aca="false">ROUND(Z51-Z53,9)</f>
        <v>0</v>
      </c>
      <c r="AA55" s="203" t="n">
        <f aca="false">ROUND(AA51-AA53,9)</f>
        <v>-0.35</v>
      </c>
      <c r="AB55" s="203" t="n">
        <f aca="false">ROUND(AB51-AB53,9)</f>
        <v>-0.35</v>
      </c>
      <c r="AC55" s="203" t="n">
        <f aca="false">ROUND(AC51-AC53,9)</f>
        <v>-0.35</v>
      </c>
      <c r="AD55" s="203" t="n">
        <f aca="false">ROUND(AD51-AD53,9)</f>
        <v>-0.35</v>
      </c>
      <c r="AE55" s="205" t="n">
        <f aca="false">ROUND(AE51-AE53,9)</f>
        <v>-0.35</v>
      </c>
      <c r="AF55" s="168" t="str">
        <f aca="false">A55</f>
        <v>+/- required/actual hours daily</v>
      </c>
      <c r="AG55" s="184"/>
      <c r="AH55" s="207" t="n">
        <f aca="false">SUM(B55:AE55)</f>
        <v>-7.7</v>
      </c>
      <c r="AI55" s="180"/>
      <c r="AJ55" s="172"/>
      <c r="AK55" s="216" t="n">
        <f aca="false">IF(EB.Anwendung&lt;&gt;"",IF(MONTH(Monat.Tag1)=1,0,IF(MONTH(Monat.Tag1)=2,January!Monat.Soll_Ist_UeVM,IF(MONTH(Monat.Tag1)=3,February!Monat.Soll_Ist_UeVM,IF(MONTH(Monat.Tag1)=4,March!Monat.Soll_Ist_UeVM,IF(MONTH(Monat.Tag1)=5,April!Monat.Soll_Ist_UeVM,IF(MONTH(Monat.Tag1)=6,May!Monat.Soll_Ist_UeVM,IF(MONTH(Monat.Tag1)=7,June!Monat.Soll_Ist_UeVM,IF(MONTH(Monat.Tag1)=8,July!Monat.Soll_Ist_UeVM,IF(MONTH(Monat.Tag1)=9,August!Monat.Soll_Ist_UeVM,IF(MONTH(Monat.Tag1)=10,September!Monat.Soll_Ist_UeVM,IF(MONTH(Monat.Tag1)=11,October!Monat.Soll_Ist_UeVM,IF(MONTH(Monat.Tag1)=12,Monat.Soll_Ist_UeVM,"")))))))))))),"")</f>
        <v>-8.05</v>
      </c>
      <c r="AL55" s="172"/>
      <c r="AM55" s="217" t="n">
        <f aca="false">IF(AG57="+",(AH55+AH57),(AH55-AH57))</f>
        <v>-7.7</v>
      </c>
      <c r="AN55" s="217" t="n">
        <f aca="true">SUM(OFFSET(J.AZSaldo.Total,-12,0,MONTH(Monat.Tag1),1))</f>
        <v>-48.543055555</v>
      </c>
      <c r="AO55" s="217" t="n">
        <f aca="false">J.AZSaldo.Total</f>
        <v>-54.918055555</v>
      </c>
      <c r="AP55" s="39"/>
    </row>
    <row r="56" s="148" customFormat="true" ht="15" hidden="false" customHeight="true" outlineLevel="0" collapsed="false">
      <c r="A56" s="175" t="s">
        <v>144</v>
      </c>
      <c r="B56" s="218" t="n">
        <f aca="true">IF(EB.Anwendung&lt;&gt;"",IF(DAY(B$10)=1,IF(MONTH(Monat.Tag1)=1,ROUND(EB.ÜVMMS,9),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Monat.MMS.UeVM,""))))))))))))+IF(B$10&gt;TODAY(),0,B55), IF(B$10&gt;TODAY(),A56,A56+B55)),"")</f>
        <v>-0.768055555</v>
      </c>
      <c r="C56" s="218" t="n">
        <f aca="true">IF(EB.Anwendung&lt;&gt;"",IF(DAY(C$10)=1,IF(MONTH(Monat.Tag1)=1,ROUND(EB.ÜVMMS,9),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Monat.MMS.UeVM,""))))))))))))+IF(C$10&gt;TODAY(),0,C55), IF(C$10&gt;TODAY(),B56,B56+C55)),"")</f>
        <v>-0.768055555</v>
      </c>
      <c r="D56" s="218" t="n">
        <f aca="true">IF(EB.Anwendung&lt;&gt;"",IF(DAY(D$10)=1,IF(MONTH(Monat.Tag1)=1,ROUND(EB.ÜVMMS,9),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Monat.MMS.UeVM,""))))))))))))+IF(D$10&gt;TODAY(),0,D55), IF(D$10&gt;TODAY(),C56,C56+D55)),"")</f>
        <v>-0.768055555</v>
      </c>
      <c r="E56" s="218" t="n">
        <f aca="true">IF(EB.Anwendung&lt;&gt;"",IF(DAY(E$10)=1,IF(MONTH(Monat.Tag1)=1,ROUND(EB.ÜVMMS,9),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Monat.MMS.UeVM,""))))))))))))+IF(E$10&gt;TODAY(),0,E55), IF(E$10&gt;TODAY(),D56,D56+E55)),"")</f>
        <v>-0.768055555</v>
      </c>
      <c r="F56" s="218" t="n">
        <f aca="true">IF(EB.Anwendung&lt;&gt;"",IF(DAY(F$10)=1,IF(MONTH(Monat.Tag1)=1,ROUND(EB.ÜVMMS,9),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Monat.MMS.UeVM,""))))))))))))+IF(F$10&gt;TODAY(),0,F55), IF(F$10&gt;TODAY(),E56,E56+F55)),"")</f>
        <v>-0.768055555</v>
      </c>
      <c r="G56" s="218" t="n">
        <f aca="true">IF(EB.Anwendung&lt;&gt;"",IF(DAY(G$10)=1,IF(MONTH(Monat.Tag1)=1,ROUND(EB.ÜVMMS,9),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Monat.MMS.UeVM,""))))))))))))+IF(G$10&gt;TODAY(),0,G55), IF(G$10&gt;TODAY(),F56,F56+G55)),"")</f>
        <v>-0.768055555</v>
      </c>
      <c r="H56" s="218" t="n">
        <f aca="true">IF(EB.Anwendung&lt;&gt;"",IF(DAY(H$10)=1,IF(MONTH(Monat.Tag1)=1,ROUND(EB.ÜVMMS,9),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Monat.MMS.UeVM,""))))))))))))+IF(H$10&gt;TODAY(),0,H55), IF(H$10&gt;TODAY(),G56,G56+H55)),"")</f>
        <v>-0.768055555</v>
      </c>
      <c r="I56" s="218" t="n">
        <f aca="true">IF(EB.Anwendung&lt;&gt;"",IF(DAY(I$10)=1,IF(MONTH(Monat.Tag1)=1,ROUND(EB.ÜVMMS,9),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Monat.MMS.UeVM,""))))))))))))+IF(I$10&gt;TODAY(),0,I55), IF(I$10&gt;TODAY(),H56,H56+I55)),"")</f>
        <v>-0.768055555</v>
      </c>
      <c r="J56" s="218" t="n">
        <f aca="true">IF(EB.Anwendung&lt;&gt;"",IF(DAY(J$10)=1,IF(MONTH(Monat.Tag1)=1,ROUND(EB.ÜVMMS,9),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Monat.MMS.UeVM,""))))))))))))+IF(J$10&gt;TODAY(),0,J55), IF(J$10&gt;TODAY(),I56,I56+J55)),"")</f>
        <v>-0.768055555</v>
      </c>
      <c r="K56" s="218" t="n">
        <f aca="true">IF(EB.Anwendung&lt;&gt;"",IF(DAY(K$10)=1,IF(MONTH(Monat.Tag1)=1,ROUND(EB.ÜVMMS,9),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Monat.MMS.UeVM,""))))))))))))+IF(K$10&gt;TODAY(),0,K55), IF(K$10&gt;TODAY(),J56,J56+K55)),"")</f>
        <v>-0.768055555</v>
      </c>
      <c r="L56" s="218" t="n">
        <f aca="true">IF(EB.Anwendung&lt;&gt;"",IF(DAY(L$10)=1,IF(MONTH(Monat.Tag1)=1,ROUND(EB.ÜVMMS,9),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Monat.MMS.UeVM,""))))))))))))+IF(L$10&gt;TODAY(),0,L55), IF(L$10&gt;TODAY(),K56,K56+L55)),"")</f>
        <v>-0.768055555</v>
      </c>
      <c r="M56" s="218" t="n">
        <f aca="true">IF(EB.Anwendung&lt;&gt;"",IF(DAY(M$10)=1,IF(MONTH(Monat.Tag1)=1,ROUND(EB.ÜVMMS,9),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Monat.MMS.UeVM,""))))))))))))+IF(M$10&gt;TODAY(),0,M55), IF(M$10&gt;TODAY(),L56,L56+M55)),"")</f>
        <v>-0.768055555</v>
      </c>
      <c r="N56" s="218" t="n">
        <f aca="true">IF(EB.Anwendung&lt;&gt;"",IF(DAY(N$10)=1,IF(MONTH(Monat.Tag1)=1,ROUND(EB.ÜVMMS,9),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Monat.MMS.UeVM,""))))))))))))+IF(N$10&gt;TODAY(),0,N55), IF(N$10&gt;TODAY(),M56,M56+N55)),"")</f>
        <v>-0.768055555</v>
      </c>
      <c r="O56" s="218" t="n">
        <f aca="true">IF(EB.Anwendung&lt;&gt;"",IF(DAY(O$10)=1,IF(MONTH(Monat.Tag1)=1,ROUND(EB.ÜVMMS,9),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Monat.MMS.UeVM,""))))))))))))+IF(O$10&gt;TODAY(),0,O55), IF(O$10&gt;TODAY(),N56,N56+O55)),"")</f>
        <v>-0.768055555</v>
      </c>
      <c r="P56" s="218" t="n">
        <f aca="true">IF(EB.Anwendung&lt;&gt;"",IF(DAY(P$10)=1,IF(MONTH(Monat.Tag1)=1,ROUND(EB.ÜVMMS,9),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Monat.MMS.UeVM,""))))))))))))+IF(P$10&gt;TODAY(),0,P55), IF(P$10&gt;TODAY(),O56,O56+P55)),"")</f>
        <v>-0.768055555</v>
      </c>
      <c r="Q56" s="218" t="n">
        <f aca="true">IF(EB.Anwendung&lt;&gt;"",IF(DAY(Q$10)=1,IF(MONTH(Monat.Tag1)=1,ROUND(EB.ÜVMMS,9),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Monat.MMS.UeVM,""))))))))))))+IF(Q$10&gt;TODAY(),0,Q55), IF(Q$10&gt;TODAY(),P56,P56+Q55)),"")</f>
        <v>-0.768055555</v>
      </c>
      <c r="R56" s="218" t="n">
        <f aca="true">IF(EB.Anwendung&lt;&gt;"",IF(DAY(R$10)=1,IF(MONTH(Monat.Tag1)=1,ROUND(EB.ÜVMMS,9),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Monat.MMS.UeVM,""))))))))))))+IF(R$10&gt;TODAY(),0,R55), IF(R$10&gt;TODAY(),Q56,Q56+R55)),"")</f>
        <v>-0.768055555</v>
      </c>
      <c r="S56" s="218" t="n">
        <f aca="true">IF(EB.Anwendung&lt;&gt;"",IF(DAY(S$10)=1,IF(MONTH(Monat.Tag1)=1,ROUND(EB.ÜVMMS,9),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Monat.MMS.UeVM,""))))))))))))+IF(S$10&gt;TODAY(),0,S55), IF(S$10&gt;TODAY(),R56,R56+S55)),"")</f>
        <v>-0.768055555</v>
      </c>
      <c r="T56" s="218" t="n">
        <f aca="true">IF(EB.Anwendung&lt;&gt;"",IF(DAY(T$10)=1,IF(MONTH(Monat.Tag1)=1,ROUND(EB.ÜVMMS,9),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Monat.MMS.UeVM,""))))))))))))+IF(T$10&gt;TODAY(),0,T55), IF(T$10&gt;TODAY(),S56,S56+T55)),"")</f>
        <v>-0.768055555</v>
      </c>
      <c r="U56" s="218" t="n">
        <f aca="true">IF(EB.Anwendung&lt;&gt;"",IF(DAY(U$10)=1,IF(MONTH(Monat.Tag1)=1,ROUND(EB.ÜVMMS,9),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Monat.MMS.UeVM,""))))))))))))+IF(U$10&gt;TODAY(),0,U55), IF(U$10&gt;TODAY(),T56,T56+U55)),"")</f>
        <v>-0.768055555</v>
      </c>
      <c r="V56" s="218" t="n">
        <f aca="true">IF(EB.Anwendung&lt;&gt;"",IF(DAY(V$10)=1,IF(MONTH(Monat.Tag1)=1,ROUND(EB.ÜVMMS,9),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Monat.MMS.UeVM,""))))))))))))+IF(V$10&gt;TODAY(),0,V55), IF(V$10&gt;TODAY(),U56,U56+V55)),"")</f>
        <v>-0.768055555</v>
      </c>
      <c r="W56" s="218" t="n">
        <f aca="true">IF(EB.Anwendung&lt;&gt;"",IF(DAY(W$10)=1,IF(MONTH(Monat.Tag1)=1,ROUND(EB.ÜVMMS,9),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Monat.MMS.UeVM,""))))))))))))+IF(W$10&gt;TODAY(),0,W55), IF(W$10&gt;TODAY(),V56,V56+W55)),"")</f>
        <v>-0.768055555</v>
      </c>
      <c r="X56" s="218" t="n">
        <f aca="true">IF(EB.Anwendung&lt;&gt;"",IF(DAY(X$10)=1,IF(MONTH(Monat.Tag1)=1,ROUND(EB.ÜVMMS,9),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Monat.MMS.UeVM,""))))))))))))+IF(X$10&gt;TODAY(),0,X55), IF(X$10&gt;TODAY(),W56,W56+X55)),"")</f>
        <v>-0.768055555</v>
      </c>
      <c r="Y56" s="218" t="n">
        <f aca="true">IF(EB.Anwendung&lt;&gt;"",IF(DAY(Y$10)=1,IF(MONTH(Monat.Tag1)=1,ROUND(EB.ÜVMMS,9),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Monat.MMS.UeVM,""))))))))))))+IF(Y$10&gt;TODAY(),0,Y55), IF(Y$10&gt;TODAY(),X56,X56+Y55)),"")</f>
        <v>-0.768055555</v>
      </c>
      <c r="Z56" s="218" t="n">
        <f aca="true">IF(EB.Anwendung&lt;&gt;"",IF(DAY(Z$10)=1,IF(MONTH(Monat.Tag1)=1,ROUND(EB.ÜVMMS,9),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Monat.MMS.UeVM,""))))))))))))+IF(Z$10&gt;TODAY(),0,Z55), IF(Z$10&gt;TODAY(),Y56,Y56+Z55)),"")</f>
        <v>-0.768055555</v>
      </c>
      <c r="AA56" s="218" t="n">
        <f aca="true">IF(EB.Anwendung&lt;&gt;"",IF(DAY(AA$10)=1,IF(MONTH(Monat.Tag1)=1,ROUND(EB.ÜVMMS,9),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Monat.MMS.UeVM,""))))))))))))+IF(AA$10&gt;TODAY(),0,AA55), IF(AA$10&gt;TODAY(),Z56,Z56+AA55)),"")</f>
        <v>-0.768055555</v>
      </c>
      <c r="AB56" s="218" t="n">
        <f aca="true">IF(EB.Anwendung&lt;&gt;"",IF(DAY(AB$10)=1,IF(MONTH(Monat.Tag1)=1,ROUND(EB.ÜVMMS,9),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Monat.MMS.UeVM,""))))))))))))+IF(AB$10&gt;TODAY(),0,AB55), IF(AB$10&gt;TODAY(),AA56,AA56+AB55)),"")</f>
        <v>-0.768055555</v>
      </c>
      <c r="AC56" s="218" t="n">
        <f aca="true">IF(EB.Anwendung&lt;&gt;"",IF(DAY(AC$10)=1,IF(MONTH(Monat.Tag1)=1,ROUND(EB.ÜVMMS,9),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Monat.MMS.UeVM,""))))))))))))+IF(AC$10&gt;TODAY(),0,AC55), IF(AC$10&gt;TODAY(),AB56,AB56+AC55)),"")</f>
        <v>-0.768055555</v>
      </c>
      <c r="AD56" s="218" t="n">
        <f aca="true">IF(EB.Anwendung&lt;&gt;"",IF(DAY(AD$10)=1,IF(MONTH(Monat.Tag1)=1,ROUND(EB.ÜVMMS,9),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Monat.MMS.UeVM,""))))))))))))+IF(AD$10&gt;TODAY(),0,AD55), IF(AD$10&gt;TODAY(),AC56,AC56+AD55)),"")</f>
        <v>-0.768055555</v>
      </c>
      <c r="AE56" s="218" t="n">
        <f aca="true">IF(EB.Anwendung&lt;&gt;"",IF(DAY(AE$10)=1,IF(MONTH(Monat.Tag1)=1,ROUND(EB.ÜVMMS,9),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Monat.MMS.UeVM,""))))))))))))+IF(AE$10&gt;TODAY(),0,AE55), IF(AE$10&gt;TODAY(),AD56,AD56+AE55)),"")</f>
        <v>-0.768055555</v>
      </c>
      <c r="AF56" s="168" t="str">
        <f aca="false">A56</f>
        <v>current extra/minus hours</v>
      </c>
      <c r="AG56" s="184"/>
      <c r="AH56" s="207" t="n">
        <f aca="true">OFFSET(B56,0,DAY(EOMONTH(Monat.Tag1,0))-1,1,1)</f>
        <v>-0.768055555</v>
      </c>
      <c r="AI56" s="180"/>
      <c r="AJ56" s="172"/>
      <c r="AK56" s="172"/>
      <c r="AL56" s="172"/>
      <c r="AM56" s="171"/>
      <c r="AN56" s="172"/>
      <c r="AO56" s="172"/>
      <c r="AP56" s="39"/>
    </row>
    <row r="57" s="231" customFormat="true" ht="15" hidden="false" customHeight="true" outlineLevel="1" collapsed="false">
      <c r="A57" s="219"/>
      <c r="B57" s="220"/>
      <c r="C57" s="220"/>
      <c r="D57" s="220"/>
      <c r="E57" s="152"/>
      <c r="F57" s="220"/>
      <c r="G57" s="220"/>
      <c r="H57" s="221"/>
      <c r="I57" s="220"/>
      <c r="J57" s="222"/>
      <c r="K57" s="220"/>
      <c r="L57" s="223"/>
      <c r="M57" s="220"/>
      <c r="N57" s="220"/>
      <c r="O57" s="221"/>
      <c r="P57" s="220"/>
      <c r="Q57" s="152"/>
      <c r="R57" s="220"/>
      <c r="S57" s="223"/>
      <c r="T57" s="220"/>
      <c r="U57" s="220"/>
      <c r="V57" s="221"/>
      <c r="W57" s="220"/>
      <c r="X57" s="224"/>
      <c r="Y57" s="220"/>
      <c r="Z57" s="152"/>
      <c r="AA57" s="220"/>
      <c r="AB57" s="220"/>
      <c r="AC57" s="221"/>
      <c r="AD57" s="220"/>
      <c r="AE57" s="152"/>
      <c r="AF57" s="175" t="s">
        <v>145</v>
      </c>
      <c r="AG57" s="226" t="s">
        <v>146</v>
      </c>
      <c r="AH57" s="227"/>
      <c r="AI57" s="228"/>
      <c r="AJ57" s="229"/>
      <c r="AK57" s="172"/>
      <c r="AL57" s="172"/>
      <c r="AM57" s="171"/>
      <c r="AN57" s="230"/>
      <c r="AO57" s="230"/>
      <c r="AP57" s="96"/>
    </row>
    <row r="58" s="236" customFormat="true" ht="15" hidden="false" customHeight="true" outlineLevel="0" collapsed="false">
      <c r="A58" s="232"/>
      <c r="B58" s="223"/>
      <c r="C58" s="223"/>
      <c r="D58" s="223"/>
      <c r="E58" s="152"/>
      <c r="F58" s="223"/>
      <c r="G58" s="223"/>
      <c r="H58" s="223"/>
      <c r="I58" s="223"/>
      <c r="J58" s="152"/>
      <c r="K58" s="223"/>
      <c r="L58" s="223"/>
      <c r="M58" s="223"/>
      <c r="N58" s="223"/>
      <c r="O58" s="223"/>
      <c r="P58" s="223"/>
      <c r="Q58" s="152"/>
      <c r="R58" s="223"/>
      <c r="S58" s="223"/>
      <c r="T58" s="223"/>
      <c r="U58" s="223"/>
      <c r="V58" s="223"/>
      <c r="W58" s="223"/>
      <c r="X58" s="224"/>
      <c r="Y58" s="223"/>
      <c r="Z58" s="152"/>
      <c r="AA58" s="223"/>
      <c r="AB58" s="223"/>
      <c r="AC58" s="223"/>
      <c r="AD58" s="223"/>
      <c r="AE58" s="152"/>
      <c r="AF58" s="234" t="s">
        <v>147</v>
      </c>
      <c r="AG58" s="184"/>
      <c r="AH58" s="207" t="n">
        <f aca="false">IF(AG57="+",(Monat.ZUeZ.Total+AH57),(Monat.ZUeZ.Total-AH57))</f>
        <v>-0.768055555</v>
      </c>
      <c r="AI58" s="33"/>
      <c r="AJ58" s="235"/>
      <c r="AK58" s="216" t="n">
        <f aca="false">IF(EB.Anwendung&lt;&gt;"",IF(MONTH(Monat.Tag1)=1,EB.MMS,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Monat.MMS.UeVM,"")))))))))))),"")</f>
        <v>-0.768055555</v>
      </c>
      <c r="AL58" s="172"/>
      <c r="AM58" s="217" t="n">
        <f aca="false">AH58</f>
        <v>-0.768055555</v>
      </c>
      <c r="AN58" s="172"/>
      <c r="AO58" s="172"/>
      <c r="AP58" s="51"/>
    </row>
    <row r="59" s="148" customFormat="true" ht="11.25" hidden="false" customHeight="true" outlineLevel="0" collapsed="false">
      <c r="A59" s="186"/>
      <c r="B59" s="187"/>
      <c r="C59" s="187"/>
      <c r="D59" s="187"/>
      <c r="E59" s="187"/>
      <c r="F59" s="187"/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  <c r="U59" s="187"/>
      <c r="V59" s="187"/>
      <c r="W59" s="187"/>
      <c r="X59" s="187"/>
      <c r="Y59" s="187"/>
      <c r="Z59" s="187"/>
      <c r="AA59" s="187"/>
      <c r="AB59" s="187"/>
      <c r="AC59" s="187"/>
      <c r="AD59" s="187"/>
      <c r="AE59" s="187"/>
      <c r="AF59" s="168"/>
      <c r="AG59" s="146"/>
      <c r="AH59" s="179"/>
      <c r="AI59" s="180"/>
      <c r="AJ59" s="172"/>
      <c r="AK59" s="172"/>
      <c r="AL59" s="172"/>
      <c r="AM59" s="171"/>
      <c r="AN59" s="172"/>
      <c r="AO59" s="172"/>
      <c r="AP59" s="39"/>
    </row>
    <row r="60" s="148" customFormat="true" ht="15" hidden="false" customHeight="true" outlineLevel="0" collapsed="false">
      <c r="A60" s="175" t="s">
        <v>148</v>
      </c>
      <c r="B60" s="237" t="str">
        <f aca="true">IF(EB.Wochenarbeitszeit=50/24,IF(T.50_Vetsuisse,IF(WEEKDAY(B$10,2)=7,MAX(0,SUM(OFFSET(B51,0,-MIN(6,DAY(B$10)-1),1,MIN(7,DAY(B$10))))+IF(AND(MONTH(Monat.Tag1)&lt;&gt;1,DAY(B$10)&lt;7),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Monat.AZIstWRestUeVM,""))))))))))),0) -1/24*50),""),""),IF(B45=0,"",B45))</f>
        <v/>
      </c>
      <c r="C60" s="237" t="str">
        <f aca="true">IF(EB.Wochenarbeitszeit=50/24,IF(T.50_Vetsuisse,IF(WEEKDAY(C$10,2)=7,MAX(0,SUM(OFFSET(C51,0,-MIN(6,DAY(C$10)-1),1,MIN(7,DAY(C$10))))+IF(AND(MONTH(Monat.Tag1)&lt;&gt;1,DAY(C$10)&lt;7),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Monat.AZIstWRestUeVM,""))))))))))),0) -1/24*50),""),""),IF(C45=0,"",C45))</f>
        <v/>
      </c>
      <c r="D60" s="237" t="str">
        <f aca="true">IF(EB.Wochenarbeitszeit=50/24,IF(T.50_Vetsuisse,IF(WEEKDAY(D$10,2)=7,MAX(0,SUM(OFFSET(D51,0,-MIN(6,DAY(D$10)-1),1,MIN(7,DAY(D$10))))+IF(AND(MONTH(Monat.Tag1)&lt;&gt;1,DAY(D$10)&lt;7),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Monat.AZIstWRestUeVM,""))))))))))),0) -1/24*50),""),""),IF(D45=0,"",D45))</f>
        <v/>
      </c>
      <c r="E60" s="238" t="str">
        <f aca="true">IF(EB.Wochenarbeitszeit=50/24,IF(T.50_Vetsuisse,IF(WEEKDAY(E$10,2)=7,MAX(0,SUM(OFFSET(E51,0,-MIN(6,DAY(E$10)-1),1,MIN(7,DAY(E$10))))+IF(AND(MONTH(Monat.Tag1)&lt;&gt;1,DAY(E$10)&lt;7),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Monat.AZIstWRestUeVM,""))))))))))),0) -1/24*50),""),""),IF(E45=0,"",E45))</f>
        <v/>
      </c>
      <c r="F60" s="237" t="str">
        <f aca="true">IF(EB.Wochenarbeitszeit=50/24,IF(T.50_Vetsuisse,IF(WEEKDAY(F$10,2)=7,MAX(0,SUM(OFFSET(F51,0,-MIN(6,DAY(F$10)-1),1,MIN(7,DAY(F$10))))+IF(AND(MONTH(Monat.Tag1)&lt;&gt;1,DAY(F$10)&lt;7),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Monat.AZIstWRestUeVM,""))))))))))),0) -1/24*50),""),""),IF(F45=0,"",F45))</f>
        <v/>
      </c>
      <c r="G60" s="237" t="str">
        <f aca="true">IF(EB.Wochenarbeitszeit=50/24,IF(T.50_Vetsuisse,IF(WEEKDAY(G$10,2)=7,MAX(0,SUM(OFFSET(G51,0,-MIN(6,DAY(G$10)-1),1,MIN(7,DAY(G$10))))+IF(AND(MONTH(Monat.Tag1)&lt;&gt;1,DAY(G$10)&lt;7),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Monat.AZIstWRestUeVM,""))))))))))),0) -1/24*50),""),""),IF(G45=0,"",G45))</f>
        <v/>
      </c>
      <c r="H60" s="237" t="str">
        <f aca="true">IF(EB.Wochenarbeitszeit=50/24,IF(T.50_Vetsuisse,IF(WEEKDAY(H$10,2)=7,MAX(0,SUM(OFFSET(H51,0,-MIN(6,DAY(H$10)-1),1,MIN(7,DAY(H$10))))+IF(AND(MONTH(Monat.Tag1)&lt;&gt;1,DAY(H$10)&lt;7),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Monat.AZIstWRestUeVM,""))))))))))),0) -1/24*50),""),""),IF(H45=0,"",H45))</f>
        <v/>
      </c>
      <c r="I60" s="237" t="str">
        <f aca="true">IF(EB.Wochenarbeitszeit=50/24,IF(T.50_Vetsuisse,IF(WEEKDAY(I$10,2)=7,MAX(0,SUM(OFFSET(I51,0,-MIN(6,DAY(I$10)-1),1,MIN(7,DAY(I$10))))+IF(AND(MONTH(Monat.Tag1)&lt;&gt;1,DAY(I$10)&lt;7),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Monat.AZIstWRestUeVM,""))))))))))),0) -1/24*50),""),""),IF(I45=0,"",I45))</f>
        <v/>
      </c>
      <c r="J60" s="238" t="str">
        <f aca="true">IF(EB.Wochenarbeitszeit=50/24,IF(T.50_Vetsuisse,IF(WEEKDAY(J$10,2)=7,MAX(0,SUM(OFFSET(J51,0,-MIN(6,DAY(J$10)-1),1,MIN(7,DAY(J$10))))+IF(AND(MONTH(Monat.Tag1)&lt;&gt;1,DAY(J$10)&lt;7),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Monat.AZIstWRestUeVM,""))))))))))),0) -1/24*50),""),""),IF(J45=0,"",J45))</f>
        <v/>
      </c>
      <c r="K60" s="237" t="str">
        <f aca="true">IF(EB.Wochenarbeitszeit=50/24,IF(T.50_Vetsuisse,IF(WEEKDAY(K$10,2)=7,MAX(0,SUM(OFFSET(K51,0,-MIN(6,DAY(K$10)-1),1,MIN(7,DAY(K$10))))+IF(AND(MONTH(Monat.Tag1)&lt;&gt;1,DAY(K$10)&lt;7),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Monat.AZIstWRestUeVM,""))))))))))),0) -1/24*50),""),""),IF(K45=0,"",K45))</f>
        <v/>
      </c>
      <c r="L60" s="238" t="str">
        <f aca="true">IF(EB.Wochenarbeitszeit=50/24,IF(T.50_Vetsuisse,IF(WEEKDAY(L$10,2)=7,MAX(0,SUM(OFFSET(L51,0,-MIN(6,DAY(L$10)-1),1,MIN(7,DAY(L$10))))+IF(AND(MONTH(Monat.Tag1)&lt;&gt;1,DAY(L$10)&lt;7),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Monat.AZIstWRestUeVM,""))))))))))),0) -1/24*50),""),""),IF(L45=0,"",L45))</f>
        <v/>
      </c>
      <c r="M60" s="237" t="str">
        <f aca="true">IF(EB.Wochenarbeitszeit=50/24,IF(T.50_Vetsuisse,IF(WEEKDAY(M$10,2)=7,MAX(0,SUM(OFFSET(M51,0,-MIN(6,DAY(M$10)-1),1,MIN(7,DAY(M$10))))+IF(AND(MONTH(Monat.Tag1)&lt;&gt;1,DAY(M$10)&lt;7),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Monat.AZIstWRestUeVM,""))))))))))),0) -1/24*50),""),""),IF(M45=0,"",M45))</f>
        <v/>
      </c>
      <c r="N60" s="237" t="str">
        <f aca="true">IF(EB.Wochenarbeitszeit=50/24,IF(T.50_Vetsuisse,IF(WEEKDAY(N$10,2)=7,MAX(0,SUM(OFFSET(N51,0,-MIN(6,DAY(N$10)-1),1,MIN(7,DAY(N$10))))+IF(AND(MONTH(Monat.Tag1)&lt;&gt;1,DAY(N$10)&lt;7),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Monat.AZIstWRestUeVM,""))))))))))),0) -1/24*50),""),""),IF(N45=0,"",N45))</f>
        <v/>
      </c>
      <c r="O60" s="237" t="str">
        <f aca="true">IF(EB.Wochenarbeitszeit=50/24,IF(T.50_Vetsuisse,IF(WEEKDAY(O$10,2)=7,MAX(0,SUM(OFFSET(O51,0,-MIN(6,DAY(O$10)-1),1,MIN(7,DAY(O$10))))+IF(AND(MONTH(Monat.Tag1)&lt;&gt;1,DAY(O$10)&lt;7),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Monat.AZIstWRestUeVM,""))))))))))),0) -1/24*50),""),""),IF(O45=0,"",O45))</f>
        <v/>
      </c>
      <c r="P60" s="237" t="str">
        <f aca="true">IF(EB.Wochenarbeitszeit=50/24,IF(T.50_Vetsuisse,IF(WEEKDAY(P$10,2)=7,MAX(0,SUM(OFFSET(P51,0,-MIN(6,DAY(P$10)-1),1,MIN(7,DAY(P$10))))+IF(AND(MONTH(Monat.Tag1)&lt;&gt;1,DAY(P$10)&lt;7),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Monat.AZIstWRestUeVM,""))))))))))),0) -1/24*50),""),""),IF(P45=0,"",P45))</f>
        <v/>
      </c>
      <c r="Q60" s="238" t="str">
        <f aca="true">IF(EB.Wochenarbeitszeit=50/24,IF(T.50_Vetsuisse,IF(WEEKDAY(Q$10,2)=7,MAX(0,SUM(OFFSET(Q51,0,-MIN(6,DAY(Q$10)-1),1,MIN(7,DAY(Q$10))))+IF(AND(MONTH(Monat.Tag1)&lt;&gt;1,DAY(Q$10)&lt;7),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Monat.AZIstWRestUeVM,""))))))))))),0) -1/24*50),""),""),IF(Q45=0,"",Q45))</f>
        <v/>
      </c>
      <c r="R60" s="237" t="str">
        <f aca="true">IF(EB.Wochenarbeitszeit=50/24,IF(T.50_Vetsuisse,IF(WEEKDAY(R$10,2)=7,MAX(0,SUM(OFFSET(R51,0,-MIN(6,DAY(R$10)-1),1,MIN(7,DAY(R$10))))+IF(AND(MONTH(Monat.Tag1)&lt;&gt;1,DAY(R$10)&lt;7),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Monat.AZIstWRestUeVM,""))))))))))),0) -1/24*50),""),""),IF(R45=0,"",R45))</f>
        <v/>
      </c>
      <c r="S60" s="238" t="str">
        <f aca="true">IF(EB.Wochenarbeitszeit=50/24,IF(T.50_Vetsuisse,IF(WEEKDAY(S$10,2)=7,MAX(0,SUM(OFFSET(S51,0,-MIN(6,DAY(S$10)-1),1,MIN(7,DAY(S$10))))+IF(AND(MONTH(Monat.Tag1)&lt;&gt;1,DAY(S$10)&lt;7),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Monat.AZIstWRestUeVM,""))))))))))),0) -1/24*50),""),""),IF(S45=0,"",S45))</f>
        <v/>
      </c>
      <c r="T60" s="238" t="str">
        <f aca="true">IF(EB.Wochenarbeitszeit=50/24,IF(T.50_Vetsuisse,IF(WEEKDAY(T$10,2)=7,MAX(0,SUM(OFFSET(T51,0,-MIN(6,DAY(T$10)-1),1,MIN(7,DAY(T$10))))+IF(AND(MONTH(Monat.Tag1)&lt;&gt;1,DAY(T$10)&lt;7),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Monat.AZIstWRestUeVM,""))))))))))),0) -1/24*50),""),""),IF(T45=0,"",T45))</f>
        <v/>
      </c>
      <c r="U60" s="237" t="str">
        <f aca="true">IF(EB.Wochenarbeitszeit=50/24,IF(T.50_Vetsuisse,IF(WEEKDAY(U$10,2)=7,MAX(0,SUM(OFFSET(U51,0,-MIN(6,DAY(U$10)-1),1,MIN(7,DAY(U$10))))+IF(AND(MONTH(Monat.Tag1)&lt;&gt;1,DAY(U$10)&lt;7),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Monat.AZIstWRestUeVM,""))))))))))),0) -1/24*50),""),""),IF(U45=0,"",U45))</f>
        <v/>
      </c>
      <c r="V60" s="237" t="str">
        <f aca="true">IF(EB.Wochenarbeitszeit=50/24,IF(T.50_Vetsuisse,IF(WEEKDAY(V$10,2)=7,MAX(0,SUM(OFFSET(V51,0,-MIN(6,DAY(V$10)-1),1,MIN(7,DAY(V$10))))+IF(AND(MONTH(Monat.Tag1)&lt;&gt;1,DAY(V$10)&lt;7),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Monat.AZIstWRestUeVM,""))))))))))),0) -1/24*50),""),""),IF(V45=0,"",V45))</f>
        <v/>
      </c>
      <c r="W60" s="237" t="str">
        <f aca="true">IF(EB.Wochenarbeitszeit=50/24,IF(T.50_Vetsuisse,IF(WEEKDAY(W$10,2)=7,MAX(0,SUM(OFFSET(W51,0,-MIN(6,DAY(W$10)-1),1,MIN(7,DAY(W$10))))+IF(AND(MONTH(Monat.Tag1)&lt;&gt;1,DAY(W$10)&lt;7),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Monat.AZIstWRestUeVM,""))))))))))),0) -1/24*50),""),""),IF(W45=0,"",W45))</f>
        <v/>
      </c>
      <c r="X60" s="238" t="str">
        <f aca="true">IF(EB.Wochenarbeitszeit=50/24,IF(T.50_Vetsuisse,IF(WEEKDAY(X$10,2)=7,MAX(0,SUM(OFFSET(X51,0,-MIN(6,DAY(X$10)-1),1,MIN(7,DAY(X$10))))+IF(AND(MONTH(Monat.Tag1)&lt;&gt;1,DAY(X$10)&lt;7),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Monat.AZIstWRestUeVM,""))))))))))),0) -1/24*50),""),""),IF(X45=0,"",X45))</f>
        <v/>
      </c>
      <c r="Y60" s="237" t="str">
        <f aca="true">IF(EB.Wochenarbeitszeit=50/24,IF(T.50_Vetsuisse,IF(WEEKDAY(Y$10,2)=7,MAX(0,SUM(OFFSET(Y51,0,-MIN(6,DAY(Y$10)-1),1,MIN(7,DAY(Y$10))))+IF(AND(MONTH(Monat.Tag1)&lt;&gt;1,DAY(Y$10)&lt;7),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Monat.AZIstWRestUeVM,""))))))))))),0) -1/24*50),""),""),IF(Y45=0,"",Y45))</f>
        <v/>
      </c>
      <c r="Z60" s="239" t="str">
        <f aca="true">IF(EB.Wochenarbeitszeit=50/24,IF(T.50_Vetsuisse,IF(WEEKDAY(Z$10,2)=7,MAX(0,SUM(OFFSET(Z51,0,-MIN(6,DAY(Z$10)-1),1,MIN(7,DAY(Z$10))))+IF(AND(MONTH(Monat.Tag1)&lt;&gt;1,DAY(Z$10)&lt;7),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Monat.AZIstWRestUeVM,""))))))))))),0) -1/24*50),""),""),IF(Z45=0,"",Z45))</f>
        <v/>
      </c>
      <c r="AA60" s="237" t="str">
        <f aca="true">IF(EB.Wochenarbeitszeit=50/24,IF(T.50_Vetsuisse,IF(WEEKDAY(AA$10,2)=7,MAX(0,SUM(OFFSET(AA51,0,-MIN(6,DAY(AA$10)-1),1,MIN(7,DAY(AA$10))))+IF(AND(MONTH(Monat.Tag1)&lt;&gt;1,DAY(AA$10)&lt;7),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Monat.AZIstWRestUeVM,""))))))))))),0) -1/24*50),""),""),IF(AA45=0,"",AA45))</f>
        <v/>
      </c>
      <c r="AB60" s="237" t="str">
        <f aca="true">IF(EB.Wochenarbeitszeit=50/24,IF(T.50_Vetsuisse,IF(WEEKDAY(AB$10,2)=7,MAX(0,SUM(OFFSET(AB51,0,-MIN(6,DAY(AB$10)-1),1,MIN(7,DAY(AB$10))))+IF(AND(MONTH(Monat.Tag1)&lt;&gt;1,DAY(AB$10)&lt;7),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Monat.AZIstWRestUeVM,""))))))))))),0) -1/24*50),""),""),IF(AB45=0,"",AB45))</f>
        <v/>
      </c>
      <c r="AC60" s="237" t="str">
        <f aca="true">IF(EB.Wochenarbeitszeit=50/24,IF(T.50_Vetsuisse,IF(WEEKDAY(AC$10,2)=7,MAX(0,SUM(OFFSET(AC51,0,-MIN(6,DAY(AC$10)-1),1,MIN(7,DAY(AC$10))))+IF(AND(MONTH(Monat.Tag1)&lt;&gt;1,DAY(AC$10)&lt;7),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Monat.AZIstWRestUeVM,""))))))))))),0) -1/24*50),""),""),IF(AC45=0,"",AC45))</f>
        <v/>
      </c>
      <c r="AD60" s="237" t="str">
        <f aca="true">IF(EB.Wochenarbeitszeit=50/24,IF(T.50_Vetsuisse,IF(WEEKDAY(AD$10,2)=7,MAX(0,SUM(OFFSET(AD51,0,-MIN(6,DAY(AD$10)-1),1,MIN(7,DAY(AD$10))))+IF(AND(MONTH(Monat.Tag1)&lt;&gt;1,DAY(AD$10)&lt;7),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Monat.AZIstWRestUeVM,""))))))))))),0) -1/24*50),""),""),IF(AD45=0,"",AD45))</f>
        <v/>
      </c>
      <c r="AE60" s="238" t="str">
        <f aca="true">IF(EB.Wochenarbeitszeit=50/24,IF(T.50_Vetsuisse,IF(WEEKDAY(AE$10,2)=7,MAX(0,SUM(OFFSET(AE51,0,-MIN(6,DAY(AE$10)-1),1,MIN(7,DAY(AE$10))))+IF(AND(MONTH(Monat.Tag1)&lt;&gt;1,DAY(AE$10)&lt;7),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Monat.AZIstWRestUeVM,""))))))))))),0) -1/24*50),""),""),IF(AE45=0,"",AE45))</f>
        <v/>
      </c>
      <c r="AF60" s="168" t="str">
        <f aca="false">A60</f>
        <v>Ordered overtime</v>
      </c>
      <c r="AG60" s="184"/>
      <c r="AH60" s="207" t="n">
        <f aca="false">SUM(B60:AE60)</f>
        <v>0</v>
      </c>
      <c r="AI60" s="180"/>
      <c r="AJ60" s="172"/>
      <c r="AK60" s="216" t="n">
        <f aca="false">IF(EB.Anwendung&lt;&gt;"",IF(MONTH(Monat.Tag1)=1,0,IF(MONTH(Monat.Tag1)=2,January!Monat.AnUeZUeVM,IF(MONTH(Monat.Tag1)=3,February!Monat.AnUeZUeVM,IF(MONTH(Monat.Tag1)=4,March!Monat.AnUeZUeVM,IF(MONTH(Monat.Tag1)=5,April!Monat.AnUeZUeVM,IF(MONTH(Monat.Tag1)=6,May!Monat.AnUeZUeVM,IF(MONTH(Monat.Tag1)=7,June!Monat.AnUeZUeVM,IF(MONTH(Monat.Tag1)=8,July!Monat.AnUeZUeVM,IF(MONTH(Monat.Tag1)=9,August!Monat.AnUeZUeVM,IF(MONTH(Monat.Tag1)=10,September!Monat.AnUeZUeVM,IF(MONTH(Monat.Tag1)=11,October!Monat.AnUeZUeVM,IF(MONTH(Monat.Tag1)=12,Monat.AnUeZUeVM,"")))))))))))),"")</f>
        <v>0</v>
      </c>
      <c r="AL60" s="172"/>
      <c r="AM60" s="217" t="n">
        <f aca="false">AH60+AK60</f>
        <v>0</v>
      </c>
      <c r="AN60" s="217" t="n">
        <f aca="true">SUM(OFFSET(Jahr.AngÜZ,-12,0,MONTH(Monat.Tag1),1))</f>
        <v>0</v>
      </c>
      <c r="AO60" s="217" t="n">
        <f aca="false">Jahr.AngÜZ</f>
        <v>0</v>
      </c>
      <c r="AP60" s="39"/>
    </row>
    <row r="61" s="148" customFormat="true" ht="15" hidden="false" customHeight="true" outlineLevel="0" collapsed="false">
      <c r="A61" s="175" t="s">
        <v>149</v>
      </c>
      <c r="B61" s="177"/>
      <c r="C61" s="177"/>
      <c r="D61" s="177"/>
      <c r="E61" s="177"/>
      <c r="F61" s="177"/>
      <c r="G61" s="177"/>
      <c r="H61" s="177"/>
      <c r="I61" s="177"/>
      <c r="J61" s="177"/>
      <c r="K61" s="177"/>
      <c r="L61" s="177"/>
      <c r="M61" s="177"/>
      <c r="N61" s="177"/>
      <c r="O61" s="177"/>
      <c r="P61" s="177"/>
      <c r="Q61" s="177"/>
      <c r="R61" s="177"/>
      <c r="S61" s="177"/>
      <c r="T61" s="177"/>
      <c r="U61" s="177"/>
      <c r="V61" s="177"/>
      <c r="W61" s="177"/>
      <c r="X61" s="177"/>
      <c r="Y61" s="177"/>
      <c r="Z61" s="178"/>
      <c r="AA61" s="177"/>
      <c r="AB61" s="177"/>
      <c r="AC61" s="177"/>
      <c r="AD61" s="177"/>
      <c r="AE61" s="177"/>
      <c r="AF61" s="168" t="str">
        <f aca="false">A61</f>
        <v>Compensation overtime</v>
      </c>
      <c r="AG61" s="184"/>
      <c r="AH61" s="207" t="n">
        <f aca="false">SUM(B61:AE61)</f>
        <v>0</v>
      </c>
      <c r="AI61" s="180"/>
      <c r="AJ61" s="172"/>
      <c r="AK61" s="172"/>
      <c r="AL61" s="172"/>
      <c r="AM61" s="171"/>
      <c r="AN61" s="172"/>
      <c r="AO61" s="172"/>
      <c r="AP61" s="39"/>
    </row>
    <row r="62" s="231" customFormat="true" ht="15" hidden="true" customHeight="true" outlineLevel="1" collapsed="false">
      <c r="A62" s="219"/>
      <c r="B62" s="224"/>
      <c r="C62" s="224"/>
      <c r="D62" s="224"/>
      <c r="E62" s="152"/>
      <c r="F62" s="224"/>
      <c r="G62" s="224"/>
      <c r="H62" s="224"/>
      <c r="I62" s="224"/>
      <c r="J62" s="222"/>
      <c r="K62" s="224"/>
      <c r="L62" s="223"/>
      <c r="M62" s="224"/>
      <c r="N62" s="224"/>
      <c r="O62" s="224"/>
      <c r="P62" s="224"/>
      <c r="Q62" s="152"/>
      <c r="R62" s="224"/>
      <c r="S62" s="223"/>
      <c r="T62" s="224"/>
      <c r="U62" s="224"/>
      <c r="V62" s="224"/>
      <c r="W62" s="224"/>
      <c r="X62" s="224"/>
      <c r="Y62" s="224"/>
      <c r="Z62" s="152"/>
      <c r="AA62" s="224"/>
      <c r="AB62" s="224"/>
      <c r="AC62" s="224"/>
      <c r="AD62" s="224"/>
      <c r="AE62" s="152"/>
      <c r="AF62" s="241" t="s">
        <v>150</v>
      </c>
      <c r="AG62" s="242"/>
      <c r="AH62" s="207" t="n">
        <f aca="false">Monat.AnUeZ.Total-Monat.KomUeZ.Total</f>
        <v>0</v>
      </c>
      <c r="AI62" s="180"/>
      <c r="AJ62" s="230"/>
      <c r="AK62" s="230"/>
      <c r="AL62" s="172"/>
      <c r="AM62" s="230"/>
      <c r="AN62" s="230"/>
      <c r="AO62" s="230"/>
      <c r="AP62" s="96"/>
    </row>
    <row r="63" s="148" customFormat="true" ht="15" hidden="false" customHeight="true" outlineLevel="0" collapsed="false">
      <c r="A63" s="186"/>
      <c r="B63" s="152"/>
      <c r="C63" s="152"/>
      <c r="D63" s="152"/>
      <c r="E63" s="152"/>
      <c r="F63" s="152"/>
      <c r="G63" s="152"/>
      <c r="H63" s="152"/>
      <c r="I63" s="152"/>
      <c r="J63" s="152"/>
      <c r="K63" s="152"/>
      <c r="L63" s="223"/>
      <c r="M63" s="152"/>
      <c r="N63" s="152"/>
      <c r="O63" s="152"/>
      <c r="P63" s="152"/>
      <c r="Q63" s="152"/>
      <c r="R63" s="152"/>
      <c r="S63" s="223"/>
      <c r="T63" s="152"/>
      <c r="U63" s="152"/>
      <c r="V63" s="152"/>
      <c r="W63" s="152"/>
      <c r="X63" s="224"/>
      <c r="Y63" s="152"/>
      <c r="Z63" s="152"/>
      <c r="AA63" s="152"/>
      <c r="AB63" s="152"/>
      <c r="AC63" s="152"/>
      <c r="AD63" s="152"/>
      <c r="AE63" s="152"/>
      <c r="AF63" s="175" t="s">
        <v>151</v>
      </c>
      <c r="AG63" s="184"/>
      <c r="AH63" s="207" t="n">
        <f aca="true">IF(T.50_Vetsuisse,0,IF(AND(AH62&gt;0,Monat.ÜZZSBerechtigt=INDEX(T.JaNein.Bereich,1,1)),(AH62*0.25),0))</f>
        <v>0</v>
      </c>
      <c r="AI63" s="180"/>
      <c r="AJ63" s="172"/>
      <c r="AK63" s="230"/>
      <c r="AL63" s="172"/>
      <c r="AM63" s="230"/>
      <c r="AN63" s="230"/>
      <c r="AO63" s="230"/>
      <c r="AP63" s="39"/>
    </row>
    <row r="64" s="148" customFormat="true" ht="15" hidden="true" customHeight="true" outlineLevel="1" collapsed="false">
      <c r="A64" s="186"/>
      <c r="B64" s="152"/>
      <c r="C64" s="152"/>
      <c r="D64" s="152"/>
      <c r="E64" s="152"/>
      <c r="F64" s="152"/>
      <c r="G64" s="152"/>
      <c r="H64" s="152"/>
      <c r="I64" s="152"/>
      <c r="J64" s="152"/>
      <c r="K64" s="152"/>
      <c r="L64" s="223"/>
      <c r="M64" s="152"/>
      <c r="N64" s="152"/>
      <c r="O64" s="152"/>
      <c r="P64" s="152"/>
      <c r="Q64" s="152"/>
      <c r="R64" s="152"/>
      <c r="S64" s="223"/>
      <c r="T64" s="152"/>
      <c r="U64" s="152"/>
      <c r="V64" s="152"/>
      <c r="W64" s="152"/>
      <c r="X64" s="224"/>
      <c r="Y64" s="152"/>
      <c r="Z64" s="152"/>
      <c r="AA64" s="152"/>
      <c r="AB64" s="152"/>
      <c r="AC64" s="152"/>
      <c r="AD64" s="152"/>
      <c r="AE64" s="152"/>
      <c r="AF64" s="175" t="s">
        <v>152</v>
      </c>
      <c r="AG64" s="244" t="s">
        <v>146</v>
      </c>
      <c r="AH64" s="245"/>
      <c r="AI64" s="246"/>
      <c r="AJ64" s="172"/>
      <c r="AK64" s="230"/>
      <c r="AL64" s="172"/>
      <c r="AM64" s="230"/>
      <c r="AN64" s="230"/>
      <c r="AO64" s="230"/>
      <c r="AP64" s="39"/>
    </row>
    <row r="65" s="231" customFormat="true" ht="15" hidden="false" customHeight="true" outlineLevel="0" collapsed="false">
      <c r="A65" s="219"/>
      <c r="B65" s="224"/>
      <c r="C65" s="224"/>
      <c r="D65" s="224"/>
      <c r="E65" s="152"/>
      <c r="F65" s="224"/>
      <c r="G65" s="224"/>
      <c r="H65" s="224"/>
      <c r="I65" s="224"/>
      <c r="J65" s="152"/>
      <c r="K65" s="224"/>
      <c r="L65" s="223"/>
      <c r="M65" s="224"/>
      <c r="N65" s="224"/>
      <c r="O65" s="224"/>
      <c r="P65" s="224"/>
      <c r="Q65" s="152"/>
      <c r="R65" s="224"/>
      <c r="S65" s="223"/>
      <c r="T65" s="224"/>
      <c r="U65" s="224"/>
      <c r="V65" s="224"/>
      <c r="W65" s="224"/>
      <c r="X65" s="224"/>
      <c r="Y65" s="224"/>
      <c r="Z65" s="152"/>
      <c r="AA65" s="224"/>
      <c r="AB65" s="224"/>
      <c r="AC65" s="224"/>
      <c r="AD65" s="224"/>
      <c r="AE65" s="152"/>
      <c r="AF65" s="234" t="s">
        <v>153</v>
      </c>
      <c r="AG65" s="242"/>
      <c r="AH65" s="207" t="n">
        <f aca="false">IF(AG64="+",(AH62+AH63+AH64),(AH62+AH63-AH64))</f>
        <v>0</v>
      </c>
      <c r="AI65" s="33"/>
      <c r="AJ65" s="247"/>
      <c r="AK65" s="216" t="n">
        <f aca="false">IF(EB.Anwendung&lt;&gt;"",IF(MONTH(Monat.Tag1)=1,EB.UeZ,IF(MONTH(Monat.Tag1)=2,January!Monat.UeZUeVM,IF(MONTH(Monat.Tag1)=3,February!Monat.UeZUeVM,IF(MONTH(Monat.Tag1)=4,March!Monat.UeZUeVM,IF(MONTH(Monat.Tag1)=5,April!Monat.UeZUeVM,IF(MONTH(Monat.Tag1)=6,May!Monat.UeZUeVM,IF(MONTH(Monat.Tag1)=7,June!Monat.UeZUeVM,IF(MONTH(Monat.Tag1)=8,July!Monat.UeZUeVM,IF(MONTH(Monat.Tag1)=9,August!Monat.UeZUeVM,IF(MONTH(Monat.Tag1)=10,September!Monat.UeZUeVM,IF(MONTH(Monat.Tag1)=11,October!Monat.UeZUeVM,IF(MONTH(Monat.Tag1)=12,Monat.UeZUeVM,"")))))))))))),"")</f>
        <v>0</v>
      </c>
      <c r="AL65" s="172"/>
      <c r="AM65" s="217" t="n">
        <f aca="false">AH65+AK65</f>
        <v>0</v>
      </c>
      <c r="AN65" s="217" t="n">
        <f aca="true">SUM(OFFSET(J.UeZ.Total,-12,0,MONTH(Monat.Tag1),1))</f>
        <v>0</v>
      </c>
      <c r="AO65" s="217" t="n">
        <f aca="false">J.UeZ.Total</f>
        <v>0</v>
      </c>
      <c r="AP65" s="96"/>
    </row>
    <row r="66" s="148" customFormat="true" ht="11.25" hidden="false" customHeight="true" outlineLevel="1" collapsed="false">
      <c r="A66" s="186"/>
      <c r="B66" s="57"/>
      <c r="C66" s="57"/>
      <c r="D66" s="57"/>
      <c r="E66" s="152"/>
      <c r="F66" s="57"/>
      <c r="G66" s="57"/>
      <c r="H66" s="57"/>
      <c r="I66" s="57"/>
      <c r="J66" s="152"/>
      <c r="K66" s="57"/>
      <c r="L66" s="223"/>
      <c r="M66" s="57"/>
      <c r="N66" s="57"/>
      <c r="O66" s="57"/>
      <c r="P66" s="57"/>
      <c r="Q66" s="152"/>
      <c r="R66" s="57"/>
      <c r="S66" s="223"/>
      <c r="T66" s="57"/>
      <c r="U66" s="57"/>
      <c r="V66" s="57"/>
      <c r="W66" s="57"/>
      <c r="X66" s="224"/>
      <c r="Y66" s="57"/>
      <c r="Z66" s="152"/>
      <c r="AA66" s="57"/>
      <c r="AB66" s="57"/>
      <c r="AC66" s="57"/>
      <c r="AD66" s="57"/>
      <c r="AE66" s="152"/>
      <c r="AF66" s="175"/>
      <c r="AG66" s="146"/>
      <c r="AH66" s="179"/>
      <c r="AI66" s="180"/>
      <c r="AJ66" s="172"/>
      <c r="AK66" s="172"/>
      <c r="AL66" s="172"/>
      <c r="AM66" s="171"/>
      <c r="AN66" s="172"/>
      <c r="AO66" s="172"/>
      <c r="AP66" s="39"/>
    </row>
    <row r="67" s="148" customFormat="true" ht="15" hidden="false" customHeight="true" outlineLevel="1" collapsed="false">
      <c r="A67" s="175" t="s">
        <v>154</v>
      </c>
      <c r="B67" s="177"/>
      <c r="C67" s="177"/>
      <c r="D67" s="177"/>
      <c r="E67" s="177"/>
      <c r="F67" s="177"/>
      <c r="G67" s="177"/>
      <c r="H67" s="177"/>
      <c r="I67" s="177"/>
      <c r="J67" s="177"/>
      <c r="K67" s="177"/>
      <c r="L67" s="177"/>
      <c r="M67" s="177"/>
      <c r="N67" s="177"/>
      <c r="O67" s="177"/>
      <c r="P67" s="177"/>
      <c r="Q67" s="177"/>
      <c r="R67" s="177"/>
      <c r="S67" s="177"/>
      <c r="T67" s="177"/>
      <c r="U67" s="177"/>
      <c r="V67" s="177"/>
      <c r="W67" s="177"/>
      <c r="X67" s="177"/>
      <c r="Y67" s="177"/>
      <c r="Z67" s="178"/>
      <c r="AA67" s="177"/>
      <c r="AB67" s="177"/>
      <c r="AC67" s="177"/>
      <c r="AD67" s="177"/>
      <c r="AE67" s="177"/>
      <c r="AF67" s="168" t="str">
        <f aca="false">A67</f>
        <v>Compensation working hours</v>
      </c>
      <c r="AG67" s="184"/>
      <c r="AH67" s="207" t="n">
        <f aca="false">SUM(B67:AE67)</f>
        <v>0</v>
      </c>
      <c r="AI67" s="33"/>
      <c r="AJ67" s="216" t="n">
        <f aca="true">OFFSET(EB.MKAStd.Knoten,MONTH(Monat.Tag1),0,1,1)</f>
        <v>0.4375</v>
      </c>
      <c r="AK67" s="248" t="n">
        <f aca="false">IF(EB.Anwendung&lt;&gt;"",IF(MONTH(Monat.Tag1)=1,0,IF(MONTH(Monat.Tag1)=2,January!Monat.KomUeVM,IF(MONTH(Monat.Tag1)=3,February!Monat.KomUeVM,IF(MONTH(Monat.Tag1)=4,March!Monat.KomUeVM,IF(MONTH(Monat.Tag1)=5,April!Monat.KomUeVM,IF(MONTH(Monat.Tag1)=6,May!Monat.KomUeVM,IF(MONTH(Monat.Tag1)=7,June!Monat.KomUeVM,IF(MONTH(Monat.Tag1)=8,July!Monat.KomUeVM,IF(MONTH(Monat.Tag1)=9,August!Monat.KomUeVM,IF(MONTH(Monat.Tag1)=10,September!Monat.KomUeVM,IF(MONTH(Monat.Tag1)=11,October!Monat.KomUeVM,IF(MONTH(Monat.Tag1)=12,Monat.KomUeVM,"")))))))))))),"")</f>
        <v>3.0625</v>
      </c>
      <c r="AL67" s="172"/>
      <c r="AM67" s="217" t="n">
        <f aca="false">AJ67+AK67-Monat.KomAZ.Total</f>
        <v>3.5</v>
      </c>
      <c r="AN67" s="217" t="n">
        <f aca="true">Jahresabrechnung!P12-SUM(OFFSET(Jahresabrechnung!P15,0,0,MONTH(Monat.Tag1),1))</f>
        <v>3.9375</v>
      </c>
      <c r="AO67" s="217" t="n">
        <f aca="false">Jahresabrechnung!P28</f>
        <v>3.9375</v>
      </c>
      <c r="AP67" s="39"/>
    </row>
    <row r="68" s="148" customFormat="true" ht="11.25" hidden="false" customHeight="true" outlineLevel="0" collapsed="false">
      <c r="A68" s="186"/>
      <c r="B68" s="187"/>
      <c r="C68" s="187"/>
      <c r="D68" s="187"/>
      <c r="E68" s="187"/>
      <c r="F68" s="187"/>
      <c r="G68" s="187"/>
      <c r="H68" s="187"/>
      <c r="I68" s="187"/>
      <c r="J68" s="187"/>
      <c r="K68" s="187"/>
      <c r="L68" s="187"/>
      <c r="M68" s="187"/>
      <c r="N68" s="187"/>
      <c r="O68" s="187"/>
      <c r="P68" s="187"/>
      <c r="Q68" s="187"/>
      <c r="R68" s="187"/>
      <c r="S68" s="187"/>
      <c r="T68" s="187"/>
      <c r="U68" s="187"/>
      <c r="V68" s="187"/>
      <c r="W68" s="187"/>
      <c r="X68" s="187"/>
      <c r="Y68" s="187"/>
      <c r="Z68" s="187"/>
      <c r="AA68" s="187"/>
      <c r="AB68" s="187"/>
      <c r="AC68" s="187"/>
      <c r="AD68" s="187"/>
      <c r="AE68" s="187"/>
      <c r="AF68" s="168"/>
      <c r="AG68" s="146"/>
      <c r="AH68" s="179"/>
      <c r="AI68" s="180"/>
      <c r="AJ68" s="172"/>
      <c r="AK68" s="172"/>
      <c r="AL68" s="172"/>
      <c r="AM68" s="171"/>
      <c r="AN68" s="172"/>
      <c r="AO68" s="172"/>
      <c r="AP68" s="39"/>
    </row>
    <row r="69" s="148" customFormat="true" ht="15" hidden="true" customHeight="true" outlineLevel="0" collapsed="false">
      <c r="A69" s="175" t="s">
        <v>155</v>
      </c>
      <c r="B69" s="249" t="n">
        <f aca="true">IF(AND(T.50_Vetsuisse,B72=INDEX(T.JaNein.Bereich,1,1),B73&gt;0,MOD(IFERROR(MATCH(1,B13:B22,0),1),2)=0),1, IF(AND(T.ServiceCenterIrchel,B72=INDEX(T.JaNein.Bereich,1,1),B77&gt;0),1, IF(AND(T.50_Vetsuisse=0,T.ServiceCenterIrchel=0,B77&gt;0),1,0)))</f>
        <v>0</v>
      </c>
      <c r="C69" s="249" t="n">
        <f aca="true">IF(AND(T.50_Vetsuisse,C72=INDEX(T.JaNein.Bereich,1,1),C73&gt;0,MOD(IFERROR(MATCH(1,C13:C22,0),1),2)=0),1, IF(AND(T.ServiceCenterIrchel,C72=INDEX(T.JaNein.Bereich,1,1),C77&gt;0),1, IF(AND(T.50_Vetsuisse=0,T.ServiceCenterIrchel=0,C77&gt;0),1,0)))</f>
        <v>0</v>
      </c>
      <c r="D69" s="249" t="n">
        <f aca="true">IF(AND(T.50_Vetsuisse,D72=INDEX(T.JaNein.Bereich,1,1),D73&gt;0,MOD(IFERROR(MATCH(1,D13:D22,0),1),2)=0),1, IF(AND(T.ServiceCenterIrchel,D72=INDEX(T.JaNein.Bereich,1,1),D77&gt;0),1, IF(AND(T.50_Vetsuisse=0,T.ServiceCenterIrchel=0,D77&gt;0),1,0)))</f>
        <v>0</v>
      </c>
      <c r="E69" s="249" t="n">
        <f aca="true">IF(AND(T.50_Vetsuisse,E72=INDEX(T.JaNein.Bereich,1,1),E73&gt;0,MOD(IFERROR(MATCH(1,E13:E22,0),1),2)=0),1, IF(AND(T.ServiceCenterIrchel,E72=INDEX(T.JaNein.Bereich,1,1),E77&gt;0),1, IF(AND(T.50_Vetsuisse=0,T.ServiceCenterIrchel=0,E77&gt;0),1,0)))</f>
        <v>0</v>
      </c>
      <c r="F69" s="249" t="n">
        <f aca="true">IF(AND(T.50_Vetsuisse,F72=INDEX(T.JaNein.Bereich,1,1),F73&gt;0,MOD(IFERROR(MATCH(1,F13:F22,0),1),2)=0),1, IF(AND(T.ServiceCenterIrchel,F72=INDEX(T.JaNein.Bereich,1,1),F77&gt;0),1, IF(AND(T.50_Vetsuisse=0,T.ServiceCenterIrchel=0,F77&gt;0),1,0)))</f>
        <v>0</v>
      </c>
      <c r="G69" s="249" t="n">
        <f aca="true">IF(AND(T.50_Vetsuisse,G72=INDEX(T.JaNein.Bereich,1,1),G73&gt;0,MOD(IFERROR(MATCH(1,G13:G22,0),1),2)=0),1, IF(AND(T.ServiceCenterIrchel,G72=INDEX(T.JaNein.Bereich,1,1),G77&gt;0),1, IF(AND(T.50_Vetsuisse=0,T.ServiceCenterIrchel=0,G77&gt;0),1,0)))</f>
        <v>0</v>
      </c>
      <c r="H69" s="249" t="n">
        <f aca="true">IF(AND(T.50_Vetsuisse,H72=INDEX(T.JaNein.Bereich,1,1),H73&gt;0,MOD(IFERROR(MATCH(1,H13:H22,0),1),2)=0),1, IF(AND(T.ServiceCenterIrchel,H72=INDEX(T.JaNein.Bereich,1,1),H77&gt;0),1, IF(AND(T.50_Vetsuisse=0,T.ServiceCenterIrchel=0,H77&gt;0),1,0)))</f>
        <v>0</v>
      </c>
      <c r="I69" s="249" t="n">
        <f aca="true">IF(AND(T.50_Vetsuisse,I72=INDEX(T.JaNein.Bereich,1,1),I73&gt;0,MOD(IFERROR(MATCH(1,I13:I22,0),1),2)=0),1, IF(AND(T.ServiceCenterIrchel,I72=INDEX(T.JaNein.Bereich,1,1),I77&gt;0),1, IF(AND(T.50_Vetsuisse=0,T.ServiceCenterIrchel=0,I77&gt;0),1,0)))</f>
        <v>0</v>
      </c>
      <c r="J69" s="249" t="n">
        <f aca="true">IF(AND(T.50_Vetsuisse,J72=INDEX(T.JaNein.Bereich,1,1),J73&gt;0,MOD(IFERROR(MATCH(1,J13:J22,0),1),2)=0),1, IF(AND(T.ServiceCenterIrchel,J72=INDEX(T.JaNein.Bereich,1,1),J77&gt;0),1, IF(AND(T.50_Vetsuisse=0,T.ServiceCenterIrchel=0,J77&gt;0),1,0)))</f>
        <v>0</v>
      </c>
      <c r="K69" s="249" t="n">
        <f aca="true">IF(AND(T.50_Vetsuisse,K72=INDEX(T.JaNein.Bereich,1,1),K73&gt;0,MOD(IFERROR(MATCH(1,K13:K22,0),1),2)=0),1, IF(AND(T.ServiceCenterIrchel,K72=INDEX(T.JaNein.Bereich,1,1),K77&gt;0),1, IF(AND(T.50_Vetsuisse=0,T.ServiceCenterIrchel=0,K77&gt;0),1,0)))</f>
        <v>0</v>
      </c>
      <c r="L69" s="249" t="n">
        <f aca="true">IF(AND(T.50_Vetsuisse,L72=INDEX(T.JaNein.Bereich,1,1),L73&gt;0,MOD(IFERROR(MATCH(1,L13:L22,0),1),2)=0),1, IF(AND(T.ServiceCenterIrchel,L72=INDEX(T.JaNein.Bereich,1,1),L77&gt;0),1, IF(AND(T.50_Vetsuisse=0,T.ServiceCenterIrchel=0,L77&gt;0),1,0)))</f>
        <v>0</v>
      </c>
      <c r="M69" s="249" t="n">
        <f aca="true">IF(AND(T.50_Vetsuisse,M72=INDEX(T.JaNein.Bereich,1,1),M73&gt;0,MOD(IFERROR(MATCH(1,M13:M22,0),1),2)=0),1, IF(AND(T.ServiceCenterIrchel,M72=INDEX(T.JaNein.Bereich,1,1),M77&gt;0),1, IF(AND(T.50_Vetsuisse=0,T.ServiceCenterIrchel=0,M77&gt;0),1,0)))</f>
        <v>0</v>
      </c>
      <c r="N69" s="249" t="n">
        <f aca="true">IF(AND(T.50_Vetsuisse,N72=INDEX(T.JaNein.Bereich,1,1),N73&gt;0,MOD(IFERROR(MATCH(1,N13:N22,0),1),2)=0),1, IF(AND(T.ServiceCenterIrchel,N72=INDEX(T.JaNein.Bereich,1,1),N77&gt;0),1, IF(AND(T.50_Vetsuisse=0,T.ServiceCenterIrchel=0,N77&gt;0),1,0)))</f>
        <v>0</v>
      </c>
      <c r="O69" s="249" t="n">
        <f aca="true">IF(AND(T.50_Vetsuisse,O72=INDEX(T.JaNein.Bereich,1,1),O73&gt;0,MOD(IFERROR(MATCH(1,O13:O22,0),1),2)=0),1, IF(AND(T.ServiceCenterIrchel,O72=INDEX(T.JaNein.Bereich,1,1),O77&gt;0),1, IF(AND(T.50_Vetsuisse=0,T.ServiceCenterIrchel=0,O77&gt;0),1,0)))</f>
        <v>0</v>
      </c>
      <c r="P69" s="249" t="n">
        <f aca="true">IF(AND(T.50_Vetsuisse,P72=INDEX(T.JaNein.Bereich,1,1),P73&gt;0,MOD(IFERROR(MATCH(1,P13:P22,0),1),2)=0),1, IF(AND(T.ServiceCenterIrchel,P72=INDEX(T.JaNein.Bereich,1,1),P77&gt;0),1, IF(AND(T.50_Vetsuisse=0,T.ServiceCenterIrchel=0,P77&gt;0),1,0)))</f>
        <v>0</v>
      </c>
      <c r="Q69" s="249" t="n">
        <f aca="true">IF(AND(T.50_Vetsuisse,Q72=INDEX(T.JaNein.Bereich,1,1),Q73&gt;0,MOD(IFERROR(MATCH(1,Q13:Q22,0),1),2)=0),1, IF(AND(T.ServiceCenterIrchel,Q72=INDEX(T.JaNein.Bereich,1,1),Q77&gt;0),1, IF(AND(T.50_Vetsuisse=0,T.ServiceCenterIrchel=0,Q77&gt;0),1,0)))</f>
        <v>0</v>
      </c>
      <c r="R69" s="249" t="n">
        <f aca="true">IF(AND(T.50_Vetsuisse,R72=INDEX(T.JaNein.Bereich,1,1),R73&gt;0,MOD(IFERROR(MATCH(1,R13:R22,0),1),2)=0),1, IF(AND(T.ServiceCenterIrchel,R72=INDEX(T.JaNein.Bereich,1,1),R77&gt;0),1, IF(AND(T.50_Vetsuisse=0,T.ServiceCenterIrchel=0,R77&gt;0),1,0)))</f>
        <v>0</v>
      </c>
      <c r="S69" s="249" t="n">
        <f aca="true">IF(AND(T.50_Vetsuisse,S72=INDEX(T.JaNein.Bereich,1,1),S73&gt;0,MOD(IFERROR(MATCH(1,S13:S22,0),1),2)=0),1, IF(AND(T.ServiceCenterIrchel,S72=INDEX(T.JaNein.Bereich,1,1),S77&gt;0),1, IF(AND(T.50_Vetsuisse=0,T.ServiceCenterIrchel=0,S77&gt;0),1,0)))</f>
        <v>0</v>
      </c>
      <c r="T69" s="249" t="n">
        <f aca="true">IF(AND(T.50_Vetsuisse,T72=INDEX(T.JaNein.Bereich,1,1),T73&gt;0,MOD(IFERROR(MATCH(1,T13:T22,0),1),2)=0),1, IF(AND(T.ServiceCenterIrchel,T72=INDEX(T.JaNein.Bereich,1,1),T77&gt;0),1, IF(AND(T.50_Vetsuisse=0,T.ServiceCenterIrchel=0,T77&gt;0),1,0)))</f>
        <v>0</v>
      </c>
      <c r="U69" s="249" t="n">
        <f aca="true">IF(AND(T.50_Vetsuisse,U72=INDEX(T.JaNein.Bereich,1,1),U73&gt;0,MOD(IFERROR(MATCH(1,U13:U22,0),1),2)=0),1, IF(AND(T.ServiceCenterIrchel,U72=INDEX(T.JaNein.Bereich,1,1),U77&gt;0),1, IF(AND(T.50_Vetsuisse=0,T.ServiceCenterIrchel=0,U77&gt;0),1,0)))</f>
        <v>0</v>
      </c>
      <c r="V69" s="249" t="n">
        <f aca="true">IF(AND(T.50_Vetsuisse,V72=INDEX(T.JaNein.Bereich,1,1),V73&gt;0,MOD(IFERROR(MATCH(1,V13:V22,0),1),2)=0),1, IF(AND(T.ServiceCenterIrchel,V72=INDEX(T.JaNein.Bereich,1,1),V77&gt;0),1, IF(AND(T.50_Vetsuisse=0,T.ServiceCenterIrchel=0,V77&gt;0),1,0)))</f>
        <v>0</v>
      </c>
      <c r="W69" s="249" t="n">
        <f aca="true">IF(AND(T.50_Vetsuisse,W72=INDEX(T.JaNein.Bereich,1,1),W73&gt;0,MOD(IFERROR(MATCH(1,W13:W22,0),1),2)=0),1, IF(AND(T.ServiceCenterIrchel,W72=INDEX(T.JaNein.Bereich,1,1),W77&gt;0),1, IF(AND(T.50_Vetsuisse=0,T.ServiceCenterIrchel=0,W77&gt;0),1,0)))</f>
        <v>0</v>
      </c>
      <c r="X69" s="249" t="n">
        <f aca="true">IF(AND(T.50_Vetsuisse,X72=INDEX(T.JaNein.Bereich,1,1),X73&gt;0,MOD(IFERROR(MATCH(1,X13:X22,0),1),2)=0),1, IF(AND(T.ServiceCenterIrchel,X72=INDEX(T.JaNein.Bereich,1,1),X77&gt;0),1, IF(AND(T.50_Vetsuisse=0,T.ServiceCenterIrchel=0,X77&gt;0),1,0)))</f>
        <v>0</v>
      </c>
      <c r="Y69" s="249" t="n">
        <f aca="true">IF(AND(T.50_Vetsuisse,Y72=INDEX(T.JaNein.Bereich,1,1),Y73&gt;0,MOD(IFERROR(MATCH(1,Y13:Y22,0),1),2)=0),1, IF(AND(T.ServiceCenterIrchel,Y72=INDEX(T.JaNein.Bereich,1,1),Y77&gt;0),1, IF(AND(T.50_Vetsuisse=0,T.ServiceCenterIrchel=0,Y77&gt;0),1,0)))</f>
        <v>0</v>
      </c>
      <c r="Z69" s="249" t="n">
        <f aca="true">IF(AND(T.50_Vetsuisse,Z72=INDEX(T.JaNein.Bereich,1,1),Z73&gt;0,MOD(IFERROR(MATCH(1,Z13:Z22,0),1),2)=0),1, IF(AND(T.ServiceCenterIrchel,Z72=INDEX(T.JaNein.Bereich,1,1),Z77&gt;0),1, IF(AND(T.50_Vetsuisse=0,T.ServiceCenterIrchel=0,Z77&gt;0),1,0)))</f>
        <v>0</v>
      </c>
      <c r="AA69" s="249" t="n">
        <f aca="true">IF(AND(T.50_Vetsuisse,AA72=INDEX(T.JaNein.Bereich,1,1),AA73&gt;0,MOD(IFERROR(MATCH(1,AA13:AA22,0),1),2)=0),1, IF(AND(T.ServiceCenterIrchel,AA72=INDEX(T.JaNein.Bereich,1,1),AA77&gt;0),1, IF(AND(T.50_Vetsuisse=0,T.ServiceCenterIrchel=0,AA77&gt;0),1,0)))</f>
        <v>0</v>
      </c>
      <c r="AB69" s="249" t="n">
        <f aca="true">IF(AND(T.50_Vetsuisse,AB72=INDEX(T.JaNein.Bereich,1,1),AB73&gt;0,MOD(IFERROR(MATCH(1,AB13:AB22,0),1),2)=0),1, IF(AND(T.ServiceCenterIrchel,AB72=INDEX(T.JaNein.Bereich,1,1),AB77&gt;0),1, IF(AND(T.50_Vetsuisse=0,T.ServiceCenterIrchel=0,AB77&gt;0),1,0)))</f>
        <v>0</v>
      </c>
      <c r="AC69" s="249" t="n">
        <f aca="true">IF(AND(T.50_Vetsuisse,AC72=INDEX(T.JaNein.Bereich,1,1),AC73&gt;0,MOD(IFERROR(MATCH(1,AC13:AC22,0),1),2)=0),1, IF(AND(T.ServiceCenterIrchel,AC72=INDEX(T.JaNein.Bereich,1,1),AC77&gt;0),1, IF(AND(T.50_Vetsuisse=0,T.ServiceCenterIrchel=0,AC77&gt;0),1,0)))</f>
        <v>0</v>
      </c>
      <c r="AD69" s="249" t="n">
        <f aca="true">IF(AND(T.50_Vetsuisse,AD72=INDEX(T.JaNein.Bereich,1,1),AD73&gt;0,MOD(IFERROR(MATCH(1,AD13:AD22,0),1),2)=0),1, IF(AND(T.ServiceCenterIrchel,AD72=INDEX(T.JaNein.Bereich,1,1),AD77&gt;0),1, IF(AND(T.50_Vetsuisse=0,T.ServiceCenterIrchel=0,AD77&gt;0),1,0)))</f>
        <v>0</v>
      </c>
      <c r="AE69" s="249" t="n">
        <f aca="true">IF(AND(T.50_Vetsuisse,AE72=INDEX(T.JaNein.Bereich,1,1),AE73&gt;0,MOD(IFERROR(MATCH(1,AE13:AE22,0),1),2)=0),1, IF(AND(T.ServiceCenterIrchel,AE72=INDEX(T.JaNein.Bereich,1,1),AE77&gt;0),1, IF(AND(T.50_Vetsuisse=0,T.ServiceCenterIrchel=0,AE77&gt;0),1,0)))</f>
        <v>0</v>
      </c>
      <c r="AF69" s="168" t="str">
        <f aca="false">A69</f>
        <v>Counter night shift</v>
      </c>
      <c r="AG69" s="250"/>
      <c r="AH69" s="251" t="n">
        <f aca="false">SUM(B69:AE69)</f>
        <v>0</v>
      </c>
      <c r="AI69" s="33"/>
      <c r="AJ69" s="192"/>
      <c r="AK69" s="252" t="n">
        <f aca="false">IF(EB.Anwendung&lt;&gt;"",IF(MONTH(Monat.Tag1)=1,0,IF(MONTH(Monat.Tag1)=2,January!Monat.ZählerNDUe,IF(MONTH(Monat.Tag1)=3,February!Monat.ZählerNDUe,IF(MONTH(Monat.Tag1)=4,March!Monat.ZählerNDUe,IF(MONTH(Monat.Tag1)=5,April!Monat.ZählerNDUe,IF(MONTH(Monat.Tag1)=6,May!Monat.ZählerNDUe,IF(MONTH(Monat.Tag1)=7,June!Monat.ZählerNDUe,IF(MONTH(Monat.Tag1)=8,July!Monat.ZählerNDUe,IF(MONTH(Monat.Tag1)=9,August!Monat.ZählerNDUe,IF(MONTH(Monat.Tag1)=10,September!Monat.ZählerNDUe,IF(MONTH(Monat.Tag1)=11,October!Monat.ZählerNDUe,IF(MONTH(Monat.Tag1)=12,Monat.ZählerNDUe,"")))))))))))),"")</f>
        <v>0</v>
      </c>
      <c r="AL69" s="172"/>
      <c r="AM69" s="253" t="n">
        <f aca="false">AK69+AH69</f>
        <v>0</v>
      </c>
      <c r="AN69" s="171"/>
      <c r="AO69" s="171"/>
      <c r="AP69" s="39"/>
    </row>
    <row r="70" s="148" customFormat="true" ht="15" hidden="true" customHeight="true" outlineLevel="0" collapsed="false">
      <c r="A70" s="175" t="s">
        <v>156</v>
      </c>
      <c r="B70" s="249" t="n">
        <f aca="false">IF(DAY(B$10)=1,$AK$69,A70)+B69</f>
        <v>0</v>
      </c>
      <c r="C70" s="249" t="n">
        <f aca="false">IF(DAY(C$10)=1,$AK$69,B70)+C69</f>
        <v>0</v>
      </c>
      <c r="D70" s="249" t="n">
        <f aca="false">IF(DAY(D$10)=1,$AK$69,C70)+D69</f>
        <v>0</v>
      </c>
      <c r="E70" s="249" t="n">
        <f aca="false">IF(DAY(E$10)=1,$AK$69,D70)+E69</f>
        <v>0</v>
      </c>
      <c r="F70" s="249" t="n">
        <f aca="false">IF(DAY(F$10)=1,$AK$69,E70)+F69</f>
        <v>0</v>
      </c>
      <c r="G70" s="249" t="n">
        <f aca="false">IF(DAY(G$10)=1,$AK$69,F70)+G69</f>
        <v>0</v>
      </c>
      <c r="H70" s="249" t="n">
        <f aca="false">IF(DAY(H$10)=1,$AK$69,G70)+H69</f>
        <v>0</v>
      </c>
      <c r="I70" s="249" t="n">
        <f aca="false">IF(DAY(I$10)=1,$AK$69,H70)+I69</f>
        <v>0</v>
      </c>
      <c r="J70" s="249" t="n">
        <f aca="false">IF(DAY(J$10)=1,$AK$69,I70)+J69</f>
        <v>0</v>
      </c>
      <c r="K70" s="249" t="n">
        <f aca="false">IF(DAY(K$10)=1,$AK$69,J70)+K69</f>
        <v>0</v>
      </c>
      <c r="L70" s="249" t="n">
        <f aca="false">IF(DAY(L$10)=1,$AK$69,K70)+L69</f>
        <v>0</v>
      </c>
      <c r="M70" s="249" t="n">
        <f aca="false">IF(DAY(M$10)=1,$AK$69,L70)+M69</f>
        <v>0</v>
      </c>
      <c r="N70" s="249" t="n">
        <f aca="false">IF(DAY(N$10)=1,$AK$69,M70)+N69</f>
        <v>0</v>
      </c>
      <c r="O70" s="249" t="n">
        <f aca="false">IF(DAY(O$10)=1,$AK$69,N70)+O69</f>
        <v>0</v>
      </c>
      <c r="P70" s="249" t="n">
        <f aca="false">IF(DAY(P$10)=1,$AK$69,O70)+P69</f>
        <v>0</v>
      </c>
      <c r="Q70" s="249" t="n">
        <f aca="false">IF(DAY(Q$10)=1,$AK$69,P70)+Q69</f>
        <v>0</v>
      </c>
      <c r="R70" s="249" t="n">
        <f aca="false">IF(DAY(R$10)=1,$AK$69,Q70)+R69</f>
        <v>0</v>
      </c>
      <c r="S70" s="249" t="n">
        <f aca="false">IF(DAY(S$10)=1,$AK$69,R70)+S69</f>
        <v>0</v>
      </c>
      <c r="T70" s="249" t="n">
        <f aca="false">IF(DAY(T$10)=1,$AK$69,S70)+T69</f>
        <v>0</v>
      </c>
      <c r="U70" s="249" t="n">
        <f aca="false">IF(DAY(U$10)=1,$AK$69,T70)+U69</f>
        <v>0</v>
      </c>
      <c r="V70" s="249" t="n">
        <f aca="false">IF(DAY(V$10)=1,$AK$69,U70)+V69</f>
        <v>0</v>
      </c>
      <c r="W70" s="249" t="n">
        <f aca="false">IF(DAY(W$10)=1,$AK$69,V70)+W69</f>
        <v>0</v>
      </c>
      <c r="X70" s="249" t="n">
        <f aca="false">IF(DAY(X$10)=1,$AK$69,W70)+X69</f>
        <v>0</v>
      </c>
      <c r="Y70" s="249" t="n">
        <f aca="false">IF(DAY(Y$10)=1,$AK$69,X70)+Y69</f>
        <v>0</v>
      </c>
      <c r="Z70" s="249" t="n">
        <f aca="false">IF(DAY(Z$10)=1,$AK$69,Y70)+Z69</f>
        <v>0</v>
      </c>
      <c r="AA70" s="249" t="n">
        <f aca="false">IF(DAY(AA$10)=1,$AK$69,Z70)+AA69</f>
        <v>0</v>
      </c>
      <c r="AB70" s="249" t="n">
        <f aca="false">IF(DAY(AB$10)=1,$AK$69,AA70)+AB69</f>
        <v>0</v>
      </c>
      <c r="AC70" s="249" t="n">
        <f aca="false">IF(DAY(AC$10)=1,$AK$69,AB70)+AC69</f>
        <v>0</v>
      </c>
      <c r="AD70" s="249" t="n">
        <f aca="false">IF(DAY(AD$10)=1,$AK$69,AC70)+AD69</f>
        <v>0</v>
      </c>
      <c r="AE70" s="249" t="n">
        <f aca="false">IF(DAY(AE$10)=1,$AK$69,AD70)+AE69</f>
        <v>0</v>
      </c>
      <c r="AF70" s="168" t="str">
        <f aca="false">A70</f>
        <v>Balance counter night shift</v>
      </c>
      <c r="AG70" s="197"/>
      <c r="AH70" s="192"/>
      <c r="AI70" s="27"/>
      <c r="AJ70" s="235"/>
      <c r="AK70" s="235"/>
      <c r="AL70" s="172"/>
      <c r="AM70" s="254"/>
      <c r="AN70" s="171"/>
      <c r="AO70" s="171"/>
      <c r="AP70" s="39"/>
    </row>
    <row r="71" s="148" customFormat="true" ht="15" hidden="true" customHeight="true" outlineLevel="1" collapsed="false">
      <c r="A71" s="175" t="s">
        <v>157</v>
      </c>
      <c r="B71" s="176"/>
      <c r="C71" s="176"/>
      <c r="D71" s="176"/>
      <c r="E71" s="177"/>
      <c r="F71" s="176"/>
      <c r="G71" s="176"/>
      <c r="H71" s="176"/>
      <c r="I71" s="176"/>
      <c r="J71" s="177"/>
      <c r="K71" s="176"/>
      <c r="L71" s="177"/>
      <c r="M71" s="176"/>
      <c r="N71" s="176"/>
      <c r="O71" s="176"/>
      <c r="P71" s="176"/>
      <c r="Q71" s="177"/>
      <c r="R71" s="176"/>
      <c r="S71" s="177"/>
      <c r="T71" s="177"/>
      <c r="U71" s="176"/>
      <c r="V71" s="176"/>
      <c r="W71" s="176"/>
      <c r="X71" s="177"/>
      <c r="Y71" s="176"/>
      <c r="Z71" s="178"/>
      <c r="AA71" s="176"/>
      <c r="AB71" s="176"/>
      <c r="AC71" s="176"/>
      <c r="AD71" s="176"/>
      <c r="AE71" s="177"/>
      <c r="AF71" s="168" t="str">
        <f aca="false">A71</f>
        <v>Compensation TS night shift</v>
      </c>
      <c r="AG71" s="184"/>
      <c r="AH71" s="207" t="n">
        <f aca="false">SUM(B71:AE71)</f>
        <v>0</v>
      </c>
      <c r="AI71" s="33"/>
      <c r="AJ71" s="235"/>
      <c r="AK71" s="216" t="n">
        <f aca="false">IF(EB.Anwendung&lt;&gt;"",IF(MONTH(Monat.Tag1)=1,0,IF(MONTH(Monat.Tag1)=2,January!Monat.KompZZSNDUeVM,IF(MONTH(Monat.Tag1)=3,February!Monat.KompZZSNDUeVM,IF(MONTH(Monat.Tag1)=4,March!Monat.KompZZSNDUeVM,IF(MONTH(Monat.Tag1)=5,April!Monat.KompZZSNDUeVM,IF(MONTH(Monat.Tag1)=6,May!Monat.KompZZSNDUeVM,IF(MONTH(Monat.Tag1)=7,June!Monat.KompZZSNDUeVM,IF(MONTH(Monat.Tag1)=8,July!Monat.KompZZSNDUeVM,IF(MONTH(Monat.Tag1)=9,August!Monat.KompZZSNDUeVM,IF(MONTH(Monat.Tag1)=10,September!Monat.KompZZSNDUeVM,IF(MONTH(Monat.Tag1)=11,October!Monat.KompZZSNDUeVM,IF(MONTH(Monat.Tag1)=12,Monat.KompZZSNDUeVM,"")))))))))))),"")</f>
        <v>0</v>
      </c>
      <c r="AL71" s="172"/>
      <c r="AM71" s="217" t="n">
        <f aca="false">AH71+AK71</f>
        <v>0</v>
      </c>
      <c r="AN71" s="217" t="n">
        <f aca="true">SUM(OFFSET(Jahr.KompZZSND,-12,0,MONTH(Monat.Tag1),1))</f>
        <v>0</v>
      </c>
      <c r="AO71" s="217" t="n">
        <f aca="false">Jahr.KompZZSND</f>
        <v>0</v>
      </c>
      <c r="AP71" s="39"/>
    </row>
    <row r="72" s="148" customFormat="true" ht="15" hidden="true" customHeight="true" outlineLevel="1" collapsed="false">
      <c r="A72" s="175" t="s">
        <v>158</v>
      </c>
      <c r="B72" s="255"/>
      <c r="C72" s="255"/>
      <c r="D72" s="255"/>
      <c r="E72" s="255"/>
      <c r="F72" s="255"/>
      <c r="G72" s="255"/>
      <c r="H72" s="255"/>
      <c r="I72" s="255"/>
      <c r="J72" s="255"/>
      <c r="K72" s="255"/>
      <c r="L72" s="255"/>
      <c r="M72" s="255"/>
      <c r="N72" s="255"/>
      <c r="O72" s="255"/>
      <c r="P72" s="255"/>
      <c r="Q72" s="255"/>
      <c r="R72" s="255"/>
      <c r="S72" s="255"/>
      <c r="T72" s="255"/>
      <c r="U72" s="255"/>
      <c r="V72" s="255"/>
      <c r="W72" s="255"/>
      <c r="X72" s="255"/>
      <c r="Y72" s="255"/>
      <c r="Z72" s="255"/>
      <c r="AA72" s="255"/>
      <c r="AB72" s="255"/>
      <c r="AC72" s="255"/>
      <c r="AD72" s="255"/>
      <c r="AE72" s="255"/>
      <c r="AF72" s="168" t="str">
        <f aca="false">A72</f>
        <v>Start pl. night shift Yes/No</v>
      </c>
      <c r="AG72" s="184"/>
      <c r="AH72" s="192"/>
      <c r="AI72" s="198" t="n">
        <f aca="true">IFERROR(SUMPRODUCT((B72:AE72=INDEX(T.JaNein.Bereich,1))*(B72:AE72&lt;&gt;"")),0)</f>
        <v>0</v>
      </c>
      <c r="AJ72" s="235"/>
      <c r="AK72" s="198" t="n">
        <f aca="false">AK69</f>
        <v>0</v>
      </c>
      <c r="AL72" s="172"/>
      <c r="AM72" s="253" t="n">
        <f aca="false">AM69</f>
        <v>0</v>
      </c>
      <c r="AN72" s="172"/>
      <c r="AO72" s="172"/>
      <c r="AP72" s="39"/>
    </row>
    <row r="73" s="148" customFormat="true" ht="15" hidden="false" customHeight="true" outlineLevel="1" collapsed="false">
      <c r="A73" s="175" t="s">
        <v>159</v>
      </c>
      <c r="B73" s="256" t="n">
        <f aca="false">IF(B$12=0,0,IF(OR(T.50_Vetsuisse,T.ServiceCenterIrchel),ROUND(B14-B13+MAX(0,T.Nachtab-MAX(T.Nachtbis,B14))-MAX(0,T.Nachtab-MAX(B13,T.Nachtbis))+(B13&gt;B14)*(1+T.Nachtbis-T.Nachtab)+B16-B15+MAX(0,T.Nachtab-MAX(T.Nachtbis,B16))-MAX(0,T.Nachtab-MAX(B15,T.Nachtbis))+(B15&gt;B16)*(1+T.Nachtbis-T.Nachtab)+B18-B17+MAX(0,T.Nachtab-MAX(T.Nachtbis,B18))-MAX(0,T.Nachtab-MAX(B17,T.Nachtbis))+(B17&gt;B18)*(1+T.Nachtbis-T.Nachtab)+B20-B19+MAX(0,T.Nachtab-MAX(T.Nachtbis,B20))-MAX(0,T.Nachtab-MAX(B19,T.Nachtbis))+(B19&gt;B20)*(1+T.Nachtbis-T.Nachtab)+B22-B21+MAX(0,T.Nachtab-MAX(T.Nachtbis,B22))-MAX(0,T.Nachtab-MAX(B21,T.Nachtbis))+(B21&gt;B22)*(1+T.Nachtbis-T.Nachtab),9), IF(AND(WEEKDAY(B$10,2)&lt;6,B$11&lt;&gt;0),ROUND(B36-B35+MAX(0,T.Nachtab-MAX(T.Nachtbis,B36))-MAX(0,T.Nachtab-MAX(B35,T.Nachtbis))+(B35&gt;B36)*(1+T.Nachtbis-T.Nachtab)+B38-B37+MAX(0,T.Nachtab-MAX(T.Nachtbis,B38))-MAX(0,T.Nachtab-MAX(B37,T.Nachtbis))+(B37&gt;B38)*(1+T.Nachtbis-T.Nachtab)+B40-B39+MAX(0,T.Nachtab-MAX(T.Nachtbis,B40))-MAX(0,T.Nachtab-MAX(B39,T.Nachtbis))+(B39&gt;B40)*(1+T.Nachtbis-T.Nachtab)+B42-B41+MAX(0,T.Nachtab-MAX(T.Nachtbis,B42))-MAX(0,T.Nachtab-MAX(B41,T.Nachtbis))+(B41&gt;B42)*(1+T.Nachtbis-T.Nachtab)+B44-B43+MAX(0,T.Nachtab-MAX(T.Nachtbis,B44))-MAX(0,T.Nachtab-MAX(B43,T.Nachtbis))+(B43&gt;B44)*(1+T.Nachtbis-T.Nachtab),9),0)))</f>
        <v>0</v>
      </c>
      <c r="C73" s="256" t="n">
        <f aca="false">IF(C$12=0,0,IF(OR(T.50_Vetsuisse,T.ServiceCenterIrchel),ROUND(C14-C13+MAX(0,T.Nachtab-MAX(T.Nachtbis,C14))-MAX(0,T.Nachtab-MAX(C13,T.Nachtbis))+(C13&gt;C14)*(1+T.Nachtbis-T.Nachtab)+C16-C15+MAX(0,T.Nachtab-MAX(T.Nachtbis,C16))-MAX(0,T.Nachtab-MAX(C15,T.Nachtbis))+(C15&gt;C16)*(1+T.Nachtbis-T.Nachtab)+C18-C17+MAX(0,T.Nachtab-MAX(T.Nachtbis,C18))-MAX(0,T.Nachtab-MAX(C17,T.Nachtbis))+(C17&gt;C18)*(1+T.Nachtbis-T.Nachtab)+C20-C19+MAX(0,T.Nachtab-MAX(T.Nachtbis,C20))-MAX(0,T.Nachtab-MAX(C19,T.Nachtbis))+(C19&gt;C20)*(1+T.Nachtbis-T.Nachtab)+C22-C21+MAX(0,T.Nachtab-MAX(T.Nachtbis,C22))-MAX(0,T.Nachtab-MAX(C21,T.Nachtbis))+(C21&gt;C22)*(1+T.Nachtbis-T.Nachtab),9), IF(AND(WEEKDAY(C$10,2)&lt;6,C$11&lt;&gt;0),ROUND(C36-C35+MAX(0,T.Nachtab-MAX(T.Nachtbis,C36))-MAX(0,T.Nachtab-MAX(C35,T.Nachtbis))+(C35&gt;C36)*(1+T.Nachtbis-T.Nachtab)+C38-C37+MAX(0,T.Nachtab-MAX(T.Nachtbis,C38))-MAX(0,T.Nachtab-MAX(C37,T.Nachtbis))+(C37&gt;C38)*(1+T.Nachtbis-T.Nachtab)+C40-C39+MAX(0,T.Nachtab-MAX(T.Nachtbis,C40))-MAX(0,T.Nachtab-MAX(C39,T.Nachtbis))+(C39&gt;C40)*(1+T.Nachtbis-T.Nachtab)+C42-C41+MAX(0,T.Nachtab-MAX(T.Nachtbis,C42))-MAX(0,T.Nachtab-MAX(C41,T.Nachtbis))+(C41&gt;C42)*(1+T.Nachtbis-T.Nachtab)+C44-C43+MAX(0,T.Nachtab-MAX(T.Nachtbis,C44))-MAX(0,T.Nachtab-MAX(C43,T.Nachtbis))+(C43&gt;C44)*(1+T.Nachtbis-T.Nachtab),9),0)))</f>
        <v>0</v>
      </c>
      <c r="D73" s="256" t="n">
        <f aca="false">IF(D$12=0,0,IF(OR(T.50_Vetsuisse,T.ServiceCenterIrchel),ROUND(D14-D13+MAX(0,T.Nachtab-MAX(T.Nachtbis,D14))-MAX(0,T.Nachtab-MAX(D13,T.Nachtbis))+(D13&gt;D14)*(1+T.Nachtbis-T.Nachtab)+D16-D15+MAX(0,T.Nachtab-MAX(T.Nachtbis,D16))-MAX(0,T.Nachtab-MAX(D15,T.Nachtbis))+(D15&gt;D16)*(1+T.Nachtbis-T.Nachtab)+D18-D17+MAX(0,T.Nachtab-MAX(T.Nachtbis,D18))-MAX(0,T.Nachtab-MAX(D17,T.Nachtbis))+(D17&gt;D18)*(1+T.Nachtbis-T.Nachtab)+D20-D19+MAX(0,T.Nachtab-MAX(T.Nachtbis,D20))-MAX(0,T.Nachtab-MAX(D19,T.Nachtbis))+(D19&gt;D20)*(1+T.Nachtbis-T.Nachtab)+D22-D21+MAX(0,T.Nachtab-MAX(T.Nachtbis,D22))-MAX(0,T.Nachtab-MAX(D21,T.Nachtbis))+(D21&gt;D22)*(1+T.Nachtbis-T.Nachtab),9), IF(AND(WEEKDAY(D$10,2)&lt;6,D$11&lt;&gt;0),ROUND(D36-D35+MAX(0,T.Nachtab-MAX(T.Nachtbis,D36))-MAX(0,T.Nachtab-MAX(D35,T.Nachtbis))+(D35&gt;D36)*(1+T.Nachtbis-T.Nachtab)+D38-D37+MAX(0,T.Nachtab-MAX(T.Nachtbis,D38))-MAX(0,T.Nachtab-MAX(D37,T.Nachtbis))+(D37&gt;D38)*(1+T.Nachtbis-T.Nachtab)+D40-D39+MAX(0,T.Nachtab-MAX(T.Nachtbis,D40))-MAX(0,T.Nachtab-MAX(D39,T.Nachtbis))+(D39&gt;D40)*(1+T.Nachtbis-T.Nachtab)+D42-D41+MAX(0,T.Nachtab-MAX(T.Nachtbis,D42))-MAX(0,T.Nachtab-MAX(D41,T.Nachtbis))+(D41&gt;D42)*(1+T.Nachtbis-T.Nachtab)+D44-D43+MAX(0,T.Nachtab-MAX(T.Nachtbis,D44))-MAX(0,T.Nachtab-MAX(D43,T.Nachtbis))+(D43&gt;D44)*(1+T.Nachtbis-T.Nachtab),9),0)))</f>
        <v>0</v>
      </c>
      <c r="E73" s="256" t="n">
        <f aca="false">IF(E$12=0,0,IF(OR(T.50_Vetsuisse,T.ServiceCenterIrchel),ROUND(E14-E13+MAX(0,T.Nachtab-MAX(T.Nachtbis,E14))-MAX(0,T.Nachtab-MAX(E13,T.Nachtbis))+(E13&gt;E14)*(1+T.Nachtbis-T.Nachtab)+E16-E15+MAX(0,T.Nachtab-MAX(T.Nachtbis,E16))-MAX(0,T.Nachtab-MAX(E15,T.Nachtbis))+(E15&gt;E16)*(1+T.Nachtbis-T.Nachtab)+E18-E17+MAX(0,T.Nachtab-MAX(T.Nachtbis,E18))-MAX(0,T.Nachtab-MAX(E17,T.Nachtbis))+(E17&gt;E18)*(1+T.Nachtbis-T.Nachtab)+E20-E19+MAX(0,T.Nachtab-MAX(T.Nachtbis,E20))-MAX(0,T.Nachtab-MAX(E19,T.Nachtbis))+(E19&gt;E20)*(1+T.Nachtbis-T.Nachtab)+E22-E21+MAX(0,T.Nachtab-MAX(T.Nachtbis,E22))-MAX(0,T.Nachtab-MAX(E21,T.Nachtbis))+(E21&gt;E22)*(1+T.Nachtbis-T.Nachtab),9), IF(AND(WEEKDAY(E$10,2)&lt;6,E$11&lt;&gt;0),ROUND(E36-E35+MAX(0,T.Nachtab-MAX(T.Nachtbis,E36))-MAX(0,T.Nachtab-MAX(E35,T.Nachtbis))+(E35&gt;E36)*(1+T.Nachtbis-T.Nachtab)+E38-E37+MAX(0,T.Nachtab-MAX(T.Nachtbis,E38))-MAX(0,T.Nachtab-MAX(E37,T.Nachtbis))+(E37&gt;E38)*(1+T.Nachtbis-T.Nachtab)+E40-E39+MAX(0,T.Nachtab-MAX(T.Nachtbis,E40))-MAX(0,T.Nachtab-MAX(E39,T.Nachtbis))+(E39&gt;E40)*(1+T.Nachtbis-T.Nachtab)+E42-E41+MAX(0,T.Nachtab-MAX(T.Nachtbis,E42))-MAX(0,T.Nachtab-MAX(E41,T.Nachtbis))+(E41&gt;E42)*(1+T.Nachtbis-T.Nachtab)+E44-E43+MAX(0,T.Nachtab-MAX(T.Nachtbis,E44))-MAX(0,T.Nachtab-MAX(E43,T.Nachtbis))+(E43&gt;E44)*(1+T.Nachtbis-T.Nachtab),9),0)))</f>
        <v>0</v>
      </c>
      <c r="F73" s="256" t="n">
        <f aca="false">IF(F$12=0,0,IF(OR(T.50_Vetsuisse,T.ServiceCenterIrchel),ROUND(F14-F13+MAX(0,T.Nachtab-MAX(T.Nachtbis,F14))-MAX(0,T.Nachtab-MAX(F13,T.Nachtbis))+(F13&gt;F14)*(1+T.Nachtbis-T.Nachtab)+F16-F15+MAX(0,T.Nachtab-MAX(T.Nachtbis,F16))-MAX(0,T.Nachtab-MAX(F15,T.Nachtbis))+(F15&gt;F16)*(1+T.Nachtbis-T.Nachtab)+F18-F17+MAX(0,T.Nachtab-MAX(T.Nachtbis,F18))-MAX(0,T.Nachtab-MAX(F17,T.Nachtbis))+(F17&gt;F18)*(1+T.Nachtbis-T.Nachtab)+F20-F19+MAX(0,T.Nachtab-MAX(T.Nachtbis,F20))-MAX(0,T.Nachtab-MAX(F19,T.Nachtbis))+(F19&gt;F20)*(1+T.Nachtbis-T.Nachtab)+F22-F21+MAX(0,T.Nachtab-MAX(T.Nachtbis,F22))-MAX(0,T.Nachtab-MAX(F21,T.Nachtbis))+(F21&gt;F22)*(1+T.Nachtbis-T.Nachtab),9), IF(AND(WEEKDAY(F$10,2)&lt;6,F$11&lt;&gt;0),ROUND(F36-F35+MAX(0,T.Nachtab-MAX(T.Nachtbis,F36))-MAX(0,T.Nachtab-MAX(F35,T.Nachtbis))+(F35&gt;F36)*(1+T.Nachtbis-T.Nachtab)+F38-F37+MAX(0,T.Nachtab-MAX(T.Nachtbis,F38))-MAX(0,T.Nachtab-MAX(F37,T.Nachtbis))+(F37&gt;F38)*(1+T.Nachtbis-T.Nachtab)+F40-F39+MAX(0,T.Nachtab-MAX(T.Nachtbis,F40))-MAX(0,T.Nachtab-MAX(F39,T.Nachtbis))+(F39&gt;F40)*(1+T.Nachtbis-T.Nachtab)+F42-F41+MAX(0,T.Nachtab-MAX(T.Nachtbis,F42))-MAX(0,T.Nachtab-MAX(F41,T.Nachtbis))+(F41&gt;F42)*(1+T.Nachtbis-T.Nachtab)+F44-F43+MAX(0,T.Nachtab-MAX(T.Nachtbis,F44))-MAX(0,T.Nachtab-MAX(F43,T.Nachtbis))+(F43&gt;F44)*(1+T.Nachtbis-T.Nachtab),9),0)))</f>
        <v>0</v>
      </c>
      <c r="G73" s="256" t="n">
        <f aca="false">IF(G$12=0,0,IF(OR(T.50_Vetsuisse,T.ServiceCenterIrchel),ROUND(G14-G13+MAX(0,T.Nachtab-MAX(T.Nachtbis,G14))-MAX(0,T.Nachtab-MAX(G13,T.Nachtbis))+(G13&gt;G14)*(1+T.Nachtbis-T.Nachtab)+G16-G15+MAX(0,T.Nachtab-MAX(T.Nachtbis,G16))-MAX(0,T.Nachtab-MAX(G15,T.Nachtbis))+(G15&gt;G16)*(1+T.Nachtbis-T.Nachtab)+G18-G17+MAX(0,T.Nachtab-MAX(T.Nachtbis,G18))-MAX(0,T.Nachtab-MAX(G17,T.Nachtbis))+(G17&gt;G18)*(1+T.Nachtbis-T.Nachtab)+G20-G19+MAX(0,T.Nachtab-MAX(T.Nachtbis,G20))-MAX(0,T.Nachtab-MAX(G19,T.Nachtbis))+(G19&gt;G20)*(1+T.Nachtbis-T.Nachtab)+G22-G21+MAX(0,T.Nachtab-MAX(T.Nachtbis,G22))-MAX(0,T.Nachtab-MAX(G21,T.Nachtbis))+(G21&gt;G22)*(1+T.Nachtbis-T.Nachtab),9), IF(AND(WEEKDAY(G$10,2)&lt;6,G$11&lt;&gt;0),ROUND(G36-G35+MAX(0,T.Nachtab-MAX(T.Nachtbis,G36))-MAX(0,T.Nachtab-MAX(G35,T.Nachtbis))+(G35&gt;G36)*(1+T.Nachtbis-T.Nachtab)+G38-G37+MAX(0,T.Nachtab-MAX(T.Nachtbis,G38))-MAX(0,T.Nachtab-MAX(G37,T.Nachtbis))+(G37&gt;G38)*(1+T.Nachtbis-T.Nachtab)+G40-G39+MAX(0,T.Nachtab-MAX(T.Nachtbis,G40))-MAX(0,T.Nachtab-MAX(G39,T.Nachtbis))+(G39&gt;G40)*(1+T.Nachtbis-T.Nachtab)+G42-G41+MAX(0,T.Nachtab-MAX(T.Nachtbis,G42))-MAX(0,T.Nachtab-MAX(G41,T.Nachtbis))+(G41&gt;G42)*(1+T.Nachtbis-T.Nachtab)+G44-G43+MAX(0,T.Nachtab-MAX(T.Nachtbis,G44))-MAX(0,T.Nachtab-MAX(G43,T.Nachtbis))+(G43&gt;G44)*(1+T.Nachtbis-T.Nachtab),9),0)))</f>
        <v>0</v>
      </c>
      <c r="H73" s="256" t="n">
        <f aca="false">IF(H$12=0,0,IF(OR(T.50_Vetsuisse,T.ServiceCenterIrchel),ROUND(H14-H13+MAX(0,T.Nachtab-MAX(T.Nachtbis,H14))-MAX(0,T.Nachtab-MAX(H13,T.Nachtbis))+(H13&gt;H14)*(1+T.Nachtbis-T.Nachtab)+H16-H15+MAX(0,T.Nachtab-MAX(T.Nachtbis,H16))-MAX(0,T.Nachtab-MAX(H15,T.Nachtbis))+(H15&gt;H16)*(1+T.Nachtbis-T.Nachtab)+H18-H17+MAX(0,T.Nachtab-MAX(T.Nachtbis,H18))-MAX(0,T.Nachtab-MAX(H17,T.Nachtbis))+(H17&gt;H18)*(1+T.Nachtbis-T.Nachtab)+H20-H19+MAX(0,T.Nachtab-MAX(T.Nachtbis,H20))-MAX(0,T.Nachtab-MAX(H19,T.Nachtbis))+(H19&gt;H20)*(1+T.Nachtbis-T.Nachtab)+H22-H21+MAX(0,T.Nachtab-MAX(T.Nachtbis,H22))-MAX(0,T.Nachtab-MAX(H21,T.Nachtbis))+(H21&gt;H22)*(1+T.Nachtbis-T.Nachtab),9), IF(AND(WEEKDAY(H$10,2)&lt;6,H$11&lt;&gt;0),ROUND(H36-H35+MAX(0,T.Nachtab-MAX(T.Nachtbis,H36))-MAX(0,T.Nachtab-MAX(H35,T.Nachtbis))+(H35&gt;H36)*(1+T.Nachtbis-T.Nachtab)+H38-H37+MAX(0,T.Nachtab-MAX(T.Nachtbis,H38))-MAX(0,T.Nachtab-MAX(H37,T.Nachtbis))+(H37&gt;H38)*(1+T.Nachtbis-T.Nachtab)+H40-H39+MAX(0,T.Nachtab-MAX(T.Nachtbis,H40))-MAX(0,T.Nachtab-MAX(H39,T.Nachtbis))+(H39&gt;H40)*(1+T.Nachtbis-T.Nachtab)+H42-H41+MAX(0,T.Nachtab-MAX(T.Nachtbis,H42))-MAX(0,T.Nachtab-MAX(H41,T.Nachtbis))+(H41&gt;H42)*(1+T.Nachtbis-T.Nachtab)+H44-H43+MAX(0,T.Nachtab-MAX(T.Nachtbis,H44))-MAX(0,T.Nachtab-MAX(H43,T.Nachtbis))+(H43&gt;H44)*(1+T.Nachtbis-T.Nachtab),9),0)))</f>
        <v>0</v>
      </c>
      <c r="I73" s="256" t="n">
        <f aca="false">IF(I$12=0,0,IF(OR(T.50_Vetsuisse,T.ServiceCenterIrchel),ROUND(I14-I13+MAX(0,T.Nachtab-MAX(T.Nachtbis,I14))-MAX(0,T.Nachtab-MAX(I13,T.Nachtbis))+(I13&gt;I14)*(1+T.Nachtbis-T.Nachtab)+I16-I15+MAX(0,T.Nachtab-MAX(T.Nachtbis,I16))-MAX(0,T.Nachtab-MAX(I15,T.Nachtbis))+(I15&gt;I16)*(1+T.Nachtbis-T.Nachtab)+I18-I17+MAX(0,T.Nachtab-MAX(T.Nachtbis,I18))-MAX(0,T.Nachtab-MAX(I17,T.Nachtbis))+(I17&gt;I18)*(1+T.Nachtbis-T.Nachtab)+I20-I19+MAX(0,T.Nachtab-MAX(T.Nachtbis,I20))-MAX(0,T.Nachtab-MAX(I19,T.Nachtbis))+(I19&gt;I20)*(1+T.Nachtbis-T.Nachtab)+I22-I21+MAX(0,T.Nachtab-MAX(T.Nachtbis,I22))-MAX(0,T.Nachtab-MAX(I21,T.Nachtbis))+(I21&gt;I22)*(1+T.Nachtbis-T.Nachtab),9), IF(AND(WEEKDAY(I$10,2)&lt;6,I$11&lt;&gt;0),ROUND(I36-I35+MAX(0,T.Nachtab-MAX(T.Nachtbis,I36))-MAX(0,T.Nachtab-MAX(I35,T.Nachtbis))+(I35&gt;I36)*(1+T.Nachtbis-T.Nachtab)+I38-I37+MAX(0,T.Nachtab-MAX(T.Nachtbis,I38))-MAX(0,T.Nachtab-MAX(I37,T.Nachtbis))+(I37&gt;I38)*(1+T.Nachtbis-T.Nachtab)+I40-I39+MAX(0,T.Nachtab-MAX(T.Nachtbis,I40))-MAX(0,T.Nachtab-MAX(I39,T.Nachtbis))+(I39&gt;I40)*(1+T.Nachtbis-T.Nachtab)+I42-I41+MAX(0,T.Nachtab-MAX(T.Nachtbis,I42))-MAX(0,T.Nachtab-MAX(I41,T.Nachtbis))+(I41&gt;I42)*(1+T.Nachtbis-T.Nachtab)+I44-I43+MAX(0,T.Nachtab-MAX(T.Nachtbis,I44))-MAX(0,T.Nachtab-MAX(I43,T.Nachtbis))+(I43&gt;I44)*(1+T.Nachtbis-T.Nachtab),9),0)))</f>
        <v>0</v>
      </c>
      <c r="J73" s="256" t="n">
        <f aca="false">IF(J$12=0,0,IF(OR(T.50_Vetsuisse,T.ServiceCenterIrchel),ROUND(J14-J13+MAX(0,T.Nachtab-MAX(T.Nachtbis,J14))-MAX(0,T.Nachtab-MAX(J13,T.Nachtbis))+(J13&gt;J14)*(1+T.Nachtbis-T.Nachtab)+J16-J15+MAX(0,T.Nachtab-MAX(T.Nachtbis,J16))-MAX(0,T.Nachtab-MAX(J15,T.Nachtbis))+(J15&gt;J16)*(1+T.Nachtbis-T.Nachtab)+J18-J17+MAX(0,T.Nachtab-MAX(T.Nachtbis,J18))-MAX(0,T.Nachtab-MAX(J17,T.Nachtbis))+(J17&gt;J18)*(1+T.Nachtbis-T.Nachtab)+J20-J19+MAX(0,T.Nachtab-MAX(T.Nachtbis,J20))-MAX(0,T.Nachtab-MAX(J19,T.Nachtbis))+(J19&gt;J20)*(1+T.Nachtbis-T.Nachtab)+J22-J21+MAX(0,T.Nachtab-MAX(T.Nachtbis,J22))-MAX(0,T.Nachtab-MAX(J21,T.Nachtbis))+(J21&gt;J22)*(1+T.Nachtbis-T.Nachtab),9), IF(AND(WEEKDAY(J$10,2)&lt;6,J$11&lt;&gt;0),ROUND(J36-J35+MAX(0,T.Nachtab-MAX(T.Nachtbis,J36))-MAX(0,T.Nachtab-MAX(J35,T.Nachtbis))+(J35&gt;J36)*(1+T.Nachtbis-T.Nachtab)+J38-J37+MAX(0,T.Nachtab-MAX(T.Nachtbis,J38))-MAX(0,T.Nachtab-MAX(J37,T.Nachtbis))+(J37&gt;J38)*(1+T.Nachtbis-T.Nachtab)+J40-J39+MAX(0,T.Nachtab-MAX(T.Nachtbis,J40))-MAX(0,T.Nachtab-MAX(J39,T.Nachtbis))+(J39&gt;J40)*(1+T.Nachtbis-T.Nachtab)+J42-J41+MAX(0,T.Nachtab-MAX(T.Nachtbis,J42))-MAX(0,T.Nachtab-MAX(J41,T.Nachtbis))+(J41&gt;J42)*(1+T.Nachtbis-T.Nachtab)+J44-J43+MAX(0,T.Nachtab-MAX(T.Nachtbis,J44))-MAX(0,T.Nachtab-MAX(J43,T.Nachtbis))+(J43&gt;J44)*(1+T.Nachtbis-T.Nachtab),9),0)))</f>
        <v>0</v>
      </c>
      <c r="K73" s="256" t="n">
        <f aca="false">IF(K$12=0,0,IF(OR(T.50_Vetsuisse,T.ServiceCenterIrchel),ROUND(K14-K13+MAX(0,T.Nachtab-MAX(T.Nachtbis,K14))-MAX(0,T.Nachtab-MAX(K13,T.Nachtbis))+(K13&gt;K14)*(1+T.Nachtbis-T.Nachtab)+K16-K15+MAX(0,T.Nachtab-MAX(T.Nachtbis,K16))-MAX(0,T.Nachtab-MAX(K15,T.Nachtbis))+(K15&gt;K16)*(1+T.Nachtbis-T.Nachtab)+K18-K17+MAX(0,T.Nachtab-MAX(T.Nachtbis,K18))-MAX(0,T.Nachtab-MAX(K17,T.Nachtbis))+(K17&gt;K18)*(1+T.Nachtbis-T.Nachtab)+K20-K19+MAX(0,T.Nachtab-MAX(T.Nachtbis,K20))-MAX(0,T.Nachtab-MAX(K19,T.Nachtbis))+(K19&gt;K20)*(1+T.Nachtbis-T.Nachtab)+K22-K21+MAX(0,T.Nachtab-MAX(T.Nachtbis,K22))-MAX(0,T.Nachtab-MAX(K21,T.Nachtbis))+(K21&gt;K22)*(1+T.Nachtbis-T.Nachtab),9), IF(AND(WEEKDAY(K$10,2)&lt;6,K$11&lt;&gt;0),ROUND(K36-K35+MAX(0,T.Nachtab-MAX(T.Nachtbis,K36))-MAX(0,T.Nachtab-MAX(K35,T.Nachtbis))+(K35&gt;K36)*(1+T.Nachtbis-T.Nachtab)+K38-K37+MAX(0,T.Nachtab-MAX(T.Nachtbis,K38))-MAX(0,T.Nachtab-MAX(K37,T.Nachtbis))+(K37&gt;K38)*(1+T.Nachtbis-T.Nachtab)+K40-K39+MAX(0,T.Nachtab-MAX(T.Nachtbis,K40))-MAX(0,T.Nachtab-MAX(K39,T.Nachtbis))+(K39&gt;K40)*(1+T.Nachtbis-T.Nachtab)+K42-K41+MAX(0,T.Nachtab-MAX(T.Nachtbis,K42))-MAX(0,T.Nachtab-MAX(K41,T.Nachtbis))+(K41&gt;K42)*(1+T.Nachtbis-T.Nachtab)+K44-K43+MAX(0,T.Nachtab-MAX(T.Nachtbis,K44))-MAX(0,T.Nachtab-MAX(K43,T.Nachtbis))+(K43&gt;K44)*(1+T.Nachtbis-T.Nachtab),9),0)))</f>
        <v>0</v>
      </c>
      <c r="L73" s="256" t="n">
        <f aca="false">IF(L$12=0,0,IF(OR(T.50_Vetsuisse,T.ServiceCenterIrchel),ROUND(L14-L13+MAX(0,T.Nachtab-MAX(T.Nachtbis,L14))-MAX(0,T.Nachtab-MAX(L13,T.Nachtbis))+(L13&gt;L14)*(1+T.Nachtbis-T.Nachtab)+L16-L15+MAX(0,T.Nachtab-MAX(T.Nachtbis,L16))-MAX(0,T.Nachtab-MAX(L15,T.Nachtbis))+(L15&gt;L16)*(1+T.Nachtbis-T.Nachtab)+L18-L17+MAX(0,T.Nachtab-MAX(T.Nachtbis,L18))-MAX(0,T.Nachtab-MAX(L17,T.Nachtbis))+(L17&gt;L18)*(1+T.Nachtbis-T.Nachtab)+L20-L19+MAX(0,T.Nachtab-MAX(T.Nachtbis,L20))-MAX(0,T.Nachtab-MAX(L19,T.Nachtbis))+(L19&gt;L20)*(1+T.Nachtbis-T.Nachtab)+L22-L21+MAX(0,T.Nachtab-MAX(T.Nachtbis,L22))-MAX(0,T.Nachtab-MAX(L21,T.Nachtbis))+(L21&gt;L22)*(1+T.Nachtbis-T.Nachtab),9), IF(AND(WEEKDAY(L$10,2)&lt;6,L$11&lt;&gt;0),ROUND(L36-L35+MAX(0,T.Nachtab-MAX(T.Nachtbis,L36))-MAX(0,T.Nachtab-MAX(L35,T.Nachtbis))+(L35&gt;L36)*(1+T.Nachtbis-T.Nachtab)+L38-L37+MAX(0,T.Nachtab-MAX(T.Nachtbis,L38))-MAX(0,T.Nachtab-MAX(L37,T.Nachtbis))+(L37&gt;L38)*(1+T.Nachtbis-T.Nachtab)+L40-L39+MAX(0,T.Nachtab-MAX(T.Nachtbis,L40))-MAX(0,T.Nachtab-MAX(L39,T.Nachtbis))+(L39&gt;L40)*(1+T.Nachtbis-T.Nachtab)+L42-L41+MAX(0,T.Nachtab-MAX(T.Nachtbis,L42))-MAX(0,T.Nachtab-MAX(L41,T.Nachtbis))+(L41&gt;L42)*(1+T.Nachtbis-T.Nachtab)+L44-L43+MAX(0,T.Nachtab-MAX(T.Nachtbis,L44))-MAX(0,T.Nachtab-MAX(L43,T.Nachtbis))+(L43&gt;L44)*(1+T.Nachtbis-T.Nachtab),9),0)))</f>
        <v>0</v>
      </c>
      <c r="M73" s="256" t="n">
        <f aca="false">IF(M$12=0,0,IF(OR(T.50_Vetsuisse,T.ServiceCenterIrchel),ROUND(M14-M13+MAX(0,T.Nachtab-MAX(T.Nachtbis,M14))-MAX(0,T.Nachtab-MAX(M13,T.Nachtbis))+(M13&gt;M14)*(1+T.Nachtbis-T.Nachtab)+M16-M15+MAX(0,T.Nachtab-MAX(T.Nachtbis,M16))-MAX(0,T.Nachtab-MAX(M15,T.Nachtbis))+(M15&gt;M16)*(1+T.Nachtbis-T.Nachtab)+M18-M17+MAX(0,T.Nachtab-MAX(T.Nachtbis,M18))-MAX(0,T.Nachtab-MAX(M17,T.Nachtbis))+(M17&gt;M18)*(1+T.Nachtbis-T.Nachtab)+M20-M19+MAX(0,T.Nachtab-MAX(T.Nachtbis,M20))-MAX(0,T.Nachtab-MAX(M19,T.Nachtbis))+(M19&gt;M20)*(1+T.Nachtbis-T.Nachtab)+M22-M21+MAX(0,T.Nachtab-MAX(T.Nachtbis,M22))-MAX(0,T.Nachtab-MAX(M21,T.Nachtbis))+(M21&gt;M22)*(1+T.Nachtbis-T.Nachtab),9), IF(AND(WEEKDAY(M$10,2)&lt;6,M$11&lt;&gt;0),ROUND(M36-M35+MAX(0,T.Nachtab-MAX(T.Nachtbis,M36))-MAX(0,T.Nachtab-MAX(M35,T.Nachtbis))+(M35&gt;M36)*(1+T.Nachtbis-T.Nachtab)+M38-M37+MAX(0,T.Nachtab-MAX(T.Nachtbis,M38))-MAX(0,T.Nachtab-MAX(M37,T.Nachtbis))+(M37&gt;M38)*(1+T.Nachtbis-T.Nachtab)+M40-M39+MAX(0,T.Nachtab-MAX(T.Nachtbis,M40))-MAX(0,T.Nachtab-MAX(M39,T.Nachtbis))+(M39&gt;M40)*(1+T.Nachtbis-T.Nachtab)+M42-M41+MAX(0,T.Nachtab-MAX(T.Nachtbis,M42))-MAX(0,T.Nachtab-MAX(M41,T.Nachtbis))+(M41&gt;M42)*(1+T.Nachtbis-T.Nachtab)+M44-M43+MAX(0,T.Nachtab-MAX(T.Nachtbis,M44))-MAX(0,T.Nachtab-MAX(M43,T.Nachtbis))+(M43&gt;M44)*(1+T.Nachtbis-T.Nachtab),9),0)))</f>
        <v>0</v>
      </c>
      <c r="N73" s="256" t="n">
        <f aca="false">IF(N$12=0,0,IF(OR(T.50_Vetsuisse,T.ServiceCenterIrchel),ROUND(N14-N13+MAX(0,T.Nachtab-MAX(T.Nachtbis,N14))-MAX(0,T.Nachtab-MAX(N13,T.Nachtbis))+(N13&gt;N14)*(1+T.Nachtbis-T.Nachtab)+N16-N15+MAX(0,T.Nachtab-MAX(T.Nachtbis,N16))-MAX(0,T.Nachtab-MAX(N15,T.Nachtbis))+(N15&gt;N16)*(1+T.Nachtbis-T.Nachtab)+N18-N17+MAX(0,T.Nachtab-MAX(T.Nachtbis,N18))-MAX(0,T.Nachtab-MAX(N17,T.Nachtbis))+(N17&gt;N18)*(1+T.Nachtbis-T.Nachtab)+N20-N19+MAX(0,T.Nachtab-MAX(T.Nachtbis,N20))-MAX(0,T.Nachtab-MAX(N19,T.Nachtbis))+(N19&gt;N20)*(1+T.Nachtbis-T.Nachtab)+N22-N21+MAX(0,T.Nachtab-MAX(T.Nachtbis,N22))-MAX(0,T.Nachtab-MAX(N21,T.Nachtbis))+(N21&gt;N22)*(1+T.Nachtbis-T.Nachtab),9), IF(AND(WEEKDAY(N$10,2)&lt;6,N$11&lt;&gt;0),ROUND(N36-N35+MAX(0,T.Nachtab-MAX(T.Nachtbis,N36))-MAX(0,T.Nachtab-MAX(N35,T.Nachtbis))+(N35&gt;N36)*(1+T.Nachtbis-T.Nachtab)+N38-N37+MAX(0,T.Nachtab-MAX(T.Nachtbis,N38))-MAX(0,T.Nachtab-MAX(N37,T.Nachtbis))+(N37&gt;N38)*(1+T.Nachtbis-T.Nachtab)+N40-N39+MAX(0,T.Nachtab-MAX(T.Nachtbis,N40))-MAX(0,T.Nachtab-MAX(N39,T.Nachtbis))+(N39&gt;N40)*(1+T.Nachtbis-T.Nachtab)+N42-N41+MAX(0,T.Nachtab-MAX(T.Nachtbis,N42))-MAX(0,T.Nachtab-MAX(N41,T.Nachtbis))+(N41&gt;N42)*(1+T.Nachtbis-T.Nachtab)+N44-N43+MAX(0,T.Nachtab-MAX(T.Nachtbis,N44))-MAX(0,T.Nachtab-MAX(N43,T.Nachtbis))+(N43&gt;N44)*(1+T.Nachtbis-T.Nachtab),9),0)))</f>
        <v>0</v>
      </c>
      <c r="O73" s="256" t="n">
        <f aca="false">IF(O$12=0,0,IF(OR(T.50_Vetsuisse,T.ServiceCenterIrchel),ROUND(O14-O13+MAX(0,T.Nachtab-MAX(T.Nachtbis,O14))-MAX(0,T.Nachtab-MAX(O13,T.Nachtbis))+(O13&gt;O14)*(1+T.Nachtbis-T.Nachtab)+O16-O15+MAX(0,T.Nachtab-MAX(T.Nachtbis,O16))-MAX(0,T.Nachtab-MAX(O15,T.Nachtbis))+(O15&gt;O16)*(1+T.Nachtbis-T.Nachtab)+O18-O17+MAX(0,T.Nachtab-MAX(T.Nachtbis,O18))-MAX(0,T.Nachtab-MAX(O17,T.Nachtbis))+(O17&gt;O18)*(1+T.Nachtbis-T.Nachtab)+O20-O19+MAX(0,T.Nachtab-MAX(T.Nachtbis,O20))-MAX(0,T.Nachtab-MAX(O19,T.Nachtbis))+(O19&gt;O20)*(1+T.Nachtbis-T.Nachtab)+O22-O21+MAX(0,T.Nachtab-MAX(T.Nachtbis,O22))-MAX(0,T.Nachtab-MAX(O21,T.Nachtbis))+(O21&gt;O22)*(1+T.Nachtbis-T.Nachtab),9), IF(AND(WEEKDAY(O$10,2)&lt;6,O$11&lt;&gt;0),ROUND(O36-O35+MAX(0,T.Nachtab-MAX(T.Nachtbis,O36))-MAX(0,T.Nachtab-MAX(O35,T.Nachtbis))+(O35&gt;O36)*(1+T.Nachtbis-T.Nachtab)+O38-O37+MAX(0,T.Nachtab-MAX(T.Nachtbis,O38))-MAX(0,T.Nachtab-MAX(O37,T.Nachtbis))+(O37&gt;O38)*(1+T.Nachtbis-T.Nachtab)+O40-O39+MAX(0,T.Nachtab-MAX(T.Nachtbis,O40))-MAX(0,T.Nachtab-MAX(O39,T.Nachtbis))+(O39&gt;O40)*(1+T.Nachtbis-T.Nachtab)+O42-O41+MAX(0,T.Nachtab-MAX(T.Nachtbis,O42))-MAX(0,T.Nachtab-MAX(O41,T.Nachtbis))+(O41&gt;O42)*(1+T.Nachtbis-T.Nachtab)+O44-O43+MAX(0,T.Nachtab-MAX(T.Nachtbis,O44))-MAX(0,T.Nachtab-MAX(O43,T.Nachtbis))+(O43&gt;O44)*(1+T.Nachtbis-T.Nachtab),9),0)))</f>
        <v>0</v>
      </c>
      <c r="P73" s="256" t="n">
        <f aca="false">IF(P$12=0,0,IF(OR(T.50_Vetsuisse,T.ServiceCenterIrchel),ROUND(P14-P13+MAX(0,T.Nachtab-MAX(T.Nachtbis,P14))-MAX(0,T.Nachtab-MAX(P13,T.Nachtbis))+(P13&gt;P14)*(1+T.Nachtbis-T.Nachtab)+P16-P15+MAX(0,T.Nachtab-MAX(T.Nachtbis,P16))-MAX(0,T.Nachtab-MAX(P15,T.Nachtbis))+(P15&gt;P16)*(1+T.Nachtbis-T.Nachtab)+P18-P17+MAX(0,T.Nachtab-MAX(T.Nachtbis,P18))-MAX(0,T.Nachtab-MAX(P17,T.Nachtbis))+(P17&gt;P18)*(1+T.Nachtbis-T.Nachtab)+P20-P19+MAX(0,T.Nachtab-MAX(T.Nachtbis,P20))-MAX(0,T.Nachtab-MAX(P19,T.Nachtbis))+(P19&gt;P20)*(1+T.Nachtbis-T.Nachtab)+P22-P21+MAX(0,T.Nachtab-MAX(T.Nachtbis,P22))-MAX(0,T.Nachtab-MAX(P21,T.Nachtbis))+(P21&gt;P22)*(1+T.Nachtbis-T.Nachtab),9), IF(AND(WEEKDAY(P$10,2)&lt;6,P$11&lt;&gt;0),ROUND(P36-P35+MAX(0,T.Nachtab-MAX(T.Nachtbis,P36))-MAX(0,T.Nachtab-MAX(P35,T.Nachtbis))+(P35&gt;P36)*(1+T.Nachtbis-T.Nachtab)+P38-P37+MAX(0,T.Nachtab-MAX(T.Nachtbis,P38))-MAX(0,T.Nachtab-MAX(P37,T.Nachtbis))+(P37&gt;P38)*(1+T.Nachtbis-T.Nachtab)+P40-P39+MAX(0,T.Nachtab-MAX(T.Nachtbis,P40))-MAX(0,T.Nachtab-MAX(P39,T.Nachtbis))+(P39&gt;P40)*(1+T.Nachtbis-T.Nachtab)+P42-P41+MAX(0,T.Nachtab-MAX(T.Nachtbis,P42))-MAX(0,T.Nachtab-MAX(P41,T.Nachtbis))+(P41&gt;P42)*(1+T.Nachtbis-T.Nachtab)+P44-P43+MAX(0,T.Nachtab-MAX(T.Nachtbis,P44))-MAX(0,T.Nachtab-MAX(P43,T.Nachtbis))+(P43&gt;P44)*(1+T.Nachtbis-T.Nachtab),9),0)))</f>
        <v>0</v>
      </c>
      <c r="Q73" s="256" t="n">
        <f aca="false">IF(Q$12=0,0,IF(OR(T.50_Vetsuisse,T.ServiceCenterIrchel),ROUND(Q14-Q13+MAX(0,T.Nachtab-MAX(T.Nachtbis,Q14))-MAX(0,T.Nachtab-MAX(Q13,T.Nachtbis))+(Q13&gt;Q14)*(1+T.Nachtbis-T.Nachtab)+Q16-Q15+MAX(0,T.Nachtab-MAX(T.Nachtbis,Q16))-MAX(0,T.Nachtab-MAX(Q15,T.Nachtbis))+(Q15&gt;Q16)*(1+T.Nachtbis-T.Nachtab)+Q18-Q17+MAX(0,T.Nachtab-MAX(T.Nachtbis,Q18))-MAX(0,T.Nachtab-MAX(Q17,T.Nachtbis))+(Q17&gt;Q18)*(1+T.Nachtbis-T.Nachtab)+Q20-Q19+MAX(0,T.Nachtab-MAX(T.Nachtbis,Q20))-MAX(0,T.Nachtab-MAX(Q19,T.Nachtbis))+(Q19&gt;Q20)*(1+T.Nachtbis-T.Nachtab)+Q22-Q21+MAX(0,T.Nachtab-MAX(T.Nachtbis,Q22))-MAX(0,T.Nachtab-MAX(Q21,T.Nachtbis))+(Q21&gt;Q22)*(1+T.Nachtbis-T.Nachtab),9), IF(AND(WEEKDAY(Q$10,2)&lt;6,Q$11&lt;&gt;0),ROUND(Q36-Q35+MAX(0,T.Nachtab-MAX(T.Nachtbis,Q36))-MAX(0,T.Nachtab-MAX(Q35,T.Nachtbis))+(Q35&gt;Q36)*(1+T.Nachtbis-T.Nachtab)+Q38-Q37+MAX(0,T.Nachtab-MAX(T.Nachtbis,Q38))-MAX(0,T.Nachtab-MAX(Q37,T.Nachtbis))+(Q37&gt;Q38)*(1+T.Nachtbis-T.Nachtab)+Q40-Q39+MAX(0,T.Nachtab-MAX(T.Nachtbis,Q40))-MAX(0,T.Nachtab-MAX(Q39,T.Nachtbis))+(Q39&gt;Q40)*(1+T.Nachtbis-T.Nachtab)+Q42-Q41+MAX(0,T.Nachtab-MAX(T.Nachtbis,Q42))-MAX(0,T.Nachtab-MAX(Q41,T.Nachtbis))+(Q41&gt;Q42)*(1+T.Nachtbis-T.Nachtab)+Q44-Q43+MAX(0,T.Nachtab-MAX(T.Nachtbis,Q44))-MAX(0,T.Nachtab-MAX(Q43,T.Nachtbis))+(Q43&gt;Q44)*(1+T.Nachtbis-T.Nachtab),9),0)))</f>
        <v>0</v>
      </c>
      <c r="R73" s="256" t="n">
        <f aca="false">IF(R$12=0,0,IF(OR(T.50_Vetsuisse,T.ServiceCenterIrchel),ROUND(R14-R13+MAX(0,T.Nachtab-MAX(T.Nachtbis,R14))-MAX(0,T.Nachtab-MAX(R13,T.Nachtbis))+(R13&gt;R14)*(1+T.Nachtbis-T.Nachtab)+R16-R15+MAX(0,T.Nachtab-MAX(T.Nachtbis,R16))-MAX(0,T.Nachtab-MAX(R15,T.Nachtbis))+(R15&gt;R16)*(1+T.Nachtbis-T.Nachtab)+R18-R17+MAX(0,T.Nachtab-MAX(T.Nachtbis,R18))-MAX(0,T.Nachtab-MAX(R17,T.Nachtbis))+(R17&gt;R18)*(1+T.Nachtbis-T.Nachtab)+R20-R19+MAX(0,T.Nachtab-MAX(T.Nachtbis,R20))-MAX(0,T.Nachtab-MAX(R19,T.Nachtbis))+(R19&gt;R20)*(1+T.Nachtbis-T.Nachtab)+R22-R21+MAX(0,T.Nachtab-MAX(T.Nachtbis,R22))-MAX(0,T.Nachtab-MAX(R21,T.Nachtbis))+(R21&gt;R22)*(1+T.Nachtbis-T.Nachtab),9), IF(AND(WEEKDAY(R$10,2)&lt;6,R$11&lt;&gt;0),ROUND(R36-R35+MAX(0,T.Nachtab-MAX(T.Nachtbis,R36))-MAX(0,T.Nachtab-MAX(R35,T.Nachtbis))+(R35&gt;R36)*(1+T.Nachtbis-T.Nachtab)+R38-R37+MAX(0,T.Nachtab-MAX(T.Nachtbis,R38))-MAX(0,T.Nachtab-MAX(R37,T.Nachtbis))+(R37&gt;R38)*(1+T.Nachtbis-T.Nachtab)+R40-R39+MAX(0,T.Nachtab-MAX(T.Nachtbis,R40))-MAX(0,T.Nachtab-MAX(R39,T.Nachtbis))+(R39&gt;R40)*(1+T.Nachtbis-T.Nachtab)+R42-R41+MAX(0,T.Nachtab-MAX(T.Nachtbis,R42))-MAX(0,T.Nachtab-MAX(R41,T.Nachtbis))+(R41&gt;R42)*(1+T.Nachtbis-T.Nachtab)+R44-R43+MAX(0,T.Nachtab-MAX(T.Nachtbis,R44))-MAX(0,T.Nachtab-MAX(R43,T.Nachtbis))+(R43&gt;R44)*(1+T.Nachtbis-T.Nachtab),9),0)))</f>
        <v>0</v>
      </c>
      <c r="S73" s="256" t="n">
        <f aca="false">IF(S$12=0,0,IF(OR(T.50_Vetsuisse,T.ServiceCenterIrchel),ROUND(S14-S13+MAX(0,T.Nachtab-MAX(T.Nachtbis,S14))-MAX(0,T.Nachtab-MAX(S13,T.Nachtbis))+(S13&gt;S14)*(1+T.Nachtbis-T.Nachtab)+S16-S15+MAX(0,T.Nachtab-MAX(T.Nachtbis,S16))-MAX(0,T.Nachtab-MAX(S15,T.Nachtbis))+(S15&gt;S16)*(1+T.Nachtbis-T.Nachtab)+S18-S17+MAX(0,T.Nachtab-MAX(T.Nachtbis,S18))-MAX(0,T.Nachtab-MAX(S17,T.Nachtbis))+(S17&gt;S18)*(1+T.Nachtbis-T.Nachtab)+S20-S19+MAX(0,T.Nachtab-MAX(T.Nachtbis,S20))-MAX(0,T.Nachtab-MAX(S19,T.Nachtbis))+(S19&gt;S20)*(1+T.Nachtbis-T.Nachtab)+S22-S21+MAX(0,T.Nachtab-MAX(T.Nachtbis,S22))-MAX(0,T.Nachtab-MAX(S21,T.Nachtbis))+(S21&gt;S22)*(1+T.Nachtbis-T.Nachtab),9), IF(AND(WEEKDAY(S$10,2)&lt;6,S$11&lt;&gt;0),ROUND(S36-S35+MAX(0,T.Nachtab-MAX(T.Nachtbis,S36))-MAX(0,T.Nachtab-MAX(S35,T.Nachtbis))+(S35&gt;S36)*(1+T.Nachtbis-T.Nachtab)+S38-S37+MAX(0,T.Nachtab-MAX(T.Nachtbis,S38))-MAX(0,T.Nachtab-MAX(S37,T.Nachtbis))+(S37&gt;S38)*(1+T.Nachtbis-T.Nachtab)+S40-S39+MAX(0,T.Nachtab-MAX(T.Nachtbis,S40))-MAX(0,T.Nachtab-MAX(S39,T.Nachtbis))+(S39&gt;S40)*(1+T.Nachtbis-T.Nachtab)+S42-S41+MAX(0,T.Nachtab-MAX(T.Nachtbis,S42))-MAX(0,T.Nachtab-MAX(S41,T.Nachtbis))+(S41&gt;S42)*(1+T.Nachtbis-T.Nachtab)+S44-S43+MAX(0,T.Nachtab-MAX(T.Nachtbis,S44))-MAX(0,T.Nachtab-MAX(S43,T.Nachtbis))+(S43&gt;S44)*(1+T.Nachtbis-T.Nachtab),9),0)))</f>
        <v>0</v>
      </c>
      <c r="T73" s="256" t="n">
        <f aca="false">IF(T$12=0,0,IF(OR(T.50_Vetsuisse,T.ServiceCenterIrchel),ROUND(T14-T13+MAX(0,T.Nachtab-MAX(T.Nachtbis,T14))-MAX(0,T.Nachtab-MAX(T13,T.Nachtbis))+(T13&gt;T14)*(1+T.Nachtbis-T.Nachtab)+T16-T15+MAX(0,T.Nachtab-MAX(T.Nachtbis,T16))-MAX(0,T.Nachtab-MAX(T15,T.Nachtbis))+(T15&gt;T16)*(1+T.Nachtbis-T.Nachtab)+T18-T17+MAX(0,T.Nachtab-MAX(T.Nachtbis,T18))-MAX(0,T.Nachtab-MAX(T17,T.Nachtbis))+(T17&gt;T18)*(1+T.Nachtbis-T.Nachtab)+T20-T19+MAX(0,T.Nachtab-MAX(T.Nachtbis,T20))-MAX(0,T.Nachtab-MAX(T19,T.Nachtbis))+(T19&gt;T20)*(1+T.Nachtbis-T.Nachtab)+T22-T21+MAX(0,T.Nachtab-MAX(T.Nachtbis,T22))-MAX(0,T.Nachtab-MAX(T21,T.Nachtbis))+(T21&gt;T22)*(1+T.Nachtbis-T.Nachtab),9), IF(AND(WEEKDAY(T$10,2)&lt;6,T$11&lt;&gt;0),ROUND(T36-T35+MAX(0,T.Nachtab-MAX(T.Nachtbis,T36))-MAX(0,T.Nachtab-MAX(T35,T.Nachtbis))+(T35&gt;T36)*(1+T.Nachtbis-T.Nachtab)+T38-T37+MAX(0,T.Nachtab-MAX(T.Nachtbis,T38))-MAX(0,T.Nachtab-MAX(T37,T.Nachtbis))+(T37&gt;T38)*(1+T.Nachtbis-T.Nachtab)+T40-T39+MAX(0,T.Nachtab-MAX(T.Nachtbis,T40))-MAX(0,T.Nachtab-MAX(T39,T.Nachtbis))+(T39&gt;T40)*(1+T.Nachtbis-T.Nachtab)+T42-T41+MAX(0,T.Nachtab-MAX(T.Nachtbis,T42))-MAX(0,T.Nachtab-MAX(T41,T.Nachtbis))+(T41&gt;T42)*(1+T.Nachtbis-T.Nachtab)+T44-T43+MAX(0,T.Nachtab-MAX(T.Nachtbis,T44))-MAX(0,T.Nachtab-MAX(T43,T.Nachtbis))+(T43&gt;T44)*(1+T.Nachtbis-T.Nachtab),9),0)))</f>
        <v>0</v>
      </c>
      <c r="U73" s="256" t="n">
        <f aca="false">IF(U$12=0,0,IF(OR(T.50_Vetsuisse,T.ServiceCenterIrchel),ROUND(U14-U13+MAX(0,T.Nachtab-MAX(T.Nachtbis,U14))-MAX(0,T.Nachtab-MAX(U13,T.Nachtbis))+(U13&gt;U14)*(1+T.Nachtbis-T.Nachtab)+U16-U15+MAX(0,T.Nachtab-MAX(T.Nachtbis,U16))-MAX(0,T.Nachtab-MAX(U15,T.Nachtbis))+(U15&gt;U16)*(1+T.Nachtbis-T.Nachtab)+U18-U17+MAX(0,T.Nachtab-MAX(T.Nachtbis,U18))-MAX(0,T.Nachtab-MAX(U17,T.Nachtbis))+(U17&gt;U18)*(1+T.Nachtbis-T.Nachtab)+U20-U19+MAX(0,T.Nachtab-MAX(T.Nachtbis,U20))-MAX(0,T.Nachtab-MAX(U19,T.Nachtbis))+(U19&gt;U20)*(1+T.Nachtbis-T.Nachtab)+U22-U21+MAX(0,T.Nachtab-MAX(T.Nachtbis,U22))-MAX(0,T.Nachtab-MAX(U21,T.Nachtbis))+(U21&gt;U22)*(1+T.Nachtbis-T.Nachtab),9), IF(AND(WEEKDAY(U$10,2)&lt;6,U$11&lt;&gt;0),ROUND(U36-U35+MAX(0,T.Nachtab-MAX(T.Nachtbis,U36))-MAX(0,T.Nachtab-MAX(U35,T.Nachtbis))+(U35&gt;U36)*(1+T.Nachtbis-T.Nachtab)+U38-U37+MAX(0,T.Nachtab-MAX(T.Nachtbis,U38))-MAX(0,T.Nachtab-MAX(U37,T.Nachtbis))+(U37&gt;U38)*(1+T.Nachtbis-T.Nachtab)+U40-U39+MAX(0,T.Nachtab-MAX(T.Nachtbis,U40))-MAX(0,T.Nachtab-MAX(U39,T.Nachtbis))+(U39&gt;U40)*(1+T.Nachtbis-T.Nachtab)+U42-U41+MAX(0,T.Nachtab-MAX(T.Nachtbis,U42))-MAX(0,T.Nachtab-MAX(U41,T.Nachtbis))+(U41&gt;U42)*(1+T.Nachtbis-T.Nachtab)+U44-U43+MAX(0,T.Nachtab-MAX(T.Nachtbis,U44))-MAX(0,T.Nachtab-MAX(U43,T.Nachtbis))+(U43&gt;U44)*(1+T.Nachtbis-T.Nachtab),9),0)))</f>
        <v>0</v>
      </c>
      <c r="V73" s="256" t="n">
        <f aca="false">IF(V$12=0,0,IF(OR(T.50_Vetsuisse,T.ServiceCenterIrchel),ROUND(V14-V13+MAX(0,T.Nachtab-MAX(T.Nachtbis,V14))-MAX(0,T.Nachtab-MAX(V13,T.Nachtbis))+(V13&gt;V14)*(1+T.Nachtbis-T.Nachtab)+V16-V15+MAX(0,T.Nachtab-MAX(T.Nachtbis,V16))-MAX(0,T.Nachtab-MAX(V15,T.Nachtbis))+(V15&gt;V16)*(1+T.Nachtbis-T.Nachtab)+V18-V17+MAX(0,T.Nachtab-MAX(T.Nachtbis,V18))-MAX(0,T.Nachtab-MAX(V17,T.Nachtbis))+(V17&gt;V18)*(1+T.Nachtbis-T.Nachtab)+V20-V19+MAX(0,T.Nachtab-MAX(T.Nachtbis,V20))-MAX(0,T.Nachtab-MAX(V19,T.Nachtbis))+(V19&gt;V20)*(1+T.Nachtbis-T.Nachtab)+V22-V21+MAX(0,T.Nachtab-MAX(T.Nachtbis,V22))-MAX(0,T.Nachtab-MAX(V21,T.Nachtbis))+(V21&gt;V22)*(1+T.Nachtbis-T.Nachtab),9), IF(AND(WEEKDAY(V$10,2)&lt;6,V$11&lt;&gt;0),ROUND(V36-V35+MAX(0,T.Nachtab-MAX(T.Nachtbis,V36))-MAX(0,T.Nachtab-MAX(V35,T.Nachtbis))+(V35&gt;V36)*(1+T.Nachtbis-T.Nachtab)+V38-V37+MAX(0,T.Nachtab-MAX(T.Nachtbis,V38))-MAX(0,T.Nachtab-MAX(V37,T.Nachtbis))+(V37&gt;V38)*(1+T.Nachtbis-T.Nachtab)+V40-V39+MAX(0,T.Nachtab-MAX(T.Nachtbis,V40))-MAX(0,T.Nachtab-MAX(V39,T.Nachtbis))+(V39&gt;V40)*(1+T.Nachtbis-T.Nachtab)+V42-V41+MAX(0,T.Nachtab-MAX(T.Nachtbis,V42))-MAX(0,T.Nachtab-MAX(V41,T.Nachtbis))+(V41&gt;V42)*(1+T.Nachtbis-T.Nachtab)+V44-V43+MAX(0,T.Nachtab-MAX(T.Nachtbis,V44))-MAX(0,T.Nachtab-MAX(V43,T.Nachtbis))+(V43&gt;V44)*(1+T.Nachtbis-T.Nachtab),9),0)))</f>
        <v>0</v>
      </c>
      <c r="W73" s="256" t="n">
        <f aca="false">IF(W$12=0,0,IF(OR(T.50_Vetsuisse,T.ServiceCenterIrchel),ROUND(W14-W13+MAX(0,T.Nachtab-MAX(T.Nachtbis,W14))-MAX(0,T.Nachtab-MAX(W13,T.Nachtbis))+(W13&gt;W14)*(1+T.Nachtbis-T.Nachtab)+W16-W15+MAX(0,T.Nachtab-MAX(T.Nachtbis,W16))-MAX(0,T.Nachtab-MAX(W15,T.Nachtbis))+(W15&gt;W16)*(1+T.Nachtbis-T.Nachtab)+W18-W17+MAX(0,T.Nachtab-MAX(T.Nachtbis,W18))-MAX(0,T.Nachtab-MAX(W17,T.Nachtbis))+(W17&gt;W18)*(1+T.Nachtbis-T.Nachtab)+W20-W19+MAX(0,T.Nachtab-MAX(T.Nachtbis,W20))-MAX(0,T.Nachtab-MAX(W19,T.Nachtbis))+(W19&gt;W20)*(1+T.Nachtbis-T.Nachtab)+W22-W21+MAX(0,T.Nachtab-MAX(T.Nachtbis,W22))-MAX(0,T.Nachtab-MAX(W21,T.Nachtbis))+(W21&gt;W22)*(1+T.Nachtbis-T.Nachtab),9), IF(AND(WEEKDAY(W$10,2)&lt;6,W$11&lt;&gt;0),ROUND(W36-W35+MAX(0,T.Nachtab-MAX(T.Nachtbis,W36))-MAX(0,T.Nachtab-MAX(W35,T.Nachtbis))+(W35&gt;W36)*(1+T.Nachtbis-T.Nachtab)+W38-W37+MAX(0,T.Nachtab-MAX(T.Nachtbis,W38))-MAX(0,T.Nachtab-MAX(W37,T.Nachtbis))+(W37&gt;W38)*(1+T.Nachtbis-T.Nachtab)+W40-W39+MAX(0,T.Nachtab-MAX(T.Nachtbis,W40))-MAX(0,T.Nachtab-MAX(W39,T.Nachtbis))+(W39&gt;W40)*(1+T.Nachtbis-T.Nachtab)+W42-W41+MAX(0,T.Nachtab-MAX(T.Nachtbis,W42))-MAX(0,T.Nachtab-MAX(W41,T.Nachtbis))+(W41&gt;W42)*(1+T.Nachtbis-T.Nachtab)+W44-W43+MAX(0,T.Nachtab-MAX(T.Nachtbis,W44))-MAX(0,T.Nachtab-MAX(W43,T.Nachtbis))+(W43&gt;W44)*(1+T.Nachtbis-T.Nachtab),9),0)))</f>
        <v>0</v>
      </c>
      <c r="X73" s="256" t="n">
        <f aca="false">IF(X$12=0,0,IF(OR(T.50_Vetsuisse,T.ServiceCenterIrchel),ROUND(X14-X13+MAX(0,T.Nachtab-MAX(T.Nachtbis,X14))-MAX(0,T.Nachtab-MAX(X13,T.Nachtbis))+(X13&gt;X14)*(1+T.Nachtbis-T.Nachtab)+X16-X15+MAX(0,T.Nachtab-MAX(T.Nachtbis,X16))-MAX(0,T.Nachtab-MAX(X15,T.Nachtbis))+(X15&gt;X16)*(1+T.Nachtbis-T.Nachtab)+X18-X17+MAX(0,T.Nachtab-MAX(T.Nachtbis,X18))-MAX(0,T.Nachtab-MAX(X17,T.Nachtbis))+(X17&gt;X18)*(1+T.Nachtbis-T.Nachtab)+X20-X19+MAX(0,T.Nachtab-MAX(T.Nachtbis,X20))-MAX(0,T.Nachtab-MAX(X19,T.Nachtbis))+(X19&gt;X20)*(1+T.Nachtbis-T.Nachtab)+X22-X21+MAX(0,T.Nachtab-MAX(T.Nachtbis,X22))-MAX(0,T.Nachtab-MAX(X21,T.Nachtbis))+(X21&gt;X22)*(1+T.Nachtbis-T.Nachtab),9), IF(AND(WEEKDAY(X$10,2)&lt;6,X$11&lt;&gt;0),ROUND(X36-X35+MAX(0,T.Nachtab-MAX(T.Nachtbis,X36))-MAX(0,T.Nachtab-MAX(X35,T.Nachtbis))+(X35&gt;X36)*(1+T.Nachtbis-T.Nachtab)+X38-X37+MAX(0,T.Nachtab-MAX(T.Nachtbis,X38))-MAX(0,T.Nachtab-MAX(X37,T.Nachtbis))+(X37&gt;X38)*(1+T.Nachtbis-T.Nachtab)+X40-X39+MAX(0,T.Nachtab-MAX(T.Nachtbis,X40))-MAX(0,T.Nachtab-MAX(X39,T.Nachtbis))+(X39&gt;X40)*(1+T.Nachtbis-T.Nachtab)+X42-X41+MAX(0,T.Nachtab-MAX(T.Nachtbis,X42))-MAX(0,T.Nachtab-MAX(X41,T.Nachtbis))+(X41&gt;X42)*(1+T.Nachtbis-T.Nachtab)+X44-X43+MAX(0,T.Nachtab-MAX(T.Nachtbis,X44))-MAX(0,T.Nachtab-MAX(X43,T.Nachtbis))+(X43&gt;X44)*(1+T.Nachtbis-T.Nachtab),9),0)))</f>
        <v>0</v>
      </c>
      <c r="Y73" s="256" t="n">
        <f aca="false">IF(Y$12=0,0,IF(OR(T.50_Vetsuisse,T.ServiceCenterIrchel),ROUND(Y14-Y13+MAX(0,T.Nachtab-MAX(T.Nachtbis,Y14))-MAX(0,T.Nachtab-MAX(Y13,T.Nachtbis))+(Y13&gt;Y14)*(1+T.Nachtbis-T.Nachtab)+Y16-Y15+MAX(0,T.Nachtab-MAX(T.Nachtbis,Y16))-MAX(0,T.Nachtab-MAX(Y15,T.Nachtbis))+(Y15&gt;Y16)*(1+T.Nachtbis-T.Nachtab)+Y18-Y17+MAX(0,T.Nachtab-MAX(T.Nachtbis,Y18))-MAX(0,T.Nachtab-MAX(Y17,T.Nachtbis))+(Y17&gt;Y18)*(1+T.Nachtbis-T.Nachtab)+Y20-Y19+MAX(0,T.Nachtab-MAX(T.Nachtbis,Y20))-MAX(0,T.Nachtab-MAX(Y19,T.Nachtbis))+(Y19&gt;Y20)*(1+T.Nachtbis-T.Nachtab)+Y22-Y21+MAX(0,T.Nachtab-MAX(T.Nachtbis,Y22))-MAX(0,T.Nachtab-MAX(Y21,T.Nachtbis))+(Y21&gt;Y22)*(1+T.Nachtbis-T.Nachtab),9), IF(AND(WEEKDAY(Y$10,2)&lt;6,Y$11&lt;&gt;0),ROUND(Y36-Y35+MAX(0,T.Nachtab-MAX(T.Nachtbis,Y36))-MAX(0,T.Nachtab-MAX(Y35,T.Nachtbis))+(Y35&gt;Y36)*(1+T.Nachtbis-T.Nachtab)+Y38-Y37+MAX(0,T.Nachtab-MAX(T.Nachtbis,Y38))-MAX(0,T.Nachtab-MAX(Y37,T.Nachtbis))+(Y37&gt;Y38)*(1+T.Nachtbis-T.Nachtab)+Y40-Y39+MAX(0,T.Nachtab-MAX(T.Nachtbis,Y40))-MAX(0,T.Nachtab-MAX(Y39,T.Nachtbis))+(Y39&gt;Y40)*(1+T.Nachtbis-T.Nachtab)+Y42-Y41+MAX(0,T.Nachtab-MAX(T.Nachtbis,Y42))-MAX(0,T.Nachtab-MAX(Y41,T.Nachtbis))+(Y41&gt;Y42)*(1+T.Nachtbis-T.Nachtab)+Y44-Y43+MAX(0,T.Nachtab-MAX(T.Nachtbis,Y44))-MAX(0,T.Nachtab-MAX(Y43,T.Nachtbis))+(Y43&gt;Y44)*(1+T.Nachtbis-T.Nachtab),9),0)))</f>
        <v>0</v>
      </c>
      <c r="Z73" s="256" t="n">
        <f aca="false">IF(Z$12=0,0,IF(OR(T.50_Vetsuisse,T.ServiceCenterIrchel),ROUND(Z14-Z13+MAX(0,T.Nachtab-MAX(T.Nachtbis,Z14))-MAX(0,T.Nachtab-MAX(Z13,T.Nachtbis))+(Z13&gt;Z14)*(1+T.Nachtbis-T.Nachtab)+Z16-Z15+MAX(0,T.Nachtab-MAX(T.Nachtbis,Z16))-MAX(0,T.Nachtab-MAX(Z15,T.Nachtbis))+(Z15&gt;Z16)*(1+T.Nachtbis-T.Nachtab)+Z18-Z17+MAX(0,T.Nachtab-MAX(T.Nachtbis,Z18))-MAX(0,T.Nachtab-MAX(Z17,T.Nachtbis))+(Z17&gt;Z18)*(1+T.Nachtbis-T.Nachtab)+Z20-Z19+MAX(0,T.Nachtab-MAX(T.Nachtbis,Z20))-MAX(0,T.Nachtab-MAX(Z19,T.Nachtbis))+(Z19&gt;Z20)*(1+T.Nachtbis-T.Nachtab)+Z22-Z21+MAX(0,T.Nachtab-MAX(T.Nachtbis,Z22))-MAX(0,T.Nachtab-MAX(Z21,T.Nachtbis))+(Z21&gt;Z22)*(1+T.Nachtbis-T.Nachtab),9), IF(AND(WEEKDAY(Z$10,2)&lt;6,Z$11&lt;&gt;0),ROUND(Z36-Z35+MAX(0,T.Nachtab-MAX(T.Nachtbis,Z36))-MAX(0,T.Nachtab-MAX(Z35,T.Nachtbis))+(Z35&gt;Z36)*(1+T.Nachtbis-T.Nachtab)+Z38-Z37+MAX(0,T.Nachtab-MAX(T.Nachtbis,Z38))-MAX(0,T.Nachtab-MAX(Z37,T.Nachtbis))+(Z37&gt;Z38)*(1+T.Nachtbis-T.Nachtab)+Z40-Z39+MAX(0,T.Nachtab-MAX(T.Nachtbis,Z40))-MAX(0,T.Nachtab-MAX(Z39,T.Nachtbis))+(Z39&gt;Z40)*(1+T.Nachtbis-T.Nachtab)+Z42-Z41+MAX(0,T.Nachtab-MAX(T.Nachtbis,Z42))-MAX(0,T.Nachtab-MAX(Z41,T.Nachtbis))+(Z41&gt;Z42)*(1+T.Nachtbis-T.Nachtab)+Z44-Z43+MAX(0,T.Nachtab-MAX(T.Nachtbis,Z44))-MAX(0,T.Nachtab-MAX(Z43,T.Nachtbis))+(Z43&gt;Z44)*(1+T.Nachtbis-T.Nachtab),9),0)))</f>
        <v>0</v>
      </c>
      <c r="AA73" s="256" t="n">
        <f aca="false">IF(AA$12=0,0,IF(OR(T.50_Vetsuisse,T.ServiceCenterIrchel),ROUND(AA14-AA13+MAX(0,T.Nachtab-MAX(T.Nachtbis,AA14))-MAX(0,T.Nachtab-MAX(AA13,T.Nachtbis))+(AA13&gt;AA14)*(1+T.Nachtbis-T.Nachtab)+AA16-AA15+MAX(0,T.Nachtab-MAX(T.Nachtbis,AA16))-MAX(0,T.Nachtab-MAX(AA15,T.Nachtbis))+(AA15&gt;AA16)*(1+T.Nachtbis-T.Nachtab)+AA18-AA17+MAX(0,T.Nachtab-MAX(T.Nachtbis,AA18))-MAX(0,T.Nachtab-MAX(AA17,T.Nachtbis))+(AA17&gt;AA18)*(1+T.Nachtbis-T.Nachtab)+AA20-AA19+MAX(0,T.Nachtab-MAX(T.Nachtbis,AA20))-MAX(0,T.Nachtab-MAX(AA19,T.Nachtbis))+(AA19&gt;AA20)*(1+T.Nachtbis-T.Nachtab)+AA22-AA21+MAX(0,T.Nachtab-MAX(T.Nachtbis,AA22))-MAX(0,T.Nachtab-MAX(AA21,T.Nachtbis))+(AA21&gt;AA22)*(1+T.Nachtbis-T.Nachtab),9), IF(AND(WEEKDAY(AA$10,2)&lt;6,AA$11&lt;&gt;0),ROUND(AA36-AA35+MAX(0,T.Nachtab-MAX(T.Nachtbis,AA36))-MAX(0,T.Nachtab-MAX(AA35,T.Nachtbis))+(AA35&gt;AA36)*(1+T.Nachtbis-T.Nachtab)+AA38-AA37+MAX(0,T.Nachtab-MAX(T.Nachtbis,AA38))-MAX(0,T.Nachtab-MAX(AA37,T.Nachtbis))+(AA37&gt;AA38)*(1+T.Nachtbis-T.Nachtab)+AA40-AA39+MAX(0,T.Nachtab-MAX(T.Nachtbis,AA40))-MAX(0,T.Nachtab-MAX(AA39,T.Nachtbis))+(AA39&gt;AA40)*(1+T.Nachtbis-T.Nachtab)+AA42-AA41+MAX(0,T.Nachtab-MAX(T.Nachtbis,AA42))-MAX(0,T.Nachtab-MAX(AA41,T.Nachtbis))+(AA41&gt;AA42)*(1+T.Nachtbis-T.Nachtab)+AA44-AA43+MAX(0,T.Nachtab-MAX(T.Nachtbis,AA44))-MAX(0,T.Nachtab-MAX(AA43,T.Nachtbis))+(AA43&gt;AA44)*(1+T.Nachtbis-T.Nachtab),9),0)))</f>
        <v>0</v>
      </c>
      <c r="AB73" s="256" t="n">
        <f aca="false">IF(AB$12=0,0,IF(OR(T.50_Vetsuisse,T.ServiceCenterIrchel),ROUND(AB14-AB13+MAX(0,T.Nachtab-MAX(T.Nachtbis,AB14))-MAX(0,T.Nachtab-MAX(AB13,T.Nachtbis))+(AB13&gt;AB14)*(1+T.Nachtbis-T.Nachtab)+AB16-AB15+MAX(0,T.Nachtab-MAX(T.Nachtbis,AB16))-MAX(0,T.Nachtab-MAX(AB15,T.Nachtbis))+(AB15&gt;AB16)*(1+T.Nachtbis-T.Nachtab)+AB18-AB17+MAX(0,T.Nachtab-MAX(T.Nachtbis,AB18))-MAX(0,T.Nachtab-MAX(AB17,T.Nachtbis))+(AB17&gt;AB18)*(1+T.Nachtbis-T.Nachtab)+AB20-AB19+MAX(0,T.Nachtab-MAX(T.Nachtbis,AB20))-MAX(0,T.Nachtab-MAX(AB19,T.Nachtbis))+(AB19&gt;AB20)*(1+T.Nachtbis-T.Nachtab)+AB22-AB21+MAX(0,T.Nachtab-MAX(T.Nachtbis,AB22))-MAX(0,T.Nachtab-MAX(AB21,T.Nachtbis))+(AB21&gt;AB22)*(1+T.Nachtbis-T.Nachtab),9), IF(AND(WEEKDAY(AB$10,2)&lt;6,AB$11&lt;&gt;0),ROUND(AB36-AB35+MAX(0,T.Nachtab-MAX(T.Nachtbis,AB36))-MAX(0,T.Nachtab-MAX(AB35,T.Nachtbis))+(AB35&gt;AB36)*(1+T.Nachtbis-T.Nachtab)+AB38-AB37+MAX(0,T.Nachtab-MAX(T.Nachtbis,AB38))-MAX(0,T.Nachtab-MAX(AB37,T.Nachtbis))+(AB37&gt;AB38)*(1+T.Nachtbis-T.Nachtab)+AB40-AB39+MAX(0,T.Nachtab-MAX(T.Nachtbis,AB40))-MAX(0,T.Nachtab-MAX(AB39,T.Nachtbis))+(AB39&gt;AB40)*(1+T.Nachtbis-T.Nachtab)+AB42-AB41+MAX(0,T.Nachtab-MAX(T.Nachtbis,AB42))-MAX(0,T.Nachtab-MAX(AB41,T.Nachtbis))+(AB41&gt;AB42)*(1+T.Nachtbis-T.Nachtab)+AB44-AB43+MAX(0,T.Nachtab-MAX(T.Nachtbis,AB44))-MAX(0,T.Nachtab-MAX(AB43,T.Nachtbis))+(AB43&gt;AB44)*(1+T.Nachtbis-T.Nachtab),9),0)))</f>
        <v>0</v>
      </c>
      <c r="AC73" s="256" t="n">
        <f aca="false">IF(AC$12=0,0,IF(OR(T.50_Vetsuisse,T.ServiceCenterIrchel),ROUND(AC14-AC13+MAX(0,T.Nachtab-MAX(T.Nachtbis,AC14))-MAX(0,T.Nachtab-MAX(AC13,T.Nachtbis))+(AC13&gt;AC14)*(1+T.Nachtbis-T.Nachtab)+AC16-AC15+MAX(0,T.Nachtab-MAX(T.Nachtbis,AC16))-MAX(0,T.Nachtab-MAX(AC15,T.Nachtbis))+(AC15&gt;AC16)*(1+T.Nachtbis-T.Nachtab)+AC18-AC17+MAX(0,T.Nachtab-MAX(T.Nachtbis,AC18))-MAX(0,T.Nachtab-MAX(AC17,T.Nachtbis))+(AC17&gt;AC18)*(1+T.Nachtbis-T.Nachtab)+AC20-AC19+MAX(0,T.Nachtab-MAX(T.Nachtbis,AC20))-MAX(0,T.Nachtab-MAX(AC19,T.Nachtbis))+(AC19&gt;AC20)*(1+T.Nachtbis-T.Nachtab)+AC22-AC21+MAX(0,T.Nachtab-MAX(T.Nachtbis,AC22))-MAX(0,T.Nachtab-MAX(AC21,T.Nachtbis))+(AC21&gt;AC22)*(1+T.Nachtbis-T.Nachtab),9), IF(AND(WEEKDAY(AC$10,2)&lt;6,AC$11&lt;&gt;0),ROUND(AC36-AC35+MAX(0,T.Nachtab-MAX(T.Nachtbis,AC36))-MAX(0,T.Nachtab-MAX(AC35,T.Nachtbis))+(AC35&gt;AC36)*(1+T.Nachtbis-T.Nachtab)+AC38-AC37+MAX(0,T.Nachtab-MAX(T.Nachtbis,AC38))-MAX(0,T.Nachtab-MAX(AC37,T.Nachtbis))+(AC37&gt;AC38)*(1+T.Nachtbis-T.Nachtab)+AC40-AC39+MAX(0,T.Nachtab-MAX(T.Nachtbis,AC40))-MAX(0,T.Nachtab-MAX(AC39,T.Nachtbis))+(AC39&gt;AC40)*(1+T.Nachtbis-T.Nachtab)+AC42-AC41+MAX(0,T.Nachtab-MAX(T.Nachtbis,AC42))-MAX(0,T.Nachtab-MAX(AC41,T.Nachtbis))+(AC41&gt;AC42)*(1+T.Nachtbis-T.Nachtab)+AC44-AC43+MAX(0,T.Nachtab-MAX(T.Nachtbis,AC44))-MAX(0,T.Nachtab-MAX(AC43,T.Nachtbis))+(AC43&gt;AC44)*(1+T.Nachtbis-T.Nachtab),9),0)))</f>
        <v>0</v>
      </c>
      <c r="AD73" s="256" t="n">
        <f aca="false">IF(AD$12=0,0,IF(OR(T.50_Vetsuisse,T.ServiceCenterIrchel),ROUND(AD14-AD13+MAX(0,T.Nachtab-MAX(T.Nachtbis,AD14))-MAX(0,T.Nachtab-MAX(AD13,T.Nachtbis))+(AD13&gt;AD14)*(1+T.Nachtbis-T.Nachtab)+AD16-AD15+MAX(0,T.Nachtab-MAX(T.Nachtbis,AD16))-MAX(0,T.Nachtab-MAX(AD15,T.Nachtbis))+(AD15&gt;AD16)*(1+T.Nachtbis-T.Nachtab)+AD18-AD17+MAX(0,T.Nachtab-MAX(T.Nachtbis,AD18))-MAX(0,T.Nachtab-MAX(AD17,T.Nachtbis))+(AD17&gt;AD18)*(1+T.Nachtbis-T.Nachtab)+AD20-AD19+MAX(0,T.Nachtab-MAX(T.Nachtbis,AD20))-MAX(0,T.Nachtab-MAX(AD19,T.Nachtbis))+(AD19&gt;AD20)*(1+T.Nachtbis-T.Nachtab)+AD22-AD21+MAX(0,T.Nachtab-MAX(T.Nachtbis,AD22))-MAX(0,T.Nachtab-MAX(AD21,T.Nachtbis))+(AD21&gt;AD22)*(1+T.Nachtbis-T.Nachtab),9), IF(AND(WEEKDAY(AD$10,2)&lt;6,AD$11&lt;&gt;0),ROUND(AD36-AD35+MAX(0,T.Nachtab-MAX(T.Nachtbis,AD36))-MAX(0,T.Nachtab-MAX(AD35,T.Nachtbis))+(AD35&gt;AD36)*(1+T.Nachtbis-T.Nachtab)+AD38-AD37+MAX(0,T.Nachtab-MAX(T.Nachtbis,AD38))-MAX(0,T.Nachtab-MAX(AD37,T.Nachtbis))+(AD37&gt;AD38)*(1+T.Nachtbis-T.Nachtab)+AD40-AD39+MAX(0,T.Nachtab-MAX(T.Nachtbis,AD40))-MAX(0,T.Nachtab-MAX(AD39,T.Nachtbis))+(AD39&gt;AD40)*(1+T.Nachtbis-T.Nachtab)+AD42-AD41+MAX(0,T.Nachtab-MAX(T.Nachtbis,AD42))-MAX(0,T.Nachtab-MAX(AD41,T.Nachtbis))+(AD41&gt;AD42)*(1+T.Nachtbis-T.Nachtab)+AD44-AD43+MAX(0,T.Nachtab-MAX(T.Nachtbis,AD44))-MAX(0,T.Nachtab-MAX(AD43,T.Nachtbis))+(AD43&gt;AD44)*(1+T.Nachtbis-T.Nachtab),9),0)))</f>
        <v>0</v>
      </c>
      <c r="AE73" s="256" t="n">
        <f aca="false">IF(AE$12=0,0,IF(OR(T.50_Vetsuisse,T.ServiceCenterIrchel),ROUND(AE14-AE13+MAX(0,T.Nachtab-MAX(T.Nachtbis,AE14))-MAX(0,T.Nachtab-MAX(AE13,T.Nachtbis))+(AE13&gt;AE14)*(1+T.Nachtbis-T.Nachtab)+AE16-AE15+MAX(0,T.Nachtab-MAX(T.Nachtbis,AE16))-MAX(0,T.Nachtab-MAX(AE15,T.Nachtbis))+(AE15&gt;AE16)*(1+T.Nachtbis-T.Nachtab)+AE18-AE17+MAX(0,T.Nachtab-MAX(T.Nachtbis,AE18))-MAX(0,T.Nachtab-MAX(AE17,T.Nachtbis))+(AE17&gt;AE18)*(1+T.Nachtbis-T.Nachtab)+AE20-AE19+MAX(0,T.Nachtab-MAX(T.Nachtbis,AE20))-MAX(0,T.Nachtab-MAX(AE19,T.Nachtbis))+(AE19&gt;AE20)*(1+T.Nachtbis-T.Nachtab)+AE22-AE21+MAX(0,T.Nachtab-MAX(T.Nachtbis,AE22))-MAX(0,T.Nachtab-MAX(AE21,T.Nachtbis))+(AE21&gt;AE22)*(1+T.Nachtbis-T.Nachtab),9), IF(AND(WEEKDAY(AE$10,2)&lt;6,AE$11&lt;&gt;0),ROUND(AE36-AE35+MAX(0,T.Nachtab-MAX(T.Nachtbis,AE36))-MAX(0,T.Nachtab-MAX(AE35,T.Nachtbis))+(AE35&gt;AE36)*(1+T.Nachtbis-T.Nachtab)+AE38-AE37+MAX(0,T.Nachtab-MAX(T.Nachtbis,AE38))-MAX(0,T.Nachtab-MAX(AE37,T.Nachtbis))+(AE37&gt;AE38)*(1+T.Nachtbis-T.Nachtab)+AE40-AE39+MAX(0,T.Nachtab-MAX(T.Nachtbis,AE40))-MAX(0,T.Nachtab-MAX(AE39,T.Nachtbis))+(AE39&gt;AE40)*(1+T.Nachtbis-T.Nachtab)+AE42-AE41+MAX(0,T.Nachtab-MAX(T.Nachtbis,AE42))-MAX(0,T.Nachtab-MAX(AE41,T.Nachtbis))+(AE41&gt;AE42)*(1+T.Nachtbis-T.Nachtab)+AE44-AE43+MAX(0,T.Nachtab-MAX(T.Nachtbis,AE44))-MAX(0,T.Nachtab-MAX(AE43,T.Nachtbis))+(AE43&gt;AE44)*(1+T.Nachtbis-T.Nachtab),9),0)))</f>
        <v>0</v>
      </c>
      <c r="AF73" s="168" t="str">
        <f aca="false">A73</f>
        <v>Night shift</v>
      </c>
      <c r="AG73" s="197"/>
      <c r="AH73" s="207" t="n">
        <f aca="false">SUM(B73:AE73)</f>
        <v>0</v>
      </c>
      <c r="AI73" s="198" t="n">
        <f aca="false">IF(OR(T.50_Vetsuisse,T.ServiceCenterIrchel),AH69, IFERROR(SUMPRODUCT((B77:AE77&gt;0)*(B77:AE77&lt;&gt;"")),0))</f>
        <v>0</v>
      </c>
      <c r="AJ73" s="192"/>
      <c r="AK73" s="216" t="n">
        <f aca="false">IF(EB.Anwendung&lt;&gt;"",IF(MONTH(Monat.Tag1)=1,0,IF(MONTH(Monat.Tag1)=2,January!Monat.NDUeVM,IF(MONTH(Monat.Tag1)=3,February!Monat.NDUeVM,IF(MONTH(Monat.Tag1)=4,March!Monat.NDUeVM,IF(MONTH(Monat.Tag1)=5,April!Monat.NDUeVM,IF(MONTH(Monat.Tag1)=6,May!Monat.NDUeVM,IF(MONTH(Monat.Tag1)=7,June!Monat.NDUeVM,IF(MONTH(Monat.Tag1)=8,July!Monat.NDUeVM,IF(MONTH(Monat.Tag1)=9,August!Monat.NDUeVM,IF(MONTH(Monat.Tag1)=10,September!Monat.NDUeVM,IF(MONTH(Monat.Tag1)=11,October!Monat.NDUeVM,IF(MONTH(Monat.Tag1)=12,Monat.NDUeVM,"")))))))))))),"")</f>
        <v>0</v>
      </c>
      <c r="AL73" s="172"/>
      <c r="AM73" s="217" t="n">
        <f aca="false">AH73+AK73</f>
        <v>0</v>
      </c>
      <c r="AN73" s="171"/>
      <c r="AO73" s="171"/>
      <c r="AP73" s="39"/>
    </row>
    <row r="74" s="148" customFormat="true" ht="3.75" hidden="true" customHeight="true" outlineLevel="0" collapsed="false">
      <c r="A74" s="186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168"/>
      <c r="AG74" s="146"/>
      <c r="AH74" s="179"/>
      <c r="AI74" s="180"/>
      <c r="AJ74" s="172"/>
      <c r="AK74" s="172"/>
      <c r="AL74" s="172"/>
      <c r="AM74" s="171"/>
      <c r="AN74" s="172"/>
      <c r="AO74" s="172"/>
      <c r="AP74" s="39"/>
    </row>
    <row r="75" s="148" customFormat="true" ht="16.5" hidden="true" customHeight="true" outlineLevel="1" collapsed="false">
      <c r="A75" s="181" t="s">
        <v>160</v>
      </c>
      <c r="B75" s="182" t="n">
        <f aca="false">IF(B73&gt;0,ROUND(B73- IF(B13&lt;T.Nachtbis,MIN(T.Nachtbis-B13,B14-B13)+IF(B15&lt;T.Nachtbis,MIN(T.Nachtbis-B15,B16-B15)+IF(B17&lt;T.Nachtbis,MIN(T.Nachtbis-B17,B18-B17)+IF(B19&lt;T.Nachtbis,MIN(T.Nachtbis-B19,B20-B19)+IF(B21&lt;T.Nachtbis,MIN(T.Nachtbis-B21,B22-B21),0),0),0),0),0),9),0)</f>
        <v>0</v>
      </c>
      <c r="C75" s="182" t="n">
        <f aca="false">IF(C73&gt;0,ROUND(C73- IF(C13&lt;T.Nachtbis,MIN(T.Nachtbis-C13,C14-C13)+IF(C15&lt;T.Nachtbis,MIN(T.Nachtbis-C15,C16-C15)+IF(C17&lt;T.Nachtbis,MIN(T.Nachtbis-C17,C18-C17)+IF(C19&lt;T.Nachtbis,MIN(T.Nachtbis-C19,C20-C19)+IF(C21&lt;T.Nachtbis,MIN(T.Nachtbis-C21,C22-C21),0),0),0),0),0),9),0)</f>
        <v>0</v>
      </c>
      <c r="D75" s="182" t="n">
        <f aca="false">IF(D73&gt;0,ROUND(D73- IF(D13&lt;T.Nachtbis,MIN(T.Nachtbis-D13,D14-D13)+IF(D15&lt;T.Nachtbis,MIN(T.Nachtbis-D15,D16-D15)+IF(D17&lt;T.Nachtbis,MIN(T.Nachtbis-D17,D18-D17)+IF(D19&lt;T.Nachtbis,MIN(T.Nachtbis-D19,D20-D19)+IF(D21&lt;T.Nachtbis,MIN(T.Nachtbis-D21,D22-D21),0),0),0),0),0),9),0)</f>
        <v>0</v>
      </c>
      <c r="E75" s="182" t="n">
        <f aca="false">IF(E73&gt;0,ROUND(E73- IF(E13&lt;T.Nachtbis,MIN(T.Nachtbis-E13,E14-E13)+IF(E15&lt;T.Nachtbis,MIN(T.Nachtbis-E15,E16-E15)+IF(E17&lt;T.Nachtbis,MIN(T.Nachtbis-E17,E18-E17)+IF(E19&lt;T.Nachtbis,MIN(T.Nachtbis-E19,E20-E19)+IF(E21&lt;T.Nachtbis,MIN(T.Nachtbis-E21,E22-E21),0),0),0),0),0),9),0)</f>
        <v>0</v>
      </c>
      <c r="F75" s="182" t="n">
        <f aca="false">IF(F73&gt;0,ROUND(F73- IF(F13&lt;T.Nachtbis,MIN(T.Nachtbis-F13,F14-F13)+IF(F15&lt;T.Nachtbis,MIN(T.Nachtbis-F15,F16-F15)+IF(F17&lt;T.Nachtbis,MIN(T.Nachtbis-F17,F18-F17)+IF(F19&lt;T.Nachtbis,MIN(T.Nachtbis-F19,F20-F19)+IF(F21&lt;T.Nachtbis,MIN(T.Nachtbis-F21,F22-F21),0),0),0),0),0),9),0)</f>
        <v>0</v>
      </c>
      <c r="G75" s="182" t="n">
        <f aca="false">IF(G73&gt;0,ROUND(G73- IF(G13&lt;T.Nachtbis,MIN(T.Nachtbis-G13,G14-G13)+IF(G15&lt;T.Nachtbis,MIN(T.Nachtbis-G15,G16-G15)+IF(G17&lt;T.Nachtbis,MIN(T.Nachtbis-G17,G18-G17)+IF(G19&lt;T.Nachtbis,MIN(T.Nachtbis-G19,G20-G19)+IF(G21&lt;T.Nachtbis,MIN(T.Nachtbis-G21,G22-G21),0),0),0),0),0),9),0)</f>
        <v>0</v>
      </c>
      <c r="H75" s="182" t="n">
        <f aca="false">IF(H73&gt;0,ROUND(H73- IF(H13&lt;T.Nachtbis,MIN(T.Nachtbis-H13,H14-H13)+IF(H15&lt;T.Nachtbis,MIN(T.Nachtbis-H15,H16-H15)+IF(H17&lt;T.Nachtbis,MIN(T.Nachtbis-H17,H18-H17)+IF(H19&lt;T.Nachtbis,MIN(T.Nachtbis-H19,H20-H19)+IF(H21&lt;T.Nachtbis,MIN(T.Nachtbis-H21,H22-H21),0),0),0),0),0),9),0)</f>
        <v>0</v>
      </c>
      <c r="I75" s="182" t="n">
        <f aca="false">IF(I73&gt;0,ROUND(I73- IF(I13&lt;T.Nachtbis,MIN(T.Nachtbis-I13,I14-I13)+IF(I15&lt;T.Nachtbis,MIN(T.Nachtbis-I15,I16-I15)+IF(I17&lt;T.Nachtbis,MIN(T.Nachtbis-I17,I18-I17)+IF(I19&lt;T.Nachtbis,MIN(T.Nachtbis-I19,I20-I19)+IF(I21&lt;T.Nachtbis,MIN(T.Nachtbis-I21,I22-I21),0),0),0),0),0),9),0)</f>
        <v>0</v>
      </c>
      <c r="J75" s="182" t="n">
        <f aca="false">IF(J73&gt;0,ROUND(J73- IF(J13&lt;T.Nachtbis,MIN(T.Nachtbis-J13,J14-J13)+IF(J15&lt;T.Nachtbis,MIN(T.Nachtbis-J15,J16-J15)+IF(J17&lt;T.Nachtbis,MIN(T.Nachtbis-J17,J18-J17)+IF(J19&lt;T.Nachtbis,MIN(T.Nachtbis-J19,J20-J19)+IF(J21&lt;T.Nachtbis,MIN(T.Nachtbis-J21,J22-J21),0),0),0),0),0),9),0)</f>
        <v>0</v>
      </c>
      <c r="K75" s="182" t="n">
        <f aca="false">IF(K73&gt;0,ROUND(K73- IF(K13&lt;T.Nachtbis,MIN(T.Nachtbis-K13,K14-K13)+IF(K15&lt;T.Nachtbis,MIN(T.Nachtbis-K15,K16-K15)+IF(K17&lt;T.Nachtbis,MIN(T.Nachtbis-K17,K18-K17)+IF(K19&lt;T.Nachtbis,MIN(T.Nachtbis-K19,K20-K19)+IF(K21&lt;T.Nachtbis,MIN(T.Nachtbis-K21,K22-K21),0),0),0),0),0),9),0)</f>
        <v>0</v>
      </c>
      <c r="L75" s="182" t="n">
        <f aca="false">IF(L73&gt;0,ROUND(L73- IF(L13&lt;T.Nachtbis,MIN(T.Nachtbis-L13,L14-L13)+IF(L15&lt;T.Nachtbis,MIN(T.Nachtbis-L15,L16-L15)+IF(L17&lt;T.Nachtbis,MIN(T.Nachtbis-L17,L18-L17)+IF(L19&lt;T.Nachtbis,MIN(T.Nachtbis-L19,L20-L19)+IF(L21&lt;T.Nachtbis,MIN(T.Nachtbis-L21,L22-L21),0),0),0),0),0),9),0)</f>
        <v>0</v>
      </c>
      <c r="M75" s="182" t="n">
        <f aca="false">IF(M73&gt;0,ROUND(M73- IF(M13&lt;T.Nachtbis,MIN(T.Nachtbis-M13,M14-M13)+IF(M15&lt;T.Nachtbis,MIN(T.Nachtbis-M15,M16-M15)+IF(M17&lt;T.Nachtbis,MIN(T.Nachtbis-M17,M18-M17)+IF(M19&lt;T.Nachtbis,MIN(T.Nachtbis-M19,M20-M19)+IF(M21&lt;T.Nachtbis,MIN(T.Nachtbis-M21,M22-M21),0),0),0),0),0),9),0)</f>
        <v>0</v>
      </c>
      <c r="N75" s="182" t="n">
        <f aca="false">IF(N73&gt;0,ROUND(N73- IF(N13&lt;T.Nachtbis,MIN(T.Nachtbis-N13,N14-N13)+IF(N15&lt;T.Nachtbis,MIN(T.Nachtbis-N15,N16-N15)+IF(N17&lt;T.Nachtbis,MIN(T.Nachtbis-N17,N18-N17)+IF(N19&lt;T.Nachtbis,MIN(T.Nachtbis-N19,N20-N19)+IF(N21&lt;T.Nachtbis,MIN(T.Nachtbis-N21,N22-N21),0),0),0),0),0),9),0)</f>
        <v>0</v>
      </c>
      <c r="O75" s="182" t="n">
        <f aca="false">IF(O73&gt;0,ROUND(O73- IF(O13&lt;T.Nachtbis,MIN(T.Nachtbis-O13,O14-O13)+IF(O15&lt;T.Nachtbis,MIN(T.Nachtbis-O15,O16-O15)+IF(O17&lt;T.Nachtbis,MIN(T.Nachtbis-O17,O18-O17)+IF(O19&lt;T.Nachtbis,MIN(T.Nachtbis-O19,O20-O19)+IF(O21&lt;T.Nachtbis,MIN(T.Nachtbis-O21,O22-O21),0),0),0),0),0),9),0)</f>
        <v>0</v>
      </c>
      <c r="P75" s="182" t="n">
        <f aca="false">IF(P73&gt;0,ROUND(P73- IF(P13&lt;T.Nachtbis,MIN(T.Nachtbis-P13,P14-P13)+IF(P15&lt;T.Nachtbis,MIN(T.Nachtbis-P15,P16-P15)+IF(P17&lt;T.Nachtbis,MIN(T.Nachtbis-P17,P18-P17)+IF(P19&lt;T.Nachtbis,MIN(T.Nachtbis-P19,P20-P19)+IF(P21&lt;T.Nachtbis,MIN(T.Nachtbis-P21,P22-P21),0),0),0),0),0),9),0)</f>
        <v>0</v>
      </c>
      <c r="Q75" s="182" t="n">
        <f aca="false">IF(Q73&gt;0,ROUND(Q73- IF(Q13&lt;T.Nachtbis,MIN(T.Nachtbis-Q13,Q14-Q13)+IF(Q15&lt;T.Nachtbis,MIN(T.Nachtbis-Q15,Q16-Q15)+IF(Q17&lt;T.Nachtbis,MIN(T.Nachtbis-Q17,Q18-Q17)+IF(Q19&lt;T.Nachtbis,MIN(T.Nachtbis-Q19,Q20-Q19)+IF(Q21&lt;T.Nachtbis,MIN(T.Nachtbis-Q21,Q22-Q21),0),0),0),0),0),9),0)</f>
        <v>0</v>
      </c>
      <c r="R75" s="182" t="n">
        <f aca="false">IF(R73&gt;0,ROUND(R73- IF(R13&lt;T.Nachtbis,MIN(T.Nachtbis-R13,R14-R13)+IF(R15&lt;T.Nachtbis,MIN(T.Nachtbis-R15,R16-R15)+IF(R17&lt;T.Nachtbis,MIN(T.Nachtbis-R17,R18-R17)+IF(R19&lt;T.Nachtbis,MIN(T.Nachtbis-R19,R20-R19)+IF(R21&lt;T.Nachtbis,MIN(T.Nachtbis-R21,R22-R21),0),0),0),0),0),9),0)</f>
        <v>0</v>
      </c>
      <c r="S75" s="182" t="n">
        <f aca="false">IF(S73&gt;0,ROUND(S73- IF(S13&lt;T.Nachtbis,MIN(T.Nachtbis-S13,S14-S13)+IF(S15&lt;T.Nachtbis,MIN(T.Nachtbis-S15,S16-S15)+IF(S17&lt;T.Nachtbis,MIN(T.Nachtbis-S17,S18-S17)+IF(S19&lt;T.Nachtbis,MIN(T.Nachtbis-S19,S20-S19)+IF(S21&lt;T.Nachtbis,MIN(T.Nachtbis-S21,S22-S21),0),0),0),0),0),9),0)</f>
        <v>0</v>
      </c>
      <c r="T75" s="182" t="n">
        <f aca="false">IF(T73&gt;0,ROUND(T73- IF(T13&lt;T.Nachtbis,MIN(T.Nachtbis-T13,T14-T13)+IF(T15&lt;T.Nachtbis,MIN(T.Nachtbis-T15,T16-T15)+IF(T17&lt;T.Nachtbis,MIN(T.Nachtbis-T17,T18-T17)+IF(T19&lt;T.Nachtbis,MIN(T.Nachtbis-T19,T20-T19)+IF(T21&lt;T.Nachtbis,MIN(T.Nachtbis-T21,T22-T21),0),0),0),0),0),9),0)</f>
        <v>0</v>
      </c>
      <c r="U75" s="182" t="n">
        <f aca="false">IF(U73&gt;0,ROUND(U73- IF(U13&lt;T.Nachtbis,MIN(T.Nachtbis-U13,U14-U13)+IF(U15&lt;T.Nachtbis,MIN(T.Nachtbis-U15,U16-U15)+IF(U17&lt;T.Nachtbis,MIN(T.Nachtbis-U17,U18-U17)+IF(U19&lt;T.Nachtbis,MIN(T.Nachtbis-U19,U20-U19)+IF(U21&lt;T.Nachtbis,MIN(T.Nachtbis-U21,U22-U21),0),0),0),0),0),9),0)</f>
        <v>0</v>
      </c>
      <c r="V75" s="182" t="n">
        <f aca="false">IF(V73&gt;0,ROUND(V73- IF(V13&lt;T.Nachtbis,MIN(T.Nachtbis-V13,V14-V13)+IF(V15&lt;T.Nachtbis,MIN(T.Nachtbis-V15,V16-V15)+IF(V17&lt;T.Nachtbis,MIN(T.Nachtbis-V17,V18-V17)+IF(V19&lt;T.Nachtbis,MIN(T.Nachtbis-V19,V20-V19)+IF(V21&lt;T.Nachtbis,MIN(T.Nachtbis-V21,V22-V21),0),0),0),0),0),9),0)</f>
        <v>0</v>
      </c>
      <c r="W75" s="182" t="n">
        <f aca="false">IF(W73&gt;0,ROUND(W73- IF(W13&lt;T.Nachtbis,MIN(T.Nachtbis-W13,W14-W13)+IF(W15&lt;T.Nachtbis,MIN(T.Nachtbis-W15,W16-W15)+IF(W17&lt;T.Nachtbis,MIN(T.Nachtbis-W17,W18-W17)+IF(W19&lt;T.Nachtbis,MIN(T.Nachtbis-W19,W20-W19)+IF(W21&lt;T.Nachtbis,MIN(T.Nachtbis-W21,W22-W21),0),0),0),0),0),9),0)</f>
        <v>0</v>
      </c>
      <c r="X75" s="182" t="n">
        <f aca="false">IF(X73&gt;0,ROUND(X73- IF(X13&lt;T.Nachtbis,MIN(T.Nachtbis-X13,X14-X13)+IF(X15&lt;T.Nachtbis,MIN(T.Nachtbis-X15,X16-X15)+IF(X17&lt;T.Nachtbis,MIN(T.Nachtbis-X17,X18-X17)+IF(X19&lt;T.Nachtbis,MIN(T.Nachtbis-X19,X20-X19)+IF(X21&lt;T.Nachtbis,MIN(T.Nachtbis-X21,X22-X21),0),0),0),0),0),9),0)</f>
        <v>0</v>
      </c>
      <c r="Y75" s="182" t="n">
        <f aca="false">IF(Y73&gt;0,ROUND(Y73- IF(Y13&lt;T.Nachtbis,MIN(T.Nachtbis-Y13,Y14-Y13)+IF(Y15&lt;T.Nachtbis,MIN(T.Nachtbis-Y15,Y16-Y15)+IF(Y17&lt;T.Nachtbis,MIN(T.Nachtbis-Y17,Y18-Y17)+IF(Y19&lt;T.Nachtbis,MIN(T.Nachtbis-Y19,Y20-Y19)+IF(Y21&lt;T.Nachtbis,MIN(T.Nachtbis-Y21,Y22-Y21),0),0),0),0),0),9),0)</f>
        <v>0</v>
      </c>
      <c r="Z75" s="182" t="n">
        <f aca="false">IF(Z73&gt;0,ROUND(Z73- IF(Z13&lt;T.Nachtbis,MIN(T.Nachtbis-Z13,Z14-Z13)+IF(Z15&lt;T.Nachtbis,MIN(T.Nachtbis-Z15,Z16-Z15)+IF(Z17&lt;T.Nachtbis,MIN(T.Nachtbis-Z17,Z18-Z17)+IF(Z19&lt;T.Nachtbis,MIN(T.Nachtbis-Z19,Z20-Z19)+IF(Z21&lt;T.Nachtbis,MIN(T.Nachtbis-Z21,Z22-Z21),0),0),0),0),0),9),0)</f>
        <v>0</v>
      </c>
      <c r="AA75" s="182" t="n">
        <f aca="false">IF(AA73&gt;0,ROUND(AA73- IF(AA13&lt;T.Nachtbis,MIN(T.Nachtbis-AA13,AA14-AA13)+IF(AA15&lt;T.Nachtbis,MIN(T.Nachtbis-AA15,AA16-AA15)+IF(AA17&lt;T.Nachtbis,MIN(T.Nachtbis-AA17,AA18-AA17)+IF(AA19&lt;T.Nachtbis,MIN(T.Nachtbis-AA19,AA20-AA19)+IF(AA21&lt;T.Nachtbis,MIN(T.Nachtbis-AA21,AA22-AA21),0),0),0),0),0),9),0)</f>
        <v>0</v>
      </c>
      <c r="AB75" s="182" t="n">
        <f aca="false">IF(AB73&gt;0,ROUND(AB73- IF(AB13&lt;T.Nachtbis,MIN(T.Nachtbis-AB13,AB14-AB13)+IF(AB15&lt;T.Nachtbis,MIN(T.Nachtbis-AB15,AB16-AB15)+IF(AB17&lt;T.Nachtbis,MIN(T.Nachtbis-AB17,AB18-AB17)+IF(AB19&lt;T.Nachtbis,MIN(T.Nachtbis-AB19,AB20-AB19)+IF(AB21&lt;T.Nachtbis,MIN(T.Nachtbis-AB21,AB22-AB21),0),0),0),0),0),9),0)</f>
        <v>0</v>
      </c>
      <c r="AC75" s="182" t="n">
        <f aca="false">IF(AC73&gt;0,ROUND(AC73- IF(AC13&lt;T.Nachtbis,MIN(T.Nachtbis-AC13,AC14-AC13)+IF(AC15&lt;T.Nachtbis,MIN(T.Nachtbis-AC15,AC16-AC15)+IF(AC17&lt;T.Nachtbis,MIN(T.Nachtbis-AC17,AC18-AC17)+IF(AC19&lt;T.Nachtbis,MIN(T.Nachtbis-AC19,AC20-AC19)+IF(AC21&lt;T.Nachtbis,MIN(T.Nachtbis-AC21,AC22-AC21),0),0),0),0),0),9),0)</f>
        <v>0</v>
      </c>
      <c r="AD75" s="182" t="n">
        <f aca="false">IF(AD73&gt;0,ROUND(AD73- IF(AD13&lt;T.Nachtbis,MIN(T.Nachtbis-AD13,AD14-AD13)+IF(AD15&lt;T.Nachtbis,MIN(T.Nachtbis-AD15,AD16-AD15)+IF(AD17&lt;T.Nachtbis,MIN(T.Nachtbis-AD17,AD18-AD17)+IF(AD19&lt;T.Nachtbis,MIN(T.Nachtbis-AD19,AD20-AD19)+IF(AD21&lt;T.Nachtbis,MIN(T.Nachtbis-AD21,AD22-AD21),0),0),0),0),0),9),0)</f>
        <v>0</v>
      </c>
      <c r="AE75" s="182" t="n">
        <f aca="false">IF(AE73&gt;0,ROUND(AE73- IF(AE13&lt;T.Nachtbis,MIN(T.Nachtbis-AE13,AE14-AE13)+IF(AE15&lt;T.Nachtbis,MIN(T.Nachtbis-AE15,AE16-AE15)+IF(AE17&lt;T.Nachtbis,MIN(T.Nachtbis-AE17,AE18-AE17)+IF(AE19&lt;T.Nachtbis,MIN(T.Nachtbis-AE19,AE20-AE19)+IF(AE21&lt;T.Nachtbis,MIN(T.Nachtbis-AE21,AE22-AE21),0),0),0),0),0),9),0)</f>
        <v>0</v>
      </c>
      <c r="AF75" s="183" t="str">
        <f aca="false">A75</f>
        <v>Total NS hours today</v>
      </c>
      <c r="AG75" s="146"/>
      <c r="AH75" s="179"/>
      <c r="AI75" s="180"/>
      <c r="AJ75" s="172"/>
      <c r="AK75" s="172"/>
      <c r="AL75" s="172"/>
      <c r="AM75" s="171"/>
      <c r="AN75" s="172"/>
      <c r="AO75" s="172"/>
      <c r="AP75" s="39"/>
    </row>
    <row r="76" s="148" customFormat="true" ht="16.5" hidden="true" customHeight="true" outlineLevel="1" collapsed="false">
      <c r="A76" s="181" t="s">
        <v>161</v>
      </c>
      <c r="B76" s="193" t="n">
        <f aca="false">B73-B75</f>
        <v>0</v>
      </c>
      <c r="C76" s="193" t="n">
        <f aca="false">C73-C75</f>
        <v>0</v>
      </c>
      <c r="D76" s="193" t="n">
        <f aca="false">D73-D75</f>
        <v>0</v>
      </c>
      <c r="E76" s="193" t="n">
        <f aca="false">E73-E75</f>
        <v>0</v>
      </c>
      <c r="F76" s="193" t="n">
        <f aca="false">F73-F75</f>
        <v>0</v>
      </c>
      <c r="G76" s="193" t="n">
        <f aca="false">G73-G75</f>
        <v>0</v>
      </c>
      <c r="H76" s="193" t="n">
        <f aca="false">H73-H75</f>
        <v>0</v>
      </c>
      <c r="I76" s="193" t="n">
        <f aca="false">I73-I75</f>
        <v>0</v>
      </c>
      <c r="J76" s="193" t="n">
        <f aca="false">J73-J75</f>
        <v>0</v>
      </c>
      <c r="K76" s="193" t="n">
        <f aca="false">K73-K75</f>
        <v>0</v>
      </c>
      <c r="L76" s="193" t="n">
        <f aca="false">L73-L75</f>
        <v>0</v>
      </c>
      <c r="M76" s="193" t="n">
        <f aca="false">M73-M75</f>
        <v>0</v>
      </c>
      <c r="N76" s="193" t="n">
        <f aca="false">N73-N75</f>
        <v>0</v>
      </c>
      <c r="O76" s="193" t="n">
        <f aca="false">O73-O75</f>
        <v>0</v>
      </c>
      <c r="P76" s="193" t="n">
        <f aca="false">P73-P75</f>
        <v>0</v>
      </c>
      <c r="Q76" s="193" t="n">
        <f aca="false">Q73-Q75</f>
        <v>0</v>
      </c>
      <c r="R76" s="193" t="n">
        <f aca="false">R73-R75</f>
        <v>0</v>
      </c>
      <c r="S76" s="193" t="n">
        <f aca="false">S73-S75</f>
        <v>0</v>
      </c>
      <c r="T76" s="193" t="n">
        <f aca="false">T73-T75</f>
        <v>0</v>
      </c>
      <c r="U76" s="193" t="n">
        <f aca="false">U73-U75</f>
        <v>0</v>
      </c>
      <c r="V76" s="193" t="n">
        <f aca="false">V73-V75</f>
        <v>0</v>
      </c>
      <c r="W76" s="193" t="n">
        <f aca="false">W73-W75</f>
        <v>0</v>
      </c>
      <c r="X76" s="193" t="n">
        <f aca="false">X73-X75</f>
        <v>0</v>
      </c>
      <c r="Y76" s="193" t="n">
        <f aca="false">Y73-Y75</f>
        <v>0</v>
      </c>
      <c r="Z76" s="193" t="n">
        <f aca="false">Z73-Z75</f>
        <v>0</v>
      </c>
      <c r="AA76" s="193" t="n">
        <f aca="false">AA73-AA75</f>
        <v>0</v>
      </c>
      <c r="AB76" s="193" t="n">
        <f aca="false">AB73-AB75</f>
        <v>0</v>
      </c>
      <c r="AC76" s="193" t="n">
        <f aca="false">AC73-AC75</f>
        <v>0</v>
      </c>
      <c r="AD76" s="193" t="n">
        <f aca="false">AD73-AD75</f>
        <v>0</v>
      </c>
      <c r="AE76" s="193" t="n">
        <f aca="false">AE73-AE75</f>
        <v>0</v>
      </c>
      <c r="AF76" s="183" t="str">
        <f aca="false">A76</f>
        <v>Total NS hours yesterday</v>
      </c>
      <c r="AG76" s="146"/>
      <c r="AH76" s="179"/>
      <c r="AI76" s="180"/>
      <c r="AJ76" s="172"/>
      <c r="AK76" s="172"/>
      <c r="AL76" s="199" t="n">
        <f aca="false">IF(EB.Anwendung&lt;&gt;"",IF(MONTH(Monat.Tag1)=12,0,IF(MONTH(Monat.Tag1)=1,February!Monat.NDgesternTag1,IF(MONTH(Monat.Tag1)=2,March!Monat.NDgesternTag1,IF(MONTH(Monat.Tag1)=3,April!Monat.NDgesternTag1,IF(MONTH(Monat.Tag1)=4,May!Monat.NDgesternTag1,IF(MONTH(Monat.Tag1)=5,June!Monat.NDgesternTag1,IF(MONTH(Monat.Tag1)=6,July!Monat.NDgesternTag1,IF(MONTH(Monat.Tag1)=7,August!Monat.NDgesternTag1,IF(MONTH(Monat.Tag1)=8,September!Monat.NDgesternTag1,IF(MONTH(Monat.Tag1)=9,October!Monat.NDgesternTag1,IF(MONTH(Monat.Tag1)=10,Monat.NDgesternTag1,IF(MONTH(Monat.Tag1)=11,December!Monat.NDgesternTag1,"")))))))))))),"")</f>
        <v>0</v>
      </c>
      <c r="AM76" s="171"/>
      <c r="AN76" s="172"/>
      <c r="AO76" s="172"/>
      <c r="AP76" s="39"/>
    </row>
    <row r="77" s="148" customFormat="true" ht="16.5" hidden="true" customHeight="true" outlineLevel="1" collapsed="false">
      <c r="A77" s="181" t="s">
        <v>162</v>
      </c>
      <c r="B77" s="182" t="n">
        <f aca="false">B75+IF(B$10=EOMONTH(B$10,0),$AL76,C76)</f>
        <v>0</v>
      </c>
      <c r="C77" s="182" t="n">
        <f aca="false">C75+IF(C$10=EOMONTH(C$10,0),$AL76,D76)</f>
        <v>0</v>
      </c>
      <c r="D77" s="182" t="n">
        <f aca="false">D75+IF(D$10=EOMONTH(D$10,0),$AL76,E76)</f>
        <v>0</v>
      </c>
      <c r="E77" s="182" t="n">
        <f aca="false">E75+IF(E$10=EOMONTH(E$10,0),$AL76,F76)</f>
        <v>0</v>
      </c>
      <c r="F77" s="182" t="n">
        <f aca="false">F75+IF(F$10=EOMONTH(F$10,0),$AL76,G76)</f>
        <v>0</v>
      </c>
      <c r="G77" s="182" t="n">
        <f aca="false">G75+IF(G$10=EOMONTH(G$10,0),$AL76,H76)</f>
        <v>0</v>
      </c>
      <c r="H77" s="182" t="n">
        <f aca="false">H75+IF(H$10=EOMONTH(H$10,0),$AL76,I76)</f>
        <v>0</v>
      </c>
      <c r="I77" s="182" t="n">
        <f aca="false">I75+IF(I$10=EOMONTH(I$10,0),$AL76,J76)</f>
        <v>0</v>
      </c>
      <c r="J77" s="182" t="n">
        <f aca="false">J75+IF(J$10=EOMONTH(J$10,0),$AL76,K76)</f>
        <v>0</v>
      </c>
      <c r="K77" s="182" t="n">
        <f aca="false">K75+IF(K$10=EOMONTH(K$10,0),$AL76,L76)</f>
        <v>0</v>
      </c>
      <c r="L77" s="182" t="n">
        <f aca="false">L75+IF(L$10=EOMONTH(L$10,0),$AL76,M76)</f>
        <v>0</v>
      </c>
      <c r="M77" s="182" t="n">
        <f aca="false">M75+IF(M$10=EOMONTH(M$10,0),$AL76,N76)</f>
        <v>0</v>
      </c>
      <c r="N77" s="182" t="n">
        <f aca="false">N75+IF(N$10=EOMONTH(N$10,0),$AL76,O76)</f>
        <v>0</v>
      </c>
      <c r="O77" s="182" t="n">
        <f aca="false">O75+IF(O$10=EOMONTH(O$10,0),$AL76,P76)</f>
        <v>0</v>
      </c>
      <c r="P77" s="182" t="n">
        <f aca="false">P75+IF(P$10=EOMONTH(P$10,0),$AL76,Q76)</f>
        <v>0</v>
      </c>
      <c r="Q77" s="182" t="n">
        <f aca="false">Q75+IF(Q$10=EOMONTH(Q$10,0),$AL76,R76)</f>
        <v>0</v>
      </c>
      <c r="R77" s="182" t="n">
        <f aca="false">R75+IF(R$10=EOMONTH(R$10,0),$AL76,S76)</f>
        <v>0</v>
      </c>
      <c r="S77" s="182" t="n">
        <f aca="false">S75+IF(S$10=EOMONTH(S$10,0),$AL76,T76)</f>
        <v>0</v>
      </c>
      <c r="T77" s="182" t="n">
        <f aca="false">T75+IF(T$10=EOMONTH(T$10,0),$AL76,U76)</f>
        <v>0</v>
      </c>
      <c r="U77" s="182" t="n">
        <f aca="false">U75+IF(U$10=EOMONTH(U$10,0),$AL76,V76)</f>
        <v>0</v>
      </c>
      <c r="V77" s="182" t="n">
        <f aca="false">V75+IF(V$10=EOMONTH(V$10,0),$AL76,W76)</f>
        <v>0</v>
      </c>
      <c r="W77" s="182" t="n">
        <f aca="false">W75+IF(W$10=EOMONTH(W$10,0),$AL76,X76)</f>
        <v>0</v>
      </c>
      <c r="X77" s="182" t="n">
        <f aca="false">X75+IF(X$10=EOMONTH(X$10,0),$AL76,Y76)</f>
        <v>0</v>
      </c>
      <c r="Y77" s="182" t="n">
        <f aca="false">Y75+IF(Y$10=EOMONTH(Y$10,0),$AL76,Z76)</f>
        <v>0</v>
      </c>
      <c r="Z77" s="182" t="n">
        <f aca="false">Z75+IF(Z$10=EOMONTH(Z$10,0),$AL76,AA76)</f>
        <v>0</v>
      </c>
      <c r="AA77" s="182" t="n">
        <f aca="false">AA75+IF(AA$10=EOMONTH(AA$10,0),$AL76,AB76)</f>
        <v>0</v>
      </c>
      <c r="AB77" s="182" t="n">
        <f aca="false">AB75+IF(AB$10=EOMONTH(AB$10,0),$AL76,AC76)</f>
        <v>0</v>
      </c>
      <c r="AC77" s="182" t="n">
        <f aca="false">AC75+IF(AC$10=EOMONTH(AC$10,0),$AL76,AD76)</f>
        <v>0</v>
      </c>
      <c r="AD77" s="182" t="n">
        <f aca="false">AD75+IF(AD$10=EOMONTH(AD$10,0),$AL76,AE76)</f>
        <v>0</v>
      </c>
      <c r="AE77" s="182" t="n">
        <f aca="false">AE75+IF(AE$10=EOMONTH(AE$10,0),$AL76,#REF!)</f>
        <v>0</v>
      </c>
      <c r="AF77" s="183" t="str">
        <f aca="false">A77</f>
        <v>Total NS hours</v>
      </c>
      <c r="AG77" s="184"/>
      <c r="AH77" s="185" t="n">
        <f aca="false">SUM(B77:AE77)</f>
        <v>0</v>
      </c>
      <c r="AI77" s="180"/>
      <c r="AJ77" s="172"/>
      <c r="AK77" s="172"/>
      <c r="AL77" s="172"/>
      <c r="AM77" s="171"/>
      <c r="AN77" s="172"/>
      <c r="AO77" s="172"/>
      <c r="AP77" s="39"/>
    </row>
    <row r="78" s="148" customFormat="true" ht="3.75" hidden="true" customHeight="true" outlineLevel="0" collapsed="false">
      <c r="A78" s="186"/>
      <c r="B78" s="187"/>
      <c r="C78" s="187"/>
      <c r="D78" s="187"/>
      <c r="E78" s="187"/>
      <c r="F78" s="187"/>
      <c r="G78" s="187"/>
      <c r="H78" s="187"/>
      <c r="I78" s="187"/>
      <c r="J78" s="187"/>
      <c r="K78" s="187"/>
      <c r="L78" s="187"/>
      <c r="M78" s="187"/>
      <c r="N78" s="187"/>
      <c r="O78" s="187"/>
      <c r="P78" s="187"/>
      <c r="Q78" s="187"/>
      <c r="R78" s="187"/>
      <c r="S78" s="187"/>
      <c r="T78" s="187"/>
      <c r="U78" s="187"/>
      <c r="V78" s="187"/>
      <c r="W78" s="187"/>
      <c r="X78" s="187"/>
      <c r="Y78" s="187"/>
      <c r="Z78" s="187"/>
      <c r="AA78" s="187"/>
      <c r="AB78" s="187"/>
      <c r="AC78" s="187"/>
      <c r="AD78" s="187"/>
      <c r="AE78" s="187"/>
      <c r="AF78" s="168"/>
      <c r="AG78" s="202"/>
      <c r="AH78" s="188"/>
      <c r="AI78" s="180"/>
      <c r="AJ78" s="172"/>
      <c r="AK78" s="172"/>
      <c r="AL78" s="172"/>
      <c r="AM78" s="171"/>
      <c r="AN78" s="172"/>
      <c r="AO78" s="172"/>
      <c r="AP78" s="39"/>
    </row>
    <row r="79" s="148" customFormat="true" ht="15" hidden="true" customHeight="true" outlineLevel="1" collapsed="false">
      <c r="A79" s="175" t="s">
        <v>84</v>
      </c>
      <c r="B79" s="256" t="n">
        <f aca="false">IF(AND(T.50_Vetsuisse,B70&gt;24),ROUND(B73*T.50_VetsuisseZZSND,9), IF(AND(T.ServiceCenterIrchel,B69&gt;0,B77&gt;=ROUND(1/24*8,9)),ROUND(B77*T.ServiceCenterIrchelZZSND,9),))</f>
        <v>0</v>
      </c>
      <c r="C79" s="256" t="n">
        <f aca="false">IF(AND(T.50_Vetsuisse,C70&gt;24),ROUND(C73*T.50_VetsuisseZZSND,9), IF(AND(T.ServiceCenterIrchel,C69&gt;0,C77&gt;=ROUND(1/24*8,9)),ROUND(C77*T.ServiceCenterIrchelZZSND,9),))</f>
        <v>0</v>
      </c>
      <c r="D79" s="256" t="n">
        <f aca="false">IF(AND(T.50_Vetsuisse,D70&gt;24),ROUND(D73*T.50_VetsuisseZZSND,9), IF(AND(T.ServiceCenterIrchel,D69&gt;0,D77&gt;=ROUND(1/24*8,9)),ROUND(D77*T.ServiceCenterIrchelZZSND,9),))</f>
        <v>0</v>
      </c>
      <c r="E79" s="256" t="n">
        <f aca="false">IF(AND(T.50_Vetsuisse,E70&gt;24),ROUND(E73*T.50_VetsuisseZZSND,9), IF(AND(T.ServiceCenterIrchel,E69&gt;0,E77&gt;=ROUND(1/24*8,9)),ROUND(E77*T.ServiceCenterIrchelZZSND,9),))</f>
        <v>0</v>
      </c>
      <c r="F79" s="256" t="n">
        <f aca="false">IF(AND(T.50_Vetsuisse,F70&gt;24),ROUND(F73*T.50_VetsuisseZZSND,9), IF(AND(T.ServiceCenterIrchel,F69&gt;0,F77&gt;=ROUND(1/24*8,9)),ROUND(F77*T.ServiceCenterIrchelZZSND,9),))</f>
        <v>0</v>
      </c>
      <c r="G79" s="256" t="n">
        <f aca="false">IF(AND(T.50_Vetsuisse,G70&gt;24),ROUND(G73*T.50_VetsuisseZZSND,9), IF(AND(T.ServiceCenterIrchel,G69&gt;0,G77&gt;=ROUND(1/24*8,9)),ROUND(G77*T.ServiceCenterIrchelZZSND,9),))</f>
        <v>0</v>
      </c>
      <c r="H79" s="256" t="n">
        <f aca="false">IF(AND(T.50_Vetsuisse,H70&gt;24),ROUND(H73*T.50_VetsuisseZZSND,9), IF(AND(T.ServiceCenterIrchel,H69&gt;0,H77&gt;=ROUND(1/24*8,9)),ROUND(H77*T.ServiceCenterIrchelZZSND,9),))</f>
        <v>0</v>
      </c>
      <c r="I79" s="256" t="n">
        <f aca="false">IF(AND(T.50_Vetsuisse,I70&gt;24),ROUND(I73*T.50_VetsuisseZZSND,9), IF(AND(T.ServiceCenterIrchel,I69&gt;0,I77&gt;=ROUND(1/24*8,9)),ROUND(I77*T.ServiceCenterIrchelZZSND,9),))</f>
        <v>0</v>
      </c>
      <c r="J79" s="256" t="n">
        <f aca="false">IF(AND(T.50_Vetsuisse,J70&gt;24),ROUND(J73*T.50_VetsuisseZZSND,9), IF(AND(T.ServiceCenterIrchel,J69&gt;0,J77&gt;=ROUND(1/24*8,9)),ROUND(J77*T.ServiceCenterIrchelZZSND,9),))</f>
        <v>0</v>
      </c>
      <c r="K79" s="256" t="n">
        <f aca="false">IF(AND(T.50_Vetsuisse,K70&gt;24),ROUND(K73*T.50_VetsuisseZZSND,9), IF(AND(T.ServiceCenterIrchel,K69&gt;0,K77&gt;=ROUND(1/24*8,9)),ROUND(K77*T.ServiceCenterIrchelZZSND,9),))</f>
        <v>0</v>
      </c>
      <c r="L79" s="256" t="n">
        <f aca="false">IF(AND(T.50_Vetsuisse,L70&gt;24),ROUND(L73*T.50_VetsuisseZZSND,9), IF(AND(T.ServiceCenterIrchel,L69&gt;0,L77&gt;=ROUND(1/24*8,9)),ROUND(L77*T.ServiceCenterIrchelZZSND,9),))</f>
        <v>0</v>
      </c>
      <c r="M79" s="256" t="n">
        <f aca="false">IF(AND(T.50_Vetsuisse,M70&gt;24),ROUND(M73*T.50_VetsuisseZZSND,9), IF(AND(T.ServiceCenterIrchel,M69&gt;0,M77&gt;=ROUND(1/24*8,9)),ROUND(M77*T.ServiceCenterIrchelZZSND,9),))</f>
        <v>0</v>
      </c>
      <c r="N79" s="256" t="n">
        <f aca="false">IF(AND(T.50_Vetsuisse,N70&gt;24),ROUND(N73*T.50_VetsuisseZZSND,9), IF(AND(T.ServiceCenterIrchel,N69&gt;0,N77&gt;=ROUND(1/24*8,9)),ROUND(N77*T.ServiceCenterIrchelZZSND,9),))</f>
        <v>0</v>
      </c>
      <c r="O79" s="256" t="n">
        <f aca="false">IF(AND(T.50_Vetsuisse,O70&gt;24),ROUND(O73*T.50_VetsuisseZZSND,9), IF(AND(T.ServiceCenterIrchel,O69&gt;0,O77&gt;=ROUND(1/24*8,9)),ROUND(O77*T.ServiceCenterIrchelZZSND,9),))</f>
        <v>0</v>
      </c>
      <c r="P79" s="256" t="n">
        <f aca="false">IF(AND(T.50_Vetsuisse,P70&gt;24),ROUND(P73*T.50_VetsuisseZZSND,9), IF(AND(T.ServiceCenterIrchel,P69&gt;0,P77&gt;=ROUND(1/24*8,9)),ROUND(P77*T.ServiceCenterIrchelZZSND,9),))</f>
        <v>0</v>
      </c>
      <c r="Q79" s="256" t="n">
        <f aca="false">IF(AND(T.50_Vetsuisse,Q70&gt;24),ROUND(Q73*T.50_VetsuisseZZSND,9), IF(AND(T.ServiceCenterIrchel,Q69&gt;0,Q77&gt;=ROUND(1/24*8,9)),ROUND(Q77*T.ServiceCenterIrchelZZSND,9),))</f>
        <v>0</v>
      </c>
      <c r="R79" s="256" t="n">
        <f aca="false">IF(AND(T.50_Vetsuisse,R70&gt;24),ROUND(R73*T.50_VetsuisseZZSND,9), IF(AND(T.ServiceCenterIrchel,R69&gt;0,R77&gt;=ROUND(1/24*8,9)),ROUND(R77*T.ServiceCenterIrchelZZSND,9),))</f>
        <v>0</v>
      </c>
      <c r="S79" s="256" t="n">
        <f aca="false">IF(AND(T.50_Vetsuisse,S70&gt;24),ROUND(S73*T.50_VetsuisseZZSND,9), IF(AND(T.ServiceCenterIrchel,S69&gt;0,S77&gt;=ROUND(1/24*8,9)),ROUND(S77*T.ServiceCenterIrchelZZSND,9),))</f>
        <v>0</v>
      </c>
      <c r="T79" s="256" t="n">
        <f aca="false">IF(AND(T.50_Vetsuisse,T70&gt;24),ROUND(T73*T.50_VetsuisseZZSND,9), IF(AND(T.ServiceCenterIrchel,T69&gt;0,T77&gt;=ROUND(1/24*8,9)),ROUND(T77*T.ServiceCenterIrchelZZSND,9),))</f>
        <v>0</v>
      </c>
      <c r="U79" s="256" t="n">
        <f aca="false">IF(AND(T.50_Vetsuisse,U70&gt;24),ROUND(U73*T.50_VetsuisseZZSND,9), IF(AND(T.ServiceCenterIrchel,U69&gt;0,U77&gt;=ROUND(1/24*8,9)),ROUND(U77*T.ServiceCenterIrchelZZSND,9),))</f>
        <v>0</v>
      </c>
      <c r="V79" s="256" t="n">
        <f aca="false">IF(AND(T.50_Vetsuisse,V70&gt;24),ROUND(V73*T.50_VetsuisseZZSND,9), IF(AND(T.ServiceCenterIrchel,V69&gt;0,V77&gt;=ROUND(1/24*8,9)),ROUND(V77*T.ServiceCenterIrchelZZSND,9),))</f>
        <v>0</v>
      </c>
      <c r="W79" s="256" t="n">
        <f aca="false">IF(AND(T.50_Vetsuisse,W70&gt;24),ROUND(W73*T.50_VetsuisseZZSND,9), IF(AND(T.ServiceCenterIrchel,W69&gt;0,W77&gt;=ROUND(1/24*8,9)),ROUND(W77*T.ServiceCenterIrchelZZSND,9),))</f>
        <v>0</v>
      </c>
      <c r="X79" s="256" t="n">
        <f aca="false">IF(AND(T.50_Vetsuisse,X70&gt;24),ROUND(X73*T.50_VetsuisseZZSND,9), IF(AND(T.ServiceCenterIrchel,X69&gt;0,X77&gt;=ROUND(1/24*8,9)),ROUND(X77*T.ServiceCenterIrchelZZSND,9),))</f>
        <v>0</v>
      </c>
      <c r="Y79" s="256" t="n">
        <f aca="false">IF(AND(T.50_Vetsuisse,Y70&gt;24),ROUND(Y73*T.50_VetsuisseZZSND,9), IF(AND(T.ServiceCenterIrchel,Y69&gt;0,Y77&gt;=ROUND(1/24*8,9)),ROUND(Y77*T.ServiceCenterIrchelZZSND,9),))</f>
        <v>0</v>
      </c>
      <c r="Z79" s="256" t="n">
        <f aca="false">IF(AND(T.50_Vetsuisse,Z70&gt;24),ROUND(Z73*T.50_VetsuisseZZSND,9), IF(AND(T.ServiceCenterIrchel,Z69&gt;0,Z77&gt;=ROUND(1/24*8,9)),ROUND(Z77*T.ServiceCenterIrchelZZSND,9),))</f>
        <v>0</v>
      </c>
      <c r="AA79" s="256" t="n">
        <f aca="false">IF(AND(T.50_Vetsuisse,AA70&gt;24),ROUND(AA73*T.50_VetsuisseZZSND,9), IF(AND(T.ServiceCenterIrchel,AA69&gt;0,AA77&gt;=ROUND(1/24*8,9)),ROUND(AA77*T.ServiceCenterIrchelZZSND,9),))</f>
        <v>0</v>
      </c>
      <c r="AB79" s="256" t="n">
        <f aca="false">IF(AND(T.50_Vetsuisse,AB70&gt;24),ROUND(AB73*T.50_VetsuisseZZSND,9), IF(AND(T.ServiceCenterIrchel,AB69&gt;0,AB77&gt;=ROUND(1/24*8,9)),ROUND(AB77*T.ServiceCenterIrchelZZSND,9),))</f>
        <v>0</v>
      </c>
      <c r="AC79" s="256" t="n">
        <f aca="false">IF(AND(T.50_Vetsuisse,AC70&gt;24),ROUND(AC73*T.50_VetsuisseZZSND,9), IF(AND(T.ServiceCenterIrchel,AC69&gt;0,AC77&gt;=ROUND(1/24*8,9)),ROUND(AC77*T.ServiceCenterIrchelZZSND,9),))</f>
        <v>0</v>
      </c>
      <c r="AD79" s="256" t="n">
        <f aca="false">IF(AND(T.50_Vetsuisse,AD70&gt;24),ROUND(AD73*T.50_VetsuisseZZSND,9), IF(AND(T.ServiceCenterIrchel,AD69&gt;0,AD77&gt;=ROUND(1/24*8,9)),ROUND(AD77*T.ServiceCenterIrchelZZSND,9),))</f>
        <v>0</v>
      </c>
      <c r="AE79" s="256" t="n">
        <f aca="false">IF(AND(T.50_Vetsuisse,AE70&gt;24),ROUND(AE73*T.50_VetsuisseZZSND,9), IF(AND(T.ServiceCenterIrchel,AE69&gt;0,AE77&gt;=ROUND(1/24*8,9)),ROUND(AE77*T.ServiceCenterIrchelZZSND,9),))</f>
        <v>0</v>
      </c>
      <c r="AF79" s="168" t="str">
        <f aca="false">A79</f>
        <v>Time supplement night shift</v>
      </c>
      <c r="AG79" s="250"/>
      <c r="AH79" s="207" t="n">
        <f aca="false">SUM(B79:AE79)</f>
        <v>0</v>
      </c>
      <c r="AI79" s="33"/>
      <c r="AJ79" s="192"/>
      <c r="AK79" s="216" t="n">
        <f aca="false">IF(EB.Anwendung&lt;&gt;"",IF(MONTH(Monat.Tag1)=1,EB.ZZNd,IF(MONTH(Monat.Tag1)=2,January!Monat.ZZNdUe,IF(MONTH(Monat.Tag1)=3,February!Monat.ZZNdUe,IF(MONTH(Monat.Tag1)=4,March!Monat.ZZNdUe,IF(MONTH(Monat.Tag1)=5,April!Monat.ZZNdUe,IF(MONTH(Monat.Tag1)=6,May!Monat.ZZNdUe,IF(MONTH(Monat.Tag1)=7,June!Monat.ZZNdUe,IF(MONTH(Monat.Tag1)=8,July!Monat.ZZNdUe,IF(MONTH(Monat.Tag1)=9,August!Monat.ZZNdUe,IF(MONTH(Monat.Tag1)=10,September!Monat.ZZNdUe,IF(MONTH(Monat.Tag1)=11,October!Monat.ZZNdUe,IF(MONTH(Monat.Tag1)=12,Monat.ZZNdUe,"")))))))))))),"")</f>
        <v>0</v>
      </c>
      <c r="AL79" s="172"/>
      <c r="AM79" s="217" t="n">
        <f aca="false">AH79+AK79-AH71</f>
        <v>0</v>
      </c>
      <c r="AN79" s="217" t="n">
        <f aca="true">OFFSET(Jahr.ZZSNDSaldo,-13+MONTH(Monat.Tag1),0,1,1)</f>
        <v>0</v>
      </c>
      <c r="AO79" s="217" t="n">
        <f aca="false">Jahr.ZZSNDSaldo</f>
        <v>0</v>
      </c>
      <c r="AP79" s="39"/>
    </row>
    <row r="80" s="148" customFormat="true" ht="15" hidden="true" customHeight="true" outlineLevel="1" collapsed="false">
      <c r="A80" s="175" t="s">
        <v>163</v>
      </c>
      <c r="B80" s="256" t="str">
        <f aca="false">IF(T.50_Vetsuisse,IF(OR(B$12=0,B$11=0,WEEKDAY(B$10,2)&gt;5),0,ROUND(MAX(0,T.Abendbis-MAX(B13,T.Abendab))-MAX(0,T.Abendbis-MAX(T.Abendab,B14))+(B13&gt;B14)*(1+T.Abendab-T.Abendbis)+MAX(0,T.Abendbis-MAX(B15,T.Abendab))-MAX(0,T.Abendbis-MAX(T.Abendab,B16))+(B15&gt;B16)*(1+T.Abendab-T.Abendbis)+MAX(0,T.Abendbis-MAX(B17,T.Abendab))-MAX(0,T.Abendbis-MAX(T.Abendab,B18))+(B17&gt;B18)*(1+T.Abendab-T.Abendbis)+MAX(0,T.Abendbis-MAX(B19,T.Abendab))-MAX(0,T.Abendbis-MAX(T.Abendab,B20))+(B19&gt;B20)*(1+T.Abendab-T.Abendbis)+MAX(0,T.Abendbis-MAX(B21,T.Abendab))-MAX(0,T.Abendbis-MAX(T.Abendab,B22))+(B21&gt;B22)*(1+T.Abendab-T.Abendbis),9)),"")</f>
        <v/>
      </c>
      <c r="C80" s="256" t="str">
        <f aca="false">IF(T.50_Vetsuisse,IF(OR(C$12=0,C$11=0,WEEKDAY(C$10,2)&gt;5),0,ROUND(MAX(0,T.Abendbis-MAX(C13,T.Abendab))-MAX(0,T.Abendbis-MAX(T.Abendab,C14))+(C13&gt;C14)*(1+T.Abendab-T.Abendbis)+MAX(0,T.Abendbis-MAX(C15,T.Abendab))-MAX(0,T.Abendbis-MAX(T.Abendab,C16))+(C15&gt;C16)*(1+T.Abendab-T.Abendbis)+MAX(0,T.Abendbis-MAX(C17,T.Abendab))-MAX(0,T.Abendbis-MAX(T.Abendab,C18))+(C17&gt;C18)*(1+T.Abendab-T.Abendbis)+MAX(0,T.Abendbis-MAX(C19,T.Abendab))-MAX(0,T.Abendbis-MAX(T.Abendab,C20))+(C19&gt;C20)*(1+T.Abendab-T.Abendbis)+MAX(0,T.Abendbis-MAX(C21,T.Abendab))-MAX(0,T.Abendbis-MAX(T.Abendab,C22))+(C21&gt;C22)*(1+T.Abendab-T.Abendbis),9)),"")</f>
        <v/>
      </c>
      <c r="D80" s="256" t="str">
        <f aca="false">IF(T.50_Vetsuisse,IF(OR(D$12=0,D$11=0,WEEKDAY(D$10,2)&gt;5),0,ROUND(MAX(0,T.Abendbis-MAX(D13,T.Abendab))-MAX(0,T.Abendbis-MAX(T.Abendab,D14))+(D13&gt;D14)*(1+T.Abendab-T.Abendbis)+MAX(0,T.Abendbis-MAX(D15,T.Abendab))-MAX(0,T.Abendbis-MAX(T.Abendab,D16))+(D15&gt;D16)*(1+T.Abendab-T.Abendbis)+MAX(0,T.Abendbis-MAX(D17,T.Abendab))-MAX(0,T.Abendbis-MAX(T.Abendab,D18))+(D17&gt;D18)*(1+T.Abendab-T.Abendbis)+MAX(0,T.Abendbis-MAX(D19,T.Abendab))-MAX(0,T.Abendbis-MAX(T.Abendab,D20))+(D19&gt;D20)*(1+T.Abendab-T.Abendbis)+MAX(0,T.Abendbis-MAX(D21,T.Abendab))-MAX(0,T.Abendbis-MAX(T.Abendab,D22))+(D21&gt;D22)*(1+T.Abendab-T.Abendbis),9)),"")</f>
        <v/>
      </c>
      <c r="E80" s="256" t="str">
        <f aca="false">IF(T.50_Vetsuisse,IF(OR(E$12=0,E$11=0,WEEKDAY(E$10,2)&gt;5),0,ROUND(MAX(0,T.Abendbis-MAX(E13,T.Abendab))-MAX(0,T.Abendbis-MAX(T.Abendab,E14))+(E13&gt;E14)*(1+T.Abendab-T.Abendbis)+MAX(0,T.Abendbis-MAX(E15,T.Abendab))-MAX(0,T.Abendbis-MAX(T.Abendab,E16))+(E15&gt;E16)*(1+T.Abendab-T.Abendbis)+MAX(0,T.Abendbis-MAX(E17,T.Abendab))-MAX(0,T.Abendbis-MAX(T.Abendab,E18))+(E17&gt;E18)*(1+T.Abendab-T.Abendbis)+MAX(0,T.Abendbis-MAX(E19,T.Abendab))-MAX(0,T.Abendbis-MAX(T.Abendab,E20))+(E19&gt;E20)*(1+T.Abendab-T.Abendbis)+MAX(0,T.Abendbis-MAX(E21,T.Abendab))-MAX(0,T.Abendbis-MAX(T.Abendab,E22))+(E21&gt;E22)*(1+T.Abendab-T.Abendbis),9)),"")</f>
        <v/>
      </c>
      <c r="F80" s="256" t="str">
        <f aca="false">IF(T.50_Vetsuisse,IF(OR(F$12=0,F$11=0,WEEKDAY(F$10,2)&gt;5),0,ROUND(MAX(0,T.Abendbis-MAX(F13,T.Abendab))-MAX(0,T.Abendbis-MAX(T.Abendab,F14))+(F13&gt;F14)*(1+T.Abendab-T.Abendbis)+MAX(0,T.Abendbis-MAX(F15,T.Abendab))-MAX(0,T.Abendbis-MAX(T.Abendab,F16))+(F15&gt;F16)*(1+T.Abendab-T.Abendbis)+MAX(0,T.Abendbis-MAX(F17,T.Abendab))-MAX(0,T.Abendbis-MAX(T.Abendab,F18))+(F17&gt;F18)*(1+T.Abendab-T.Abendbis)+MAX(0,T.Abendbis-MAX(F19,T.Abendab))-MAX(0,T.Abendbis-MAX(T.Abendab,F20))+(F19&gt;F20)*(1+T.Abendab-T.Abendbis)+MAX(0,T.Abendbis-MAX(F21,T.Abendab))-MAX(0,T.Abendbis-MAX(T.Abendab,F22))+(F21&gt;F22)*(1+T.Abendab-T.Abendbis),9)),"")</f>
        <v/>
      </c>
      <c r="G80" s="256" t="str">
        <f aca="false">IF(T.50_Vetsuisse,IF(OR(G$12=0,G$11=0,WEEKDAY(G$10,2)&gt;5),0,ROUND(MAX(0,T.Abendbis-MAX(G13,T.Abendab))-MAX(0,T.Abendbis-MAX(T.Abendab,G14))+(G13&gt;G14)*(1+T.Abendab-T.Abendbis)+MAX(0,T.Abendbis-MAX(G15,T.Abendab))-MAX(0,T.Abendbis-MAX(T.Abendab,G16))+(G15&gt;G16)*(1+T.Abendab-T.Abendbis)+MAX(0,T.Abendbis-MAX(G17,T.Abendab))-MAX(0,T.Abendbis-MAX(T.Abendab,G18))+(G17&gt;G18)*(1+T.Abendab-T.Abendbis)+MAX(0,T.Abendbis-MAX(G19,T.Abendab))-MAX(0,T.Abendbis-MAX(T.Abendab,G20))+(G19&gt;G20)*(1+T.Abendab-T.Abendbis)+MAX(0,T.Abendbis-MAX(G21,T.Abendab))-MAX(0,T.Abendbis-MAX(T.Abendab,G22))+(G21&gt;G22)*(1+T.Abendab-T.Abendbis),9)),"")</f>
        <v/>
      </c>
      <c r="H80" s="256" t="str">
        <f aca="false">IF(T.50_Vetsuisse,IF(OR(H$12=0,H$11=0,WEEKDAY(H$10,2)&gt;5),0,ROUND(MAX(0,T.Abendbis-MAX(H13,T.Abendab))-MAX(0,T.Abendbis-MAX(T.Abendab,H14))+(H13&gt;H14)*(1+T.Abendab-T.Abendbis)+MAX(0,T.Abendbis-MAX(H15,T.Abendab))-MAX(0,T.Abendbis-MAX(T.Abendab,H16))+(H15&gt;H16)*(1+T.Abendab-T.Abendbis)+MAX(0,T.Abendbis-MAX(H17,T.Abendab))-MAX(0,T.Abendbis-MAX(T.Abendab,H18))+(H17&gt;H18)*(1+T.Abendab-T.Abendbis)+MAX(0,T.Abendbis-MAX(H19,T.Abendab))-MAX(0,T.Abendbis-MAX(T.Abendab,H20))+(H19&gt;H20)*(1+T.Abendab-T.Abendbis)+MAX(0,T.Abendbis-MAX(H21,T.Abendab))-MAX(0,T.Abendbis-MAX(T.Abendab,H22))+(H21&gt;H22)*(1+T.Abendab-T.Abendbis),9)),"")</f>
        <v/>
      </c>
      <c r="I80" s="256" t="str">
        <f aca="false">IF(T.50_Vetsuisse,IF(OR(I$12=0,I$11=0,WEEKDAY(I$10,2)&gt;5),0,ROUND(MAX(0,T.Abendbis-MAX(I13,T.Abendab))-MAX(0,T.Abendbis-MAX(T.Abendab,I14))+(I13&gt;I14)*(1+T.Abendab-T.Abendbis)+MAX(0,T.Abendbis-MAX(I15,T.Abendab))-MAX(0,T.Abendbis-MAX(T.Abendab,I16))+(I15&gt;I16)*(1+T.Abendab-T.Abendbis)+MAX(0,T.Abendbis-MAX(I17,T.Abendab))-MAX(0,T.Abendbis-MAX(T.Abendab,I18))+(I17&gt;I18)*(1+T.Abendab-T.Abendbis)+MAX(0,T.Abendbis-MAX(I19,T.Abendab))-MAX(0,T.Abendbis-MAX(T.Abendab,I20))+(I19&gt;I20)*(1+T.Abendab-T.Abendbis)+MAX(0,T.Abendbis-MAX(I21,T.Abendab))-MAX(0,T.Abendbis-MAX(T.Abendab,I22))+(I21&gt;I22)*(1+T.Abendab-T.Abendbis),9)),"")</f>
        <v/>
      </c>
      <c r="J80" s="256" t="str">
        <f aca="false">IF(T.50_Vetsuisse,IF(OR(J$12=0,J$11=0,WEEKDAY(J$10,2)&gt;5),0,ROUND(MAX(0,T.Abendbis-MAX(J13,T.Abendab))-MAX(0,T.Abendbis-MAX(T.Abendab,J14))+(J13&gt;J14)*(1+T.Abendab-T.Abendbis)+MAX(0,T.Abendbis-MAX(J15,T.Abendab))-MAX(0,T.Abendbis-MAX(T.Abendab,J16))+(J15&gt;J16)*(1+T.Abendab-T.Abendbis)+MAX(0,T.Abendbis-MAX(J17,T.Abendab))-MAX(0,T.Abendbis-MAX(T.Abendab,J18))+(J17&gt;J18)*(1+T.Abendab-T.Abendbis)+MAX(0,T.Abendbis-MAX(J19,T.Abendab))-MAX(0,T.Abendbis-MAX(T.Abendab,J20))+(J19&gt;J20)*(1+T.Abendab-T.Abendbis)+MAX(0,T.Abendbis-MAX(J21,T.Abendab))-MAX(0,T.Abendbis-MAX(T.Abendab,J22))+(J21&gt;J22)*(1+T.Abendab-T.Abendbis),9)),"")</f>
        <v/>
      </c>
      <c r="K80" s="256" t="str">
        <f aca="false">IF(T.50_Vetsuisse,IF(OR(K$12=0,K$11=0,WEEKDAY(K$10,2)&gt;5),0,ROUND(MAX(0,T.Abendbis-MAX(K13,T.Abendab))-MAX(0,T.Abendbis-MAX(T.Abendab,K14))+(K13&gt;K14)*(1+T.Abendab-T.Abendbis)+MAX(0,T.Abendbis-MAX(K15,T.Abendab))-MAX(0,T.Abendbis-MAX(T.Abendab,K16))+(K15&gt;K16)*(1+T.Abendab-T.Abendbis)+MAX(0,T.Abendbis-MAX(K17,T.Abendab))-MAX(0,T.Abendbis-MAX(T.Abendab,K18))+(K17&gt;K18)*(1+T.Abendab-T.Abendbis)+MAX(0,T.Abendbis-MAX(K19,T.Abendab))-MAX(0,T.Abendbis-MAX(T.Abendab,K20))+(K19&gt;K20)*(1+T.Abendab-T.Abendbis)+MAX(0,T.Abendbis-MAX(K21,T.Abendab))-MAX(0,T.Abendbis-MAX(T.Abendab,K22))+(K21&gt;K22)*(1+T.Abendab-T.Abendbis),9)),"")</f>
        <v/>
      </c>
      <c r="L80" s="256" t="str">
        <f aca="false">IF(T.50_Vetsuisse,IF(OR(L$12=0,L$11=0,WEEKDAY(L$10,2)&gt;5),0,ROUND(MAX(0,T.Abendbis-MAX(L13,T.Abendab))-MAX(0,T.Abendbis-MAX(T.Abendab,L14))+(L13&gt;L14)*(1+T.Abendab-T.Abendbis)+MAX(0,T.Abendbis-MAX(L15,T.Abendab))-MAX(0,T.Abendbis-MAX(T.Abendab,L16))+(L15&gt;L16)*(1+T.Abendab-T.Abendbis)+MAX(0,T.Abendbis-MAX(L17,T.Abendab))-MAX(0,T.Abendbis-MAX(T.Abendab,L18))+(L17&gt;L18)*(1+T.Abendab-T.Abendbis)+MAX(0,T.Abendbis-MAX(L19,T.Abendab))-MAX(0,T.Abendbis-MAX(T.Abendab,L20))+(L19&gt;L20)*(1+T.Abendab-T.Abendbis)+MAX(0,T.Abendbis-MAX(L21,T.Abendab))-MAX(0,T.Abendbis-MAX(T.Abendab,L22))+(L21&gt;L22)*(1+T.Abendab-T.Abendbis),9)),"")</f>
        <v/>
      </c>
      <c r="M80" s="256" t="str">
        <f aca="false">IF(T.50_Vetsuisse,IF(OR(M$12=0,M$11=0,WEEKDAY(M$10,2)&gt;5),0,ROUND(MAX(0,T.Abendbis-MAX(M13,T.Abendab))-MAX(0,T.Abendbis-MAX(T.Abendab,M14))+(M13&gt;M14)*(1+T.Abendab-T.Abendbis)+MAX(0,T.Abendbis-MAX(M15,T.Abendab))-MAX(0,T.Abendbis-MAX(T.Abendab,M16))+(M15&gt;M16)*(1+T.Abendab-T.Abendbis)+MAX(0,T.Abendbis-MAX(M17,T.Abendab))-MAX(0,T.Abendbis-MAX(T.Abendab,M18))+(M17&gt;M18)*(1+T.Abendab-T.Abendbis)+MAX(0,T.Abendbis-MAX(M19,T.Abendab))-MAX(0,T.Abendbis-MAX(T.Abendab,M20))+(M19&gt;M20)*(1+T.Abendab-T.Abendbis)+MAX(0,T.Abendbis-MAX(M21,T.Abendab))-MAX(0,T.Abendbis-MAX(T.Abendab,M22))+(M21&gt;M22)*(1+T.Abendab-T.Abendbis),9)),"")</f>
        <v/>
      </c>
      <c r="N80" s="256" t="str">
        <f aca="false">IF(T.50_Vetsuisse,IF(OR(N$12=0,N$11=0,WEEKDAY(N$10,2)&gt;5),0,ROUND(MAX(0,T.Abendbis-MAX(N13,T.Abendab))-MAX(0,T.Abendbis-MAX(T.Abendab,N14))+(N13&gt;N14)*(1+T.Abendab-T.Abendbis)+MAX(0,T.Abendbis-MAX(N15,T.Abendab))-MAX(0,T.Abendbis-MAX(T.Abendab,N16))+(N15&gt;N16)*(1+T.Abendab-T.Abendbis)+MAX(0,T.Abendbis-MAX(N17,T.Abendab))-MAX(0,T.Abendbis-MAX(T.Abendab,N18))+(N17&gt;N18)*(1+T.Abendab-T.Abendbis)+MAX(0,T.Abendbis-MAX(N19,T.Abendab))-MAX(0,T.Abendbis-MAX(T.Abendab,N20))+(N19&gt;N20)*(1+T.Abendab-T.Abendbis)+MAX(0,T.Abendbis-MAX(N21,T.Abendab))-MAX(0,T.Abendbis-MAX(T.Abendab,N22))+(N21&gt;N22)*(1+T.Abendab-T.Abendbis),9)),"")</f>
        <v/>
      </c>
      <c r="O80" s="256" t="str">
        <f aca="false">IF(T.50_Vetsuisse,IF(OR(O$12=0,O$11=0,WEEKDAY(O$10,2)&gt;5),0,ROUND(MAX(0,T.Abendbis-MAX(O13,T.Abendab))-MAX(0,T.Abendbis-MAX(T.Abendab,O14))+(O13&gt;O14)*(1+T.Abendab-T.Abendbis)+MAX(0,T.Abendbis-MAX(O15,T.Abendab))-MAX(0,T.Abendbis-MAX(T.Abendab,O16))+(O15&gt;O16)*(1+T.Abendab-T.Abendbis)+MAX(0,T.Abendbis-MAX(O17,T.Abendab))-MAX(0,T.Abendbis-MAX(T.Abendab,O18))+(O17&gt;O18)*(1+T.Abendab-T.Abendbis)+MAX(0,T.Abendbis-MAX(O19,T.Abendab))-MAX(0,T.Abendbis-MAX(T.Abendab,O20))+(O19&gt;O20)*(1+T.Abendab-T.Abendbis)+MAX(0,T.Abendbis-MAX(O21,T.Abendab))-MAX(0,T.Abendbis-MAX(T.Abendab,O22))+(O21&gt;O22)*(1+T.Abendab-T.Abendbis),9)),"")</f>
        <v/>
      </c>
      <c r="P80" s="256" t="str">
        <f aca="false">IF(T.50_Vetsuisse,IF(OR(P$12=0,P$11=0,WEEKDAY(P$10,2)&gt;5),0,ROUND(MAX(0,T.Abendbis-MAX(P13,T.Abendab))-MAX(0,T.Abendbis-MAX(T.Abendab,P14))+(P13&gt;P14)*(1+T.Abendab-T.Abendbis)+MAX(0,T.Abendbis-MAX(P15,T.Abendab))-MAX(0,T.Abendbis-MAX(T.Abendab,P16))+(P15&gt;P16)*(1+T.Abendab-T.Abendbis)+MAX(0,T.Abendbis-MAX(P17,T.Abendab))-MAX(0,T.Abendbis-MAX(T.Abendab,P18))+(P17&gt;P18)*(1+T.Abendab-T.Abendbis)+MAX(0,T.Abendbis-MAX(P19,T.Abendab))-MAX(0,T.Abendbis-MAX(T.Abendab,P20))+(P19&gt;P20)*(1+T.Abendab-T.Abendbis)+MAX(0,T.Abendbis-MAX(P21,T.Abendab))-MAX(0,T.Abendbis-MAX(T.Abendab,P22))+(P21&gt;P22)*(1+T.Abendab-T.Abendbis),9)),"")</f>
        <v/>
      </c>
      <c r="Q80" s="256" t="str">
        <f aca="false">IF(T.50_Vetsuisse,IF(OR(Q$12=0,Q$11=0,WEEKDAY(Q$10,2)&gt;5),0,ROUND(MAX(0,T.Abendbis-MAX(Q13,T.Abendab))-MAX(0,T.Abendbis-MAX(T.Abendab,Q14))+(Q13&gt;Q14)*(1+T.Abendab-T.Abendbis)+MAX(0,T.Abendbis-MAX(Q15,T.Abendab))-MAX(0,T.Abendbis-MAX(T.Abendab,Q16))+(Q15&gt;Q16)*(1+T.Abendab-T.Abendbis)+MAX(0,T.Abendbis-MAX(Q17,T.Abendab))-MAX(0,T.Abendbis-MAX(T.Abendab,Q18))+(Q17&gt;Q18)*(1+T.Abendab-T.Abendbis)+MAX(0,T.Abendbis-MAX(Q19,T.Abendab))-MAX(0,T.Abendbis-MAX(T.Abendab,Q20))+(Q19&gt;Q20)*(1+T.Abendab-T.Abendbis)+MAX(0,T.Abendbis-MAX(Q21,T.Abendab))-MAX(0,T.Abendbis-MAX(T.Abendab,Q22))+(Q21&gt;Q22)*(1+T.Abendab-T.Abendbis),9)),"")</f>
        <v/>
      </c>
      <c r="R80" s="256" t="str">
        <f aca="false">IF(T.50_Vetsuisse,IF(OR(R$12=0,R$11=0,WEEKDAY(R$10,2)&gt;5),0,ROUND(MAX(0,T.Abendbis-MAX(R13,T.Abendab))-MAX(0,T.Abendbis-MAX(T.Abendab,R14))+(R13&gt;R14)*(1+T.Abendab-T.Abendbis)+MAX(0,T.Abendbis-MAX(R15,T.Abendab))-MAX(0,T.Abendbis-MAX(T.Abendab,R16))+(R15&gt;R16)*(1+T.Abendab-T.Abendbis)+MAX(0,T.Abendbis-MAX(R17,T.Abendab))-MAX(0,T.Abendbis-MAX(T.Abendab,R18))+(R17&gt;R18)*(1+T.Abendab-T.Abendbis)+MAX(0,T.Abendbis-MAX(R19,T.Abendab))-MAX(0,T.Abendbis-MAX(T.Abendab,R20))+(R19&gt;R20)*(1+T.Abendab-T.Abendbis)+MAX(0,T.Abendbis-MAX(R21,T.Abendab))-MAX(0,T.Abendbis-MAX(T.Abendab,R22))+(R21&gt;R22)*(1+T.Abendab-T.Abendbis),9)),"")</f>
        <v/>
      </c>
      <c r="S80" s="256" t="str">
        <f aca="false">IF(T.50_Vetsuisse,IF(OR(S$12=0,S$11=0,WEEKDAY(S$10,2)&gt;5),0,ROUND(MAX(0,T.Abendbis-MAX(S13,T.Abendab))-MAX(0,T.Abendbis-MAX(T.Abendab,S14))+(S13&gt;S14)*(1+T.Abendab-T.Abendbis)+MAX(0,T.Abendbis-MAX(S15,T.Abendab))-MAX(0,T.Abendbis-MAX(T.Abendab,S16))+(S15&gt;S16)*(1+T.Abendab-T.Abendbis)+MAX(0,T.Abendbis-MAX(S17,T.Abendab))-MAX(0,T.Abendbis-MAX(T.Abendab,S18))+(S17&gt;S18)*(1+T.Abendab-T.Abendbis)+MAX(0,T.Abendbis-MAX(S19,T.Abendab))-MAX(0,T.Abendbis-MAX(T.Abendab,S20))+(S19&gt;S20)*(1+T.Abendab-T.Abendbis)+MAX(0,T.Abendbis-MAX(S21,T.Abendab))-MAX(0,T.Abendbis-MAX(T.Abendab,S22))+(S21&gt;S22)*(1+T.Abendab-T.Abendbis),9)),"")</f>
        <v/>
      </c>
      <c r="T80" s="256" t="str">
        <f aca="false">IF(T.50_Vetsuisse,IF(OR(T$12=0,T$11=0,WEEKDAY(T$10,2)&gt;5),0,ROUND(MAX(0,T.Abendbis-MAX(T13,T.Abendab))-MAX(0,T.Abendbis-MAX(T.Abendab,T14))+(T13&gt;T14)*(1+T.Abendab-T.Abendbis)+MAX(0,T.Abendbis-MAX(T15,T.Abendab))-MAX(0,T.Abendbis-MAX(T.Abendab,T16))+(T15&gt;T16)*(1+T.Abendab-T.Abendbis)+MAX(0,T.Abendbis-MAX(T17,T.Abendab))-MAX(0,T.Abendbis-MAX(T.Abendab,T18))+(T17&gt;T18)*(1+T.Abendab-T.Abendbis)+MAX(0,T.Abendbis-MAX(T19,T.Abendab))-MAX(0,T.Abendbis-MAX(T.Abendab,T20))+(T19&gt;T20)*(1+T.Abendab-T.Abendbis)+MAX(0,T.Abendbis-MAX(T21,T.Abendab))-MAX(0,T.Abendbis-MAX(T.Abendab,T22))+(T21&gt;T22)*(1+T.Abendab-T.Abendbis),9)),"")</f>
        <v/>
      </c>
      <c r="U80" s="256" t="str">
        <f aca="false">IF(T.50_Vetsuisse,IF(OR(U$12=0,U$11=0,WEEKDAY(U$10,2)&gt;5),0,ROUND(MAX(0,T.Abendbis-MAX(U13,T.Abendab))-MAX(0,T.Abendbis-MAX(T.Abendab,U14))+(U13&gt;U14)*(1+T.Abendab-T.Abendbis)+MAX(0,T.Abendbis-MAX(U15,T.Abendab))-MAX(0,T.Abendbis-MAX(T.Abendab,U16))+(U15&gt;U16)*(1+T.Abendab-T.Abendbis)+MAX(0,T.Abendbis-MAX(U17,T.Abendab))-MAX(0,T.Abendbis-MAX(T.Abendab,U18))+(U17&gt;U18)*(1+T.Abendab-T.Abendbis)+MAX(0,T.Abendbis-MAX(U19,T.Abendab))-MAX(0,T.Abendbis-MAX(T.Abendab,U20))+(U19&gt;U20)*(1+T.Abendab-T.Abendbis)+MAX(0,T.Abendbis-MAX(U21,T.Abendab))-MAX(0,T.Abendbis-MAX(T.Abendab,U22))+(U21&gt;U22)*(1+T.Abendab-T.Abendbis),9)),"")</f>
        <v/>
      </c>
      <c r="V80" s="256" t="str">
        <f aca="false">IF(T.50_Vetsuisse,IF(OR(V$12=0,V$11=0,WEEKDAY(V$10,2)&gt;5),0,ROUND(MAX(0,T.Abendbis-MAX(V13,T.Abendab))-MAX(0,T.Abendbis-MAX(T.Abendab,V14))+(V13&gt;V14)*(1+T.Abendab-T.Abendbis)+MAX(0,T.Abendbis-MAX(V15,T.Abendab))-MAX(0,T.Abendbis-MAX(T.Abendab,V16))+(V15&gt;V16)*(1+T.Abendab-T.Abendbis)+MAX(0,T.Abendbis-MAX(V17,T.Abendab))-MAX(0,T.Abendbis-MAX(T.Abendab,V18))+(V17&gt;V18)*(1+T.Abendab-T.Abendbis)+MAX(0,T.Abendbis-MAX(V19,T.Abendab))-MAX(0,T.Abendbis-MAX(T.Abendab,V20))+(V19&gt;V20)*(1+T.Abendab-T.Abendbis)+MAX(0,T.Abendbis-MAX(V21,T.Abendab))-MAX(0,T.Abendbis-MAX(T.Abendab,V22))+(V21&gt;V22)*(1+T.Abendab-T.Abendbis),9)),"")</f>
        <v/>
      </c>
      <c r="W80" s="256" t="str">
        <f aca="false">IF(T.50_Vetsuisse,IF(OR(W$12=0,W$11=0,WEEKDAY(W$10,2)&gt;5),0,ROUND(MAX(0,T.Abendbis-MAX(W13,T.Abendab))-MAX(0,T.Abendbis-MAX(T.Abendab,W14))+(W13&gt;W14)*(1+T.Abendab-T.Abendbis)+MAX(0,T.Abendbis-MAX(W15,T.Abendab))-MAX(0,T.Abendbis-MAX(T.Abendab,W16))+(W15&gt;W16)*(1+T.Abendab-T.Abendbis)+MAX(0,T.Abendbis-MAX(W17,T.Abendab))-MAX(0,T.Abendbis-MAX(T.Abendab,W18))+(W17&gt;W18)*(1+T.Abendab-T.Abendbis)+MAX(0,T.Abendbis-MAX(W19,T.Abendab))-MAX(0,T.Abendbis-MAX(T.Abendab,W20))+(W19&gt;W20)*(1+T.Abendab-T.Abendbis)+MAX(0,T.Abendbis-MAX(W21,T.Abendab))-MAX(0,T.Abendbis-MAX(T.Abendab,W22))+(W21&gt;W22)*(1+T.Abendab-T.Abendbis),9)),"")</f>
        <v/>
      </c>
      <c r="X80" s="256" t="str">
        <f aca="false">IF(T.50_Vetsuisse,IF(OR(X$12=0,X$11=0,WEEKDAY(X$10,2)&gt;5),0,ROUND(MAX(0,T.Abendbis-MAX(X13,T.Abendab))-MAX(0,T.Abendbis-MAX(T.Abendab,X14))+(X13&gt;X14)*(1+T.Abendab-T.Abendbis)+MAX(0,T.Abendbis-MAX(X15,T.Abendab))-MAX(0,T.Abendbis-MAX(T.Abendab,X16))+(X15&gt;X16)*(1+T.Abendab-T.Abendbis)+MAX(0,T.Abendbis-MAX(X17,T.Abendab))-MAX(0,T.Abendbis-MAX(T.Abendab,X18))+(X17&gt;X18)*(1+T.Abendab-T.Abendbis)+MAX(0,T.Abendbis-MAX(X19,T.Abendab))-MAX(0,T.Abendbis-MAX(T.Abendab,X20))+(X19&gt;X20)*(1+T.Abendab-T.Abendbis)+MAX(0,T.Abendbis-MAX(X21,T.Abendab))-MAX(0,T.Abendbis-MAX(T.Abendab,X22))+(X21&gt;X22)*(1+T.Abendab-T.Abendbis),9)),"")</f>
        <v/>
      </c>
      <c r="Y80" s="256" t="str">
        <f aca="false">IF(T.50_Vetsuisse,IF(OR(Y$12=0,Y$11=0,WEEKDAY(Y$10,2)&gt;5),0,ROUND(MAX(0,T.Abendbis-MAX(Y13,T.Abendab))-MAX(0,T.Abendbis-MAX(T.Abendab,Y14))+(Y13&gt;Y14)*(1+T.Abendab-T.Abendbis)+MAX(0,T.Abendbis-MAX(Y15,T.Abendab))-MAX(0,T.Abendbis-MAX(T.Abendab,Y16))+(Y15&gt;Y16)*(1+T.Abendab-T.Abendbis)+MAX(0,T.Abendbis-MAX(Y17,T.Abendab))-MAX(0,T.Abendbis-MAX(T.Abendab,Y18))+(Y17&gt;Y18)*(1+T.Abendab-T.Abendbis)+MAX(0,T.Abendbis-MAX(Y19,T.Abendab))-MAX(0,T.Abendbis-MAX(T.Abendab,Y20))+(Y19&gt;Y20)*(1+T.Abendab-T.Abendbis)+MAX(0,T.Abendbis-MAX(Y21,T.Abendab))-MAX(0,T.Abendbis-MAX(T.Abendab,Y22))+(Y21&gt;Y22)*(1+T.Abendab-T.Abendbis),9)),"")</f>
        <v/>
      </c>
      <c r="Z80" s="256" t="str">
        <f aca="false">IF(T.50_Vetsuisse,IF(OR(Z$12=0,Z$11=0,WEEKDAY(Z$10,2)&gt;5),0,ROUND(MAX(0,T.Abendbis-MAX(Z13,T.Abendab))-MAX(0,T.Abendbis-MAX(T.Abendab,Z14))+(Z13&gt;Z14)*(1+T.Abendab-T.Abendbis)+MAX(0,T.Abendbis-MAX(Z15,T.Abendab))-MAX(0,T.Abendbis-MAX(T.Abendab,Z16))+(Z15&gt;Z16)*(1+T.Abendab-T.Abendbis)+MAX(0,T.Abendbis-MAX(Z17,T.Abendab))-MAX(0,T.Abendbis-MAX(T.Abendab,Z18))+(Z17&gt;Z18)*(1+T.Abendab-T.Abendbis)+MAX(0,T.Abendbis-MAX(Z19,T.Abendab))-MAX(0,T.Abendbis-MAX(T.Abendab,Z20))+(Z19&gt;Z20)*(1+T.Abendab-T.Abendbis)+MAX(0,T.Abendbis-MAX(Z21,T.Abendab))-MAX(0,T.Abendbis-MAX(T.Abendab,Z22))+(Z21&gt;Z22)*(1+T.Abendab-T.Abendbis),9)),"")</f>
        <v/>
      </c>
      <c r="AA80" s="256" t="str">
        <f aca="false">IF(T.50_Vetsuisse,IF(OR(AA$12=0,AA$11=0,WEEKDAY(AA$10,2)&gt;5),0,ROUND(MAX(0,T.Abendbis-MAX(AA13,T.Abendab))-MAX(0,T.Abendbis-MAX(T.Abendab,AA14))+(AA13&gt;AA14)*(1+T.Abendab-T.Abendbis)+MAX(0,T.Abendbis-MAX(AA15,T.Abendab))-MAX(0,T.Abendbis-MAX(T.Abendab,AA16))+(AA15&gt;AA16)*(1+T.Abendab-T.Abendbis)+MAX(0,T.Abendbis-MAX(AA17,T.Abendab))-MAX(0,T.Abendbis-MAX(T.Abendab,AA18))+(AA17&gt;AA18)*(1+T.Abendab-T.Abendbis)+MAX(0,T.Abendbis-MAX(AA19,T.Abendab))-MAX(0,T.Abendbis-MAX(T.Abendab,AA20))+(AA19&gt;AA20)*(1+T.Abendab-T.Abendbis)+MAX(0,T.Abendbis-MAX(AA21,T.Abendab))-MAX(0,T.Abendbis-MAX(T.Abendab,AA22))+(AA21&gt;AA22)*(1+T.Abendab-T.Abendbis),9)),"")</f>
        <v/>
      </c>
      <c r="AB80" s="256" t="str">
        <f aca="false">IF(T.50_Vetsuisse,IF(OR(AB$12=0,AB$11=0,WEEKDAY(AB$10,2)&gt;5),0,ROUND(MAX(0,T.Abendbis-MAX(AB13,T.Abendab))-MAX(0,T.Abendbis-MAX(T.Abendab,AB14))+(AB13&gt;AB14)*(1+T.Abendab-T.Abendbis)+MAX(0,T.Abendbis-MAX(AB15,T.Abendab))-MAX(0,T.Abendbis-MAX(T.Abendab,AB16))+(AB15&gt;AB16)*(1+T.Abendab-T.Abendbis)+MAX(0,T.Abendbis-MAX(AB17,T.Abendab))-MAX(0,T.Abendbis-MAX(T.Abendab,AB18))+(AB17&gt;AB18)*(1+T.Abendab-T.Abendbis)+MAX(0,T.Abendbis-MAX(AB19,T.Abendab))-MAX(0,T.Abendbis-MAX(T.Abendab,AB20))+(AB19&gt;AB20)*(1+T.Abendab-T.Abendbis)+MAX(0,T.Abendbis-MAX(AB21,T.Abendab))-MAX(0,T.Abendbis-MAX(T.Abendab,AB22))+(AB21&gt;AB22)*(1+T.Abendab-T.Abendbis),9)),"")</f>
        <v/>
      </c>
      <c r="AC80" s="256" t="str">
        <f aca="false">IF(T.50_Vetsuisse,IF(OR(AC$12=0,AC$11=0,WEEKDAY(AC$10,2)&gt;5),0,ROUND(MAX(0,T.Abendbis-MAX(AC13,T.Abendab))-MAX(0,T.Abendbis-MAX(T.Abendab,AC14))+(AC13&gt;AC14)*(1+T.Abendab-T.Abendbis)+MAX(0,T.Abendbis-MAX(AC15,T.Abendab))-MAX(0,T.Abendbis-MAX(T.Abendab,AC16))+(AC15&gt;AC16)*(1+T.Abendab-T.Abendbis)+MAX(0,T.Abendbis-MAX(AC17,T.Abendab))-MAX(0,T.Abendbis-MAX(T.Abendab,AC18))+(AC17&gt;AC18)*(1+T.Abendab-T.Abendbis)+MAX(0,T.Abendbis-MAX(AC19,T.Abendab))-MAX(0,T.Abendbis-MAX(T.Abendab,AC20))+(AC19&gt;AC20)*(1+T.Abendab-T.Abendbis)+MAX(0,T.Abendbis-MAX(AC21,T.Abendab))-MAX(0,T.Abendbis-MAX(T.Abendab,AC22))+(AC21&gt;AC22)*(1+T.Abendab-T.Abendbis),9)),"")</f>
        <v/>
      </c>
      <c r="AD80" s="256" t="str">
        <f aca="false">IF(T.50_Vetsuisse,IF(OR(AD$12=0,AD$11=0,WEEKDAY(AD$10,2)&gt;5),0,ROUND(MAX(0,T.Abendbis-MAX(AD13,T.Abendab))-MAX(0,T.Abendbis-MAX(T.Abendab,AD14))+(AD13&gt;AD14)*(1+T.Abendab-T.Abendbis)+MAX(0,T.Abendbis-MAX(AD15,T.Abendab))-MAX(0,T.Abendbis-MAX(T.Abendab,AD16))+(AD15&gt;AD16)*(1+T.Abendab-T.Abendbis)+MAX(0,T.Abendbis-MAX(AD17,T.Abendab))-MAX(0,T.Abendbis-MAX(T.Abendab,AD18))+(AD17&gt;AD18)*(1+T.Abendab-T.Abendbis)+MAX(0,T.Abendbis-MAX(AD19,T.Abendab))-MAX(0,T.Abendbis-MAX(T.Abendab,AD20))+(AD19&gt;AD20)*(1+T.Abendab-T.Abendbis)+MAX(0,T.Abendbis-MAX(AD21,T.Abendab))-MAX(0,T.Abendbis-MAX(T.Abendab,AD22))+(AD21&gt;AD22)*(1+T.Abendab-T.Abendbis),9)),"")</f>
        <v/>
      </c>
      <c r="AE80" s="256" t="str">
        <f aca="false">IF(T.50_Vetsuisse,IF(OR(AE$12=0,AE$11=0,WEEKDAY(AE$10,2)&gt;5),0,ROUND(MAX(0,T.Abendbis-MAX(AE13,T.Abendab))-MAX(0,T.Abendbis-MAX(T.Abendab,AE14))+(AE13&gt;AE14)*(1+T.Abendab-T.Abendbis)+MAX(0,T.Abendbis-MAX(AE15,T.Abendab))-MAX(0,T.Abendbis-MAX(T.Abendab,AE16))+(AE15&gt;AE16)*(1+T.Abendab-T.Abendbis)+MAX(0,T.Abendbis-MAX(AE17,T.Abendab))-MAX(0,T.Abendbis-MAX(T.Abendab,AE18))+(AE17&gt;AE18)*(1+T.Abendab-T.Abendbis)+MAX(0,T.Abendbis-MAX(AE19,T.Abendab))-MAX(0,T.Abendbis-MAX(T.Abendab,AE20))+(AE19&gt;AE20)*(1+T.Abendab-T.Abendbis)+MAX(0,T.Abendbis-MAX(AE21,T.Abendab))-MAX(0,T.Abendbis-MAX(T.Abendab,AE22))+(AE21&gt;AE22)*(1+T.Abendab-T.Abendbis),9)),"")</f>
        <v/>
      </c>
      <c r="AF80" s="168" t="str">
        <f aca="false">A80</f>
        <v>Evening work</v>
      </c>
      <c r="AG80" s="250"/>
      <c r="AH80" s="207" t="n">
        <f aca="false">SUM(B80:AE80)</f>
        <v>0</v>
      </c>
      <c r="AI80" s="33"/>
      <c r="AJ80" s="192"/>
      <c r="AK80" s="216" t="n">
        <f aca="false">IF(EB.Anwendung&lt;&gt;"",IF(MONTH(Monat.Tag1)=1,0,IF(MONTH(Monat.Tag1)=2,January!Monat.AAUeVM,IF(MONTH(Monat.Tag1)=3,February!Monat.AAUeVM,IF(MONTH(Monat.Tag1)=4,March!Monat.AAUeVM,IF(MONTH(Monat.Tag1)=5,April!Monat.AAUeVM,IF(MONTH(Monat.Tag1)=6,May!Monat.AAUeVM,IF(MONTH(Monat.Tag1)=7,June!Monat.AAUeVM,IF(MONTH(Monat.Tag1)=8,July!Monat.AAUeVM,IF(MONTH(Monat.Tag1)=9,August!Monat.AAUeVM,IF(MONTH(Monat.Tag1)=10,September!Monat.AAUeVM,IF(MONTH(Monat.Tag1)=11,October!Monat.AAUeVM,IF(MONTH(Monat.Tag1)=12,Monat.AAUeVM,"")))))))))))),"")</f>
        <v>0</v>
      </c>
      <c r="AL80" s="172"/>
      <c r="AM80" s="217" t="n">
        <f aca="false">AH80+AK80</f>
        <v>0</v>
      </c>
      <c r="AN80" s="171"/>
      <c r="AO80" s="171"/>
      <c r="AP80" s="39"/>
    </row>
    <row r="81" s="148" customFormat="true" ht="15" hidden="false" customHeight="true" outlineLevel="1" collapsed="false">
      <c r="A81" s="175" t="s">
        <v>164</v>
      </c>
      <c r="B81" s="256" t="n">
        <f aca="true">IF(EB.Wochenarbeitszeit=50/24,"",IF(B$12=0,0,IF(OR(WEEKDAY(B$10,2)&gt;5,B$11=0),IF(NOT(B$34=INDEX(T.Pikett.Bereich,1)),1,0),IF(WEEKDAY(B$10,2)&lt;6,IF(AND(OR(B$34=INDEX(T.Pikett.Bereich,2),B$34=INDEX(T.Pikett.Bereich,3)),B$11=1),8/24,0))+IF(WEEKDAY(B$10,2)&lt;6,IF(AND(OR(B$34=INDEX(T.Pikett.Bereich,2),B$34=INDEX(T.Pikett.Bereich,3)),B$11=6/8.4),10/24,0)) +IF(WEEKDAY(B$10,2)&lt;6,IF(AND(OR(B$34=INDEX(T.Pikett.Bereich,2),B$34=INDEX(T.Pikett.Bereich,3)),B$11=0.5),0.5,0)) +IF(AND(B$34=INDEX(T.Pikett.Bereich,4),B$11=6/8.4),0.75,0)+IF(AND(B$34=INDEX(T.Pikett.Bereich,4),B$11=1),16/24,0) +IF(AND(B$34=INDEX(T.Pikett.Bereich,4),B$11=0.5),20/24,0))))</f>
        <v>0</v>
      </c>
      <c r="C81" s="256" t="n">
        <f aca="true">IF(EB.Wochenarbeitszeit=50/24,"",IF(C$12=0,0,IF(OR(WEEKDAY(C$10,2)&gt;5,C$11=0),IF(NOT(C$34=INDEX(T.Pikett.Bereich,1)),1,0),IF(WEEKDAY(C$10,2)&lt;6,IF(AND(OR(C$34=INDEX(T.Pikett.Bereich,2),C$34=INDEX(T.Pikett.Bereich,3)),C$11=1),8/24,0))+IF(WEEKDAY(C$10,2)&lt;6,IF(AND(OR(C$34=INDEX(T.Pikett.Bereich,2),C$34=INDEX(T.Pikett.Bereich,3)),C$11=6/8.4),10/24,0)) +IF(WEEKDAY(C$10,2)&lt;6,IF(AND(OR(C$34=INDEX(T.Pikett.Bereich,2),C$34=INDEX(T.Pikett.Bereich,3)),C$11=0.5),0.5,0)) +IF(AND(C$34=INDEX(T.Pikett.Bereich,4),C$11=6/8.4),0.75,0)+IF(AND(C$34=INDEX(T.Pikett.Bereich,4),C$11=1),16/24,0) +IF(AND(C$34=INDEX(T.Pikett.Bereich,4),C$11=0.5),20/24,0))))</f>
        <v>0</v>
      </c>
      <c r="D81" s="256" t="n">
        <f aca="true">IF(EB.Wochenarbeitszeit=50/24,"",IF(D$12=0,0,IF(OR(WEEKDAY(D$10,2)&gt;5,D$11=0),IF(NOT(D$34=INDEX(T.Pikett.Bereich,1)),1,0),IF(WEEKDAY(D$10,2)&lt;6,IF(AND(OR(D$34=INDEX(T.Pikett.Bereich,2),D$34=INDEX(T.Pikett.Bereich,3)),D$11=1),8/24,0))+IF(WEEKDAY(D$10,2)&lt;6,IF(AND(OR(D$34=INDEX(T.Pikett.Bereich,2),D$34=INDEX(T.Pikett.Bereich,3)),D$11=6/8.4),10/24,0)) +IF(WEEKDAY(D$10,2)&lt;6,IF(AND(OR(D$34=INDEX(T.Pikett.Bereich,2),D$34=INDEX(T.Pikett.Bereich,3)),D$11=0.5),0.5,0)) +IF(AND(D$34=INDEX(T.Pikett.Bereich,4),D$11=6/8.4),0.75,0)+IF(AND(D$34=INDEX(T.Pikett.Bereich,4),D$11=1),16/24,0) +IF(AND(D$34=INDEX(T.Pikett.Bereich,4),D$11=0.5),20/24,0))))</f>
        <v>0</v>
      </c>
      <c r="E81" s="256" t="n">
        <f aca="true">IF(EB.Wochenarbeitszeit=50/24,"",IF(E$12=0,0,IF(OR(WEEKDAY(E$10,2)&gt;5,E$11=0),IF(NOT(E$34=INDEX(T.Pikett.Bereich,1)),1,0),IF(WEEKDAY(E$10,2)&lt;6,IF(AND(OR(E$34=INDEX(T.Pikett.Bereich,2),E$34=INDEX(T.Pikett.Bereich,3)),E$11=1),8/24,0))+IF(WEEKDAY(E$10,2)&lt;6,IF(AND(OR(E$34=INDEX(T.Pikett.Bereich,2),E$34=INDEX(T.Pikett.Bereich,3)),E$11=6/8.4),10/24,0)) +IF(WEEKDAY(E$10,2)&lt;6,IF(AND(OR(E$34=INDEX(T.Pikett.Bereich,2),E$34=INDEX(T.Pikett.Bereich,3)),E$11=0.5),0.5,0)) +IF(AND(E$34=INDEX(T.Pikett.Bereich,4),E$11=6/8.4),0.75,0)+IF(AND(E$34=INDEX(T.Pikett.Bereich,4),E$11=1),16/24,0) +IF(AND(E$34=INDEX(T.Pikett.Bereich,4),E$11=0.5),20/24,0))))</f>
        <v>0</v>
      </c>
      <c r="F81" s="256" t="n">
        <f aca="true">IF(EB.Wochenarbeitszeit=50/24,"",IF(F$12=0,0,IF(OR(WEEKDAY(F$10,2)&gt;5,F$11=0),IF(NOT(F$34=INDEX(T.Pikett.Bereich,1)),1,0),IF(WEEKDAY(F$10,2)&lt;6,IF(AND(OR(F$34=INDEX(T.Pikett.Bereich,2),F$34=INDEX(T.Pikett.Bereich,3)),F$11=1),8/24,0))+IF(WEEKDAY(F$10,2)&lt;6,IF(AND(OR(F$34=INDEX(T.Pikett.Bereich,2),F$34=INDEX(T.Pikett.Bereich,3)),F$11=6/8.4),10/24,0)) +IF(WEEKDAY(F$10,2)&lt;6,IF(AND(OR(F$34=INDEX(T.Pikett.Bereich,2),F$34=INDEX(T.Pikett.Bereich,3)),F$11=0.5),0.5,0)) +IF(AND(F$34=INDEX(T.Pikett.Bereich,4),F$11=6/8.4),0.75,0)+IF(AND(F$34=INDEX(T.Pikett.Bereich,4),F$11=1),16/24,0) +IF(AND(F$34=INDEX(T.Pikett.Bereich,4),F$11=0.5),20/24,0))))</f>
        <v>0</v>
      </c>
      <c r="G81" s="256" t="n">
        <f aca="true">IF(EB.Wochenarbeitszeit=50/24,"",IF(G$12=0,0,IF(OR(WEEKDAY(G$10,2)&gt;5,G$11=0),IF(NOT(G$34=INDEX(T.Pikett.Bereich,1)),1,0),IF(WEEKDAY(G$10,2)&lt;6,IF(AND(OR(G$34=INDEX(T.Pikett.Bereich,2),G$34=INDEX(T.Pikett.Bereich,3)),G$11=1),8/24,0))+IF(WEEKDAY(G$10,2)&lt;6,IF(AND(OR(G$34=INDEX(T.Pikett.Bereich,2),G$34=INDEX(T.Pikett.Bereich,3)),G$11=6/8.4),10/24,0)) +IF(WEEKDAY(G$10,2)&lt;6,IF(AND(OR(G$34=INDEX(T.Pikett.Bereich,2),G$34=INDEX(T.Pikett.Bereich,3)),G$11=0.5),0.5,0)) +IF(AND(G$34=INDEX(T.Pikett.Bereich,4),G$11=6/8.4),0.75,0)+IF(AND(G$34=INDEX(T.Pikett.Bereich,4),G$11=1),16/24,0) +IF(AND(G$34=INDEX(T.Pikett.Bereich,4),G$11=0.5),20/24,0))))</f>
        <v>0</v>
      </c>
      <c r="H81" s="256" t="n">
        <f aca="true">IF(EB.Wochenarbeitszeit=50/24,"",IF(H$12=0,0,IF(OR(WEEKDAY(H$10,2)&gt;5,H$11=0),IF(NOT(H$34=INDEX(T.Pikett.Bereich,1)),1,0),IF(WEEKDAY(H$10,2)&lt;6,IF(AND(OR(H$34=INDEX(T.Pikett.Bereich,2),H$34=INDEX(T.Pikett.Bereich,3)),H$11=1),8/24,0))+IF(WEEKDAY(H$10,2)&lt;6,IF(AND(OR(H$34=INDEX(T.Pikett.Bereich,2),H$34=INDEX(T.Pikett.Bereich,3)),H$11=6/8.4),10/24,0)) +IF(WEEKDAY(H$10,2)&lt;6,IF(AND(OR(H$34=INDEX(T.Pikett.Bereich,2),H$34=INDEX(T.Pikett.Bereich,3)),H$11=0.5),0.5,0)) +IF(AND(H$34=INDEX(T.Pikett.Bereich,4),H$11=6/8.4),0.75,0)+IF(AND(H$34=INDEX(T.Pikett.Bereich,4),H$11=1),16/24,0) +IF(AND(H$34=INDEX(T.Pikett.Bereich,4),H$11=0.5),20/24,0))))</f>
        <v>0</v>
      </c>
      <c r="I81" s="256" t="n">
        <f aca="true">IF(EB.Wochenarbeitszeit=50/24,"",IF(I$12=0,0,IF(OR(WEEKDAY(I$10,2)&gt;5,I$11=0),IF(NOT(I$34=INDEX(T.Pikett.Bereich,1)),1,0),IF(WEEKDAY(I$10,2)&lt;6,IF(AND(OR(I$34=INDEX(T.Pikett.Bereich,2),I$34=INDEX(T.Pikett.Bereich,3)),I$11=1),8/24,0))+IF(WEEKDAY(I$10,2)&lt;6,IF(AND(OR(I$34=INDEX(T.Pikett.Bereich,2),I$34=INDEX(T.Pikett.Bereich,3)),I$11=6/8.4),10/24,0)) +IF(WEEKDAY(I$10,2)&lt;6,IF(AND(OR(I$34=INDEX(T.Pikett.Bereich,2),I$34=INDEX(T.Pikett.Bereich,3)),I$11=0.5),0.5,0)) +IF(AND(I$34=INDEX(T.Pikett.Bereich,4),I$11=6/8.4),0.75,0)+IF(AND(I$34=INDEX(T.Pikett.Bereich,4),I$11=1),16/24,0) +IF(AND(I$34=INDEX(T.Pikett.Bereich,4),I$11=0.5),20/24,0))))</f>
        <v>0</v>
      </c>
      <c r="J81" s="256" t="n">
        <f aca="true">IF(EB.Wochenarbeitszeit=50/24,"",IF(J$12=0,0,IF(OR(WEEKDAY(J$10,2)&gt;5,J$11=0),IF(NOT(J$34=INDEX(T.Pikett.Bereich,1)),1,0),IF(WEEKDAY(J$10,2)&lt;6,IF(AND(OR(J$34=INDEX(T.Pikett.Bereich,2),J$34=INDEX(T.Pikett.Bereich,3)),J$11=1),8/24,0))+IF(WEEKDAY(J$10,2)&lt;6,IF(AND(OR(J$34=INDEX(T.Pikett.Bereich,2),J$34=INDEX(T.Pikett.Bereich,3)),J$11=6/8.4),10/24,0)) +IF(WEEKDAY(J$10,2)&lt;6,IF(AND(OR(J$34=INDEX(T.Pikett.Bereich,2),J$34=INDEX(T.Pikett.Bereich,3)),J$11=0.5),0.5,0)) +IF(AND(J$34=INDEX(T.Pikett.Bereich,4),J$11=6/8.4),0.75,0)+IF(AND(J$34=INDEX(T.Pikett.Bereich,4),J$11=1),16/24,0) +IF(AND(J$34=INDEX(T.Pikett.Bereich,4),J$11=0.5),20/24,0))))</f>
        <v>0</v>
      </c>
      <c r="K81" s="256" t="n">
        <f aca="true">IF(EB.Wochenarbeitszeit=50/24,"",IF(K$12=0,0,IF(OR(WEEKDAY(K$10,2)&gt;5,K$11=0),IF(NOT(K$34=INDEX(T.Pikett.Bereich,1)),1,0),IF(WEEKDAY(K$10,2)&lt;6,IF(AND(OR(K$34=INDEX(T.Pikett.Bereich,2),K$34=INDEX(T.Pikett.Bereich,3)),K$11=1),8/24,0))+IF(WEEKDAY(K$10,2)&lt;6,IF(AND(OR(K$34=INDEX(T.Pikett.Bereich,2),K$34=INDEX(T.Pikett.Bereich,3)),K$11=6/8.4),10/24,0)) +IF(WEEKDAY(K$10,2)&lt;6,IF(AND(OR(K$34=INDEX(T.Pikett.Bereich,2),K$34=INDEX(T.Pikett.Bereich,3)),K$11=0.5),0.5,0)) +IF(AND(K$34=INDEX(T.Pikett.Bereich,4),K$11=6/8.4),0.75,0)+IF(AND(K$34=INDEX(T.Pikett.Bereich,4),K$11=1),16/24,0) +IF(AND(K$34=INDEX(T.Pikett.Bereich,4),K$11=0.5),20/24,0))))</f>
        <v>0</v>
      </c>
      <c r="L81" s="256" t="n">
        <f aca="true">IF(EB.Wochenarbeitszeit=50/24,"",IF(L$12=0,0,IF(OR(WEEKDAY(L$10,2)&gt;5,L$11=0),IF(NOT(L$34=INDEX(T.Pikett.Bereich,1)),1,0),IF(WEEKDAY(L$10,2)&lt;6,IF(AND(OR(L$34=INDEX(T.Pikett.Bereich,2),L$34=INDEX(T.Pikett.Bereich,3)),L$11=1),8/24,0))+IF(WEEKDAY(L$10,2)&lt;6,IF(AND(OR(L$34=INDEX(T.Pikett.Bereich,2),L$34=INDEX(T.Pikett.Bereich,3)),L$11=6/8.4),10/24,0)) +IF(WEEKDAY(L$10,2)&lt;6,IF(AND(OR(L$34=INDEX(T.Pikett.Bereich,2),L$34=INDEX(T.Pikett.Bereich,3)),L$11=0.5),0.5,0)) +IF(AND(L$34=INDEX(T.Pikett.Bereich,4),L$11=6/8.4),0.75,0)+IF(AND(L$34=INDEX(T.Pikett.Bereich,4),L$11=1),16/24,0) +IF(AND(L$34=INDEX(T.Pikett.Bereich,4),L$11=0.5),20/24,0))))</f>
        <v>0</v>
      </c>
      <c r="M81" s="256" t="n">
        <f aca="true">IF(EB.Wochenarbeitszeit=50/24,"",IF(M$12=0,0,IF(OR(WEEKDAY(M$10,2)&gt;5,M$11=0),IF(NOT(M$34=INDEX(T.Pikett.Bereich,1)),1,0),IF(WEEKDAY(M$10,2)&lt;6,IF(AND(OR(M$34=INDEX(T.Pikett.Bereich,2),M$34=INDEX(T.Pikett.Bereich,3)),M$11=1),8/24,0))+IF(WEEKDAY(M$10,2)&lt;6,IF(AND(OR(M$34=INDEX(T.Pikett.Bereich,2),M$34=INDEX(T.Pikett.Bereich,3)),M$11=6/8.4),10/24,0)) +IF(WEEKDAY(M$10,2)&lt;6,IF(AND(OR(M$34=INDEX(T.Pikett.Bereich,2),M$34=INDEX(T.Pikett.Bereich,3)),M$11=0.5),0.5,0)) +IF(AND(M$34=INDEX(T.Pikett.Bereich,4),M$11=6/8.4),0.75,0)+IF(AND(M$34=INDEX(T.Pikett.Bereich,4),M$11=1),16/24,0) +IF(AND(M$34=INDEX(T.Pikett.Bereich,4),M$11=0.5),20/24,0))))</f>
        <v>0</v>
      </c>
      <c r="N81" s="256" t="n">
        <f aca="true">IF(EB.Wochenarbeitszeit=50/24,"",IF(N$12=0,0,IF(OR(WEEKDAY(N$10,2)&gt;5,N$11=0),IF(NOT(N$34=INDEX(T.Pikett.Bereich,1)),1,0),IF(WEEKDAY(N$10,2)&lt;6,IF(AND(OR(N$34=INDEX(T.Pikett.Bereich,2),N$34=INDEX(T.Pikett.Bereich,3)),N$11=1),8/24,0))+IF(WEEKDAY(N$10,2)&lt;6,IF(AND(OR(N$34=INDEX(T.Pikett.Bereich,2),N$34=INDEX(T.Pikett.Bereich,3)),N$11=6/8.4),10/24,0)) +IF(WEEKDAY(N$10,2)&lt;6,IF(AND(OR(N$34=INDEX(T.Pikett.Bereich,2),N$34=INDEX(T.Pikett.Bereich,3)),N$11=0.5),0.5,0)) +IF(AND(N$34=INDEX(T.Pikett.Bereich,4),N$11=6/8.4),0.75,0)+IF(AND(N$34=INDEX(T.Pikett.Bereich,4),N$11=1),16/24,0) +IF(AND(N$34=INDEX(T.Pikett.Bereich,4),N$11=0.5),20/24,0))))</f>
        <v>0</v>
      </c>
      <c r="O81" s="256" t="n">
        <f aca="true">IF(EB.Wochenarbeitszeit=50/24,"",IF(O$12=0,0,IF(OR(WEEKDAY(O$10,2)&gt;5,O$11=0),IF(NOT(O$34=INDEX(T.Pikett.Bereich,1)),1,0),IF(WEEKDAY(O$10,2)&lt;6,IF(AND(OR(O$34=INDEX(T.Pikett.Bereich,2),O$34=INDEX(T.Pikett.Bereich,3)),O$11=1),8/24,0))+IF(WEEKDAY(O$10,2)&lt;6,IF(AND(OR(O$34=INDEX(T.Pikett.Bereich,2),O$34=INDEX(T.Pikett.Bereich,3)),O$11=6/8.4),10/24,0)) +IF(WEEKDAY(O$10,2)&lt;6,IF(AND(OR(O$34=INDEX(T.Pikett.Bereich,2),O$34=INDEX(T.Pikett.Bereich,3)),O$11=0.5),0.5,0)) +IF(AND(O$34=INDEX(T.Pikett.Bereich,4),O$11=6/8.4),0.75,0)+IF(AND(O$34=INDEX(T.Pikett.Bereich,4),O$11=1),16/24,0) +IF(AND(O$34=INDEX(T.Pikett.Bereich,4),O$11=0.5),20/24,0))))</f>
        <v>0</v>
      </c>
      <c r="P81" s="256" t="n">
        <f aca="true">IF(EB.Wochenarbeitszeit=50/24,"",IF(P$12=0,0,IF(OR(WEEKDAY(P$10,2)&gt;5,P$11=0),IF(NOT(P$34=INDEX(T.Pikett.Bereich,1)),1,0),IF(WEEKDAY(P$10,2)&lt;6,IF(AND(OR(P$34=INDEX(T.Pikett.Bereich,2),P$34=INDEX(T.Pikett.Bereich,3)),P$11=1),8/24,0))+IF(WEEKDAY(P$10,2)&lt;6,IF(AND(OR(P$34=INDEX(T.Pikett.Bereich,2),P$34=INDEX(T.Pikett.Bereich,3)),P$11=6/8.4),10/24,0)) +IF(WEEKDAY(P$10,2)&lt;6,IF(AND(OR(P$34=INDEX(T.Pikett.Bereich,2),P$34=INDEX(T.Pikett.Bereich,3)),P$11=0.5),0.5,0)) +IF(AND(P$34=INDEX(T.Pikett.Bereich,4),P$11=6/8.4),0.75,0)+IF(AND(P$34=INDEX(T.Pikett.Bereich,4),P$11=1),16/24,0) +IF(AND(P$34=INDEX(T.Pikett.Bereich,4),P$11=0.5),20/24,0))))</f>
        <v>0</v>
      </c>
      <c r="Q81" s="256" t="n">
        <f aca="true">IF(EB.Wochenarbeitszeit=50/24,"",IF(Q$12=0,0,IF(OR(WEEKDAY(Q$10,2)&gt;5,Q$11=0),IF(NOT(Q$34=INDEX(T.Pikett.Bereich,1)),1,0),IF(WEEKDAY(Q$10,2)&lt;6,IF(AND(OR(Q$34=INDEX(T.Pikett.Bereich,2),Q$34=INDEX(T.Pikett.Bereich,3)),Q$11=1),8/24,0))+IF(WEEKDAY(Q$10,2)&lt;6,IF(AND(OR(Q$34=INDEX(T.Pikett.Bereich,2),Q$34=INDEX(T.Pikett.Bereich,3)),Q$11=6/8.4),10/24,0)) +IF(WEEKDAY(Q$10,2)&lt;6,IF(AND(OR(Q$34=INDEX(T.Pikett.Bereich,2),Q$34=INDEX(T.Pikett.Bereich,3)),Q$11=0.5),0.5,0)) +IF(AND(Q$34=INDEX(T.Pikett.Bereich,4),Q$11=6/8.4),0.75,0)+IF(AND(Q$34=INDEX(T.Pikett.Bereich,4),Q$11=1),16/24,0) +IF(AND(Q$34=INDEX(T.Pikett.Bereich,4),Q$11=0.5),20/24,0))))</f>
        <v>0</v>
      </c>
      <c r="R81" s="256" t="n">
        <f aca="true">IF(EB.Wochenarbeitszeit=50/24,"",IF(R$12=0,0,IF(OR(WEEKDAY(R$10,2)&gt;5,R$11=0),IF(NOT(R$34=INDEX(T.Pikett.Bereich,1)),1,0),IF(WEEKDAY(R$10,2)&lt;6,IF(AND(OR(R$34=INDEX(T.Pikett.Bereich,2),R$34=INDEX(T.Pikett.Bereich,3)),R$11=1),8/24,0))+IF(WEEKDAY(R$10,2)&lt;6,IF(AND(OR(R$34=INDEX(T.Pikett.Bereich,2),R$34=INDEX(T.Pikett.Bereich,3)),R$11=6/8.4),10/24,0)) +IF(WEEKDAY(R$10,2)&lt;6,IF(AND(OR(R$34=INDEX(T.Pikett.Bereich,2),R$34=INDEX(T.Pikett.Bereich,3)),R$11=0.5),0.5,0)) +IF(AND(R$34=INDEX(T.Pikett.Bereich,4),R$11=6/8.4),0.75,0)+IF(AND(R$34=INDEX(T.Pikett.Bereich,4),R$11=1),16/24,0) +IF(AND(R$34=INDEX(T.Pikett.Bereich,4),R$11=0.5),20/24,0))))</f>
        <v>0</v>
      </c>
      <c r="S81" s="256" t="n">
        <f aca="true">IF(EB.Wochenarbeitszeit=50/24,"",IF(S$12=0,0,IF(OR(WEEKDAY(S$10,2)&gt;5,S$11=0),IF(NOT(S$34=INDEX(T.Pikett.Bereich,1)),1,0),IF(WEEKDAY(S$10,2)&lt;6,IF(AND(OR(S$34=INDEX(T.Pikett.Bereich,2),S$34=INDEX(T.Pikett.Bereich,3)),S$11=1),8/24,0))+IF(WEEKDAY(S$10,2)&lt;6,IF(AND(OR(S$34=INDEX(T.Pikett.Bereich,2),S$34=INDEX(T.Pikett.Bereich,3)),S$11=6/8.4),10/24,0)) +IF(WEEKDAY(S$10,2)&lt;6,IF(AND(OR(S$34=INDEX(T.Pikett.Bereich,2),S$34=INDEX(T.Pikett.Bereich,3)),S$11=0.5),0.5,0)) +IF(AND(S$34=INDEX(T.Pikett.Bereich,4),S$11=6/8.4),0.75,0)+IF(AND(S$34=INDEX(T.Pikett.Bereich,4),S$11=1),16/24,0) +IF(AND(S$34=INDEX(T.Pikett.Bereich,4),S$11=0.5),20/24,0))))</f>
        <v>0</v>
      </c>
      <c r="T81" s="256" t="n">
        <f aca="true">IF(EB.Wochenarbeitszeit=50/24,"",IF(T$12=0,0,IF(OR(WEEKDAY(T$10,2)&gt;5,T$11=0),IF(NOT(T$34=INDEX(T.Pikett.Bereich,1)),1,0),IF(WEEKDAY(T$10,2)&lt;6,IF(AND(OR(T$34=INDEX(T.Pikett.Bereich,2),T$34=INDEX(T.Pikett.Bereich,3)),T$11=1),8/24,0))+IF(WEEKDAY(T$10,2)&lt;6,IF(AND(OR(T$34=INDEX(T.Pikett.Bereich,2),T$34=INDEX(T.Pikett.Bereich,3)),T$11=6/8.4),10/24,0)) +IF(WEEKDAY(T$10,2)&lt;6,IF(AND(OR(T$34=INDEX(T.Pikett.Bereich,2),T$34=INDEX(T.Pikett.Bereich,3)),T$11=0.5),0.5,0)) +IF(AND(T$34=INDEX(T.Pikett.Bereich,4),T$11=6/8.4),0.75,0)+IF(AND(T$34=INDEX(T.Pikett.Bereich,4),T$11=1),16/24,0) +IF(AND(T$34=INDEX(T.Pikett.Bereich,4),T$11=0.5),20/24,0))))</f>
        <v>0</v>
      </c>
      <c r="U81" s="256" t="n">
        <f aca="true">IF(EB.Wochenarbeitszeit=50/24,"",IF(U$12=0,0,IF(OR(WEEKDAY(U$10,2)&gt;5,U$11=0),IF(NOT(U$34=INDEX(T.Pikett.Bereich,1)),1,0),IF(WEEKDAY(U$10,2)&lt;6,IF(AND(OR(U$34=INDEX(T.Pikett.Bereich,2),U$34=INDEX(T.Pikett.Bereich,3)),U$11=1),8/24,0))+IF(WEEKDAY(U$10,2)&lt;6,IF(AND(OR(U$34=INDEX(T.Pikett.Bereich,2),U$34=INDEX(T.Pikett.Bereich,3)),U$11=6/8.4),10/24,0)) +IF(WEEKDAY(U$10,2)&lt;6,IF(AND(OR(U$34=INDEX(T.Pikett.Bereich,2),U$34=INDEX(T.Pikett.Bereich,3)),U$11=0.5),0.5,0)) +IF(AND(U$34=INDEX(T.Pikett.Bereich,4),U$11=6/8.4),0.75,0)+IF(AND(U$34=INDEX(T.Pikett.Bereich,4),U$11=1),16/24,0) +IF(AND(U$34=INDEX(T.Pikett.Bereich,4),U$11=0.5),20/24,0))))</f>
        <v>0</v>
      </c>
      <c r="V81" s="256" t="n">
        <f aca="true">IF(EB.Wochenarbeitszeit=50/24,"",IF(V$12=0,0,IF(OR(WEEKDAY(V$10,2)&gt;5,V$11=0),IF(NOT(V$34=INDEX(T.Pikett.Bereich,1)),1,0),IF(WEEKDAY(V$10,2)&lt;6,IF(AND(OR(V$34=INDEX(T.Pikett.Bereich,2),V$34=INDEX(T.Pikett.Bereich,3)),V$11=1),8/24,0))+IF(WEEKDAY(V$10,2)&lt;6,IF(AND(OR(V$34=INDEX(T.Pikett.Bereich,2),V$34=INDEX(T.Pikett.Bereich,3)),V$11=6/8.4),10/24,0)) +IF(WEEKDAY(V$10,2)&lt;6,IF(AND(OR(V$34=INDEX(T.Pikett.Bereich,2),V$34=INDEX(T.Pikett.Bereich,3)),V$11=0.5),0.5,0)) +IF(AND(V$34=INDEX(T.Pikett.Bereich,4),V$11=6/8.4),0.75,0)+IF(AND(V$34=INDEX(T.Pikett.Bereich,4),V$11=1),16/24,0) +IF(AND(V$34=INDEX(T.Pikett.Bereich,4),V$11=0.5),20/24,0))))</f>
        <v>0</v>
      </c>
      <c r="W81" s="256" t="n">
        <f aca="true">IF(EB.Wochenarbeitszeit=50/24,"",IF(W$12=0,0,IF(OR(WEEKDAY(W$10,2)&gt;5,W$11=0),IF(NOT(W$34=INDEX(T.Pikett.Bereich,1)),1,0),IF(WEEKDAY(W$10,2)&lt;6,IF(AND(OR(W$34=INDEX(T.Pikett.Bereich,2),W$34=INDEX(T.Pikett.Bereich,3)),W$11=1),8/24,0))+IF(WEEKDAY(W$10,2)&lt;6,IF(AND(OR(W$34=INDEX(T.Pikett.Bereich,2),W$34=INDEX(T.Pikett.Bereich,3)),W$11=6/8.4),10/24,0)) +IF(WEEKDAY(W$10,2)&lt;6,IF(AND(OR(W$34=INDEX(T.Pikett.Bereich,2),W$34=INDEX(T.Pikett.Bereich,3)),W$11=0.5),0.5,0)) +IF(AND(W$34=INDEX(T.Pikett.Bereich,4),W$11=6/8.4),0.75,0)+IF(AND(W$34=INDEX(T.Pikett.Bereich,4),W$11=1),16/24,0) +IF(AND(W$34=INDEX(T.Pikett.Bereich,4),W$11=0.5),20/24,0))))</f>
        <v>0</v>
      </c>
      <c r="X81" s="256" t="n">
        <f aca="true">IF(EB.Wochenarbeitszeit=50/24,"",IF(X$12=0,0,IF(OR(WEEKDAY(X$10,2)&gt;5,X$11=0),IF(NOT(X$34=INDEX(T.Pikett.Bereich,1)),1,0),IF(WEEKDAY(X$10,2)&lt;6,IF(AND(OR(X$34=INDEX(T.Pikett.Bereich,2),X$34=INDEX(T.Pikett.Bereich,3)),X$11=1),8/24,0))+IF(WEEKDAY(X$10,2)&lt;6,IF(AND(OR(X$34=INDEX(T.Pikett.Bereich,2),X$34=INDEX(T.Pikett.Bereich,3)),X$11=6/8.4),10/24,0)) +IF(WEEKDAY(X$10,2)&lt;6,IF(AND(OR(X$34=INDEX(T.Pikett.Bereich,2),X$34=INDEX(T.Pikett.Bereich,3)),X$11=0.5),0.5,0)) +IF(AND(X$34=INDEX(T.Pikett.Bereich,4),X$11=6/8.4),0.75,0)+IF(AND(X$34=INDEX(T.Pikett.Bereich,4),X$11=1),16/24,0) +IF(AND(X$34=INDEX(T.Pikett.Bereich,4),X$11=0.5),20/24,0))))</f>
        <v>0</v>
      </c>
      <c r="Y81" s="256" t="n">
        <f aca="true">IF(EB.Wochenarbeitszeit=50/24,"",IF(Y$12=0,0,IF(OR(WEEKDAY(Y$10,2)&gt;5,Y$11=0),IF(NOT(Y$34=INDEX(T.Pikett.Bereich,1)),1,0),IF(WEEKDAY(Y$10,2)&lt;6,IF(AND(OR(Y$34=INDEX(T.Pikett.Bereich,2),Y$34=INDEX(T.Pikett.Bereich,3)),Y$11=1),8/24,0))+IF(WEEKDAY(Y$10,2)&lt;6,IF(AND(OR(Y$34=INDEX(T.Pikett.Bereich,2),Y$34=INDEX(T.Pikett.Bereich,3)),Y$11=6/8.4),10/24,0)) +IF(WEEKDAY(Y$10,2)&lt;6,IF(AND(OR(Y$34=INDEX(T.Pikett.Bereich,2),Y$34=INDEX(T.Pikett.Bereich,3)),Y$11=0.5),0.5,0)) +IF(AND(Y$34=INDEX(T.Pikett.Bereich,4),Y$11=6/8.4),0.75,0)+IF(AND(Y$34=INDEX(T.Pikett.Bereich,4),Y$11=1),16/24,0) +IF(AND(Y$34=INDEX(T.Pikett.Bereich,4),Y$11=0.5),20/24,0))))</f>
        <v>0</v>
      </c>
      <c r="Z81" s="256" t="n">
        <f aca="true">IF(EB.Wochenarbeitszeit=50/24,"",IF(Z$12=0,0,IF(OR(WEEKDAY(Z$10,2)&gt;5,Z$11=0),IF(NOT(Z$34=INDEX(T.Pikett.Bereich,1)),1,0),IF(WEEKDAY(Z$10,2)&lt;6,IF(AND(OR(Z$34=INDEX(T.Pikett.Bereich,2),Z$34=INDEX(T.Pikett.Bereich,3)),Z$11=1),8/24,0))+IF(WEEKDAY(Z$10,2)&lt;6,IF(AND(OR(Z$34=INDEX(T.Pikett.Bereich,2),Z$34=INDEX(T.Pikett.Bereich,3)),Z$11=6/8.4),10/24,0)) +IF(WEEKDAY(Z$10,2)&lt;6,IF(AND(OR(Z$34=INDEX(T.Pikett.Bereich,2),Z$34=INDEX(T.Pikett.Bereich,3)),Z$11=0.5),0.5,0)) +IF(AND(Z$34=INDEX(T.Pikett.Bereich,4),Z$11=6/8.4),0.75,0)+IF(AND(Z$34=INDEX(T.Pikett.Bereich,4),Z$11=1),16/24,0) +IF(AND(Z$34=INDEX(T.Pikett.Bereich,4),Z$11=0.5),20/24,0))))</f>
        <v>0</v>
      </c>
      <c r="AA81" s="256" t="n">
        <f aca="true">IF(EB.Wochenarbeitszeit=50/24,"",IF(AA$12=0,0,IF(OR(WEEKDAY(AA$10,2)&gt;5,AA$11=0),IF(NOT(AA$34=INDEX(T.Pikett.Bereich,1)),1,0),IF(WEEKDAY(AA$10,2)&lt;6,IF(AND(OR(AA$34=INDEX(T.Pikett.Bereich,2),AA$34=INDEX(T.Pikett.Bereich,3)),AA$11=1),8/24,0))+IF(WEEKDAY(AA$10,2)&lt;6,IF(AND(OR(AA$34=INDEX(T.Pikett.Bereich,2),AA$34=INDEX(T.Pikett.Bereich,3)),AA$11=6/8.4),10/24,0)) +IF(WEEKDAY(AA$10,2)&lt;6,IF(AND(OR(AA$34=INDEX(T.Pikett.Bereich,2),AA$34=INDEX(T.Pikett.Bereich,3)),AA$11=0.5),0.5,0)) +IF(AND(AA$34=INDEX(T.Pikett.Bereich,4),AA$11=6/8.4),0.75,0)+IF(AND(AA$34=INDEX(T.Pikett.Bereich,4),AA$11=1),16/24,0) +IF(AND(AA$34=INDEX(T.Pikett.Bereich,4),AA$11=0.5),20/24,0))))</f>
        <v>0</v>
      </c>
      <c r="AB81" s="256" t="n">
        <f aca="true">IF(EB.Wochenarbeitszeit=50/24,"",IF(AB$12=0,0,IF(OR(WEEKDAY(AB$10,2)&gt;5,AB$11=0),IF(NOT(AB$34=INDEX(T.Pikett.Bereich,1)),1,0),IF(WEEKDAY(AB$10,2)&lt;6,IF(AND(OR(AB$34=INDEX(T.Pikett.Bereich,2),AB$34=INDEX(T.Pikett.Bereich,3)),AB$11=1),8/24,0))+IF(WEEKDAY(AB$10,2)&lt;6,IF(AND(OR(AB$34=INDEX(T.Pikett.Bereich,2),AB$34=INDEX(T.Pikett.Bereich,3)),AB$11=6/8.4),10/24,0)) +IF(WEEKDAY(AB$10,2)&lt;6,IF(AND(OR(AB$34=INDEX(T.Pikett.Bereich,2),AB$34=INDEX(T.Pikett.Bereich,3)),AB$11=0.5),0.5,0)) +IF(AND(AB$34=INDEX(T.Pikett.Bereich,4),AB$11=6/8.4),0.75,0)+IF(AND(AB$34=INDEX(T.Pikett.Bereich,4),AB$11=1),16/24,0) +IF(AND(AB$34=INDEX(T.Pikett.Bereich,4),AB$11=0.5),20/24,0))))</f>
        <v>0</v>
      </c>
      <c r="AC81" s="256" t="n">
        <f aca="true">IF(EB.Wochenarbeitszeit=50/24,"",IF(AC$12=0,0,IF(OR(WEEKDAY(AC$10,2)&gt;5,AC$11=0),IF(NOT(AC$34=INDEX(T.Pikett.Bereich,1)),1,0),IF(WEEKDAY(AC$10,2)&lt;6,IF(AND(OR(AC$34=INDEX(T.Pikett.Bereich,2),AC$34=INDEX(T.Pikett.Bereich,3)),AC$11=1),8/24,0))+IF(WEEKDAY(AC$10,2)&lt;6,IF(AND(OR(AC$34=INDEX(T.Pikett.Bereich,2),AC$34=INDEX(T.Pikett.Bereich,3)),AC$11=6/8.4),10/24,0)) +IF(WEEKDAY(AC$10,2)&lt;6,IF(AND(OR(AC$34=INDEX(T.Pikett.Bereich,2),AC$34=INDEX(T.Pikett.Bereich,3)),AC$11=0.5),0.5,0)) +IF(AND(AC$34=INDEX(T.Pikett.Bereich,4),AC$11=6/8.4),0.75,0)+IF(AND(AC$34=INDEX(T.Pikett.Bereich,4),AC$11=1),16/24,0) +IF(AND(AC$34=INDEX(T.Pikett.Bereich,4),AC$11=0.5),20/24,0))))</f>
        <v>0</v>
      </c>
      <c r="AD81" s="256" t="n">
        <f aca="true">IF(EB.Wochenarbeitszeit=50/24,"",IF(AD$12=0,0,IF(OR(WEEKDAY(AD$10,2)&gt;5,AD$11=0),IF(NOT(AD$34=INDEX(T.Pikett.Bereich,1)),1,0),IF(WEEKDAY(AD$10,2)&lt;6,IF(AND(OR(AD$34=INDEX(T.Pikett.Bereich,2),AD$34=INDEX(T.Pikett.Bereich,3)),AD$11=1),8/24,0))+IF(WEEKDAY(AD$10,2)&lt;6,IF(AND(OR(AD$34=INDEX(T.Pikett.Bereich,2),AD$34=INDEX(T.Pikett.Bereich,3)),AD$11=6/8.4),10/24,0)) +IF(WEEKDAY(AD$10,2)&lt;6,IF(AND(OR(AD$34=INDEX(T.Pikett.Bereich,2),AD$34=INDEX(T.Pikett.Bereich,3)),AD$11=0.5),0.5,0)) +IF(AND(AD$34=INDEX(T.Pikett.Bereich,4),AD$11=6/8.4),0.75,0)+IF(AND(AD$34=INDEX(T.Pikett.Bereich,4),AD$11=1),16/24,0) +IF(AND(AD$34=INDEX(T.Pikett.Bereich,4),AD$11=0.5),20/24,0))))</f>
        <v>0</v>
      </c>
      <c r="AE81" s="256" t="n">
        <f aca="true">IF(EB.Wochenarbeitszeit=50/24,"",IF(AE$12=0,0,IF(OR(WEEKDAY(AE$10,2)&gt;5,AE$11=0),IF(NOT(AE$34=INDEX(T.Pikett.Bereich,1)),1,0),IF(WEEKDAY(AE$10,2)&lt;6,IF(AND(OR(AE$34=INDEX(T.Pikett.Bereich,2),AE$34=INDEX(T.Pikett.Bereich,3)),AE$11=1),8/24,0))+IF(WEEKDAY(AE$10,2)&lt;6,IF(AND(OR(AE$34=INDEX(T.Pikett.Bereich,2),AE$34=INDEX(T.Pikett.Bereich,3)),AE$11=6/8.4),10/24,0)) +IF(WEEKDAY(AE$10,2)&lt;6,IF(AND(OR(AE$34=INDEX(T.Pikett.Bereich,2),AE$34=INDEX(T.Pikett.Bereich,3)),AE$11=0.5),0.5,0)) +IF(AND(AE$34=INDEX(T.Pikett.Bereich,4),AE$11=6/8.4),0.75,0)+IF(AND(AE$34=INDEX(T.Pikett.Bereich,4),AE$11=1),16/24,0) +IF(AND(AE$34=INDEX(T.Pikett.Bereich,4),AE$11=0.5),20/24,0))))</f>
        <v>0</v>
      </c>
      <c r="AF81" s="168" t="str">
        <f aca="false">A81</f>
        <v>On-call duty</v>
      </c>
      <c r="AG81" s="250"/>
      <c r="AH81" s="207" t="n">
        <f aca="false">SUM(B81:AE81)</f>
        <v>0</v>
      </c>
      <c r="AI81" s="33"/>
      <c r="AJ81" s="192"/>
      <c r="AK81" s="216" t="n">
        <f aca="false">IF(EB.Anwendung&lt;&gt;"",IF(MONTH(Monat.Tag1)=1,0,IF(MONTH(Monat.Tag1)=2,January!Monat.BDUeVM,IF(MONTH(Monat.Tag1)=3,February!Monat.BDUeVM,IF(MONTH(Monat.Tag1)=4,March!Monat.BDUeVM,IF(MONTH(Monat.Tag1)=5,April!Monat.BDUeVM,IF(MONTH(Monat.Tag1)=6,May!Monat.BDUeVM,IF(MONTH(Monat.Tag1)=7,June!Monat.BDUeVM,IF(MONTH(Monat.Tag1)=8,July!Monat.BDUeVM,IF(MONTH(Monat.Tag1)=9,August!Monat.BDUeVM,IF(MONTH(Monat.Tag1)=10,September!Monat.BDUeVM,IF(MONTH(Monat.Tag1)=11,October!Monat.BDUeVM,IF(MONTH(Monat.Tag1)=12,Monat.BDUeVM,"")))))))))))),"")</f>
        <v>0</v>
      </c>
      <c r="AL81" s="172"/>
      <c r="AM81" s="217" t="n">
        <f aca="false">AH81+AK81</f>
        <v>0</v>
      </c>
      <c r="AN81" s="171"/>
      <c r="AO81" s="171"/>
      <c r="AP81" s="39"/>
    </row>
    <row r="82" s="148" customFormat="true" ht="15" hidden="false" customHeight="true" outlineLevel="1" collapsed="false">
      <c r="A82" s="175" t="s">
        <v>165</v>
      </c>
      <c r="B82" s="256" t="n">
        <f aca="false">IF(B$12=0,"",IF(OR(WEEKDAY(B$10,2)&gt;5,B$11=0), IF(T.50_NoVetsuisse,B45, IF(T.50_Vetsuisse,IF(B23-B73=0,"",B23-B73), IF(T.ServiceCenterIrchel,B23, B60))),))</f>
        <v>0</v>
      </c>
      <c r="C82" s="256" t="n">
        <f aca="false">IF(C$12=0,"",IF(OR(WEEKDAY(C$10,2)&gt;5,C$11=0), IF(T.50_NoVetsuisse,C45, IF(T.50_Vetsuisse,IF(C23-C73=0,"",C23-C73), IF(T.ServiceCenterIrchel,C23, C60))),))</f>
        <v>0</v>
      </c>
      <c r="D82" s="257" t="str">
        <f aca="false">IF(D$12=0,"",IF(OR(WEEKDAY(D$10,2)&gt;5,D$11=0), IF(T.50_NoVetsuisse,D45, IF(T.50_Vetsuisse,IF(D23-D73=0,"",D23-D73), IF(T.ServiceCenterIrchel,D23, D60))),))</f>
        <v/>
      </c>
      <c r="E82" s="256" t="str">
        <f aca="false">IF(E$12=0,"",IF(OR(WEEKDAY(E$10,2)&gt;5,E$11=0), IF(T.50_NoVetsuisse,E45, IF(T.50_Vetsuisse,IF(E23-E73=0,"",E23-E73), IF(T.ServiceCenterIrchel,E23, E60))),))</f>
        <v/>
      </c>
      <c r="F82" s="257" t="n">
        <f aca="false">IF(F$12=0,"",IF(OR(WEEKDAY(F$10,2)&gt;5,F$11=0), IF(T.50_NoVetsuisse,F45, IF(T.50_Vetsuisse,IF(F23-F73=0,"",F23-F73), IF(T.ServiceCenterIrchel,F23, F60))),))</f>
        <v>0</v>
      </c>
      <c r="G82" s="257" t="n">
        <f aca="false">IF(G$12=0,"",IF(OR(WEEKDAY(G$10,2)&gt;5,G$11=0), IF(T.50_NoVetsuisse,G45, IF(T.50_Vetsuisse,IF(G23-G73=0,"",G23-G73), IF(T.ServiceCenterIrchel,G23, G60))),))</f>
        <v>0</v>
      </c>
      <c r="H82" s="257" t="n">
        <f aca="false">IF(H$12=0,"",IF(OR(WEEKDAY(H$10,2)&gt;5,H$11=0), IF(T.50_NoVetsuisse,H45, IF(T.50_Vetsuisse,IF(H23-H73=0,"",H23-H73), IF(T.ServiceCenterIrchel,H23, H60))),))</f>
        <v>0</v>
      </c>
      <c r="I82" s="257" t="n">
        <f aca="false">IF(I$12=0,"",IF(OR(WEEKDAY(I$10,2)&gt;5,I$11=0), IF(T.50_NoVetsuisse,I45, IF(T.50_Vetsuisse,IF(I23-I73=0,"",I23-I73), IF(T.ServiceCenterIrchel,I23, I60))),))</f>
        <v>0</v>
      </c>
      <c r="J82" s="256" t="n">
        <f aca="false">IF(J$12=0,"",IF(OR(WEEKDAY(J$10,2)&gt;5,J$11=0), IF(T.50_NoVetsuisse,J45, IF(T.50_Vetsuisse,IF(J23-J73=0,"",J23-J73), IF(T.ServiceCenterIrchel,J23, J60))),))</f>
        <v>0</v>
      </c>
      <c r="K82" s="257" t="str">
        <f aca="false">IF(K$12=0,"",IF(OR(WEEKDAY(K$10,2)&gt;5,K$11=0), IF(T.50_NoVetsuisse,K45, IF(T.50_Vetsuisse,IF(K23-K73=0,"",K23-K73), IF(T.ServiceCenterIrchel,K23, K60))),))</f>
        <v/>
      </c>
      <c r="L82" s="256" t="str">
        <f aca="false">IF(L$12=0,"",IF(OR(WEEKDAY(L$10,2)&gt;5,L$11=0), IF(T.50_NoVetsuisse,L45, IF(T.50_Vetsuisse,IF(L23-L73=0,"",L23-L73), IF(T.ServiceCenterIrchel,L23, L60))),))</f>
        <v/>
      </c>
      <c r="M82" s="257" t="n">
        <f aca="false">IF(M$12=0,"",IF(OR(WEEKDAY(M$10,2)&gt;5,M$11=0), IF(T.50_NoVetsuisse,M45, IF(T.50_Vetsuisse,IF(M23-M73=0,"",M23-M73), IF(T.ServiceCenterIrchel,M23, M60))),))</f>
        <v>0</v>
      </c>
      <c r="N82" s="257" t="n">
        <f aca="false">IF(N$12=0,"",IF(OR(WEEKDAY(N$10,2)&gt;5,N$11=0), IF(T.50_NoVetsuisse,N45, IF(T.50_Vetsuisse,IF(N23-N73=0,"",N23-N73), IF(T.ServiceCenterIrchel,N23, N60))),))</f>
        <v>0</v>
      </c>
      <c r="O82" s="257" t="n">
        <f aca="false">IF(O$12=0,"",IF(OR(WEEKDAY(O$10,2)&gt;5,O$11=0), IF(T.50_NoVetsuisse,O45, IF(T.50_Vetsuisse,IF(O23-O73=0,"",O23-O73), IF(T.ServiceCenterIrchel,O23, O60))),))</f>
        <v>0</v>
      </c>
      <c r="P82" s="257" t="n">
        <f aca="false">IF(P$12=0,"",IF(OR(WEEKDAY(P$10,2)&gt;5,P$11=0), IF(T.50_NoVetsuisse,P45, IF(T.50_Vetsuisse,IF(P23-P73=0,"",P23-P73), IF(T.ServiceCenterIrchel,P23, P60))),))</f>
        <v>0</v>
      </c>
      <c r="Q82" s="256" t="n">
        <f aca="false">IF(Q$12=0,"",IF(OR(WEEKDAY(Q$10,2)&gt;5,Q$11=0), IF(T.50_NoVetsuisse,Q45, IF(T.50_Vetsuisse,IF(Q23-Q73=0,"",Q23-Q73), IF(T.ServiceCenterIrchel,Q23, Q60))),))</f>
        <v>0</v>
      </c>
      <c r="R82" s="257" t="str">
        <f aca="false">IF(R$12=0,"",IF(OR(WEEKDAY(R$10,2)&gt;5,R$11=0), IF(T.50_NoVetsuisse,R45, IF(T.50_Vetsuisse,IF(R23-R73=0,"",R23-R73), IF(T.ServiceCenterIrchel,R23, R60))),))</f>
        <v/>
      </c>
      <c r="S82" s="256" t="str">
        <f aca="false">IF(S$12=0,"",IF(OR(WEEKDAY(S$10,2)&gt;5,S$11=0), IF(T.50_NoVetsuisse,S45, IF(T.50_Vetsuisse,IF(S23-S73=0,"",S23-S73), IF(T.ServiceCenterIrchel,S23, S60))),))</f>
        <v/>
      </c>
      <c r="T82" s="256" t="n">
        <f aca="false">IF(T$12=0,"",IF(OR(WEEKDAY(T$10,2)&gt;5,T$11=0), IF(T.50_NoVetsuisse,T45, IF(T.50_Vetsuisse,IF(T23-T73=0,"",T23-T73), IF(T.ServiceCenterIrchel,T23, T60))),))</f>
        <v>0</v>
      </c>
      <c r="U82" s="257" t="n">
        <f aca="false">IF(U$12=0,"",IF(OR(WEEKDAY(U$10,2)&gt;5,U$11=0), IF(T.50_NoVetsuisse,U45, IF(T.50_Vetsuisse,IF(U23-U73=0,"",U23-U73), IF(T.ServiceCenterIrchel,U23, U60))),))</f>
        <v>0</v>
      </c>
      <c r="V82" s="257" t="n">
        <f aca="false">IF(V$12=0,"",IF(OR(WEEKDAY(V$10,2)&gt;5,V$11=0), IF(T.50_NoVetsuisse,V45, IF(T.50_Vetsuisse,IF(V23-V73=0,"",V23-V73), IF(T.ServiceCenterIrchel,V23, V60))),))</f>
        <v>0</v>
      </c>
      <c r="W82" s="257" t="n">
        <f aca="false">IF(W$12=0,"",IF(OR(WEEKDAY(W$10,2)&gt;5,W$11=0), IF(T.50_NoVetsuisse,W45, IF(T.50_Vetsuisse,IF(W23-W73=0,"",W23-W73), IF(T.ServiceCenterIrchel,W23, W60))),))</f>
        <v>0</v>
      </c>
      <c r="X82" s="256" t="n">
        <f aca="false">IF(X$12=0,"",IF(OR(WEEKDAY(X$10,2)&gt;5,X$11=0), IF(T.50_NoVetsuisse,X45, IF(T.50_Vetsuisse,IF(X23-X73=0,"",X23-X73), IF(T.ServiceCenterIrchel,X23, X60))),))</f>
        <v>0</v>
      </c>
      <c r="Y82" s="257" t="str">
        <f aca="false">IF(Y$12=0,"",IF(OR(WEEKDAY(Y$10,2)&gt;5,Y$11=0), IF(T.50_NoVetsuisse,Y45, IF(T.50_Vetsuisse,IF(Y23-Y73=0,"",Y23-Y73), IF(T.ServiceCenterIrchel,Y23, Y60))),))</f>
        <v/>
      </c>
      <c r="Z82" s="258" t="str">
        <f aca="false">IF(Z$12=0,"",IF(OR(WEEKDAY(Z$10,2)&gt;5,Z$11=0), IF(T.50_NoVetsuisse,Z45, IF(T.50_Vetsuisse,IF(Z23-Z73=0,"",Z23-Z73), IF(T.ServiceCenterIrchel,Z23, Z60))),))</f>
        <v/>
      </c>
      <c r="AA82" s="257" t="n">
        <f aca="false">IF(AA$12=0,"",IF(OR(WEEKDAY(AA$10,2)&gt;5,AA$11=0), IF(T.50_NoVetsuisse,AA45, IF(T.50_Vetsuisse,IF(AA23-AA73=0,"",AA23-AA73), IF(T.ServiceCenterIrchel,AA23, AA60))),))</f>
        <v>0</v>
      </c>
      <c r="AB82" s="257" t="n">
        <f aca="false">IF(AB$12=0,"",IF(OR(WEEKDAY(AB$10,2)&gt;5,AB$11=0), IF(T.50_NoVetsuisse,AB45, IF(T.50_Vetsuisse,IF(AB23-AB73=0,"",AB23-AB73), IF(T.ServiceCenterIrchel,AB23, AB60))),))</f>
        <v>0</v>
      </c>
      <c r="AC82" s="257" t="n">
        <f aca="false">IF(AC$12=0,"",IF(OR(WEEKDAY(AC$10,2)&gt;5,AC$11=0), IF(T.50_NoVetsuisse,AC45, IF(T.50_Vetsuisse,IF(AC23-AC73=0,"",AC23-AC73), IF(T.ServiceCenterIrchel,AC23, AC60))),))</f>
        <v>0</v>
      </c>
      <c r="AD82" s="257" t="n">
        <f aca="false">IF(AD$12=0,"",IF(OR(WEEKDAY(AD$10,2)&gt;5,AD$11=0), IF(T.50_NoVetsuisse,AD45, IF(T.50_Vetsuisse,IF(AD23-AD73=0,"",AD23-AD73), IF(T.ServiceCenterIrchel,AD23, AD60))),))</f>
        <v>0</v>
      </c>
      <c r="AE82" s="256" t="n">
        <f aca="false">IF(AE$12=0,"",IF(OR(WEEKDAY(AE$10,2)&gt;5,AE$11=0), IF(T.50_NoVetsuisse,AE45, IF(T.50_Vetsuisse,IF(AE23-AE73=0,"",AE23-AE73), IF(T.ServiceCenterIrchel,AE23, AE60))),))</f>
        <v>0</v>
      </c>
      <c r="AF82" s="168" t="str">
        <f aca="false">A82</f>
        <v>Saturday/Sunday shift</v>
      </c>
      <c r="AG82" s="197"/>
      <c r="AH82" s="207" t="n">
        <f aca="false">SUM(B82:AE82)</f>
        <v>0</v>
      </c>
      <c r="AI82" s="198" t="n">
        <f aca="false">IFERROR(SUMPRODUCT((B82:AE82&gt;0)*(B82:AE82&lt;&gt;"")),0)</f>
        <v>0</v>
      </c>
      <c r="AJ82" s="192"/>
      <c r="AK82" s="216" t="n">
        <f aca="false">IF(EB.Anwendung&lt;&gt;"",IF(MONTH(Monat.Tag1)=1,0,IF(MONTH(Monat.Tag1)=2,January!Monat.SDUeVM,IF(MONTH(Monat.Tag1)=3,February!Monat.SDUeVM,IF(MONTH(Monat.Tag1)=4,March!Monat.SDUeVM,IF(MONTH(Monat.Tag1)=5,April!Monat.SDUeVM,IF(MONTH(Monat.Tag1)=6,May!Monat.SDUeVM,IF(MONTH(Monat.Tag1)=7,June!Monat.SDUeVM,IF(MONTH(Monat.Tag1)=8,July!Monat.SDUeVM,IF(MONTH(Monat.Tag1)=9,August!Monat.SDUeVM,IF(MONTH(Monat.Tag1)=10,September!Monat.SDUeVM,IF(MONTH(Monat.Tag1)=11,October!Monat.SDUeVM,IF(MONTH(Monat.Tag1)=12,Monat.SDUeVM,"")))))))))))),"")</f>
        <v>0</v>
      </c>
      <c r="AL82" s="172"/>
      <c r="AM82" s="217" t="n">
        <f aca="false">AH82+AK82</f>
        <v>0</v>
      </c>
      <c r="AN82" s="171"/>
      <c r="AO82" s="171"/>
      <c r="AP82" s="39"/>
    </row>
    <row r="83" s="148" customFormat="true" ht="11.25" hidden="false" customHeight="true" outlineLevel="1" collapsed="false">
      <c r="A83" s="186"/>
      <c r="B83" s="194"/>
      <c r="C83" s="194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4"/>
      <c r="O83" s="194"/>
      <c r="P83" s="194"/>
      <c r="Q83" s="194"/>
      <c r="R83" s="194"/>
      <c r="S83" s="194"/>
      <c r="T83" s="194"/>
      <c r="U83" s="194"/>
      <c r="V83" s="194"/>
      <c r="W83" s="194"/>
      <c r="X83" s="194"/>
      <c r="Y83" s="194"/>
      <c r="Z83" s="194"/>
      <c r="AA83" s="194"/>
      <c r="AB83" s="194"/>
      <c r="AC83" s="194"/>
      <c r="AD83" s="194"/>
      <c r="AE83" s="194"/>
      <c r="AF83" s="168"/>
      <c r="AG83" s="197"/>
      <c r="AH83" s="192"/>
      <c r="AI83" s="27"/>
      <c r="AJ83" s="235"/>
      <c r="AK83" s="235"/>
      <c r="AL83" s="172"/>
      <c r="AM83" s="254"/>
      <c r="AN83" s="259"/>
      <c r="AO83" s="259"/>
      <c r="AP83" s="39"/>
    </row>
    <row r="84" s="148" customFormat="true" ht="15" hidden="false" customHeight="true" outlineLevel="0" collapsed="false">
      <c r="A84" s="175" t="s">
        <v>166</v>
      </c>
      <c r="B84" s="176"/>
      <c r="C84" s="176"/>
      <c r="D84" s="176"/>
      <c r="E84" s="176"/>
      <c r="F84" s="176"/>
      <c r="G84" s="176"/>
      <c r="H84" s="176"/>
      <c r="I84" s="176"/>
      <c r="J84" s="176"/>
      <c r="K84" s="176"/>
      <c r="L84" s="176"/>
      <c r="M84" s="176"/>
      <c r="N84" s="176"/>
      <c r="O84" s="176"/>
      <c r="P84" s="176"/>
      <c r="Q84" s="176"/>
      <c r="R84" s="176"/>
      <c r="S84" s="176"/>
      <c r="T84" s="176"/>
      <c r="U84" s="176"/>
      <c r="V84" s="176"/>
      <c r="W84" s="176"/>
      <c r="X84" s="176"/>
      <c r="Y84" s="176"/>
      <c r="Z84" s="190"/>
      <c r="AA84" s="176"/>
      <c r="AB84" s="176"/>
      <c r="AC84" s="176"/>
      <c r="AD84" s="176"/>
      <c r="AE84" s="176"/>
      <c r="AF84" s="168" t="str">
        <f aca="false">A84</f>
        <v>Vacation</v>
      </c>
      <c r="AG84" s="184"/>
      <c r="AH84" s="207" t="n">
        <f aca="false">SUM(B84:AE84)</f>
        <v>0</v>
      </c>
      <c r="AI84" s="33"/>
      <c r="AJ84" s="216" t="n">
        <f aca="true">OFFSET(EB.MFAStd.Knoten,MONTH(Monat.Tag1),0,1,1)</f>
        <v>0.583333333333333</v>
      </c>
      <c r="AK84" s="216" t="n">
        <f aca="false">IF(EB.Anwendung&lt;&gt;"",IF(MONTH(Monat.Tag1)=1,EB.FerienBer,IF(MONTH(Monat.Tag1)=2,January!Monat.FerienUeVM,IF(MONTH(Monat.Tag1)=3,February!Monat.FerienUeVM,IF(MONTH(Monat.Tag1)=4,March!Monat.FerienUeVM,IF(MONTH(Monat.Tag1)=5,April!Monat.FerienUeVM,IF(MONTH(Monat.Tag1)=6,May!Monat.FerienUeVM,IF(MONTH(Monat.Tag1)=7,June!Monat.FerienUeVM,IF(MONTH(Monat.Tag1)=8,July!Monat.FerienUeVM,IF(MONTH(Monat.Tag1)=9,August!Monat.FerienUeVM,IF(MONTH(Monat.Tag1)=10,September!Monat.FerienUeVM,IF(MONTH(Monat.Tag1)=11,October!Monat.FerienUeVM,IF(MONTH(Monat.Tag1)=12,Monat.FerienUeVM,"")))))))))))),"")</f>
        <v>4.08333333333333</v>
      </c>
      <c r="AL84" s="172"/>
      <c r="AM84" s="217" t="n">
        <f aca="false">IF(AG85="+",(AJ84+AK84-Monat.Ferien.Total+AH85),(AJ84+AK84-Monat.Ferien.Total-AH85))</f>
        <v>4.66666666666667</v>
      </c>
      <c r="AN84" s="217" t="n">
        <f aca="true">SUM(Jahresabrechnung!AC12:AC13)-SUM(OFFSET(Jahresabrechnung!AC15,0,0,MONTH(Monat.Tag1),1))</f>
        <v>5.25</v>
      </c>
      <c r="AO84" s="217" t="n">
        <f aca="false">J.FerienUE.Total</f>
        <v>5.25</v>
      </c>
      <c r="AP84" s="39"/>
    </row>
    <row r="85" s="148" customFormat="true" ht="15" hidden="false" customHeight="true" outlineLevel="0" collapsed="false">
      <c r="A85" s="186"/>
      <c r="B85" s="191"/>
      <c r="C85" s="191"/>
      <c r="D85" s="191"/>
      <c r="E85" s="191"/>
      <c r="F85" s="191"/>
      <c r="G85" s="191"/>
      <c r="H85" s="191"/>
      <c r="I85" s="191"/>
      <c r="J85" s="191"/>
      <c r="K85" s="191"/>
      <c r="L85" s="191"/>
      <c r="M85" s="191"/>
      <c r="N85" s="191"/>
      <c r="O85" s="191"/>
      <c r="P85" s="191"/>
      <c r="Q85" s="191"/>
      <c r="R85" s="191"/>
      <c r="S85" s="191"/>
      <c r="T85" s="191"/>
      <c r="U85" s="191"/>
      <c r="V85" s="191"/>
      <c r="W85" s="191"/>
      <c r="X85" s="191"/>
      <c r="Y85" s="191"/>
      <c r="Z85" s="191"/>
      <c r="AA85" s="191"/>
      <c r="AB85" s="191"/>
      <c r="AC85" s="191"/>
      <c r="AD85" s="191"/>
      <c r="AE85" s="191"/>
      <c r="AF85" s="175" t="s">
        <v>167</v>
      </c>
      <c r="AG85" s="244" t="s">
        <v>146</v>
      </c>
      <c r="AH85" s="260"/>
      <c r="AI85" s="246"/>
      <c r="AJ85" s="172"/>
      <c r="AK85" s="172"/>
      <c r="AL85" s="172"/>
      <c r="AM85" s="171"/>
      <c r="AN85" s="261"/>
      <c r="AO85" s="261"/>
      <c r="AP85" s="39"/>
    </row>
    <row r="86" s="148" customFormat="true" ht="15" hidden="false" customHeight="true" outlineLevel="0" collapsed="false">
      <c r="A86" s="175" t="s">
        <v>168</v>
      </c>
      <c r="B86" s="176"/>
      <c r="C86" s="176"/>
      <c r="D86" s="176"/>
      <c r="E86" s="177"/>
      <c r="F86" s="176"/>
      <c r="G86" s="176"/>
      <c r="H86" s="176"/>
      <c r="I86" s="176"/>
      <c r="J86" s="177"/>
      <c r="K86" s="176"/>
      <c r="L86" s="177"/>
      <c r="M86" s="176"/>
      <c r="N86" s="176"/>
      <c r="O86" s="176"/>
      <c r="P86" s="176"/>
      <c r="Q86" s="177"/>
      <c r="R86" s="176"/>
      <c r="S86" s="177"/>
      <c r="T86" s="177"/>
      <c r="U86" s="176"/>
      <c r="V86" s="176"/>
      <c r="W86" s="176"/>
      <c r="X86" s="177"/>
      <c r="Y86" s="176"/>
      <c r="Z86" s="178"/>
      <c r="AA86" s="176"/>
      <c r="AB86" s="176"/>
      <c r="AC86" s="176"/>
      <c r="AD86" s="176"/>
      <c r="AE86" s="177"/>
      <c r="AF86" s="168" t="str">
        <f aca="false">A86</f>
        <v>Consultation</v>
      </c>
      <c r="AG86" s="184"/>
      <c r="AH86" s="207" t="n">
        <f aca="false">SUM(B86:AE86)</f>
        <v>0</v>
      </c>
      <c r="AI86" s="33"/>
      <c r="AJ86" s="235"/>
      <c r="AK86" s="216" t="n">
        <f aca="false">IF(EB.Anwendung&lt;&gt;"",IF(MONTH(Monat.Tag1)=1,0,IF(MONTH(Monat.Tag1)=2,January!Monat.ArztUeVM,IF(MONTH(Monat.Tag1)=3,February!Monat.ArztUeVM,IF(MONTH(Monat.Tag1)=4,March!Monat.ArztUeVM,IF(MONTH(Monat.Tag1)=5,April!Monat.ArztUeVM,IF(MONTH(Monat.Tag1)=6,May!Monat.ArztUeVM,IF(MONTH(Monat.Tag1)=7,June!Monat.ArztUeVM,IF(MONTH(Monat.Tag1)=8,July!Monat.ArztUeVM,IF(MONTH(Monat.Tag1)=9,August!Monat.ArztUeVM,IF(MONTH(Monat.Tag1)=10,September!Monat.ArztUeVM,IF(MONTH(Monat.Tag1)=11,October!Monat.ArztUeVM,IF(MONTH(Monat.Tag1)=12,Monat.ArztUeVM,"")))))))))))),"")</f>
        <v>0</v>
      </c>
      <c r="AL86" s="172"/>
      <c r="AM86" s="217" t="n">
        <f aca="false">AH86+AK86</f>
        <v>0</v>
      </c>
      <c r="AN86" s="171"/>
      <c r="AO86" s="171"/>
      <c r="AP86" s="39"/>
    </row>
    <row r="87" s="148" customFormat="true" ht="15" hidden="false" customHeight="true" outlineLevel="0" collapsed="false">
      <c r="A87" s="175" t="s">
        <v>169</v>
      </c>
      <c r="B87" s="176"/>
      <c r="C87" s="176"/>
      <c r="D87" s="176"/>
      <c r="E87" s="177"/>
      <c r="F87" s="176"/>
      <c r="G87" s="176"/>
      <c r="H87" s="176"/>
      <c r="I87" s="176"/>
      <c r="J87" s="177"/>
      <c r="K87" s="176"/>
      <c r="L87" s="177"/>
      <c r="M87" s="176"/>
      <c r="N87" s="176"/>
      <c r="O87" s="176"/>
      <c r="P87" s="176"/>
      <c r="Q87" s="177"/>
      <c r="R87" s="176"/>
      <c r="S87" s="177"/>
      <c r="T87" s="177"/>
      <c r="U87" s="176"/>
      <c r="V87" s="176"/>
      <c r="W87" s="176"/>
      <c r="X87" s="177"/>
      <c r="Y87" s="176"/>
      <c r="Z87" s="178"/>
      <c r="AA87" s="176"/>
      <c r="AB87" s="176"/>
      <c r="AC87" s="176"/>
      <c r="AD87" s="176"/>
      <c r="AE87" s="177"/>
      <c r="AF87" s="168" t="str">
        <f aca="false">A87</f>
        <v>Illness</v>
      </c>
      <c r="AG87" s="184"/>
      <c r="AH87" s="207" t="n">
        <f aca="false">SUM(B87:AE87)</f>
        <v>0</v>
      </c>
      <c r="AI87" s="33"/>
      <c r="AJ87" s="235"/>
      <c r="AK87" s="216" t="n">
        <f aca="false">IF(EB.Anwendung&lt;&gt;"",IF(MONTH(Monat.Tag1)=1,0,IF(MONTH(Monat.Tag1)=2,January!Monat.KrankUeVM,IF(MONTH(Monat.Tag1)=3,February!Monat.KrankUeVM,IF(MONTH(Monat.Tag1)=4,March!Monat.KrankUeVM,IF(MONTH(Monat.Tag1)=5,April!Monat.KrankUeVM,IF(MONTH(Monat.Tag1)=6,May!Monat.KrankUeVM,IF(MONTH(Monat.Tag1)=7,June!Monat.KrankUeVM,IF(MONTH(Monat.Tag1)=8,July!Monat.KrankUeVM,IF(MONTH(Monat.Tag1)=9,August!Monat.KrankUeVM,IF(MONTH(Monat.Tag1)=10,September!Monat.KrankUeVM,IF(MONTH(Monat.Tag1)=11,October!Monat.KrankUeVM,IF(MONTH(Monat.Tag1)=12,Monat.KrankUeVM,"")))))))))))),"")</f>
        <v>0</v>
      </c>
      <c r="AL87" s="172"/>
      <c r="AM87" s="217" t="n">
        <f aca="false">AH87+AK87</f>
        <v>0</v>
      </c>
      <c r="AN87" s="171"/>
      <c r="AO87" s="171"/>
      <c r="AP87" s="39"/>
    </row>
    <row r="88" s="148" customFormat="true" ht="15" hidden="false" customHeight="true" outlineLevel="0" collapsed="false">
      <c r="A88" s="175" t="s">
        <v>170</v>
      </c>
      <c r="B88" s="176"/>
      <c r="C88" s="176"/>
      <c r="D88" s="176"/>
      <c r="E88" s="177"/>
      <c r="F88" s="176"/>
      <c r="G88" s="176"/>
      <c r="H88" s="176"/>
      <c r="I88" s="176"/>
      <c r="J88" s="177"/>
      <c r="K88" s="176"/>
      <c r="L88" s="177"/>
      <c r="M88" s="176"/>
      <c r="N88" s="176"/>
      <c r="O88" s="176"/>
      <c r="P88" s="176"/>
      <c r="Q88" s="177"/>
      <c r="R88" s="176"/>
      <c r="S88" s="177"/>
      <c r="T88" s="177"/>
      <c r="U88" s="176"/>
      <c r="V88" s="176"/>
      <c r="W88" s="176"/>
      <c r="X88" s="177"/>
      <c r="Y88" s="176"/>
      <c r="Z88" s="178"/>
      <c r="AA88" s="176"/>
      <c r="AB88" s="176"/>
      <c r="AC88" s="176"/>
      <c r="AD88" s="176"/>
      <c r="AE88" s="177"/>
      <c r="AF88" s="168" t="str">
        <f aca="false">A88</f>
        <v>Work-related accident</v>
      </c>
      <c r="AG88" s="184"/>
      <c r="AH88" s="207" t="n">
        <f aca="false">SUM(B88:AE88)</f>
        <v>0</v>
      </c>
      <c r="AI88" s="33"/>
      <c r="AJ88" s="235"/>
      <c r="AK88" s="216" t="n">
        <f aca="false">IF(EB.Anwendung&lt;&gt;"",IF(MONTH(Monat.Tag1)=1,0,IF(MONTH(Monat.Tag1)=2,January!Monat.BUUeVM,IF(MONTH(Monat.Tag1)=3,February!Monat.BUUeVM,IF(MONTH(Monat.Tag1)=4,March!Monat.BUUeVM,IF(MONTH(Monat.Tag1)=5,April!Monat.BUUeVM,IF(MONTH(Monat.Tag1)=6,May!Monat.BUUeVM,IF(MONTH(Monat.Tag1)=7,June!Monat.BUUeVM,IF(MONTH(Monat.Tag1)=8,July!Monat.BUUeVM,IF(MONTH(Monat.Tag1)=9,August!Monat.BUUeVM,IF(MONTH(Monat.Tag1)=10,September!Monat.BUUeVM,IF(MONTH(Monat.Tag1)=11,October!Monat.BUUeVM,IF(MONTH(Monat.Tag1)=12,Monat.BUUeVM,"")))))))))))),"")</f>
        <v>0</v>
      </c>
      <c r="AL88" s="172"/>
      <c r="AM88" s="217" t="n">
        <f aca="false">AH88+AK88</f>
        <v>0</v>
      </c>
      <c r="AN88" s="171"/>
      <c r="AO88" s="171"/>
      <c r="AP88" s="39"/>
    </row>
    <row r="89" s="148" customFormat="true" ht="15" hidden="false" customHeight="true" outlineLevel="0" collapsed="false">
      <c r="A89" s="175" t="s">
        <v>171</v>
      </c>
      <c r="B89" s="176"/>
      <c r="C89" s="176"/>
      <c r="D89" s="176"/>
      <c r="E89" s="177"/>
      <c r="F89" s="176"/>
      <c r="G89" s="176"/>
      <c r="H89" s="176"/>
      <c r="I89" s="176"/>
      <c r="J89" s="177"/>
      <c r="K89" s="176"/>
      <c r="L89" s="177"/>
      <c r="M89" s="176"/>
      <c r="N89" s="176"/>
      <c r="O89" s="176"/>
      <c r="P89" s="176"/>
      <c r="Q89" s="177"/>
      <c r="R89" s="176"/>
      <c r="S89" s="177"/>
      <c r="T89" s="177"/>
      <c r="U89" s="176"/>
      <c r="V89" s="176"/>
      <c r="W89" s="176"/>
      <c r="X89" s="177"/>
      <c r="Y89" s="176"/>
      <c r="Z89" s="178"/>
      <c r="AA89" s="176"/>
      <c r="AB89" s="176"/>
      <c r="AC89" s="176"/>
      <c r="AD89" s="176"/>
      <c r="AE89" s="177"/>
      <c r="AF89" s="168" t="str">
        <f aca="false">A89</f>
        <v>Non-work-related accident</v>
      </c>
      <c r="AG89" s="184"/>
      <c r="AH89" s="207" t="n">
        <f aca="false">SUM(B89:AE89)</f>
        <v>0</v>
      </c>
      <c r="AI89" s="33"/>
      <c r="AJ89" s="235"/>
      <c r="AK89" s="216" t="n">
        <f aca="false">IF(EB.Anwendung&lt;&gt;"",IF(MONTH(Monat.Tag1)=1,0,IF(MONTH(Monat.Tag1)=2,January!Monat.NBUUeVM,IF(MONTH(Monat.Tag1)=3,February!Monat.NBUUeVM,IF(MONTH(Monat.Tag1)=4,March!Monat.NBUUeVM,IF(MONTH(Monat.Tag1)=5,April!Monat.NBUUeVM,IF(MONTH(Monat.Tag1)=6,May!Monat.NBUUeVM,IF(MONTH(Monat.Tag1)=7,June!Monat.NBUUeVM,IF(MONTH(Monat.Tag1)=8,July!Monat.NBUUeVM,IF(MONTH(Monat.Tag1)=9,August!Monat.NBUUeVM,IF(MONTH(Monat.Tag1)=10,September!Monat.NBUUeVM,IF(MONTH(Monat.Tag1)=11,October!Monat.NBUUeVM,IF(MONTH(Monat.Tag1)=12,Monat.NBUUeVM,"")))))))))))),"")</f>
        <v>0</v>
      </c>
      <c r="AL89" s="172"/>
      <c r="AM89" s="217" t="n">
        <f aca="false">AH89+AK89</f>
        <v>0</v>
      </c>
      <c r="AN89" s="171"/>
      <c r="AO89" s="171"/>
      <c r="AP89" s="39"/>
    </row>
    <row r="90" s="148" customFormat="true" ht="15" hidden="false" customHeight="true" outlineLevel="0" collapsed="false">
      <c r="A90" s="175" t="s">
        <v>172</v>
      </c>
      <c r="B90" s="176"/>
      <c r="C90" s="176"/>
      <c r="D90" s="176"/>
      <c r="E90" s="177"/>
      <c r="F90" s="176"/>
      <c r="G90" s="176"/>
      <c r="H90" s="176"/>
      <c r="I90" s="176"/>
      <c r="J90" s="177"/>
      <c r="K90" s="176"/>
      <c r="L90" s="177"/>
      <c r="M90" s="176"/>
      <c r="N90" s="176"/>
      <c r="O90" s="176"/>
      <c r="P90" s="176"/>
      <c r="Q90" s="177"/>
      <c r="R90" s="176"/>
      <c r="S90" s="177"/>
      <c r="T90" s="177"/>
      <c r="U90" s="176"/>
      <c r="V90" s="176"/>
      <c r="W90" s="176"/>
      <c r="X90" s="177"/>
      <c r="Y90" s="176"/>
      <c r="Z90" s="178"/>
      <c r="AA90" s="176"/>
      <c r="AB90" s="176"/>
      <c r="AC90" s="176"/>
      <c r="AD90" s="176"/>
      <c r="AE90" s="177"/>
      <c r="AF90" s="168" t="str">
        <f aca="false">A90</f>
        <v>Military/civilian service</v>
      </c>
      <c r="AG90" s="184"/>
      <c r="AH90" s="207" t="n">
        <f aca="false">SUM(B90:AE90)</f>
        <v>0</v>
      </c>
      <c r="AI90" s="33"/>
      <c r="AJ90" s="235"/>
      <c r="AK90" s="216" t="n">
        <f aca="false">IF(EB.Anwendung&lt;&gt;"",IF(MONTH(Monat.Tag1)=1,0,IF(MONTH(Monat.Tag1)=2,January!Monat.MZSUeVM,IF(MONTH(Monat.Tag1)=3,February!Monat.MZSUeVM,IF(MONTH(Monat.Tag1)=4,March!Monat.MZSUeVM,IF(MONTH(Monat.Tag1)=5,April!Monat.MZSUeVM,IF(MONTH(Monat.Tag1)=6,May!Monat.MZSUeVM,IF(MONTH(Monat.Tag1)=7,June!Monat.MZSUeVM,IF(MONTH(Monat.Tag1)=8,July!Monat.MZSUeVM,IF(MONTH(Monat.Tag1)=9,August!Monat.MZSUeVM,IF(MONTH(Monat.Tag1)=10,September!Monat.MZSUeVM,IF(MONTH(Monat.Tag1)=11,October!Monat.MZSUeVM,IF(MONTH(Monat.Tag1)=12,Monat.MZSUeVM,"")))))))))))),"")</f>
        <v>0</v>
      </c>
      <c r="AL90" s="172"/>
      <c r="AM90" s="217" t="n">
        <f aca="false">AH90+AK90</f>
        <v>0</v>
      </c>
      <c r="AN90" s="171"/>
      <c r="AO90" s="171"/>
      <c r="AP90" s="39"/>
    </row>
    <row r="91" s="148" customFormat="true" ht="15" hidden="false" customHeight="true" outlineLevel="0" collapsed="false">
      <c r="A91" s="175" t="s">
        <v>173</v>
      </c>
      <c r="B91" s="176"/>
      <c r="C91" s="176"/>
      <c r="D91" s="176"/>
      <c r="E91" s="177"/>
      <c r="F91" s="176"/>
      <c r="G91" s="176"/>
      <c r="H91" s="176"/>
      <c r="I91" s="176"/>
      <c r="J91" s="177"/>
      <c r="K91" s="176"/>
      <c r="L91" s="177"/>
      <c r="M91" s="176"/>
      <c r="N91" s="176"/>
      <c r="O91" s="176"/>
      <c r="P91" s="176"/>
      <c r="Q91" s="177"/>
      <c r="R91" s="176"/>
      <c r="S91" s="177"/>
      <c r="T91" s="177"/>
      <c r="U91" s="176"/>
      <c r="V91" s="176"/>
      <c r="W91" s="176"/>
      <c r="X91" s="177"/>
      <c r="Y91" s="176"/>
      <c r="Z91" s="178"/>
      <c r="AA91" s="176"/>
      <c r="AB91" s="176"/>
      <c r="AC91" s="176"/>
      <c r="AD91" s="176"/>
      <c r="AE91" s="177"/>
      <c r="AF91" s="168" t="str">
        <f aca="false">A91</f>
        <v>Continuing education</v>
      </c>
      <c r="AG91" s="184"/>
      <c r="AH91" s="207" t="n">
        <f aca="false">SUM(B91:AE91)</f>
        <v>0</v>
      </c>
      <c r="AI91" s="33"/>
      <c r="AJ91" s="235"/>
      <c r="AK91" s="216" t="n">
        <f aca="false">IF(EB.Anwendung&lt;&gt;"",IF(MONTH(Monat.Tag1)=1,0,IF(MONTH(Monat.Tag1)=2,January!Monat.WBUeVM,IF(MONTH(Monat.Tag1)=3,February!Monat.WBUeVM,IF(MONTH(Monat.Tag1)=4,March!Monat.WBUeVM,IF(MONTH(Monat.Tag1)=5,April!Monat.WBUeVM,IF(MONTH(Monat.Tag1)=6,May!Monat.WBUeVM,IF(MONTH(Monat.Tag1)=7,June!Monat.WBUeVM,IF(MONTH(Monat.Tag1)=8,July!Monat.WBUeVM,IF(MONTH(Monat.Tag1)=9,August!Monat.WBUeVM,IF(MONTH(Monat.Tag1)=10,September!Monat.WBUeVM,IF(MONTH(Monat.Tag1)=11,October!Monat.WBUeVM,IF(MONTH(Monat.Tag1)=12,Monat.WBUeVM,"")))))))))))),"")</f>
        <v>0</v>
      </c>
      <c r="AL91" s="172"/>
      <c r="AM91" s="217" t="n">
        <f aca="false">AH91+AK91</f>
        <v>0</v>
      </c>
      <c r="AN91" s="171"/>
      <c r="AO91" s="171"/>
      <c r="AP91" s="39"/>
    </row>
    <row r="92" s="148" customFormat="true" ht="15" hidden="false" customHeight="true" outlineLevel="0" collapsed="false">
      <c r="A92" s="175" t="s">
        <v>174</v>
      </c>
      <c r="B92" s="176"/>
      <c r="C92" s="176"/>
      <c r="D92" s="176"/>
      <c r="E92" s="177"/>
      <c r="F92" s="176"/>
      <c r="G92" s="176"/>
      <c r="H92" s="176"/>
      <c r="I92" s="176"/>
      <c r="J92" s="177"/>
      <c r="K92" s="176"/>
      <c r="L92" s="177"/>
      <c r="M92" s="176"/>
      <c r="N92" s="176"/>
      <c r="O92" s="176"/>
      <c r="P92" s="176"/>
      <c r="Q92" s="177"/>
      <c r="R92" s="176"/>
      <c r="S92" s="177"/>
      <c r="T92" s="177"/>
      <c r="U92" s="176"/>
      <c r="V92" s="176"/>
      <c r="W92" s="176"/>
      <c r="X92" s="177"/>
      <c r="Y92" s="176"/>
      <c r="Z92" s="178"/>
      <c r="AA92" s="176"/>
      <c r="AB92" s="176"/>
      <c r="AC92" s="176"/>
      <c r="AD92" s="176"/>
      <c r="AE92" s="177"/>
      <c r="AF92" s="168" t="str">
        <f aca="false">A92</f>
        <v>Paid leave</v>
      </c>
      <c r="AG92" s="184"/>
      <c r="AH92" s="207" t="n">
        <f aca="false">SUM(B92:AE92)</f>
        <v>0</v>
      </c>
      <c r="AI92" s="33"/>
      <c r="AJ92" s="235"/>
      <c r="AK92" s="216" t="n">
        <f aca="false">IF(EB.Anwendung&lt;&gt;"",IF(MONTH(Monat.Tag1)=1,0,IF(MONTH(Monat.Tag1)=2,January!Monat.BesUrlaubUeVM,IF(MONTH(Monat.Tag1)=3,February!Monat.BesUrlaubUeVM,IF(MONTH(Monat.Tag1)=4,March!Monat.BesUrlaubUeVM,IF(MONTH(Monat.Tag1)=5,April!Monat.BesUrlaubUeVM,IF(MONTH(Monat.Tag1)=6,May!Monat.BesUrlaubUeVM,IF(MONTH(Monat.Tag1)=7,June!Monat.BesUrlaubUeVM,IF(MONTH(Monat.Tag1)=8,July!Monat.BesUrlaubUeVM,IF(MONTH(Monat.Tag1)=9,August!Monat.BesUrlaubUeVM,IF(MONTH(Monat.Tag1)=10,September!Monat.BesUrlaubUeVM,IF(MONTH(Monat.Tag1)=11,October!Monat.BesUrlaubUeVM,IF(MONTH(Monat.Tag1)=12,Monat.BesUrlaubUeVM,"")))))))))))),"")</f>
        <v>0</v>
      </c>
      <c r="AL92" s="172"/>
      <c r="AM92" s="217" t="n">
        <f aca="false">AH92+AK92</f>
        <v>0</v>
      </c>
      <c r="AN92" s="171"/>
      <c r="AO92" s="171"/>
      <c r="AP92" s="39"/>
    </row>
    <row r="93" s="148" customFormat="true" ht="15" hidden="false" customHeight="true" outlineLevel="0" collapsed="false">
      <c r="A93" s="175" t="s">
        <v>175</v>
      </c>
      <c r="B93" s="176"/>
      <c r="C93" s="176"/>
      <c r="D93" s="176"/>
      <c r="E93" s="177"/>
      <c r="F93" s="176"/>
      <c r="G93" s="176"/>
      <c r="H93" s="176"/>
      <c r="I93" s="176"/>
      <c r="J93" s="177"/>
      <c r="K93" s="176"/>
      <c r="L93" s="177"/>
      <c r="M93" s="176"/>
      <c r="N93" s="176"/>
      <c r="O93" s="176"/>
      <c r="P93" s="176"/>
      <c r="Q93" s="177"/>
      <c r="R93" s="176"/>
      <c r="S93" s="177"/>
      <c r="T93" s="177"/>
      <c r="U93" s="176"/>
      <c r="V93" s="176"/>
      <c r="W93" s="176"/>
      <c r="X93" s="177"/>
      <c r="Y93" s="176"/>
      <c r="Z93" s="178"/>
      <c r="AA93" s="176"/>
      <c r="AB93" s="176"/>
      <c r="AC93" s="176"/>
      <c r="AD93" s="176"/>
      <c r="AE93" s="177"/>
      <c r="AF93" s="168" t="str">
        <f aca="false">A93</f>
        <v>Unpaid leave</v>
      </c>
      <c r="AG93" s="184"/>
      <c r="AH93" s="207" t="n">
        <f aca="false">SUM(B93:AE93)</f>
        <v>0</v>
      </c>
      <c r="AI93" s="33"/>
      <c r="AJ93" s="235"/>
      <c r="AK93" s="216" t="n">
        <f aca="false">IF(EB.Anwendung&lt;&gt;"",IF(MONTH(Monat.Tag1)=1,0,IF(MONTH(Monat.Tag1)=2,January!Monat.UnbesUrlaubUeVM,IF(MONTH(Monat.Tag1)=3,February!Monat.UnbesUrlaubUeVM,IF(MONTH(Monat.Tag1)=4,March!Monat.UnbesUrlaubUeVM,IF(MONTH(Monat.Tag1)=5,April!Monat.UnbesUrlaubUeVM,IF(MONTH(Monat.Tag1)=6,May!Monat.UnbesUrlaubUeVM,IF(MONTH(Monat.Tag1)=7,June!Monat.UnbesUrlaubUeVM,IF(MONTH(Monat.Tag1)=8,July!Monat.UnbesUrlaubUeVM,IF(MONTH(Monat.Tag1)=9,August!Monat.UnbesUrlaubUeVM,IF(MONTH(Monat.Tag1)=10,September!Monat.UnbesUrlaubUeVM,IF(MONTH(Monat.Tag1)=11,October!Monat.UnbesUrlaubUeVM,IF(MONTH(Monat.Tag1)=12,Monat.UnbesUrlaubUeVM,"")))))))))))),"")</f>
        <v>0</v>
      </c>
      <c r="AL93" s="172"/>
      <c r="AM93" s="217" t="n">
        <f aca="false">AH93+AK93</f>
        <v>0</v>
      </c>
      <c r="AN93" s="171"/>
      <c r="AO93" s="171"/>
      <c r="AP93" s="39"/>
    </row>
    <row r="94" s="148" customFormat="true" ht="15" hidden="true" customHeight="true" outlineLevel="1" collapsed="false">
      <c r="A94" s="175" t="s">
        <v>176</v>
      </c>
      <c r="B94" s="176"/>
      <c r="C94" s="176"/>
      <c r="D94" s="176"/>
      <c r="E94" s="177"/>
      <c r="F94" s="176"/>
      <c r="G94" s="176"/>
      <c r="H94" s="176"/>
      <c r="I94" s="176"/>
      <c r="J94" s="177"/>
      <c r="K94" s="176"/>
      <c r="L94" s="177"/>
      <c r="M94" s="176"/>
      <c r="N94" s="176"/>
      <c r="O94" s="176"/>
      <c r="P94" s="176"/>
      <c r="Q94" s="177"/>
      <c r="R94" s="176"/>
      <c r="S94" s="177"/>
      <c r="T94" s="177"/>
      <c r="U94" s="176"/>
      <c r="V94" s="176"/>
      <c r="W94" s="176"/>
      <c r="X94" s="177"/>
      <c r="Y94" s="176"/>
      <c r="Z94" s="178"/>
      <c r="AA94" s="176"/>
      <c r="AB94" s="176"/>
      <c r="AC94" s="176"/>
      <c r="AD94" s="176"/>
      <c r="AE94" s="177"/>
      <c r="AF94" s="168" t="str">
        <f aca="false">A94</f>
        <v>Secondary employment</v>
      </c>
      <c r="AG94" s="184"/>
      <c r="AH94" s="207" t="n">
        <f aca="false">SUM(B94:AE94)</f>
        <v>0</v>
      </c>
      <c r="AI94" s="33"/>
      <c r="AJ94" s="235"/>
      <c r="AK94" s="216" t="n">
        <f aca="false">IF(EB.Anwendung&lt;&gt;"",IF(MONTH(Monat.Tag1)=1,0,IF(MONTH(Monat.Tag1)=2,January!Monat.NBUeVM,IF(MONTH(Monat.Tag1)=3,February!Monat.NBUeVM,IF(MONTH(Monat.Tag1)=4,March!Monat.NBUeVM,IF(MONTH(Monat.Tag1)=5,April!Monat.NBUeVM,IF(MONTH(Monat.Tag1)=6,May!Monat.NBUeVM,IF(MONTH(Monat.Tag1)=7,June!Monat.NBUeVM,IF(MONTH(Monat.Tag1)=8,July!Monat.NBUeVM,IF(MONTH(Monat.Tag1)=9,August!Monat.NBUeVM,IF(MONTH(Monat.Tag1)=10,September!Monat.NBUeVM,IF(MONTH(Monat.Tag1)=11,October!Monat.NBUeVM,IF(MONTH(Monat.Tag1)=12,Monat.NBUeVM,"")))))))))))),"")</f>
        <v>0</v>
      </c>
      <c r="AL94" s="172"/>
      <c r="AM94" s="217" t="n">
        <f aca="false">AH94+AK94</f>
        <v>0</v>
      </c>
      <c r="AN94" s="171"/>
      <c r="AO94" s="171"/>
      <c r="AP94" s="39"/>
    </row>
    <row r="95" s="148" customFormat="true" ht="15" hidden="false" customHeight="true" outlineLevel="0" collapsed="false">
      <c r="A95" s="175" t="s">
        <v>86</v>
      </c>
      <c r="B95" s="176"/>
      <c r="C95" s="176"/>
      <c r="D95" s="176"/>
      <c r="E95" s="177"/>
      <c r="F95" s="176"/>
      <c r="G95" s="176"/>
      <c r="H95" s="176"/>
      <c r="I95" s="176"/>
      <c r="J95" s="177"/>
      <c r="K95" s="176"/>
      <c r="L95" s="177"/>
      <c r="M95" s="176"/>
      <c r="N95" s="176"/>
      <c r="O95" s="176"/>
      <c r="P95" s="176"/>
      <c r="Q95" s="177"/>
      <c r="R95" s="176"/>
      <c r="S95" s="177"/>
      <c r="T95" s="177"/>
      <c r="U95" s="176"/>
      <c r="V95" s="176"/>
      <c r="W95" s="176"/>
      <c r="X95" s="177"/>
      <c r="Y95" s="176"/>
      <c r="Z95" s="178"/>
      <c r="AA95" s="176"/>
      <c r="AB95" s="176"/>
      <c r="AC95" s="176"/>
      <c r="AD95" s="176"/>
      <c r="AE95" s="177"/>
      <c r="AF95" s="168" t="str">
        <f aca="false">A95</f>
        <v>Seniority allowance</v>
      </c>
      <c r="AG95" s="184"/>
      <c r="AH95" s="207" t="n">
        <f aca="false">SUM(B95:AE95)</f>
        <v>0</v>
      </c>
      <c r="AI95" s="33"/>
      <c r="AJ95" s="235"/>
      <c r="AK95" s="216" t="n">
        <f aca="false">IF(EB.Anwendung&lt;&gt;"",IF(MONTH(Monat.Tag1)=1,EB.DAG,IF(MONTH(Monat.Tag1)=2,January!Monat.DAGUeVM,IF(MONTH(Monat.Tag1)=3,February!Monat.DAGUeVM,IF(MONTH(Monat.Tag1)=4,March!Monat.DAGUeVM,IF(MONTH(Monat.Tag1)=5,April!Monat.DAGUeVM,IF(MONTH(Monat.Tag1)=6,May!Monat.DAGUeVM,IF(MONTH(Monat.Tag1)=7,June!Monat.DAGUeVM,IF(MONTH(Monat.Tag1)=8,July!Monat.DAGUeVM,IF(MONTH(Monat.Tag1)=9,August!Monat.DAGUeVM,IF(MONTH(Monat.Tag1)=10,September!Monat.DAGUeVM,IF(MONTH(Monat.Tag1)=11,October!Monat.DAGUeVM,IF(MONTH(Monat.Tag1)=12,Monat.DAGUeVM,"")))))))))))),"")</f>
        <v>0</v>
      </c>
      <c r="AL95" s="172"/>
      <c r="AM95" s="217" t="n">
        <f aca="false">AK95-AH95</f>
        <v>0</v>
      </c>
      <c r="AN95" s="171"/>
      <c r="AO95" s="171"/>
      <c r="AP95" s="39"/>
    </row>
    <row r="96" s="148" customFormat="true" ht="11.25" hidden="false" customHeight="true" outlineLevel="0" collapsed="false">
      <c r="A96" s="186"/>
      <c r="B96" s="191"/>
      <c r="C96" s="191"/>
      <c r="D96" s="191"/>
      <c r="E96" s="191"/>
      <c r="F96" s="191"/>
      <c r="G96" s="191"/>
      <c r="H96" s="191"/>
      <c r="I96" s="191"/>
      <c r="J96" s="191"/>
      <c r="K96" s="191"/>
      <c r="L96" s="191"/>
      <c r="M96" s="191"/>
      <c r="N96" s="191"/>
      <c r="O96" s="191"/>
      <c r="P96" s="191"/>
      <c r="Q96" s="191"/>
      <c r="R96" s="191"/>
      <c r="S96" s="191"/>
      <c r="T96" s="191"/>
      <c r="U96" s="191"/>
      <c r="V96" s="191"/>
      <c r="W96" s="191"/>
      <c r="X96" s="191"/>
      <c r="Y96" s="191"/>
      <c r="Z96" s="191"/>
      <c r="AA96" s="191"/>
      <c r="AB96" s="191"/>
      <c r="AC96" s="191"/>
      <c r="AD96" s="191"/>
      <c r="AE96" s="191"/>
      <c r="AF96" s="168"/>
      <c r="AG96" s="197"/>
      <c r="AH96" s="192"/>
      <c r="AI96" s="27"/>
      <c r="AJ96" s="235"/>
      <c r="AK96" s="235"/>
      <c r="AL96" s="172"/>
      <c r="AM96" s="254"/>
      <c r="AN96" s="179"/>
      <c r="AO96" s="179"/>
      <c r="AP96" s="39"/>
    </row>
    <row r="97" s="148" customFormat="true" ht="15" hidden="false" customHeight="true" outlineLevel="0" collapsed="false">
      <c r="A97" s="181" t="str">
        <f aca="true">IF(ROW(A97)-ROW(INDEX(Monat.Projekte.Zeilen,1))+1&gt;EB.AnzProjekte,"",OFFSET(EB.Projekte.Knoten,ROW(A97)-ROW(INDEX(Monat.Projekte.Zeilen,1))+1,0,1,1))</f>
        <v/>
      </c>
      <c r="B97" s="176"/>
      <c r="C97" s="176"/>
      <c r="D97" s="176"/>
      <c r="E97" s="177"/>
      <c r="F97" s="176"/>
      <c r="G97" s="176"/>
      <c r="H97" s="176"/>
      <c r="I97" s="176"/>
      <c r="J97" s="177"/>
      <c r="K97" s="176"/>
      <c r="L97" s="177"/>
      <c r="M97" s="176"/>
      <c r="N97" s="176"/>
      <c r="O97" s="176"/>
      <c r="P97" s="176"/>
      <c r="Q97" s="177"/>
      <c r="R97" s="176"/>
      <c r="S97" s="177"/>
      <c r="T97" s="177"/>
      <c r="U97" s="176"/>
      <c r="V97" s="176"/>
      <c r="W97" s="176"/>
      <c r="X97" s="177"/>
      <c r="Y97" s="176"/>
      <c r="Z97" s="178"/>
      <c r="AA97" s="176"/>
      <c r="AB97" s="176"/>
      <c r="AC97" s="176"/>
      <c r="AD97" s="176"/>
      <c r="AE97" s="177"/>
      <c r="AF97" s="168" t="str">
        <f aca="false">A97</f>
        <v/>
      </c>
      <c r="AG97" s="202"/>
      <c r="AH97" s="262" t="n">
        <f aca="false">SUM(B97:AE97)</f>
        <v>0</v>
      </c>
      <c r="AI97" s="33"/>
      <c r="AJ97" s="192"/>
      <c r="AK97" s="216" t="n">
        <f aca="false">IF(EB.Anwendung&lt;&gt;"",IF(MONTH(Monat.Tag1)=1,0,IF(MONTH(Monat.Tag1)=2,January!Monat.P1UeVM,IF(MONTH(Monat.Tag1)=3,February!Monat.P1UeVM,IF(MONTH(Monat.Tag1)=4,March!Monat.P1UeVM,IF(MONTH(Monat.Tag1)=5,April!Monat.P1UeVM,IF(MONTH(Monat.Tag1)=6,May!Monat.P1UeVM,IF(MONTH(Monat.Tag1)=7,June!Monat.P1UeVM,IF(MONTH(Monat.Tag1)=8,July!Monat.P1UeVM,IF(MONTH(Monat.Tag1)=9,August!Monat.P1UeVM,IF(MONTH(Monat.Tag1)=10,September!Monat.P1UeVM,IF(MONTH(Monat.Tag1)=11,October!Monat.P1UeVM,IF(MONTH(Monat.Tag1)=12,Monat.P1UeVM,"")))))))))))),"")</f>
        <v>0</v>
      </c>
      <c r="AL97" s="172"/>
      <c r="AM97" s="217" t="n">
        <f aca="false">AH97+AK97</f>
        <v>0</v>
      </c>
      <c r="AN97" s="171"/>
      <c r="AO97" s="171"/>
      <c r="AP97" s="39"/>
    </row>
    <row r="98" s="148" customFormat="true" ht="15" hidden="false" customHeight="true" outlineLevel="0" collapsed="false">
      <c r="A98" s="181" t="str">
        <f aca="true">IF(ROW(A98)-ROW(INDEX(Monat.Projekte.Zeilen,1))+1&gt;EB.AnzProjekte,"",OFFSET(EB.Projekte.Knoten,ROW(A98)-ROW(INDEX(Monat.Projekte.Zeilen,1))+1,0,1,1))</f>
        <v/>
      </c>
      <c r="B98" s="176"/>
      <c r="C98" s="176"/>
      <c r="D98" s="176"/>
      <c r="E98" s="177"/>
      <c r="F98" s="176"/>
      <c r="G98" s="176"/>
      <c r="H98" s="176"/>
      <c r="I98" s="176"/>
      <c r="J98" s="177"/>
      <c r="K98" s="176"/>
      <c r="L98" s="177"/>
      <c r="M98" s="176"/>
      <c r="N98" s="176"/>
      <c r="O98" s="176"/>
      <c r="P98" s="176"/>
      <c r="Q98" s="177"/>
      <c r="R98" s="176"/>
      <c r="S98" s="177"/>
      <c r="T98" s="177"/>
      <c r="U98" s="176"/>
      <c r="V98" s="176"/>
      <c r="W98" s="176"/>
      <c r="X98" s="177"/>
      <c r="Y98" s="176"/>
      <c r="Z98" s="178"/>
      <c r="AA98" s="176"/>
      <c r="AB98" s="176"/>
      <c r="AC98" s="176"/>
      <c r="AD98" s="176"/>
      <c r="AE98" s="177"/>
      <c r="AF98" s="168" t="str">
        <f aca="false">A98</f>
        <v/>
      </c>
      <c r="AG98" s="184"/>
      <c r="AH98" s="207" t="n">
        <f aca="false">SUM(B98:AE98)</f>
        <v>0</v>
      </c>
      <c r="AI98" s="33"/>
      <c r="AJ98" s="192"/>
      <c r="AK98" s="216" t="n">
        <f aca="false">IF(EB.Anwendung&lt;&gt;"",IF(MONTH(Monat.Tag1)=1,0,IF(MONTH(Monat.Tag1)=2,January!Monat.P2UeVM,IF(MONTH(Monat.Tag1)=3,February!Monat.P2UeVM,IF(MONTH(Monat.Tag1)=4,March!Monat.P2UeVM,IF(MONTH(Monat.Tag1)=5,April!Monat.P2UeVM,IF(MONTH(Monat.Tag1)=6,May!Monat.P2UeVM,IF(MONTH(Monat.Tag1)=7,June!Monat.P2UeVM,IF(MONTH(Monat.Tag1)=8,July!Monat.P2UeVM,IF(MONTH(Monat.Tag1)=9,August!Monat.P2UeVM,IF(MONTH(Monat.Tag1)=10,September!Monat.P2UeVM,IF(MONTH(Monat.Tag1)=11,October!Monat.P2UeVM,IF(MONTH(Monat.Tag1)=12,Monat.P2UeVM,"")))))))))))),"")</f>
        <v>0</v>
      </c>
      <c r="AL98" s="172"/>
      <c r="AM98" s="217" t="n">
        <f aca="false">AH98+AK98</f>
        <v>0</v>
      </c>
      <c r="AN98" s="171"/>
      <c r="AO98" s="171"/>
      <c r="AP98" s="39"/>
    </row>
    <row r="99" s="148" customFormat="true" ht="15" hidden="false" customHeight="true" outlineLevel="0" collapsed="false">
      <c r="A99" s="181" t="str">
        <f aca="true">IF(ROW(A99)-ROW(INDEX(Monat.Projekte.Zeilen,1))+1&gt;EB.AnzProjekte,"",OFFSET(EB.Projekte.Knoten,ROW(A99)-ROW(INDEX(Monat.Projekte.Zeilen,1))+1,0,1,1))</f>
        <v/>
      </c>
      <c r="B99" s="176"/>
      <c r="C99" s="176"/>
      <c r="D99" s="176"/>
      <c r="E99" s="177"/>
      <c r="F99" s="176"/>
      <c r="G99" s="176"/>
      <c r="H99" s="176"/>
      <c r="I99" s="176"/>
      <c r="J99" s="177"/>
      <c r="K99" s="176"/>
      <c r="L99" s="177"/>
      <c r="M99" s="176"/>
      <c r="N99" s="176"/>
      <c r="O99" s="176"/>
      <c r="P99" s="176"/>
      <c r="Q99" s="177"/>
      <c r="R99" s="176"/>
      <c r="S99" s="177"/>
      <c r="T99" s="177"/>
      <c r="U99" s="176"/>
      <c r="V99" s="176"/>
      <c r="W99" s="176"/>
      <c r="X99" s="177"/>
      <c r="Y99" s="176"/>
      <c r="Z99" s="178"/>
      <c r="AA99" s="176"/>
      <c r="AB99" s="176"/>
      <c r="AC99" s="176"/>
      <c r="AD99" s="176"/>
      <c r="AE99" s="177"/>
      <c r="AF99" s="168" t="str">
        <f aca="false">A99</f>
        <v/>
      </c>
      <c r="AG99" s="263"/>
      <c r="AH99" s="207" t="n">
        <f aca="false">SUM(B99:AE99)</f>
        <v>0</v>
      </c>
      <c r="AI99" s="33"/>
      <c r="AJ99" s="192"/>
      <c r="AK99" s="216" t="n">
        <f aca="false">IF(EB.Anwendung&lt;&gt;"",IF(MONTH(Monat.Tag1)=1,0,IF(MONTH(Monat.Tag1)=2,January!Monat.P3UeVM,IF(MONTH(Monat.Tag1)=3,February!Monat.P3UeVM,IF(MONTH(Monat.Tag1)=4,March!Monat.P3UeVM,IF(MONTH(Monat.Tag1)=5,April!Monat.P3UeVM,IF(MONTH(Monat.Tag1)=6,May!Monat.P3UeVM,IF(MONTH(Monat.Tag1)=7,June!Monat.P3UeVM,IF(MONTH(Monat.Tag1)=8,July!Monat.P3UeVM,IF(MONTH(Monat.Tag1)=9,August!Monat.P3UeVM,IF(MONTH(Monat.Tag1)=10,September!Monat.P3UeVM,IF(MONTH(Monat.Tag1)=11,October!Monat.P3UeVM,IF(MONTH(Monat.Tag1)=12,Monat.P3UeVM,"")))))))))))),"")</f>
        <v>0</v>
      </c>
      <c r="AL99" s="172"/>
      <c r="AM99" s="217" t="n">
        <f aca="false">AH99+AK99</f>
        <v>0</v>
      </c>
      <c r="AN99" s="171"/>
      <c r="AO99" s="171"/>
      <c r="AP99" s="39"/>
    </row>
    <row r="100" s="148" customFormat="true" ht="15" hidden="false" customHeight="true" outlineLevel="0" collapsed="false">
      <c r="A100" s="181" t="str">
        <f aca="true">IF(ROW(A100)-ROW(INDEX(Monat.Projekte.Zeilen,1))+1&gt;EB.AnzProjekte,"",OFFSET(EB.Projekte.Knoten,ROW(A100)-ROW(INDEX(Monat.Projekte.Zeilen,1))+1,0,1,1))</f>
        <v/>
      </c>
      <c r="B100" s="176"/>
      <c r="C100" s="176"/>
      <c r="D100" s="176"/>
      <c r="E100" s="177"/>
      <c r="F100" s="176"/>
      <c r="G100" s="176"/>
      <c r="H100" s="176"/>
      <c r="I100" s="176"/>
      <c r="J100" s="177"/>
      <c r="K100" s="176"/>
      <c r="L100" s="177"/>
      <c r="M100" s="176"/>
      <c r="N100" s="176"/>
      <c r="O100" s="176"/>
      <c r="P100" s="176"/>
      <c r="Q100" s="177"/>
      <c r="R100" s="176"/>
      <c r="S100" s="177"/>
      <c r="T100" s="177"/>
      <c r="U100" s="176"/>
      <c r="V100" s="176"/>
      <c r="W100" s="176"/>
      <c r="X100" s="177"/>
      <c r="Y100" s="176"/>
      <c r="Z100" s="178"/>
      <c r="AA100" s="176"/>
      <c r="AB100" s="176"/>
      <c r="AC100" s="176"/>
      <c r="AD100" s="176"/>
      <c r="AE100" s="177"/>
      <c r="AF100" s="168" t="str">
        <f aca="false">A100</f>
        <v/>
      </c>
      <c r="AG100" s="197"/>
      <c r="AH100" s="207" t="n">
        <f aca="false">SUM(B100:AE100)</f>
        <v>0</v>
      </c>
      <c r="AI100" s="33"/>
      <c r="AJ100" s="192"/>
      <c r="AK100" s="216" t="n">
        <f aca="false">IF(EB.Anwendung&lt;&gt;"",IF(MONTH(Monat.Tag1)=1,0,IF(MONTH(Monat.Tag1)=2,January!Monat.P4UeVM,IF(MONTH(Monat.Tag1)=3,February!Monat.P4UeVM,IF(MONTH(Monat.Tag1)=4,March!Monat.P4UeVM,IF(MONTH(Monat.Tag1)=5,April!Monat.P4UeVM,IF(MONTH(Monat.Tag1)=6,May!Monat.P4UeVM,IF(MONTH(Monat.Tag1)=7,June!Monat.P4UeVM,IF(MONTH(Monat.Tag1)=8,July!Monat.P4UeVM,IF(MONTH(Monat.Tag1)=9,August!Monat.P4UeVM,IF(MONTH(Monat.Tag1)=10,September!Monat.P4UeVM,IF(MONTH(Monat.Tag1)=11,October!Monat.P4UeVM,IF(MONTH(Monat.Tag1)=12,Monat.P4UeVM,"")))))))))))),"")</f>
        <v>0</v>
      </c>
      <c r="AL100" s="172"/>
      <c r="AM100" s="217" t="n">
        <f aca="false">AH100+AK100</f>
        <v>0</v>
      </c>
      <c r="AN100" s="171"/>
      <c r="AO100" s="171"/>
      <c r="AP100" s="39"/>
    </row>
    <row r="101" s="148" customFormat="true" ht="15" hidden="false" customHeight="true" outlineLevel="0" collapsed="false">
      <c r="A101" s="181" t="str">
        <f aca="true">IF(ROW(A101)-ROW(INDEX(Monat.Projekte.Zeilen,1))+1&gt;EB.AnzProjekte,"",OFFSET(EB.Projekte.Knoten,ROW(A101)-ROW(INDEX(Monat.Projekte.Zeilen,1))+1,0,1,1))</f>
        <v/>
      </c>
      <c r="B101" s="176"/>
      <c r="C101" s="176"/>
      <c r="D101" s="176"/>
      <c r="E101" s="177"/>
      <c r="F101" s="176"/>
      <c r="G101" s="176"/>
      <c r="H101" s="176"/>
      <c r="I101" s="176"/>
      <c r="J101" s="177"/>
      <c r="K101" s="176"/>
      <c r="L101" s="177"/>
      <c r="M101" s="176"/>
      <c r="N101" s="176"/>
      <c r="O101" s="176"/>
      <c r="P101" s="176"/>
      <c r="Q101" s="177"/>
      <c r="R101" s="176"/>
      <c r="S101" s="177"/>
      <c r="T101" s="177"/>
      <c r="U101" s="176"/>
      <c r="V101" s="176"/>
      <c r="W101" s="176"/>
      <c r="X101" s="177"/>
      <c r="Y101" s="176"/>
      <c r="Z101" s="178"/>
      <c r="AA101" s="176"/>
      <c r="AB101" s="176"/>
      <c r="AC101" s="176"/>
      <c r="AD101" s="176"/>
      <c r="AE101" s="177"/>
      <c r="AF101" s="168" t="str">
        <f aca="false">A101</f>
        <v/>
      </c>
      <c r="AG101" s="184"/>
      <c r="AH101" s="207" t="n">
        <f aca="false">SUM(B101:AE101)</f>
        <v>0</v>
      </c>
      <c r="AI101" s="33"/>
      <c r="AJ101" s="192"/>
      <c r="AK101" s="216" t="n">
        <f aca="false">IF(EB.Anwendung&lt;&gt;"",IF(MONTH(Monat.Tag1)=1,0,IF(MONTH(Monat.Tag1)=2,January!Monat.P5UeVM,IF(MONTH(Monat.Tag1)=3,February!Monat.P5UeVM,IF(MONTH(Monat.Tag1)=4,March!Monat.P5UeVM,IF(MONTH(Monat.Tag1)=5,April!Monat.P5UeVM,IF(MONTH(Monat.Tag1)=6,May!Monat.P5UeVM,IF(MONTH(Monat.Tag1)=7,June!Monat.P5UeVM,IF(MONTH(Monat.Tag1)=8,July!Monat.P5UeVM,IF(MONTH(Monat.Tag1)=9,August!Monat.P5UeVM,IF(MONTH(Monat.Tag1)=10,September!Monat.P5UeVM,IF(MONTH(Monat.Tag1)=11,October!Monat.P5UeVM,IF(MONTH(Monat.Tag1)=12,Monat.P5UeVM,"")))))))))))),"")</f>
        <v>0</v>
      </c>
      <c r="AL101" s="172"/>
      <c r="AM101" s="217" t="n">
        <f aca="false">AH101+AK101</f>
        <v>0</v>
      </c>
      <c r="AN101" s="171"/>
      <c r="AO101" s="171"/>
      <c r="AP101" s="39"/>
    </row>
    <row r="102" s="148" customFormat="true" ht="15" hidden="true" customHeight="true" outlineLevel="1" collapsed="false">
      <c r="A102" s="181" t="str">
        <f aca="true">IF(ROW(A102)-ROW(INDEX(Monat.Projekte.Zeilen,1))+1&gt;EB.AnzProjekte,"",OFFSET(EB.Projekte.Knoten,ROW(A102)-ROW(INDEX(Monat.Projekte.Zeilen,1))+1,0,1,1))</f>
        <v/>
      </c>
      <c r="B102" s="176"/>
      <c r="C102" s="176"/>
      <c r="D102" s="176"/>
      <c r="E102" s="177"/>
      <c r="F102" s="176"/>
      <c r="G102" s="176"/>
      <c r="H102" s="176"/>
      <c r="I102" s="176"/>
      <c r="J102" s="177"/>
      <c r="K102" s="176"/>
      <c r="L102" s="177"/>
      <c r="M102" s="176"/>
      <c r="N102" s="176"/>
      <c r="O102" s="176"/>
      <c r="P102" s="176"/>
      <c r="Q102" s="177"/>
      <c r="R102" s="176"/>
      <c r="S102" s="177"/>
      <c r="T102" s="177"/>
      <c r="U102" s="176"/>
      <c r="V102" s="176"/>
      <c r="W102" s="176"/>
      <c r="X102" s="177"/>
      <c r="Y102" s="176"/>
      <c r="Z102" s="178"/>
      <c r="AA102" s="176"/>
      <c r="AB102" s="176"/>
      <c r="AC102" s="176"/>
      <c r="AD102" s="176"/>
      <c r="AE102" s="177"/>
      <c r="AF102" s="168" t="str">
        <f aca="false">A102</f>
        <v/>
      </c>
      <c r="AG102" s="263"/>
      <c r="AH102" s="207" t="n">
        <f aca="false">SUM(B102:AE102)</f>
        <v>0</v>
      </c>
      <c r="AI102" s="33"/>
      <c r="AJ102" s="192"/>
      <c r="AK102" s="216" t="n">
        <f aca="false">IF(EB.Anwendung&lt;&gt;"",IF(MONTH(Monat.Tag1)=1,0,IF(MONTH(Monat.Tag1)=2,January!Monat.P6UeVM,IF(MONTH(Monat.Tag1)=3,February!Monat.P6UeVM,IF(MONTH(Monat.Tag1)=4,March!Monat.P6UeVM,IF(MONTH(Monat.Tag1)=5,April!Monat.P6UeVM,IF(MONTH(Monat.Tag1)=6,May!Monat.P6UeVM,IF(MONTH(Monat.Tag1)=7,June!Monat.P6UeVM,IF(MONTH(Monat.Tag1)=8,July!Monat.P6UeVM,IF(MONTH(Monat.Tag1)=9,August!Monat.P6UeVM,IF(MONTH(Monat.Tag1)=10,September!Monat.P6UeVM,IF(MONTH(Monat.Tag1)=11,October!Monat.P6UeVM,IF(MONTH(Monat.Tag1)=12,Monat.P6UeVM,"")))))))))))),"")</f>
        <v>0</v>
      </c>
      <c r="AL102" s="172"/>
      <c r="AM102" s="217" t="n">
        <f aca="false">AH102+AK102</f>
        <v>0</v>
      </c>
      <c r="AN102" s="171"/>
      <c r="AO102" s="171"/>
      <c r="AP102" s="39"/>
    </row>
    <row r="103" s="148" customFormat="true" ht="15" hidden="true" customHeight="true" outlineLevel="1" collapsed="false">
      <c r="A103" s="181" t="str">
        <f aca="true">IF(ROW(A103)-ROW(INDEX(Monat.Projekte.Zeilen,1))+1&gt;EB.AnzProjekte,"",OFFSET(EB.Projekte.Knoten,ROW(A103)-ROW(INDEX(Monat.Projekte.Zeilen,1))+1,0,1,1))</f>
        <v/>
      </c>
      <c r="B103" s="176"/>
      <c r="C103" s="176"/>
      <c r="D103" s="176"/>
      <c r="E103" s="177"/>
      <c r="F103" s="176"/>
      <c r="G103" s="176"/>
      <c r="H103" s="176"/>
      <c r="I103" s="176"/>
      <c r="J103" s="177"/>
      <c r="K103" s="176"/>
      <c r="L103" s="177"/>
      <c r="M103" s="176"/>
      <c r="N103" s="176"/>
      <c r="O103" s="176"/>
      <c r="P103" s="176"/>
      <c r="Q103" s="177"/>
      <c r="R103" s="176"/>
      <c r="S103" s="177"/>
      <c r="T103" s="177"/>
      <c r="U103" s="176"/>
      <c r="V103" s="176"/>
      <c r="W103" s="176"/>
      <c r="X103" s="177"/>
      <c r="Y103" s="176"/>
      <c r="Z103" s="178"/>
      <c r="AA103" s="176"/>
      <c r="AB103" s="176"/>
      <c r="AC103" s="176"/>
      <c r="AD103" s="176"/>
      <c r="AE103" s="177"/>
      <c r="AF103" s="168" t="str">
        <f aca="false">A103</f>
        <v/>
      </c>
      <c r="AG103" s="197"/>
      <c r="AH103" s="207" t="n">
        <f aca="false">SUM(B103:AE103)</f>
        <v>0</v>
      </c>
      <c r="AI103" s="33"/>
      <c r="AJ103" s="192"/>
      <c r="AK103" s="216" t="n">
        <f aca="false">IF(EB.Anwendung&lt;&gt;"",IF(MONTH(Monat.Tag1)=1,0,IF(MONTH(Monat.Tag1)=2,January!Monat.P7UeVM,IF(MONTH(Monat.Tag1)=3,February!Monat.P7UeVM,IF(MONTH(Monat.Tag1)=4,March!Monat.P7UeVM,IF(MONTH(Monat.Tag1)=5,April!Monat.P7UeVM,IF(MONTH(Monat.Tag1)=6,May!Monat.P7UeVM,IF(MONTH(Monat.Tag1)=7,June!Monat.P7UeVM,IF(MONTH(Monat.Tag1)=8,July!Monat.P7UeVM,IF(MONTH(Monat.Tag1)=9,August!Monat.P7UeVM,IF(MONTH(Monat.Tag1)=10,September!Monat.P7UeVM,IF(MONTH(Monat.Tag1)=11,October!Monat.P7UeVM,IF(MONTH(Monat.Tag1)=12,Monat.P7UeVM,"")))))))))))),"")</f>
        <v>0</v>
      </c>
      <c r="AL103" s="172"/>
      <c r="AM103" s="217" t="n">
        <f aca="false">AH103+AK103</f>
        <v>0</v>
      </c>
      <c r="AN103" s="171"/>
      <c r="AO103" s="171"/>
      <c r="AP103" s="39"/>
    </row>
    <row r="104" s="148" customFormat="true" ht="15" hidden="true" customHeight="true" outlineLevel="1" collapsed="false">
      <c r="A104" s="181" t="str">
        <f aca="true">IF(ROW(A104)-ROW(INDEX(Monat.Projekte.Zeilen,1))+1&gt;EB.AnzProjekte,"",OFFSET(EB.Projekte.Knoten,ROW(A104)-ROW(INDEX(Monat.Projekte.Zeilen,1))+1,0,1,1))</f>
        <v/>
      </c>
      <c r="B104" s="176"/>
      <c r="C104" s="176"/>
      <c r="D104" s="176"/>
      <c r="E104" s="177"/>
      <c r="F104" s="176"/>
      <c r="G104" s="176"/>
      <c r="H104" s="176"/>
      <c r="I104" s="176"/>
      <c r="J104" s="177"/>
      <c r="K104" s="176"/>
      <c r="L104" s="177"/>
      <c r="M104" s="176"/>
      <c r="N104" s="176"/>
      <c r="O104" s="176"/>
      <c r="P104" s="176"/>
      <c r="Q104" s="177"/>
      <c r="R104" s="176"/>
      <c r="S104" s="177"/>
      <c r="T104" s="177"/>
      <c r="U104" s="176"/>
      <c r="V104" s="176"/>
      <c r="W104" s="176"/>
      <c r="X104" s="177"/>
      <c r="Y104" s="176"/>
      <c r="Z104" s="178"/>
      <c r="AA104" s="176"/>
      <c r="AB104" s="176"/>
      <c r="AC104" s="176"/>
      <c r="AD104" s="176"/>
      <c r="AE104" s="177"/>
      <c r="AF104" s="168" t="str">
        <f aca="false">A104</f>
        <v/>
      </c>
      <c r="AG104" s="202"/>
      <c r="AH104" s="207" t="n">
        <f aca="false">SUM(B104:AE104)</f>
        <v>0</v>
      </c>
      <c r="AI104" s="33"/>
      <c r="AJ104" s="192"/>
      <c r="AK104" s="216" t="n">
        <f aca="false">IF(EB.Anwendung&lt;&gt;"",IF(MONTH(Monat.Tag1)=1,0,IF(MONTH(Monat.Tag1)=2,January!Monat.P8UeVM,IF(MONTH(Monat.Tag1)=3,February!Monat.P8UeVM,IF(MONTH(Monat.Tag1)=4,March!Monat.P8UeVM,IF(MONTH(Monat.Tag1)=5,April!Monat.P8UeVM,IF(MONTH(Monat.Tag1)=6,May!Monat.P8UeVM,IF(MONTH(Monat.Tag1)=7,June!Monat.P8UeVM,IF(MONTH(Monat.Tag1)=8,July!Monat.P8UeVM,IF(MONTH(Monat.Tag1)=9,August!Monat.P8UeVM,IF(MONTH(Monat.Tag1)=10,September!Monat.P8UeVM,IF(MONTH(Monat.Tag1)=11,October!Monat.P8UeVM,IF(MONTH(Monat.Tag1)=12,Monat.P8UeVM,"")))))))))))),"")</f>
        <v>0</v>
      </c>
      <c r="AL104" s="172"/>
      <c r="AM104" s="217" t="n">
        <f aca="false">AH104+AK104</f>
        <v>0</v>
      </c>
      <c r="AN104" s="171"/>
      <c r="AO104" s="171"/>
      <c r="AP104" s="39"/>
    </row>
    <row r="105" s="148" customFormat="true" ht="15" hidden="true" customHeight="true" outlineLevel="1" collapsed="false">
      <c r="A105" s="181" t="str">
        <f aca="true">IF(ROW(A105)-ROW(INDEX(Monat.Projekte.Zeilen,1))+1&gt;EB.AnzProjekte,"",OFFSET(EB.Projekte.Knoten,ROW(A105)-ROW(INDEX(Monat.Projekte.Zeilen,1))+1,0,1,1))</f>
        <v/>
      </c>
      <c r="B105" s="176"/>
      <c r="C105" s="176"/>
      <c r="D105" s="176"/>
      <c r="E105" s="177"/>
      <c r="F105" s="176"/>
      <c r="G105" s="176"/>
      <c r="H105" s="176"/>
      <c r="I105" s="176"/>
      <c r="J105" s="177"/>
      <c r="K105" s="176"/>
      <c r="L105" s="177"/>
      <c r="M105" s="176"/>
      <c r="N105" s="176"/>
      <c r="O105" s="176"/>
      <c r="P105" s="176"/>
      <c r="Q105" s="177"/>
      <c r="R105" s="176"/>
      <c r="S105" s="177"/>
      <c r="T105" s="177"/>
      <c r="U105" s="176"/>
      <c r="V105" s="176"/>
      <c r="W105" s="176"/>
      <c r="X105" s="177"/>
      <c r="Y105" s="176"/>
      <c r="Z105" s="178"/>
      <c r="AA105" s="176"/>
      <c r="AB105" s="176"/>
      <c r="AC105" s="176"/>
      <c r="AD105" s="176"/>
      <c r="AE105" s="177"/>
      <c r="AF105" s="168" t="str">
        <f aca="false">A105</f>
        <v/>
      </c>
      <c r="AG105" s="184"/>
      <c r="AH105" s="207" t="n">
        <f aca="false">SUM(B105:AE105)</f>
        <v>0</v>
      </c>
      <c r="AI105" s="33"/>
      <c r="AJ105" s="192"/>
      <c r="AK105" s="216" t="n">
        <f aca="false">IF(EB.Anwendung&lt;&gt;"",IF(MONTH(Monat.Tag1)=1,0,IF(MONTH(Monat.Tag1)=2,January!Monat.P9UeVM,IF(MONTH(Monat.Tag1)=3,February!Monat.P9UeVM,IF(MONTH(Monat.Tag1)=4,March!Monat.P9UeVM,IF(MONTH(Monat.Tag1)=5,April!Monat.P9UeVM,IF(MONTH(Monat.Tag1)=6,May!Monat.P9UeVM,IF(MONTH(Monat.Tag1)=7,June!Monat.P9UeVM,IF(MONTH(Monat.Tag1)=8,July!Monat.P9UeVM,IF(MONTH(Monat.Tag1)=9,August!Monat.P9UeVM,IF(MONTH(Monat.Tag1)=10,September!Monat.P9UeVM,IF(MONTH(Monat.Tag1)=11,October!Monat.P9UeVM,IF(MONTH(Monat.Tag1)=12,Monat.P9UeVM,"")))))))))))),"")</f>
        <v>0</v>
      </c>
      <c r="AL105" s="172"/>
      <c r="AM105" s="217" t="n">
        <f aca="false">AH105+AK105</f>
        <v>0</v>
      </c>
      <c r="AN105" s="171"/>
      <c r="AO105" s="171"/>
      <c r="AP105" s="39"/>
    </row>
    <row r="106" s="148" customFormat="true" ht="15" hidden="true" customHeight="true" outlineLevel="1" collapsed="false">
      <c r="A106" s="181" t="str">
        <f aca="true">IF(ROW(A106)-ROW(INDEX(Monat.Projekte.Zeilen,1))+1&gt;EB.AnzProjekte,"",OFFSET(EB.Projekte.Knoten,ROW(A106)-ROW(INDEX(Monat.Projekte.Zeilen,1))+1,0,1,1))</f>
        <v/>
      </c>
      <c r="B106" s="176"/>
      <c r="C106" s="176"/>
      <c r="D106" s="176"/>
      <c r="E106" s="177"/>
      <c r="F106" s="176"/>
      <c r="G106" s="176"/>
      <c r="H106" s="176"/>
      <c r="I106" s="176"/>
      <c r="J106" s="177"/>
      <c r="K106" s="176"/>
      <c r="L106" s="177"/>
      <c r="M106" s="176"/>
      <c r="N106" s="176"/>
      <c r="O106" s="176"/>
      <c r="P106" s="176"/>
      <c r="Q106" s="177"/>
      <c r="R106" s="176"/>
      <c r="S106" s="177"/>
      <c r="T106" s="177"/>
      <c r="U106" s="176"/>
      <c r="V106" s="176"/>
      <c r="W106" s="176"/>
      <c r="X106" s="177"/>
      <c r="Y106" s="176"/>
      <c r="Z106" s="178"/>
      <c r="AA106" s="176"/>
      <c r="AB106" s="176"/>
      <c r="AC106" s="176"/>
      <c r="AD106" s="176"/>
      <c r="AE106" s="177"/>
      <c r="AF106" s="168" t="str">
        <f aca="false">A106</f>
        <v/>
      </c>
      <c r="AG106" s="184"/>
      <c r="AH106" s="207" t="n">
        <f aca="false">SUM(B106:AE106)</f>
        <v>0</v>
      </c>
      <c r="AI106" s="33"/>
      <c r="AJ106" s="192"/>
      <c r="AK106" s="216" t="n">
        <f aca="false">IF(EB.Anwendung&lt;&gt;"",IF(MONTH(Monat.Tag1)=1,0,IF(MONTH(Monat.Tag1)=2,January!Monat.P10UeVM,IF(MONTH(Monat.Tag1)=3,February!Monat.P10UeVM,IF(MONTH(Monat.Tag1)=4,March!Monat.P10UeVM,IF(MONTH(Monat.Tag1)=5,April!Monat.P10UeVM,IF(MONTH(Monat.Tag1)=6,May!Monat.P10UeVM,IF(MONTH(Monat.Tag1)=7,June!Monat.P10UeVM,IF(MONTH(Monat.Tag1)=8,July!Monat.P10UeVM,IF(MONTH(Monat.Tag1)=9,August!Monat.P10UeVM,IF(MONTH(Monat.Tag1)=10,September!Monat.P10UeVM,IF(MONTH(Monat.Tag1)=11,October!Monat.P10UeVM,IF(MONTH(Monat.Tag1)=12,Monat.P10UeVM,"")))))))))))),"")</f>
        <v>0</v>
      </c>
      <c r="AL106" s="172"/>
      <c r="AM106" s="217" t="n">
        <f aca="false">AH106+AK106</f>
        <v>0</v>
      </c>
      <c r="AN106" s="171"/>
      <c r="AO106" s="171"/>
      <c r="AP106" s="39"/>
    </row>
    <row r="107" s="148" customFormat="true" ht="15" hidden="true" customHeight="true" outlineLevel="1" collapsed="false">
      <c r="A107" s="181" t="str">
        <f aca="true">IF(ROW(A107)-ROW(INDEX(Monat.Projekte.Zeilen,1))+1&gt;EB.AnzProjekte,"",OFFSET(EB.Projekte.Knoten,ROW(A107)-ROW(INDEX(Monat.Projekte.Zeilen,1))+1,0,1,1))</f>
        <v/>
      </c>
      <c r="B107" s="176"/>
      <c r="C107" s="176"/>
      <c r="D107" s="176"/>
      <c r="E107" s="177"/>
      <c r="F107" s="176"/>
      <c r="G107" s="176"/>
      <c r="H107" s="176"/>
      <c r="I107" s="176"/>
      <c r="J107" s="177"/>
      <c r="K107" s="176"/>
      <c r="L107" s="177"/>
      <c r="M107" s="176"/>
      <c r="N107" s="176"/>
      <c r="O107" s="176"/>
      <c r="P107" s="176"/>
      <c r="Q107" s="177"/>
      <c r="R107" s="176"/>
      <c r="S107" s="177"/>
      <c r="T107" s="177"/>
      <c r="U107" s="176"/>
      <c r="V107" s="176"/>
      <c r="W107" s="176"/>
      <c r="X107" s="177"/>
      <c r="Y107" s="176"/>
      <c r="Z107" s="178"/>
      <c r="AA107" s="176"/>
      <c r="AB107" s="176"/>
      <c r="AC107" s="176"/>
      <c r="AD107" s="176"/>
      <c r="AE107" s="177"/>
      <c r="AF107" s="168" t="str">
        <f aca="false">A107</f>
        <v/>
      </c>
      <c r="AG107" s="202"/>
      <c r="AH107" s="207" t="n">
        <f aca="false">SUM(B107:AE107)</f>
        <v>0</v>
      </c>
      <c r="AI107" s="33"/>
      <c r="AJ107" s="192"/>
      <c r="AK107" s="216" t="n">
        <f aca="false">IF(EB.Anwendung&lt;&gt;"",IF(MONTH(Monat.Tag1)=1,0,IF(MONTH(Monat.Tag1)=2,January!Monat.P11UeVM,IF(MONTH(Monat.Tag1)=3,February!Monat.P11UeVM,IF(MONTH(Monat.Tag1)=4,March!Monat.P11UeVM,IF(MONTH(Monat.Tag1)=5,April!Monat.P11UeVM,IF(MONTH(Monat.Tag1)=6,May!Monat.P11UeVM,IF(MONTH(Monat.Tag1)=7,June!Monat.P11UeVM,IF(MONTH(Monat.Tag1)=8,July!Monat.P11UeVM,IF(MONTH(Monat.Tag1)=9,August!Monat.P11UeVM,IF(MONTH(Monat.Tag1)=10,September!Monat.P11UeVM,IF(MONTH(Monat.Tag1)=11,October!Monat.P11UeVM,IF(MONTH(Monat.Tag1)=12,Monat.P11UeVM,"")))))))))))),"")</f>
        <v>0</v>
      </c>
      <c r="AL107" s="172"/>
      <c r="AM107" s="217" t="n">
        <f aca="false">AH107+AK107</f>
        <v>0</v>
      </c>
      <c r="AN107" s="264"/>
      <c r="AO107" s="264"/>
      <c r="AP107" s="39"/>
    </row>
    <row r="108" s="266" customFormat="true" ht="15" hidden="true" customHeight="true" outlineLevel="1" collapsed="false">
      <c r="A108" s="181" t="str">
        <f aca="true">IF(ROW(A108)-ROW(INDEX(Monat.Projekte.Zeilen,1))+1&gt;EB.AnzProjekte,"",OFFSET(EB.Projekte.Knoten,ROW(A108)-ROW(INDEX(Monat.Projekte.Zeilen,1))+1,0,1,1))</f>
        <v/>
      </c>
      <c r="B108" s="176"/>
      <c r="C108" s="176"/>
      <c r="D108" s="176"/>
      <c r="E108" s="177"/>
      <c r="F108" s="176"/>
      <c r="G108" s="176"/>
      <c r="H108" s="176"/>
      <c r="I108" s="176"/>
      <c r="J108" s="177"/>
      <c r="K108" s="176"/>
      <c r="L108" s="177"/>
      <c r="M108" s="176"/>
      <c r="N108" s="176"/>
      <c r="O108" s="176"/>
      <c r="P108" s="176"/>
      <c r="Q108" s="177"/>
      <c r="R108" s="176"/>
      <c r="S108" s="177"/>
      <c r="T108" s="177"/>
      <c r="U108" s="176"/>
      <c r="V108" s="176"/>
      <c r="W108" s="176"/>
      <c r="X108" s="177"/>
      <c r="Y108" s="176"/>
      <c r="Z108" s="178"/>
      <c r="AA108" s="176"/>
      <c r="AB108" s="176"/>
      <c r="AC108" s="176"/>
      <c r="AD108" s="176"/>
      <c r="AE108" s="177"/>
      <c r="AF108" s="168" t="str">
        <f aca="false">A108</f>
        <v/>
      </c>
      <c r="AG108" s="202"/>
      <c r="AH108" s="207" t="n">
        <f aca="false">SUM(B108:AE108)</f>
        <v>0</v>
      </c>
      <c r="AI108" s="33"/>
      <c r="AJ108" s="192"/>
      <c r="AK108" s="216" t="n">
        <f aca="false">IF(EB.Anwendung&lt;&gt;"",IF(MONTH(Monat.Tag1)=1,0,IF(MONTH(Monat.Tag1)=2,January!Monat.P12UeVM,IF(MONTH(Monat.Tag1)=3,February!Monat.P12UeVM,IF(MONTH(Monat.Tag1)=4,March!Monat.P12UeVM,IF(MONTH(Monat.Tag1)=5,April!Monat.P12UeVM,IF(MONTH(Monat.Tag1)=6,May!Monat.P12UeVM,IF(MONTH(Monat.Tag1)=7,June!Monat.P12UeVM,IF(MONTH(Monat.Tag1)=8,July!Monat.P12UeVM,IF(MONTH(Monat.Tag1)=9,August!Monat.P12UeVM,IF(MONTH(Monat.Tag1)=10,September!Monat.P12UeVM,IF(MONTH(Monat.Tag1)=11,October!Monat.P12UeVM,IF(MONTH(Monat.Tag1)=12,Monat.P12UeVM,"")))))))))))),"")</f>
        <v>0</v>
      </c>
      <c r="AL108" s="172"/>
      <c r="AM108" s="217" t="n">
        <f aca="false">AH108+AK108</f>
        <v>0</v>
      </c>
      <c r="AN108" s="264"/>
      <c r="AO108" s="264"/>
      <c r="AP108" s="265"/>
    </row>
    <row r="109" s="266" customFormat="true" ht="15" hidden="true" customHeight="true" outlineLevel="1" collapsed="false">
      <c r="A109" s="181" t="str">
        <f aca="true">IF(ROW(A109)-ROW(INDEX(Monat.Projekte.Zeilen,1))+1&gt;EB.AnzProjekte,"",OFFSET(EB.Projekte.Knoten,ROW(A109)-ROW(INDEX(Monat.Projekte.Zeilen,1))+1,0,1,1))</f>
        <v/>
      </c>
      <c r="B109" s="176"/>
      <c r="C109" s="176"/>
      <c r="D109" s="176"/>
      <c r="E109" s="177"/>
      <c r="F109" s="176"/>
      <c r="G109" s="176"/>
      <c r="H109" s="176"/>
      <c r="I109" s="176"/>
      <c r="J109" s="177"/>
      <c r="K109" s="176"/>
      <c r="L109" s="177"/>
      <c r="M109" s="176"/>
      <c r="N109" s="176"/>
      <c r="O109" s="176"/>
      <c r="P109" s="176"/>
      <c r="Q109" s="177"/>
      <c r="R109" s="176"/>
      <c r="S109" s="177"/>
      <c r="T109" s="177"/>
      <c r="U109" s="176"/>
      <c r="V109" s="176"/>
      <c r="W109" s="176"/>
      <c r="X109" s="177"/>
      <c r="Y109" s="176"/>
      <c r="Z109" s="178"/>
      <c r="AA109" s="176"/>
      <c r="AB109" s="176"/>
      <c r="AC109" s="176"/>
      <c r="AD109" s="176"/>
      <c r="AE109" s="177"/>
      <c r="AF109" s="168" t="str">
        <f aca="false">A109</f>
        <v/>
      </c>
      <c r="AG109" s="184"/>
      <c r="AH109" s="207" t="n">
        <f aca="false">SUM(B109:AE109)</f>
        <v>0</v>
      </c>
      <c r="AI109" s="33"/>
      <c r="AJ109" s="192"/>
      <c r="AK109" s="216" t="n">
        <f aca="false">IF(EB.Anwendung&lt;&gt;"",IF(MONTH(Monat.Tag1)=1,0,IF(MONTH(Monat.Tag1)=2,January!Monat.P13UeVM,IF(MONTH(Monat.Tag1)=3,February!Monat.P13UeVM,IF(MONTH(Monat.Tag1)=4,March!Monat.P13UeVM,IF(MONTH(Monat.Tag1)=5,April!Monat.P13UeVM,IF(MONTH(Monat.Tag1)=6,May!Monat.P13UeVM,IF(MONTH(Monat.Tag1)=7,June!Monat.P13UeVM,IF(MONTH(Monat.Tag1)=8,July!Monat.P13UeVM,IF(MONTH(Monat.Tag1)=9,August!Monat.P13UeVM,IF(MONTH(Monat.Tag1)=10,September!Monat.P13UeVM,IF(MONTH(Monat.Tag1)=11,October!Monat.P13UeVM,IF(MONTH(Monat.Tag1)=12,Monat.P13UeVM,"")))))))))))),"")</f>
        <v>0</v>
      </c>
      <c r="AL109" s="172"/>
      <c r="AM109" s="217" t="n">
        <f aca="false">AH109+AK109</f>
        <v>0</v>
      </c>
      <c r="AN109" s="264"/>
      <c r="AO109" s="264"/>
      <c r="AP109" s="265"/>
    </row>
    <row r="110" customFormat="false" ht="15" hidden="true" customHeight="true" outlineLevel="1" collapsed="false">
      <c r="A110" s="181" t="str">
        <f aca="true">IF(ROW(A110)-ROW(INDEX(Monat.Projekte.Zeilen,1))+1&gt;EB.AnzProjekte,"",OFFSET(EB.Projekte.Knoten,ROW(A110)-ROW(INDEX(Monat.Projekte.Zeilen,1))+1,0,1,1))</f>
        <v/>
      </c>
      <c r="B110" s="176"/>
      <c r="C110" s="176"/>
      <c r="D110" s="176"/>
      <c r="E110" s="177"/>
      <c r="F110" s="176"/>
      <c r="G110" s="176"/>
      <c r="H110" s="176"/>
      <c r="I110" s="176"/>
      <c r="J110" s="177"/>
      <c r="K110" s="176"/>
      <c r="L110" s="177"/>
      <c r="M110" s="176"/>
      <c r="N110" s="176"/>
      <c r="O110" s="176"/>
      <c r="P110" s="176"/>
      <c r="Q110" s="177"/>
      <c r="R110" s="176"/>
      <c r="S110" s="177"/>
      <c r="T110" s="177"/>
      <c r="U110" s="176"/>
      <c r="V110" s="176"/>
      <c r="W110" s="176"/>
      <c r="X110" s="177"/>
      <c r="Y110" s="176"/>
      <c r="Z110" s="178"/>
      <c r="AA110" s="176"/>
      <c r="AB110" s="176"/>
      <c r="AC110" s="176"/>
      <c r="AD110" s="176"/>
      <c r="AE110" s="177"/>
      <c r="AF110" s="168" t="str">
        <f aca="false">A110</f>
        <v/>
      </c>
      <c r="AG110" s="184"/>
      <c r="AH110" s="207" t="n">
        <f aca="false">SUM(B110:AE110)</f>
        <v>0</v>
      </c>
      <c r="AI110" s="33"/>
      <c r="AJ110" s="192"/>
      <c r="AK110" s="216" t="n">
        <f aca="false">IF(EB.Anwendung&lt;&gt;"",IF(MONTH(Monat.Tag1)=1,0,IF(MONTH(Monat.Tag1)=2,January!Monat.P14UeVM,IF(MONTH(Monat.Tag1)=3,February!Monat.P14UeVM,IF(MONTH(Monat.Tag1)=4,March!Monat.P14UeVM,IF(MONTH(Monat.Tag1)=5,April!Monat.P14UeVM,IF(MONTH(Monat.Tag1)=6,May!Monat.P14UeVM,IF(MONTH(Monat.Tag1)=7,June!Monat.P14UeVM,IF(MONTH(Monat.Tag1)=8,July!Monat.P14UeVM,IF(MONTH(Monat.Tag1)=9,August!Monat.P14UeVM,IF(MONTH(Monat.Tag1)=10,September!Monat.P14UeVM,IF(MONTH(Monat.Tag1)=11,October!Monat.P14UeVM,IF(MONTH(Monat.Tag1)=12,Monat.P14UeVM,"")))))))))))),"")</f>
        <v>0</v>
      </c>
      <c r="AL110" s="172"/>
      <c r="AM110" s="217" t="n">
        <f aca="false">AH110+AK110</f>
        <v>0</v>
      </c>
      <c r="AN110" s="264"/>
      <c r="AO110" s="264"/>
      <c r="AP110" s="43"/>
    </row>
    <row r="111" customFormat="false" ht="15" hidden="true" customHeight="true" outlineLevel="1" collapsed="false">
      <c r="A111" s="181" t="str">
        <f aca="true">IF(ROW(A111)-ROW(INDEX(Monat.Projekte.Zeilen,1))+1&gt;EB.AnzProjekte,"",OFFSET(EB.Projekte.Knoten,ROW(A111)-ROW(INDEX(Monat.Projekte.Zeilen,1))+1,0,1,1))</f>
        <v/>
      </c>
      <c r="B111" s="176"/>
      <c r="C111" s="176"/>
      <c r="D111" s="176"/>
      <c r="E111" s="176"/>
      <c r="F111" s="176"/>
      <c r="G111" s="176"/>
      <c r="H111" s="176"/>
      <c r="I111" s="176"/>
      <c r="J111" s="176"/>
      <c r="K111" s="176"/>
      <c r="L111" s="176"/>
      <c r="M111" s="176"/>
      <c r="N111" s="176"/>
      <c r="O111" s="176"/>
      <c r="P111" s="176"/>
      <c r="Q111" s="176"/>
      <c r="R111" s="176"/>
      <c r="S111" s="176"/>
      <c r="T111" s="176"/>
      <c r="U111" s="176"/>
      <c r="V111" s="176"/>
      <c r="W111" s="176"/>
      <c r="X111" s="176"/>
      <c r="Y111" s="176"/>
      <c r="Z111" s="190"/>
      <c r="AA111" s="176"/>
      <c r="AB111" s="176"/>
      <c r="AC111" s="176"/>
      <c r="AD111" s="176"/>
      <c r="AE111" s="176"/>
      <c r="AF111" s="168" t="str">
        <f aca="false">A111</f>
        <v/>
      </c>
      <c r="AG111" s="184"/>
      <c r="AH111" s="207" t="n">
        <f aca="false">SUM(B111:AE111)</f>
        <v>0</v>
      </c>
      <c r="AI111" s="33"/>
      <c r="AJ111" s="192"/>
      <c r="AK111" s="216" t="n">
        <f aca="false">IF(EB.Anwendung&lt;&gt;"",IF(MONTH(Monat.Tag1)=1,0,IF(MONTH(Monat.Tag1)=2,January!Monat.P15UeVM,IF(MONTH(Monat.Tag1)=3,February!Monat.P15UeVM,IF(MONTH(Monat.Tag1)=4,March!Monat.P15UeVM,IF(MONTH(Monat.Tag1)=5,April!Monat.P15UeVM,IF(MONTH(Monat.Tag1)=6,May!Monat.P15UeVM,IF(MONTH(Monat.Tag1)=7,June!Monat.P15UeVM,IF(MONTH(Monat.Tag1)=8,July!Monat.P15UeVM,IF(MONTH(Monat.Tag1)=9,August!Monat.P15UeVM,IF(MONTH(Monat.Tag1)=10,September!Monat.P15UeVM,IF(MONTH(Monat.Tag1)=11,October!Monat.P15UeVM,IF(MONTH(Monat.Tag1)=12,Monat.P15UeVM,"")))))))))))),"")</f>
        <v>0</v>
      </c>
      <c r="AL111" s="172"/>
      <c r="AM111" s="217" t="n">
        <f aca="false">AH111+AK111</f>
        <v>0</v>
      </c>
      <c r="AN111" s="264"/>
      <c r="AO111" s="264"/>
      <c r="AP111" s="43"/>
    </row>
    <row r="112" customFormat="false" ht="15" hidden="false" customHeight="true" outlineLevel="0" collapsed="false">
      <c r="A112" s="181" t="s">
        <v>177</v>
      </c>
      <c r="B112" s="205" t="n">
        <f aca="false">SUM(B97:B111)</f>
        <v>0</v>
      </c>
      <c r="C112" s="205" t="n">
        <f aca="false">SUM(C97:C111)</f>
        <v>0</v>
      </c>
      <c r="D112" s="205" t="n">
        <f aca="false">SUM(D97:D111)</f>
        <v>0</v>
      </c>
      <c r="E112" s="205" t="n">
        <f aca="false">SUM(E97:E111)</f>
        <v>0</v>
      </c>
      <c r="F112" s="205" t="n">
        <f aca="false">SUM(F97:F111)</f>
        <v>0</v>
      </c>
      <c r="G112" s="205" t="n">
        <f aca="false">SUM(G97:G111)</f>
        <v>0</v>
      </c>
      <c r="H112" s="205" t="n">
        <f aca="false">SUM(H97:H111)</f>
        <v>0</v>
      </c>
      <c r="I112" s="205" t="n">
        <f aca="false">SUM(I97:I111)</f>
        <v>0</v>
      </c>
      <c r="J112" s="205" t="n">
        <f aca="false">SUM(J97:J111)</f>
        <v>0</v>
      </c>
      <c r="K112" s="205" t="n">
        <f aca="false">SUM(K97:K111)</f>
        <v>0</v>
      </c>
      <c r="L112" s="205" t="n">
        <f aca="false">SUM(L97:L111)</f>
        <v>0</v>
      </c>
      <c r="M112" s="205" t="n">
        <f aca="false">SUM(M97:M111)</f>
        <v>0</v>
      </c>
      <c r="N112" s="205" t="n">
        <f aca="false">SUM(N97:N111)</f>
        <v>0</v>
      </c>
      <c r="O112" s="205" t="n">
        <f aca="false">SUM(O97:O111)</f>
        <v>0</v>
      </c>
      <c r="P112" s="205" t="n">
        <f aca="false">SUM(P97:P111)</f>
        <v>0</v>
      </c>
      <c r="Q112" s="205" t="n">
        <f aca="false">SUM(Q97:Q111)</f>
        <v>0</v>
      </c>
      <c r="R112" s="205" t="n">
        <f aca="false">SUM(R97:R111)</f>
        <v>0</v>
      </c>
      <c r="S112" s="205" t="n">
        <f aca="false">SUM(S97:S111)</f>
        <v>0</v>
      </c>
      <c r="T112" s="205" t="n">
        <f aca="false">SUM(T97:T111)</f>
        <v>0</v>
      </c>
      <c r="U112" s="205" t="n">
        <f aca="false">SUM(U97:U111)</f>
        <v>0</v>
      </c>
      <c r="V112" s="205" t="n">
        <f aca="false">SUM(V97:V111)</f>
        <v>0</v>
      </c>
      <c r="W112" s="205" t="n">
        <f aca="false">SUM(W97:W111)</f>
        <v>0</v>
      </c>
      <c r="X112" s="205" t="n">
        <f aca="false">SUM(X97:X111)</f>
        <v>0</v>
      </c>
      <c r="Y112" s="205" t="n">
        <f aca="false">SUM(Y97:Y111)</f>
        <v>0</v>
      </c>
      <c r="Z112" s="205" t="n">
        <f aca="false">SUM(Z97:Z111)</f>
        <v>0</v>
      </c>
      <c r="AA112" s="205" t="n">
        <f aca="false">SUM(AA97:AA111)</f>
        <v>0</v>
      </c>
      <c r="AB112" s="205" t="n">
        <f aca="false">SUM(AB97:AB111)</f>
        <v>0</v>
      </c>
      <c r="AC112" s="205" t="n">
        <f aca="false">SUM(AC97:AC111)</f>
        <v>0</v>
      </c>
      <c r="AD112" s="205" t="n">
        <f aca="false">SUM(AD97:AD111)</f>
        <v>0</v>
      </c>
      <c r="AE112" s="205" t="n">
        <f aca="false">SUM(AE97:AE111)</f>
        <v>0</v>
      </c>
      <c r="AF112" s="183" t="str">
        <f aca="false">A112</f>
        <v>Hours worked for projects</v>
      </c>
      <c r="AG112" s="184"/>
      <c r="AH112" s="207" t="n">
        <f aca="false">SUM(B112:AE112)</f>
        <v>0</v>
      </c>
      <c r="AI112" s="33"/>
      <c r="AJ112" s="192"/>
      <c r="AK112" s="216" t="n">
        <f aca="false">IF(EB.Anwendung&lt;&gt;"",IF(MONTH(Monat.Tag1)=1,0,IF(MONTH(Monat.Tag1)=2,January!Monat.PTotalUeVM,IF(MONTH(Monat.Tag1)=3,February!Monat.PTotalUeVM,IF(MONTH(Monat.Tag1)=4,March!Monat.PTotalUeVM,IF(MONTH(Monat.Tag1)=5,April!Monat.PTotalUeVM,IF(MONTH(Monat.Tag1)=6,May!Monat.PTotalUeVM,IF(MONTH(Monat.Tag1)=7,June!Monat.PTotalUeVM,IF(MONTH(Monat.Tag1)=8,July!Monat.PTotalUeVM,IF(MONTH(Monat.Tag1)=9,August!Monat.PTotalUeVM,IF(MONTH(Monat.Tag1)=10,September!Monat.PTotalUeVM,IF(MONTH(Monat.Tag1)=11,October!Monat.PTotalUeVM,IF(MONTH(Monat.Tag1)=12,Monat.PTotalUeVM,"")))))))))))),"")</f>
        <v>0</v>
      </c>
      <c r="AL112" s="172"/>
      <c r="AM112" s="217" t="n">
        <f aca="false">AH112+AK112</f>
        <v>0</v>
      </c>
      <c r="AN112" s="267"/>
      <c r="AO112" s="267"/>
      <c r="AP112" s="43"/>
    </row>
    <row r="113" s="148" customFormat="true" ht="11.25" hidden="false" customHeight="true" outlineLevel="0" collapsed="false">
      <c r="A113" s="268"/>
      <c r="B113" s="194"/>
      <c r="C113" s="194"/>
      <c r="D113" s="194"/>
      <c r="E113" s="194"/>
      <c r="F113" s="194"/>
      <c r="G113" s="194"/>
      <c r="H113" s="194"/>
      <c r="I113" s="194"/>
      <c r="J113" s="194"/>
      <c r="K113" s="194"/>
      <c r="L113" s="194"/>
      <c r="M113" s="194"/>
      <c r="N113" s="194"/>
      <c r="O113" s="194"/>
      <c r="P113" s="194"/>
      <c r="Q113" s="194"/>
      <c r="R113" s="194"/>
      <c r="S113" s="194"/>
      <c r="T113" s="194"/>
      <c r="U113" s="194"/>
      <c r="V113" s="194"/>
      <c r="W113" s="194"/>
      <c r="X113" s="194"/>
      <c r="Y113" s="194"/>
      <c r="Z113" s="194"/>
      <c r="AA113" s="194"/>
      <c r="AB113" s="194"/>
      <c r="AC113" s="194"/>
      <c r="AD113" s="194"/>
      <c r="AE113" s="194"/>
      <c r="AF113" s="269"/>
      <c r="AG113" s="263"/>
      <c r="AH113" s="194"/>
      <c r="AI113" s="16"/>
      <c r="AJ113" s="194"/>
      <c r="AK113" s="194"/>
      <c r="AL113" s="194"/>
      <c r="AM113" s="50"/>
      <c r="AN113" s="194"/>
      <c r="AO113" s="194"/>
      <c r="AP113" s="39"/>
    </row>
    <row r="114" s="148" customFormat="true" ht="15" hidden="true" customHeight="true" outlineLevel="1" collapsed="false">
      <c r="A114" s="181" t="s">
        <v>178</v>
      </c>
      <c r="B114" s="213" t="n">
        <f aca="false">ROUND((B23+B45+B91)-SUMPRODUCT((B97:B111)*(EB.Projektart.Bereich=6)),9)</f>
        <v>0</v>
      </c>
      <c r="C114" s="213" t="n">
        <f aca="false">ROUND((C23+C45+C91)-SUMPRODUCT((C97:C111)*(EB.Projektart.Bereich=6)),9)</f>
        <v>0</v>
      </c>
      <c r="D114" s="213" t="n">
        <f aca="false">ROUND((D23+D45+D91)-SUMPRODUCT((D97:D111)*(EB.Projektart.Bereich=6)),9)</f>
        <v>0</v>
      </c>
      <c r="E114" s="213" t="n">
        <f aca="false">ROUND((E23+E45+E91)-SUMPRODUCT((E97:E111)*(EB.Projektart.Bereich=6)),9)</f>
        <v>0</v>
      </c>
      <c r="F114" s="213" t="n">
        <f aca="false">ROUND((F23+F45+F91)-SUMPRODUCT((F97:F111)*(EB.Projektart.Bereich=6)),9)</f>
        <v>0</v>
      </c>
      <c r="G114" s="213" t="n">
        <f aca="false">ROUND((G23+G45+G91)-SUMPRODUCT((G97:G111)*(EB.Projektart.Bereich=6)),9)</f>
        <v>0</v>
      </c>
      <c r="H114" s="213" t="n">
        <f aca="false">ROUND((H23+H45+H91)-SUMPRODUCT((H97:H111)*(EB.Projektart.Bereich=6)),9)</f>
        <v>0</v>
      </c>
      <c r="I114" s="213" t="n">
        <f aca="false">ROUND((I23+I45+I91)-SUMPRODUCT((I97:I111)*(EB.Projektart.Bereich=6)),9)</f>
        <v>0</v>
      </c>
      <c r="J114" s="213" t="n">
        <f aca="false">ROUND((J23+J45+J91)-SUMPRODUCT((J97:J111)*(EB.Projektart.Bereich=6)),9)</f>
        <v>0</v>
      </c>
      <c r="K114" s="213" t="n">
        <f aca="false">ROUND((K23+K45+K91)-SUMPRODUCT((K97:K111)*(EB.Projektart.Bereich=6)),9)</f>
        <v>0</v>
      </c>
      <c r="L114" s="213" t="n">
        <f aca="false">ROUND((L23+L45+L91)-SUMPRODUCT((L97:L111)*(EB.Projektart.Bereich=6)),9)</f>
        <v>0</v>
      </c>
      <c r="M114" s="213" t="n">
        <f aca="false">ROUND((M23+M45+M91)-SUMPRODUCT((M97:M111)*(EB.Projektart.Bereich=6)),9)</f>
        <v>0</v>
      </c>
      <c r="N114" s="213" t="n">
        <f aca="false">ROUND((N23+N45+N91)-SUMPRODUCT((N97:N111)*(EB.Projektart.Bereich=6)),9)</f>
        <v>0</v>
      </c>
      <c r="O114" s="213" t="n">
        <f aca="false">ROUND((O23+O45+O91)-SUMPRODUCT((O97:O111)*(EB.Projektart.Bereich=6)),9)</f>
        <v>0</v>
      </c>
      <c r="P114" s="213" t="n">
        <f aca="false">ROUND((P23+P45+P91)-SUMPRODUCT((P97:P111)*(EB.Projektart.Bereich=6)),9)</f>
        <v>0</v>
      </c>
      <c r="Q114" s="213" t="n">
        <f aca="false">ROUND((Q23+Q45+Q91)-SUMPRODUCT((Q97:Q111)*(EB.Projektart.Bereich=6)),9)</f>
        <v>0</v>
      </c>
      <c r="R114" s="213" t="n">
        <f aca="false">ROUND((R23+R45+R91)-SUMPRODUCT((R97:R111)*(EB.Projektart.Bereich=6)),9)</f>
        <v>0</v>
      </c>
      <c r="S114" s="213" t="n">
        <f aca="false">ROUND((S23+S45+S91)-SUMPRODUCT((S97:S111)*(EB.Projektart.Bereich=6)),9)</f>
        <v>0</v>
      </c>
      <c r="T114" s="213" t="n">
        <f aca="false">ROUND((T23+T45+T91)-SUMPRODUCT((T97:T111)*(EB.Projektart.Bereich=6)),9)</f>
        <v>0</v>
      </c>
      <c r="U114" s="213" t="n">
        <f aca="false">ROUND((U23+U45+U91)-SUMPRODUCT((U97:U111)*(EB.Projektart.Bereich=6)),9)</f>
        <v>0</v>
      </c>
      <c r="V114" s="213" t="n">
        <f aca="false">ROUND((V23+V45+V91)-SUMPRODUCT((V97:V111)*(EB.Projektart.Bereich=6)),9)</f>
        <v>0</v>
      </c>
      <c r="W114" s="213" t="n">
        <f aca="false">ROUND((W23+W45+W91)-SUMPRODUCT((W97:W111)*(EB.Projektart.Bereich=6)),9)</f>
        <v>0</v>
      </c>
      <c r="X114" s="213" t="n">
        <f aca="false">ROUND((X23+X45+X91)-SUMPRODUCT((X97:X111)*(EB.Projektart.Bereich=6)),9)</f>
        <v>0</v>
      </c>
      <c r="Y114" s="213" t="n">
        <f aca="false">ROUND((Y23+Y45+Y91)-SUMPRODUCT((Y97:Y111)*(EB.Projektart.Bereich=6)),9)</f>
        <v>0</v>
      </c>
      <c r="Z114" s="213" t="n">
        <f aca="false">ROUND((Z23+Z45+Z91)-SUMPRODUCT((Z97:Z111)*(EB.Projektart.Bereich=6)),9)</f>
        <v>0</v>
      </c>
      <c r="AA114" s="213" t="n">
        <f aca="false">ROUND((AA23+AA45+AA91)-SUMPRODUCT((AA97:AA111)*(EB.Projektart.Bereich=6)),9)</f>
        <v>0</v>
      </c>
      <c r="AB114" s="213" t="n">
        <f aca="false">ROUND((AB23+AB45+AB91)-SUMPRODUCT((AB97:AB111)*(EB.Projektart.Bereich=6)),9)</f>
        <v>0</v>
      </c>
      <c r="AC114" s="213" t="n">
        <f aca="false">ROUND((AC23+AC45+AC91)-SUMPRODUCT((AC97:AC111)*(EB.Projektart.Bereich=6)),9)</f>
        <v>0</v>
      </c>
      <c r="AD114" s="213" t="n">
        <f aca="false">ROUND((AD23+AD45+AD91)-SUMPRODUCT((AD97:AD111)*(EB.Projektart.Bereich=6)),9)</f>
        <v>0</v>
      </c>
      <c r="AE114" s="213" t="n">
        <f aca="false">ROUND((AE23+AE45+AE91)-SUMPRODUCT((AE97:AE111)*(EB.Projektart.Bereich=6)),9)</f>
        <v>0</v>
      </c>
      <c r="AF114" s="183" t="str">
        <f aca="false">A114</f>
        <v>Difference WH-Project type 6</v>
      </c>
      <c r="AG114" s="197"/>
      <c r="AH114" s="207" t="n">
        <f aca="false">SUM(B114:AE114)</f>
        <v>0</v>
      </c>
      <c r="AI114" s="33"/>
      <c r="AJ114" s="235"/>
      <c r="AK114" s="216" t="n">
        <f aca="false">IF(EB.Anwendung&lt;&gt;"",IF(MONTH(Monat.Tag1)=1,0,IF(MONTH(Monat.Tag1)=2,January!Monat.PDiffUeVM,IF(MONTH(Monat.Tag1)=3,February!Monat.PDiffUeVM,IF(MONTH(Monat.Tag1)=4,March!Monat.PDiffUeVM,IF(MONTH(Monat.Tag1)=5,April!Monat.PDiffUeVM,IF(MONTH(Monat.Tag1)=6,May!Monat.PDiffUeVM,IF(MONTH(Monat.Tag1)=7,June!Monat.PDiffUeVM,IF(MONTH(Monat.Tag1)=8,July!Monat.PDiffUeVM,IF(MONTH(Monat.Tag1)=9,August!Monat.PDiffUeVM,IF(MONTH(Monat.Tag1)=10,September!Monat.PDiffUeVM,IF(MONTH(Monat.Tag1)=11,October!Monat.PDiffUeVM,IF(MONTH(Monat.Tag1)=12,Monat.PDiffUeVM,"")))))))))))),"")</f>
        <v>10.506944445</v>
      </c>
      <c r="AL114" s="235"/>
      <c r="AM114" s="217" t="n">
        <f aca="false">AH114+AK114</f>
        <v>10.506944445</v>
      </c>
      <c r="AN114" s="235"/>
      <c r="AO114" s="235"/>
      <c r="AP114" s="39"/>
    </row>
    <row r="115" customFormat="false" ht="11.25" hidden="true" customHeight="true" outlineLevel="1" collapsed="false">
      <c r="A115" s="43"/>
      <c r="B115" s="270"/>
      <c r="C115" s="270"/>
      <c r="D115" s="270"/>
      <c r="E115" s="270"/>
      <c r="F115" s="270"/>
      <c r="G115" s="270"/>
      <c r="H115" s="270"/>
      <c r="I115" s="270"/>
      <c r="J115" s="271"/>
      <c r="K115" s="270"/>
      <c r="L115" s="270"/>
      <c r="M115" s="270"/>
      <c r="N115" s="270"/>
      <c r="O115" s="270"/>
      <c r="P115" s="270"/>
      <c r="Q115" s="270"/>
      <c r="R115" s="270"/>
      <c r="S115" s="270"/>
      <c r="T115" s="270"/>
      <c r="U115" s="270"/>
      <c r="V115" s="270"/>
      <c r="W115" s="270"/>
      <c r="X115" s="270"/>
      <c r="Y115" s="270"/>
      <c r="Z115" s="270"/>
      <c r="AA115" s="270"/>
      <c r="AB115" s="270"/>
      <c r="AC115" s="270"/>
      <c r="AD115" s="270"/>
      <c r="AE115" s="270"/>
      <c r="AF115" s="272"/>
      <c r="AG115" s="273"/>
      <c r="AH115" s="43"/>
      <c r="AI115" s="43"/>
      <c r="AJ115" s="43"/>
      <c r="AK115" s="43"/>
      <c r="AL115" s="43"/>
      <c r="AM115" s="274"/>
      <c r="AN115" s="43"/>
      <c r="AO115" s="43"/>
      <c r="AP115" s="43"/>
    </row>
    <row r="116" customFormat="false" ht="11.25" hidden="false" customHeight="true" outlineLevel="0" collapsed="false">
      <c r="A116" s="43"/>
      <c r="B116" s="270"/>
      <c r="C116" s="270"/>
      <c r="D116" s="270"/>
      <c r="E116" s="270"/>
      <c r="F116" s="270"/>
      <c r="G116" s="270"/>
      <c r="H116" s="270"/>
      <c r="I116" s="270"/>
      <c r="J116" s="270"/>
      <c r="K116" s="270"/>
      <c r="L116" s="270"/>
      <c r="M116" s="270"/>
      <c r="N116" s="270"/>
      <c r="O116" s="270"/>
      <c r="P116" s="270"/>
      <c r="Q116" s="270"/>
      <c r="R116" s="270"/>
      <c r="S116" s="270"/>
      <c r="T116" s="270"/>
      <c r="U116" s="270"/>
      <c r="V116" s="270"/>
      <c r="W116" s="270"/>
      <c r="X116" s="270"/>
      <c r="Y116" s="270"/>
      <c r="Z116" s="270"/>
      <c r="AA116" s="270"/>
      <c r="AB116" s="270"/>
      <c r="AC116" s="270"/>
      <c r="AD116" s="270"/>
      <c r="AE116" s="270"/>
      <c r="AF116" s="272"/>
      <c r="AG116" s="273"/>
      <c r="AH116" s="43"/>
      <c r="AI116" s="43"/>
      <c r="AJ116" s="43"/>
      <c r="AK116" s="43"/>
      <c r="AL116" s="43"/>
      <c r="AM116" s="274"/>
      <c r="AN116" s="43"/>
      <c r="AO116" s="43"/>
      <c r="AP116" s="43"/>
    </row>
    <row r="117" customFormat="false" ht="12" hidden="false" customHeight="true" outlineLevel="0" collapsed="false">
      <c r="A117" s="43"/>
      <c r="B117" s="275" t="s">
        <v>179</v>
      </c>
      <c r="C117" s="275"/>
      <c r="D117" s="275"/>
      <c r="E117" s="275"/>
      <c r="F117" s="275"/>
      <c r="G117" s="275"/>
      <c r="H117" s="275"/>
      <c r="I117" s="275"/>
      <c r="J117" s="275"/>
      <c r="K117" s="275"/>
      <c r="L117" s="275"/>
      <c r="M117" s="275"/>
      <c r="N117" s="275"/>
      <c r="O117" s="275"/>
      <c r="P117" s="275"/>
      <c r="Q117" s="275"/>
      <c r="R117" s="276"/>
      <c r="S117" s="276"/>
      <c r="T117" s="276"/>
      <c r="U117" s="276"/>
      <c r="V117" s="276"/>
      <c r="W117" s="276"/>
      <c r="X117" s="276"/>
      <c r="Y117" s="276"/>
      <c r="Z117" s="276"/>
      <c r="AA117" s="276"/>
      <c r="AB117" s="276"/>
      <c r="AC117" s="276"/>
      <c r="AD117" s="276"/>
      <c r="AE117" s="276"/>
      <c r="AF117" s="277"/>
      <c r="AG117" s="278"/>
      <c r="AH117" s="276"/>
      <c r="AI117" s="276"/>
      <c r="AJ117" s="276"/>
      <c r="AK117" s="276"/>
      <c r="AL117" s="276"/>
      <c r="AM117" s="279"/>
      <c r="AN117" s="265"/>
      <c r="AO117" s="265"/>
      <c r="AP117" s="43"/>
    </row>
    <row r="118" customFormat="false" ht="11.25" hidden="false" customHeight="true" outlineLevel="0" collapsed="false">
      <c r="A118" s="280"/>
      <c r="B118" s="280"/>
      <c r="C118" s="280"/>
      <c r="D118" s="280"/>
      <c r="E118" s="280"/>
      <c r="F118" s="280"/>
      <c r="G118" s="280"/>
      <c r="H118" s="280"/>
      <c r="I118" s="280"/>
      <c r="J118" s="280"/>
      <c r="K118" s="280"/>
      <c r="L118" s="280"/>
      <c r="M118" s="276"/>
      <c r="N118" s="276"/>
      <c r="O118" s="276"/>
      <c r="P118" s="276"/>
      <c r="Q118" s="276"/>
      <c r="R118" s="276"/>
      <c r="S118" s="276"/>
      <c r="T118" s="276"/>
      <c r="U118" s="276"/>
      <c r="V118" s="276"/>
      <c r="W118" s="276"/>
      <c r="X118" s="276"/>
      <c r="Y118" s="276"/>
      <c r="Z118" s="276"/>
      <c r="AA118" s="276"/>
      <c r="AB118" s="276"/>
      <c r="AC118" s="276"/>
      <c r="AD118" s="276"/>
      <c r="AE118" s="276"/>
      <c r="AF118" s="276"/>
      <c r="AG118" s="276"/>
      <c r="AH118" s="276"/>
      <c r="AI118" s="276"/>
      <c r="AJ118" s="276"/>
      <c r="AK118" s="276"/>
      <c r="AL118" s="276"/>
      <c r="AM118" s="276"/>
      <c r="AN118" s="276"/>
      <c r="AO118" s="276"/>
      <c r="AP118" s="43"/>
    </row>
    <row r="119" customFormat="false" ht="39" hidden="false" customHeight="true" outlineLevel="0" collapsed="false">
      <c r="A119" s="55" t="s">
        <v>180</v>
      </c>
      <c r="B119" s="281"/>
      <c r="C119" s="281"/>
      <c r="D119" s="281"/>
      <c r="E119" s="281"/>
      <c r="F119" s="281"/>
      <c r="G119" s="281"/>
      <c r="H119" s="281"/>
      <c r="I119" s="281"/>
      <c r="J119" s="281"/>
      <c r="K119" s="281"/>
      <c r="L119" s="281"/>
      <c r="M119" s="281"/>
      <c r="N119" s="281"/>
      <c r="O119" s="281"/>
      <c r="P119" s="281"/>
      <c r="Q119" s="281"/>
      <c r="R119" s="276"/>
      <c r="S119" s="276"/>
      <c r="T119" s="276"/>
      <c r="U119" s="276"/>
      <c r="V119" s="276"/>
      <c r="W119" s="276"/>
      <c r="X119" s="276"/>
      <c r="Y119" s="282"/>
      <c r="Z119" s="282"/>
      <c r="AA119" s="282"/>
      <c r="AB119" s="282"/>
      <c r="AC119" s="282"/>
      <c r="AD119" s="282"/>
      <c r="AE119" s="282"/>
      <c r="AF119" s="283"/>
      <c r="AG119" s="283"/>
      <c r="AH119" s="283"/>
      <c r="AI119" s="283"/>
      <c r="AJ119" s="265"/>
      <c r="AK119" s="265"/>
      <c r="AL119" s="265"/>
      <c r="AM119" s="284"/>
      <c r="AN119" s="265"/>
      <c r="AO119" s="265"/>
      <c r="AP119" s="43"/>
    </row>
    <row r="120" customFormat="false" ht="12" hidden="false" customHeight="true" outlineLevel="0" collapsed="false">
      <c r="A120" s="285" t="s">
        <v>181</v>
      </c>
      <c r="B120" s="286"/>
      <c r="C120" s="286"/>
      <c r="D120" s="286"/>
      <c r="E120" s="286"/>
      <c r="F120" s="286"/>
      <c r="G120" s="286"/>
      <c r="H120" s="286"/>
      <c r="I120" s="286"/>
      <c r="J120" s="286"/>
      <c r="K120" s="286"/>
      <c r="L120" s="286"/>
      <c r="M120" s="286"/>
      <c r="N120" s="286"/>
      <c r="O120" s="286"/>
      <c r="P120" s="286"/>
      <c r="Q120" s="286"/>
      <c r="R120" s="276"/>
      <c r="S120" s="276"/>
      <c r="T120" s="287" t="s">
        <v>182</v>
      </c>
      <c r="U120" s="287"/>
      <c r="V120" s="287"/>
      <c r="W120" s="287"/>
      <c r="X120" s="287"/>
      <c r="Y120" s="282"/>
      <c r="Z120" s="282"/>
      <c r="AA120" s="282"/>
      <c r="AB120" s="282"/>
      <c r="AC120" s="282"/>
      <c r="AD120" s="282"/>
      <c r="AE120" s="282"/>
      <c r="AF120" s="283"/>
      <c r="AG120" s="283"/>
      <c r="AH120" s="283"/>
      <c r="AI120" s="283"/>
      <c r="AJ120" s="43"/>
      <c r="AK120" s="43"/>
      <c r="AL120" s="43"/>
      <c r="AM120" s="274"/>
      <c r="AN120" s="43"/>
      <c r="AO120" s="43"/>
      <c r="AP120" s="43"/>
    </row>
    <row r="121" customFormat="false" ht="11.25" hidden="false" customHeight="true" outlineLevel="0" collapsed="false">
      <c r="A121" s="288"/>
      <c r="B121" s="289"/>
      <c r="C121" s="289"/>
      <c r="D121" s="289"/>
      <c r="E121" s="289"/>
      <c r="F121" s="289"/>
      <c r="G121" s="289"/>
      <c r="H121" s="289"/>
      <c r="I121" s="289"/>
      <c r="J121" s="289"/>
      <c r="K121" s="289"/>
      <c r="L121" s="289"/>
      <c r="M121" s="270"/>
      <c r="N121" s="270"/>
      <c r="O121" s="270"/>
      <c r="P121" s="270"/>
      <c r="Q121" s="270"/>
      <c r="R121" s="270"/>
      <c r="S121" s="276"/>
      <c r="T121" s="270"/>
      <c r="U121" s="270"/>
      <c r="V121" s="270"/>
      <c r="W121" s="270"/>
      <c r="X121" s="270"/>
      <c r="Y121" s="270"/>
      <c r="Z121" s="270"/>
      <c r="AA121" s="270"/>
      <c r="AB121" s="270"/>
      <c r="AC121" s="270"/>
      <c r="AD121" s="270"/>
      <c r="AE121" s="270"/>
      <c r="AF121" s="272"/>
      <c r="AG121" s="273"/>
      <c r="AH121" s="43"/>
      <c r="AI121" s="43"/>
      <c r="AJ121" s="43"/>
      <c r="AK121" s="43"/>
      <c r="AL121" s="43"/>
      <c r="AM121" s="274"/>
      <c r="AN121" s="43"/>
      <c r="AO121" s="43"/>
      <c r="AP121" s="43"/>
    </row>
    <row r="122" customFormat="false" ht="12" hidden="false" customHeight="true" outlineLevel="0" collapsed="false">
      <c r="A122" s="43"/>
      <c r="B122" s="290" t="s">
        <v>183</v>
      </c>
      <c r="C122" s="290"/>
      <c r="D122" s="290"/>
      <c r="E122" s="290"/>
      <c r="F122" s="290"/>
      <c r="G122" s="290"/>
      <c r="H122" s="290"/>
      <c r="I122" s="290"/>
      <c r="J122" s="290"/>
      <c r="K122" s="290"/>
      <c r="L122" s="290"/>
      <c r="M122" s="290"/>
      <c r="N122" s="290"/>
      <c r="O122" s="290"/>
      <c r="P122" s="290"/>
      <c r="Q122" s="290"/>
      <c r="R122" s="270"/>
      <c r="S122" s="270"/>
      <c r="T122" s="270"/>
      <c r="U122" s="270"/>
      <c r="V122" s="270"/>
      <c r="W122" s="270"/>
      <c r="X122" s="270"/>
      <c r="Y122" s="270"/>
      <c r="Z122" s="270"/>
      <c r="AA122" s="270"/>
      <c r="AB122" s="270"/>
      <c r="AC122" s="270"/>
      <c r="AD122" s="270"/>
      <c r="AE122" s="270"/>
      <c r="AF122" s="272"/>
      <c r="AG122" s="273"/>
      <c r="AH122" s="43"/>
      <c r="AI122" s="43"/>
      <c r="AJ122" s="43"/>
      <c r="AK122" s="43"/>
      <c r="AL122" s="43"/>
      <c r="AM122" s="274"/>
      <c r="AN122" s="43"/>
      <c r="AO122" s="43"/>
      <c r="AP122" s="43"/>
    </row>
    <row r="123" customFormat="false" ht="11.25" hidden="false" customHeight="true" outlineLevel="0" collapsed="false">
      <c r="A123" s="43"/>
      <c r="B123" s="270"/>
      <c r="C123" s="270"/>
      <c r="D123" s="270"/>
      <c r="E123" s="270"/>
      <c r="F123" s="270"/>
      <c r="G123" s="270"/>
      <c r="H123" s="270"/>
      <c r="I123" s="270"/>
      <c r="J123" s="270"/>
      <c r="K123" s="270"/>
      <c r="L123" s="270"/>
      <c r="M123" s="270"/>
      <c r="N123" s="270"/>
      <c r="O123" s="270"/>
      <c r="P123" s="270"/>
      <c r="Q123" s="270"/>
      <c r="R123" s="270"/>
      <c r="S123" s="270"/>
      <c r="T123" s="270"/>
      <c r="U123" s="270"/>
      <c r="V123" s="270"/>
      <c r="W123" s="270"/>
      <c r="X123" s="270"/>
      <c r="Y123" s="270"/>
      <c r="Z123" s="270"/>
      <c r="AA123" s="270"/>
      <c r="AB123" s="270"/>
      <c r="AC123" s="270"/>
      <c r="AD123" s="270"/>
      <c r="AE123" s="270"/>
      <c r="AF123" s="272"/>
      <c r="AG123" s="273"/>
      <c r="AH123" s="43"/>
      <c r="AI123" s="43"/>
      <c r="AJ123" s="43"/>
      <c r="AK123" s="43"/>
      <c r="AL123" s="43"/>
      <c r="AM123" s="274"/>
      <c r="AN123" s="43"/>
      <c r="AO123" s="43"/>
      <c r="AP123" s="43"/>
    </row>
    <row r="124" customFormat="false" ht="11.25" hidden="false" customHeight="true" outlineLevel="0" collapsed="false">
      <c r="A124" s="276"/>
      <c r="B124" s="276"/>
      <c r="C124" s="276"/>
      <c r="D124" s="276"/>
      <c r="E124" s="276"/>
      <c r="F124" s="276"/>
      <c r="G124" s="276"/>
      <c r="H124" s="276"/>
      <c r="I124" s="276"/>
      <c r="J124" s="276"/>
      <c r="K124" s="276"/>
      <c r="L124" s="276"/>
      <c r="M124" s="276"/>
      <c r="N124" s="276"/>
      <c r="O124" s="276"/>
      <c r="P124" s="276"/>
      <c r="Q124" s="276"/>
      <c r="R124" s="276"/>
      <c r="S124" s="276"/>
      <c r="T124" s="276"/>
      <c r="U124" s="276"/>
      <c r="V124" s="276"/>
      <c r="W124" s="276"/>
      <c r="X124" s="276"/>
      <c r="Y124" s="276"/>
      <c r="Z124" s="276"/>
      <c r="AA124" s="276"/>
      <c r="AB124" s="276"/>
      <c r="AC124" s="276"/>
      <c r="AD124" s="276"/>
      <c r="AE124" s="276"/>
      <c r="AF124" s="276"/>
      <c r="AG124" s="276"/>
      <c r="AH124" s="276"/>
      <c r="AI124" s="276"/>
      <c r="AJ124" s="276"/>
      <c r="AK124" s="276"/>
      <c r="AL124" s="276"/>
      <c r="AM124" s="276"/>
      <c r="AN124" s="276"/>
      <c r="AO124" s="276"/>
      <c r="AP124" s="43"/>
    </row>
  </sheetData>
  <sheetProtection sheet="true" objects="true" scenarios="true"/>
  <mergeCells count="25">
    <mergeCell ref="B1:L1"/>
    <mergeCell ref="AN1:AO1"/>
    <mergeCell ref="B2:E2"/>
    <mergeCell ref="F2:N2"/>
    <mergeCell ref="P2:U2"/>
    <mergeCell ref="B3:E3"/>
    <mergeCell ref="F3:N3"/>
    <mergeCell ref="P3:U3"/>
    <mergeCell ref="B4:E4"/>
    <mergeCell ref="F4:N4"/>
    <mergeCell ref="P4:U4"/>
    <mergeCell ref="B5:E5"/>
    <mergeCell ref="F5:N5"/>
    <mergeCell ref="B6:E6"/>
    <mergeCell ref="F6:N6"/>
    <mergeCell ref="B7:E7"/>
    <mergeCell ref="F7:N7"/>
    <mergeCell ref="AG10:AH10"/>
    <mergeCell ref="AN10:AO10"/>
    <mergeCell ref="B117:Q117"/>
    <mergeCell ref="B119:Q119"/>
    <mergeCell ref="Y119:AE120"/>
    <mergeCell ref="B120:Q120"/>
    <mergeCell ref="T120:X120"/>
    <mergeCell ref="B122:Q122"/>
  </mergeCells>
  <conditionalFormatting sqref="AH114 B114:AE114">
    <cfRule type="expression" priority="2" aboveAverage="0" equalAverage="0" bottom="0" percent="0" rank="0" text="" dxfId="0">
      <formula>ABS(B$114)&gt;=ROUND(1/24/60,9)</formula>
    </cfRule>
  </conditionalFormatting>
  <conditionalFormatting sqref="B13:AE22 B34:AE44 B25:AE30 B60:AE61 B67:AE67 B71:AE72 B84:AE84 B86:AE95 B97:AE111">
    <cfRule type="expression" priority="3" aboveAverage="0" equalAverage="0" bottom="0" percent="0" rank="0" text="" dxfId="1">
      <formula>WEEKDAY(B$10,2)&gt;5</formula>
    </cfRule>
    <cfRule type="expression" priority="4" aboveAverage="0" equalAverage="0" bottom="0" percent="0" rank="0" text="" dxfId="2">
      <formula>AND(NOT(ISERROR(MATCH(B$10,T.Feiertage.Bereich,0))),OFFSET(T.Feiertage.Bereich,MATCH(B$10,T.Feiertage.Bereich,0)-1,1,1,1)&gt;0)</formula>
    </cfRule>
    <cfRule type="expression" priority="5" aboveAverage="0" equalAverage="0" bottom="0" percent="0" rank="0" text="" dxfId="3">
      <formula>B$11=0</formula>
    </cfRule>
  </conditionalFormatting>
  <conditionalFormatting sqref="AM60:AN60">
    <cfRule type="expression" priority="6" aboveAverage="0" equalAverage="0" bottom="0" percent="0" rank="0" text="" dxfId="4">
      <formula>AND(T.50_Vetsuisse,AM60&gt;=T.GrenzeAngÜZ50_Vetsuisse)</formula>
    </cfRule>
    <cfRule type="expression" priority="7" aboveAverage="0" equalAverage="0" bottom="0" percent="0" rank="0" text="" dxfId="5">
      <formula>AND(T.50_Vetsuisse,AM60&gt;T.GrenzeAngÜZ50_Vetsuisse*T.AngÜZ50_Vetsuisse_orange)</formula>
    </cfRule>
  </conditionalFormatting>
  <conditionalFormatting sqref="B56:AE56">
    <cfRule type="expression" priority="8" aboveAverage="0" equalAverage="0" bottom="0" percent="0" rank="0" text="" dxfId="6">
      <formula>B$10&gt;TODAY()</formula>
    </cfRule>
    <cfRule type="expression" priority="9" aboveAverage="0" equalAverage="0" bottom="0" percent="0" rank="0" text="" dxfId="7">
      <formula>B$56&gt;99.99/24</formula>
    </cfRule>
    <cfRule type="expression" priority="10" aboveAverage="0" equalAverage="0" bottom="0" percent="0" rank="0" text="" dxfId="0">
      <formula>B$56&lt;99.99/24*-1</formula>
    </cfRule>
  </conditionalFormatting>
  <conditionalFormatting sqref="AN55:AO55">
    <cfRule type="cellIs" priority="11" operator="greaterThan" aboveAverage="0" equalAverage="0" bottom="0" percent="0" rank="0" text="" dxfId="1">
      <formula>1/24/60</formula>
    </cfRule>
    <cfRule type="expression" priority="12" aboveAverage="0" equalAverage="0" bottom="0" percent="0" rank="0" text="" dxfId="2">
      <formula>AND(AN55&lt;=1/24/60*-1,TODAY()&gt;=DATE(EB.Jahr,MONTH(12),DAY(31)))</formula>
    </cfRule>
  </conditionalFormatting>
  <conditionalFormatting sqref="AH58 B56:AE56">
    <cfRule type="expression" priority="13" aboveAverage="0" equalAverage="0" bottom="0" percent="0" rank="0" text="" dxfId="3">
      <formula>B$56&gt;1/24/60</formula>
    </cfRule>
    <cfRule type="expression" priority="14" aboveAverage="0" equalAverage="0" bottom="0" percent="0" rank="0" text="" dxfId="4">
      <formula>AND(B$56&lt;=1/24/60*-1,B$56)</formula>
    </cfRule>
  </conditionalFormatting>
  <conditionalFormatting sqref="B14:AE22 B36:AE44 B26:AE30">
    <cfRule type="expression" priority="15" aboveAverage="0" equalAverage="0" bottom="0" percent="0" rank="0" text="" dxfId="5">
      <formula>AND(B14&lt;B13,B14&lt;&gt;"")</formula>
    </cfRule>
  </conditionalFormatting>
  <conditionalFormatting sqref="B72:AE73">
    <cfRule type="expression" priority="16" aboveAverage="0" equalAverage="0" bottom="0" percent="0" rank="0" text="" dxfId="6">
      <formula>AND(T.50_Vetsuisse,OR(AND(B$72&lt;&gt;INDEX(T.JaNein.Bereich,1,1),B$72&lt;&gt;INDEX(T.JaNein.Bereich,2,1),B$73&lt;&gt;0,MOD(IFERROR(MATCH(1,B$13:B$22,0),1),2)=0),AND(B$72=INDEX(T.JaNein.Bereich,1,1),OR(B$73=0,MOD(IFERROR(MATCH(1,B$13:B$22,0),1),2)&lt;&gt;0))))</formula>
    </cfRule>
  </conditionalFormatting>
  <conditionalFormatting sqref="P4:U4">
    <cfRule type="expression" priority="17" aboveAverage="0" equalAverage="0" bottom="0" percent="0" rank="0" text="" dxfId="7">
      <formula>$P$4&lt;&gt;""</formula>
    </cfRule>
  </conditionalFormatting>
  <conditionalFormatting sqref="V4">
    <cfRule type="expression" priority="18" aboveAverage="0" equalAverage="0" bottom="0" percent="0" rank="0" text="" dxfId="8">
      <formula>$V$4&lt;&gt;""</formula>
    </cfRule>
  </conditionalFormatting>
  <conditionalFormatting sqref="AO60">
    <cfRule type="expression" priority="19" aboveAverage="0" equalAverage="0" bottom="0" percent="0" rank="0" text="" dxfId="9">
      <formula>AND(T.50_Vetsuisse,AO60&gt;=T.GrenzeAngÜZ50_Vetsuisse)</formula>
    </cfRule>
    <cfRule type="expression" priority="20" aboveAverage="0" equalAverage="0" bottom="0" percent="0" rank="0" text="" dxfId="10">
      <formula>AND(T.50_Vetsuisse,AO60&gt;T.GrenzeAngÜZ50_Vetsuisse*T.AngÜZ50_Vetsuisse_orange)</formula>
    </cfRule>
  </conditionalFormatting>
  <conditionalFormatting sqref="AI72:AI73">
    <cfRule type="expression" priority="21" aboveAverage="0" equalAverage="0" bottom="0" percent="0" rank="0" text="" dxfId="11">
      <formula>AND(T.50_Vetsuisse,$AI$72&lt;&gt;$AI$73)</formula>
    </cfRule>
    <cfRule type="expression" priority="22" aboveAverage="0" equalAverage="0" bottom="0" percent="0" rank="0" text="" dxfId="12">
      <formula>$AI$72&gt;$AI$73</formula>
    </cfRule>
  </conditionalFormatting>
  <dataValidations count="2">
    <dataValidation allowBlank="true" error="Please choose a value from the drop-down list." errorTitle="Start pl. night shift" operator="between" showDropDown="false" showErrorMessage="true" showInputMessage="true" sqref="B72:AE72" type="list">
      <formula1>T.JaNein.Bereich</formula1>
      <formula2>0</formula2>
    </dataValidation>
    <dataValidation allowBlank="true" error="Bitte wählen Sie einen Wert aus der Liste." errorTitle="Pikett Bereitschaft" operator="between" showDropDown="false" showErrorMessage="true" showInputMessage="true" sqref="B34:AE34" type="list">
      <formula1>T.Pikett.Bereich</formula1>
      <formula2>0</formula2>
    </dataValidation>
  </dataValidations>
  <printOptions headings="false" gridLines="false" gridLinesSet="true" horizontalCentered="true" verticalCentered="false"/>
  <pageMargins left="0.196527777777778" right="0.196527777777778" top="0.39375" bottom="0.393055555555556" header="0.511805555555555" footer="0.196527777777778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&amp;L&amp;"Arial,Regular"&amp;11Monatsabrechnung &amp;A&amp;C&amp;"Arial,Regular"&amp;11&amp;D&amp;R&amp;"Arial,Regular"&amp;11&amp;P / &amp;N</oddFooter>
  </headerFooter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Q124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" ySplit="10" topLeftCell="B11" activePane="bottomRight" state="frozen"/>
      <selection pane="topLeft" activeCell="A1" activeCellId="0" sqref="A1"/>
      <selection pane="topRight" activeCell="B1" activeCellId="0" sqref="B1"/>
      <selection pane="bottomLeft" activeCell="A11" activeCellId="0" sqref="A11"/>
      <selection pane="bottomRight" activeCell="B13" activeCellId="0" sqref="B13"/>
    </sheetView>
  </sheetViews>
  <sheetFormatPr defaultRowHeight="13" zeroHeight="false" outlineLevelRow="1" outlineLevelCol="1"/>
  <cols>
    <col collapsed="false" customWidth="true" hidden="false" outlineLevel="0" max="1" min="1" style="132" width="24.5"/>
    <col collapsed="false" customWidth="true" hidden="false" outlineLevel="0" max="32" min="2" style="132" width="5.66"/>
    <col collapsed="false" customWidth="true" hidden="false" outlineLevel="0" max="33" min="33" style="133" width="24.5"/>
    <col collapsed="false" customWidth="true" hidden="false" outlineLevel="0" max="34" min="34" style="134" width="2.17"/>
    <col collapsed="false" customWidth="true" hidden="false" outlineLevel="0" max="36" min="35" style="132" width="8.17"/>
    <col collapsed="false" customWidth="true" hidden="true" outlineLevel="1" max="37" min="37" style="132" width="15.83"/>
    <col collapsed="false" customWidth="true" hidden="true" outlineLevel="1" max="39" min="38" style="132" width="14.33"/>
    <col collapsed="false" customWidth="true" hidden="false" outlineLevel="0" max="40" min="40" style="135" width="9.5"/>
    <col collapsed="false" customWidth="true" hidden="false" outlineLevel="0" max="42" min="41" style="132" width="8.17"/>
    <col collapsed="false" customWidth="true" hidden="false" outlineLevel="0" max="43" min="43" style="132" width="3.66"/>
    <col collapsed="false" customWidth="true" hidden="false" outlineLevel="0" max="1025" min="44" style="0" width="10.66"/>
  </cols>
  <sheetData>
    <row r="1" s="142" customFormat="true" ht="22.5" hidden="false" customHeight="true" outlineLevel="0" collapsed="false">
      <c r="A1" s="136" t="str">
        <f aca="false">INDEX(EB.Monate.Bereich,MONTH(Monat.Tag1)) &amp; " " &amp; EB.Jahr</f>
        <v>December 2018</v>
      </c>
      <c r="B1" s="137" t="str">
        <f aca="false">Eingabeblatt!B1</f>
        <v>Employee Time Sheet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6"/>
      <c r="N1" s="6"/>
      <c r="O1" s="6"/>
      <c r="P1" s="6"/>
      <c r="Q1" s="6"/>
      <c r="R1" s="138"/>
      <c r="S1" s="6"/>
      <c r="T1" s="6"/>
      <c r="U1" s="6"/>
      <c r="V1" s="139"/>
      <c r="W1" s="139"/>
      <c r="X1" s="6"/>
      <c r="Y1" s="138"/>
      <c r="Z1" s="6"/>
      <c r="AA1" s="6"/>
      <c r="AB1" s="6"/>
      <c r="AC1" s="6"/>
      <c r="AD1" s="6"/>
      <c r="AE1" s="6"/>
      <c r="AF1" s="6"/>
      <c r="AG1" s="140"/>
      <c r="AH1" s="141"/>
      <c r="AI1" s="6"/>
      <c r="AJ1" s="6"/>
      <c r="AK1" s="6"/>
      <c r="AL1" s="6"/>
      <c r="AM1" s="6"/>
      <c r="AN1" s="7"/>
      <c r="AO1" s="7" t="str">
        <f aca="false">EB.Version</f>
        <v>Version 01.18</v>
      </c>
      <c r="AP1" s="7"/>
      <c r="AQ1" s="8" t="str">
        <f aca="false">EB.Sprache</f>
        <v>EN</v>
      </c>
    </row>
    <row r="2" s="148" customFormat="true" ht="15" hidden="false" customHeight="true" outlineLevel="0" collapsed="false">
      <c r="A2" s="55"/>
      <c r="B2" s="11" t="str">
        <f aca="false">Eingabeblatt!A3</f>
        <v>Name</v>
      </c>
      <c r="C2" s="11"/>
      <c r="D2" s="11"/>
      <c r="E2" s="11"/>
      <c r="F2" s="143" t="str">
        <f aca="false">IF(EB.Name="","?",EB.Name)</f>
        <v>Christopher Gwilliams</v>
      </c>
      <c r="G2" s="143"/>
      <c r="H2" s="143"/>
      <c r="I2" s="143"/>
      <c r="J2" s="143"/>
      <c r="K2" s="143"/>
      <c r="L2" s="143"/>
      <c r="M2" s="143"/>
      <c r="N2" s="143"/>
      <c r="O2" s="144"/>
      <c r="P2" s="11" t="str">
        <f aca="false">Eingabeblatt!J7</f>
        <v>Employment Level (FTE) in %</v>
      </c>
      <c r="Q2" s="11"/>
      <c r="R2" s="11"/>
      <c r="S2" s="11"/>
      <c r="T2" s="11"/>
      <c r="U2" s="11"/>
      <c r="V2" s="58" t="n">
        <f aca="false">IF(INDEX(EB.EffBG.Bereich,MONTH(Monat.Tag1))="","-     ",INDEX(EB.EffBG.Bereich,MONTH(Monat.Tag1)))</f>
        <v>100</v>
      </c>
      <c r="W2" s="145"/>
      <c r="X2" s="145"/>
      <c r="Y2" s="16"/>
      <c r="Z2" s="39"/>
      <c r="AA2" s="39"/>
      <c r="AB2" s="39"/>
      <c r="AC2" s="39"/>
      <c r="AD2" s="39"/>
      <c r="AE2" s="39"/>
      <c r="AF2" s="39"/>
      <c r="AG2" s="13"/>
      <c r="AH2" s="146"/>
      <c r="AI2" s="39"/>
      <c r="AJ2" s="39"/>
      <c r="AK2" s="39"/>
      <c r="AL2" s="39"/>
      <c r="AM2" s="39"/>
      <c r="AN2" s="147"/>
      <c r="AO2" s="39"/>
      <c r="AP2" s="39"/>
      <c r="AQ2" s="39"/>
    </row>
    <row r="3" s="148" customFormat="true" ht="15" hidden="false" customHeight="true" outlineLevel="0" collapsed="false">
      <c r="A3" s="149"/>
      <c r="B3" s="11" t="str">
        <f aca="false">Eingabeblatt!H2</f>
        <v>Function</v>
      </c>
      <c r="C3" s="11"/>
      <c r="D3" s="11"/>
      <c r="E3" s="11"/>
      <c r="F3" s="150" t="str">
        <f aca="false">EB.Funktion</f>
        <v>Description of Function</v>
      </c>
      <c r="G3" s="150"/>
      <c r="H3" s="150"/>
      <c r="I3" s="150"/>
      <c r="J3" s="150"/>
      <c r="K3" s="150"/>
      <c r="L3" s="150"/>
      <c r="M3" s="150"/>
      <c r="N3" s="150"/>
      <c r="O3" s="13"/>
      <c r="P3" s="11" t="str">
        <f aca="false">Eingabeblatt!J12</f>
        <v>ø Hours per day at FTE</v>
      </c>
      <c r="Q3" s="11"/>
      <c r="R3" s="11"/>
      <c r="S3" s="11"/>
      <c r="T3" s="11"/>
      <c r="U3" s="11"/>
      <c r="V3" s="151" t="n">
        <f aca="false">IF(INDEX(EB.DurchSollTAZStd.Bereich,MONTH(Monat.Tag1))="","-     ",INDEX(EB.DurchSollTAZStd.Bereich,MONTH(Monat.Tag1)))</f>
        <v>0.35</v>
      </c>
      <c r="W3" s="152"/>
      <c r="X3" s="152"/>
      <c r="Y3" s="39"/>
      <c r="Z3" s="39"/>
      <c r="AA3" s="39"/>
      <c r="AB3" s="39"/>
      <c r="AC3" s="39"/>
      <c r="AD3" s="39"/>
      <c r="AE3" s="39"/>
      <c r="AF3" s="39"/>
      <c r="AG3" s="13"/>
      <c r="AH3" s="146"/>
      <c r="AI3" s="39"/>
      <c r="AJ3" s="39"/>
      <c r="AK3" s="39"/>
      <c r="AL3" s="39"/>
      <c r="AM3" s="39"/>
      <c r="AN3" s="147"/>
      <c r="AO3" s="39"/>
      <c r="AP3" s="39"/>
      <c r="AQ3" s="39"/>
    </row>
    <row r="4" s="148" customFormat="true" ht="15" hidden="false" customHeight="true" outlineLevel="0" collapsed="false">
      <c r="A4" s="149"/>
      <c r="B4" s="11" t="str">
        <f aca="false">Eingabeblatt!H3</f>
        <v>Institute/Department</v>
      </c>
      <c r="C4" s="11"/>
      <c r="D4" s="11"/>
      <c r="E4" s="11"/>
      <c r="F4" s="150" t="str">
        <f aca="false">EB.Institut</f>
        <v>Institute/Department Name</v>
      </c>
      <c r="G4" s="150"/>
      <c r="H4" s="150"/>
      <c r="I4" s="150"/>
      <c r="J4" s="150"/>
      <c r="K4" s="150"/>
      <c r="L4" s="150"/>
      <c r="M4" s="150"/>
      <c r="N4" s="150"/>
      <c r="O4" s="13"/>
      <c r="P4" s="47" t="str">
        <f aca="true">IF(EB.ÜZZSBerechtigt=INDEX(T.JaNein.Bereich,1,1),IF(AND(OR(AND(EB.LKgr16=INDEX(T.JaNein.Bereich,1,1),EB.LKgr16ab&gt;EOMONTH(Monat.Tag1,0)),EB.LKgr16&lt;&gt;INDEX(T.JaNein.Bereich,1,1)),Monat.AZSoll.Total&gt;0),Eingabeblatt!J6,""),"")</f>
        <v/>
      </c>
      <c r="Q4" s="47"/>
      <c r="R4" s="47"/>
      <c r="S4" s="47"/>
      <c r="T4" s="47"/>
      <c r="U4" s="47"/>
      <c r="V4" s="153" t="str">
        <f aca="false">IF(P4&lt;&gt;"",EB.ÜZZSBerechtigt,"")</f>
        <v/>
      </c>
      <c r="W4" s="39"/>
      <c r="X4" s="39"/>
      <c r="Y4" s="39"/>
      <c r="Z4" s="39"/>
      <c r="AA4" s="39"/>
      <c r="AB4" s="39"/>
      <c r="AC4" s="39"/>
      <c r="AD4" s="39"/>
      <c r="AE4" s="39"/>
      <c r="AF4" s="39"/>
      <c r="AG4" s="13"/>
      <c r="AH4" s="146"/>
      <c r="AI4" s="39"/>
      <c r="AJ4" s="39"/>
      <c r="AK4" s="39"/>
      <c r="AL4" s="39"/>
      <c r="AM4" s="39"/>
      <c r="AN4" s="147"/>
      <c r="AO4" s="39"/>
      <c r="AP4" s="39"/>
      <c r="AQ4" s="39"/>
    </row>
    <row r="5" s="148" customFormat="true" ht="15" hidden="false" customHeight="true" outlineLevel="0" collapsed="false">
      <c r="A5" s="149"/>
      <c r="B5" s="11" t="str">
        <f aca="false">Eingabeblatt!A5</f>
        <v>Employee Number</v>
      </c>
      <c r="C5" s="11"/>
      <c r="D5" s="11"/>
      <c r="E5" s="11"/>
      <c r="F5" s="150" t="str">
        <f aca="false">IF(EB.Personalnummer="","?",EB.Personalnummer)</f>
        <v>?</v>
      </c>
      <c r="G5" s="150"/>
      <c r="H5" s="150"/>
      <c r="I5" s="150"/>
      <c r="J5" s="150"/>
      <c r="K5" s="150"/>
      <c r="L5" s="150"/>
      <c r="M5" s="150"/>
      <c r="N5" s="150"/>
      <c r="O5" s="13"/>
      <c r="P5" s="19" t="str">
        <f aca="false">Eingabeblatt!A38</f>
        <v>Standard working hours</v>
      </c>
      <c r="Q5" s="13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 t="s">
        <v>120</v>
      </c>
      <c r="AG5" s="13"/>
      <c r="AH5" s="146"/>
      <c r="AI5" s="39"/>
      <c r="AJ5" s="39"/>
      <c r="AK5" s="39"/>
      <c r="AL5" s="39"/>
      <c r="AM5" s="39"/>
      <c r="AN5" s="147"/>
      <c r="AO5" s="39"/>
      <c r="AP5" s="39"/>
      <c r="AQ5" s="39"/>
    </row>
    <row r="6" s="148" customFormat="true" ht="15" hidden="false" customHeight="true" outlineLevel="0" collapsed="false">
      <c r="A6" s="149"/>
      <c r="B6" s="11" t="str">
        <f aca="false">Eingabeblatt!H4</f>
        <v>Faculty</v>
      </c>
      <c r="C6" s="11"/>
      <c r="D6" s="11"/>
      <c r="E6" s="11"/>
      <c r="F6" s="150" t="str">
        <f aca="false">EB.Fakultaet</f>
        <v>Select Faculty</v>
      </c>
      <c r="G6" s="150"/>
      <c r="H6" s="150"/>
      <c r="I6" s="150"/>
      <c r="J6" s="150"/>
      <c r="K6" s="150"/>
      <c r="L6" s="150"/>
      <c r="M6" s="150"/>
      <c r="N6" s="150"/>
      <c r="O6" s="13"/>
      <c r="P6" s="154" t="str">
        <f aca="false">LEFT(INDEX(EB.RAZ_Wochentage.Bereich,1),2)</f>
        <v>Mo</v>
      </c>
      <c r="Q6" s="154" t="str">
        <f aca="false">LEFT(INDEX(EB.RAZ_Wochentage.Bereich,2),2)</f>
        <v>Tu</v>
      </c>
      <c r="R6" s="154" t="str">
        <f aca="false">LEFT(INDEX(EB.RAZ_Wochentage.Bereich,3),2)</f>
        <v>We</v>
      </c>
      <c r="S6" s="154" t="str">
        <f aca="false">LEFT(INDEX(EB.RAZ_Wochentage.Bereich,4),2)</f>
        <v>Th</v>
      </c>
      <c r="T6" s="154" t="str">
        <f aca="false">LEFT(INDEX(EB.RAZ_Wochentage.Bereich,5),2)</f>
        <v>Fr</v>
      </c>
      <c r="U6" s="154" t="str">
        <f aca="false">LEFT(INDEX(EB.RAZ_Wochentage.Bereich,6),2)</f>
        <v>Sa</v>
      </c>
      <c r="V6" s="154" t="str">
        <f aca="false">LEFT(INDEX(EB.RAZ_Wochentage.Bereich,7),2)</f>
        <v>Su</v>
      </c>
      <c r="W6" s="39"/>
      <c r="X6" s="39"/>
      <c r="Y6" s="39"/>
      <c r="Z6" s="39"/>
      <c r="AA6" s="39"/>
      <c r="AB6" s="39"/>
      <c r="AC6" s="39"/>
      <c r="AD6" s="39"/>
      <c r="AE6" s="39"/>
      <c r="AF6" s="39"/>
      <c r="AG6" s="13"/>
      <c r="AH6" s="146"/>
      <c r="AI6" s="39"/>
      <c r="AJ6" s="39"/>
      <c r="AK6" s="39"/>
      <c r="AL6" s="39"/>
      <c r="AM6" s="39"/>
      <c r="AN6" s="147"/>
      <c r="AO6" s="39"/>
      <c r="AP6" s="39"/>
      <c r="AQ6" s="39"/>
    </row>
    <row r="7" s="148" customFormat="true" ht="15" hidden="false" customHeight="true" outlineLevel="0" collapsed="false">
      <c r="A7" s="149"/>
      <c r="B7" s="11" t="str">
        <f aca="false">Eingabeblatt!H5</f>
        <v>Employee Category</v>
      </c>
      <c r="C7" s="11"/>
      <c r="D7" s="11"/>
      <c r="E7" s="11"/>
      <c r="F7" s="150" t="str">
        <f aca="false">EB.Personalkategorie</f>
        <v>Select Employee Category</v>
      </c>
      <c r="G7" s="150"/>
      <c r="H7" s="150"/>
      <c r="I7" s="150"/>
      <c r="J7" s="150"/>
      <c r="K7" s="150"/>
      <c r="L7" s="150"/>
      <c r="M7" s="150"/>
      <c r="N7" s="150"/>
      <c r="O7" s="13"/>
      <c r="P7" s="155" t="n">
        <f aca="false">IF(EB.Anwendung&lt;&gt;"",IF(MONTH(Monat.Tag1)=1,INDEX(EB.RAZ1_7.Bereich,1),INDEX(IF(MONTH(Monat.Tag1)=2,January!Monat.RAZ1_7.Bereich,IF(MONTH(Monat.Tag1)=3,February!Monat.RAZ1_7.Bereich,IF(MONTH(Monat.Tag1)=4,March!Monat.RAZ1_7.Bereich,IF(MONTH(Monat.Tag1)=5,April!Monat.RAZ1_7.Bereich,IF(MONTH(Monat.Tag1)=6,May!Monat.RAZ1_7.Bereich,IF(MONTH(Monat.Tag1)=7,June!Monat.RAZ1_7.Bereich,IF(MONTH(Monat.Tag1)=8,July!Monat.RAZ1_7.Bereich,IF(MONTH(Monat.Tag1)=9,August!Monat.RAZ1_7.Bereich,IF(MONTH(Monat.Tag1)=10,September!Monat.RAZ1_7.Bereich,IF(MONTH(Monat.Tag1)=11,October!Monat.RAZ1_7.Bereich,IF(MONTH(Monat.Tag1)=12,November!Monat.RAZ1_7.Bereich,""))))))))))),1)),"")</f>
        <v>0.35</v>
      </c>
      <c r="Q7" s="155" t="n">
        <f aca="false">IF(EB.Anwendung&lt;&gt;"",IF(MONTH(Monat.Tag1)=1,INDEX(EB.RAZ1_7.Bereich,2),INDEX(IF(MONTH(Monat.Tag1)=2,January!Monat.RAZ1_7.Bereich,IF(MONTH(Monat.Tag1)=3,February!Monat.RAZ1_7.Bereich,IF(MONTH(Monat.Tag1)=4,March!Monat.RAZ1_7.Bereich,IF(MONTH(Monat.Tag1)=5,April!Monat.RAZ1_7.Bereich,IF(MONTH(Monat.Tag1)=6,May!Monat.RAZ1_7.Bereich,IF(MONTH(Monat.Tag1)=7,June!Monat.RAZ1_7.Bereich,IF(MONTH(Monat.Tag1)=8,July!Monat.RAZ1_7.Bereich,IF(MONTH(Monat.Tag1)=9,August!Monat.RAZ1_7.Bereich,IF(MONTH(Monat.Tag1)=10,September!Monat.RAZ1_7.Bereich,IF(MONTH(Monat.Tag1)=11,October!Monat.RAZ1_7.Bereich,IF(MONTH(Monat.Tag1)=12,November!Monat.RAZ1_7.Bereich,""))))))))))),2)),"")</f>
        <v>0.35</v>
      </c>
      <c r="R7" s="155" t="n">
        <f aca="false">IF(EB.Anwendung&lt;&gt;"",IF(MONTH(Monat.Tag1)=1,INDEX(EB.RAZ1_7.Bereich,3),INDEX(IF(MONTH(Monat.Tag1)=2,January!Monat.RAZ1_7.Bereich,IF(MONTH(Monat.Tag1)=3,February!Monat.RAZ1_7.Bereich,IF(MONTH(Monat.Tag1)=4,March!Monat.RAZ1_7.Bereich,IF(MONTH(Monat.Tag1)=5,April!Monat.RAZ1_7.Bereich,IF(MONTH(Monat.Tag1)=6,May!Monat.RAZ1_7.Bereich,IF(MONTH(Monat.Tag1)=7,June!Monat.RAZ1_7.Bereich,IF(MONTH(Monat.Tag1)=8,July!Monat.RAZ1_7.Bereich,IF(MONTH(Monat.Tag1)=9,August!Monat.RAZ1_7.Bereich,IF(MONTH(Monat.Tag1)=10,September!Monat.RAZ1_7.Bereich,IF(MONTH(Monat.Tag1)=11,October!Monat.RAZ1_7.Bereich,IF(MONTH(Monat.Tag1)=12,November!Monat.RAZ1_7.Bereich,""))))))))))),3)),"")</f>
        <v>0.35</v>
      </c>
      <c r="S7" s="155" t="n">
        <f aca="false">IF(EB.Anwendung&lt;&gt;"",IF(MONTH(Monat.Tag1)=1,INDEX(EB.RAZ1_7.Bereich,4),INDEX(IF(MONTH(Monat.Tag1)=2,January!Monat.RAZ1_7.Bereich,IF(MONTH(Monat.Tag1)=3,February!Monat.RAZ1_7.Bereich,IF(MONTH(Monat.Tag1)=4,March!Monat.RAZ1_7.Bereich,IF(MONTH(Monat.Tag1)=5,April!Monat.RAZ1_7.Bereich,IF(MONTH(Monat.Tag1)=6,May!Monat.RAZ1_7.Bereich,IF(MONTH(Monat.Tag1)=7,June!Monat.RAZ1_7.Bereich,IF(MONTH(Monat.Tag1)=8,July!Monat.RAZ1_7.Bereich,IF(MONTH(Monat.Tag1)=9,August!Monat.RAZ1_7.Bereich,IF(MONTH(Monat.Tag1)=10,September!Monat.RAZ1_7.Bereich,IF(MONTH(Monat.Tag1)=11,October!Monat.RAZ1_7.Bereich,IF(MONTH(Monat.Tag1)=12,November!Monat.RAZ1_7.Bereich,""))))))))))),4)),"")</f>
        <v>0.35</v>
      </c>
      <c r="T7" s="155" t="n">
        <f aca="false">IF(EB.Anwendung&lt;&gt;"",IF(MONTH(Monat.Tag1)=1,INDEX(EB.RAZ1_7.Bereich,5),INDEX(IF(MONTH(Monat.Tag1)=2,January!Monat.RAZ1_7.Bereich,IF(MONTH(Monat.Tag1)=3,February!Monat.RAZ1_7.Bereich,IF(MONTH(Monat.Tag1)=4,March!Monat.RAZ1_7.Bereich,IF(MONTH(Monat.Tag1)=5,April!Monat.RAZ1_7.Bereich,IF(MONTH(Monat.Tag1)=6,May!Monat.RAZ1_7.Bereich,IF(MONTH(Monat.Tag1)=7,June!Monat.RAZ1_7.Bereich,IF(MONTH(Monat.Tag1)=8,July!Monat.RAZ1_7.Bereich,IF(MONTH(Monat.Tag1)=9,August!Monat.RAZ1_7.Bereich,IF(MONTH(Monat.Tag1)=10,September!Monat.RAZ1_7.Bereich,IF(MONTH(Monat.Tag1)=11,October!Monat.RAZ1_7.Bereich,IF(MONTH(Monat.Tag1)=12,November!Monat.RAZ1_7.Bereich,""))))))))))),5)),"")</f>
        <v>0.35</v>
      </c>
      <c r="U7" s="155" t="n">
        <f aca="false">IF(EB.Anwendung&lt;&gt;"",IF(MONTH(Monat.Tag1)=1,INDEX(EB.RAZ1_7.Bereich,6),INDEX(IF(MONTH(Monat.Tag1)=2,January!Monat.RAZ1_7.Bereich,IF(MONTH(Monat.Tag1)=3,February!Monat.RAZ1_7.Bereich,IF(MONTH(Monat.Tag1)=4,March!Monat.RAZ1_7.Bereich,IF(MONTH(Monat.Tag1)=5,April!Monat.RAZ1_7.Bereich,IF(MONTH(Monat.Tag1)=6,May!Monat.RAZ1_7.Bereich,IF(MONTH(Monat.Tag1)=7,June!Monat.RAZ1_7.Bereich,IF(MONTH(Monat.Tag1)=8,July!Monat.RAZ1_7.Bereich,IF(MONTH(Monat.Tag1)=9,August!Monat.RAZ1_7.Bereich,IF(MONTH(Monat.Tag1)=10,September!Monat.RAZ1_7.Bereich,IF(MONTH(Monat.Tag1)=11,October!Monat.RAZ1_7.Bereich,IF(MONTH(Monat.Tag1)=12,November!Monat.RAZ1_7.Bereich,""))))))))))),6)),"")</f>
        <v>0</v>
      </c>
      <c r="V7" s="155" t="n">
        <f aca="false">IF(EB.Anwendung&lt;&gt;"",IF(MONTH(Monat.Tag1)=1,INDEX(EB.RAZ1_7.Bereich,7),INDEX(IF(MONTH(Monat.Tag1)=2,January!Monat.RAZ1_7.Bereich,IF(MONTH(Monat.Tag1)=3,February!Monat.RAZ1_7.Bereich,IF(MONTH(Monat.Tag1)=4,March!Monat.RAZ1_7.Bereich,IF(MONTH(Monat.Tag1)=5,April!Monat.RAZ1_7.Bereich,IF(MONTH(Monat.Tag1)=6,May!Monat.RAZ1_7.Bereich,IF(MONTH(Monat.Tag1)=7,June!Monat.RAZ1_7.Bereich,IF(MONTH(Monat.Tag1)=8,July!Monat.RAZ1_7.Bereich,IF(MONTH(Monat.Tag1)=9,August!Monat.RAZ1_7.Bereich,IF(MONTH(Monat.Tag1)=10,September!Monat.RAZ1_7.Bereich,IF(MONTH(Monat.Tag1)=11,October!Monat.RAZ1_7.Bereich,IF(MONTH(Monat.Tag1)=12,November!Monat.RAZ1_7.Bereich,""))))))))))),7)),"")</f>
        <v>0</v>
      </c>
      <c r="W7" s="39"/>
      <c r="X7" s="39"/>
      <c r="Y7" s="39"/>
      <c r="Z7" s="39"/>
      <c r="AA7" s="39"/>
      <c r="AB7" s="39"/>
      <c r="AC7" s="39"/>
      <c r="AD7" s="39"/>
      <c r="AE7" s="39"/>
      <c r="AF7" s="39"/>
      <c r="AG7" s="13"/>
      <c r="AH7" s="146"/>
      <c r="AI7" s="39"/>
      <c r="AJ7" s="39"/>
      <c r="AK7" s="39"/>
      <c r="AL7" s="39"/>
      <c r="AM7" s="39"/>
      <c r="AN7" s="147"/>
      <c r="AO7" s="39"/>
      <c r="AP7" s="39"/>
      <c r="AQ7" s="39"/>
    </row>
    <row r="8" s="148" customFormat="true" ht="11.25" hidden="false" customHeight="true" outlineLevel="0" collapsed="false">
      <c r="A8" s="55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13"/>
      <c r="AH8" s="146"/>
      <c r="AI8" s="39"/>
      <c r="AJ8" s="39"/>
      <c r="AK8" s="39"/>
      <c r="AL8" s="39"/>
      <c r="AM8" s="39"/>
      <c r="AN8" s="147"/>
      <c r="AO8" s="39"/>
      <c r="AP8" s="39"/>
      <c r="AQ8" s="39"/>
    </row>
    <row r="9" s="148" customFormat="true" ht="15" hidden="false" customHeight="true" outlineLevel="0" collapsed="false">
      <c r="A9" s="55"/>
      <c r="B9" s="156" t="str">
        <f aca="false">INDEX(Monat.Wochentage.Bereich,1,WEEKDAY(B10,2))</f>
        <v>Sa</v>
      </c>
      <c r="C9" s="156" t="str">
        <f aca="false">INDEX(Monat.Wochentage.Bereich,1,WEEKDAY(C10,2))</f>
        <v>Su</v>
      </c>
      <c r="D9" s="156" t="str">
        <f aca="false">INDEX(Monat.Wochentage.Bereich,1,WEEKDAY(D10,2))</f>
        <v>Mo</v>
      </c>
      <c r="E9" s="156" t="str">
        <f aca="false">INDEX(Monat.Wochentage.Bereich,1,WEEKDAY(E10,2))</f>
        <v>Tu</v>
      </c>
      <c r="F9" s="156" t="str">
        <f aca="false">INDEX(Monat.Wochentage.Bereich,1,WEEKDAY(F10,2))</f>
        <v>We</v>
      </c>
      <c r="G9" s="156" t="str">
        <f aca="false">INDEX(Monat.Wochentage.Bereich,1,WEEKDAY(G10,2))</f>
        <v>Th</v>
      </c>
      <c r="H9" s="156" t="str">
        <f aca="false">INDEX(Monat.Wochentage.Bereich,1,WEEKDAY(H10,2))</f>
        <v>Fr</v>
      </c>
      <c r="I9" s="156" t="str">
        <f aca="false">INDEX(Monat.Wochentage.Bereich,1,WEEKDAY(I10,2))</f>
        <v>Sa</v>
      </c>
      <c r="J9" s="156" t="str">
        <f aca="false">INDEX(Monat.Wochentage.Bereich,1,WEEKDAY(J10,2))</f>
        <v>Su</v>
      </c>
      <c r="K9" s="156" t="str">
        <f aca="false">INDEX(Monat.Wochentage.Bereich,1,WEEKDAY(K10,2))</f>
        <v>Mo</v>
      </c>
      <c r="L9" s="156" t="str">
        <f aca="false">INDEX(Monat.Wochentage.Bereich,1,WEEKDAY(L10,2))</f>
        <v>Tu</v>
      </c>
      <c r="M9" s="156" t="str">
        <f aca="false">INDEX(Monat.Wochentage.Bereich,1,WEEKDAY(M10,2))</f>
        <v>We</v>
      </c>
      <c r="N9" s="156" t="str">
        <f aca="false">INDEX(Monat.Wochentage.Bereich,1,WEEKDAY(N10,2))</f>
        <v>Th</v>
      </c>
      <c r="O9" s="156" t="str">
        <f aca="false">INDEX(Monat.Wochentage.Bereich,1,WEEKDAY(O10,2))</f>
        <v>Fr</v>
      </c>
      <c r="P9" s="156" t="str">
        <f aca="false">INDEX(Monat.Wochentage.Bereich,1,WEEKDAY(P10,2))</f>
        <v>Sa</v>
      </c>
      <c r="Q9" s="156" t="str">
        <f aca="false">INDEX(Monat.Wochentage.Bereich,1,WEEKDAY(Q10,2))</f>
        <v>Su</v>
      </c>
      <c r="R9" s="156" t="str">
        <f aca="false">INDEX(Monat.Wochentage.Bereich,1,WEEKDAY(R10,2))</f>
        <v>Mo</v>
      </c>
      <c r="S9" s="156" t="str">
        <f aca="false">INDEX(Monat.Wochentage.Bereich,1,WEEKDAY(S10,2))</f>
        <v>Tu</v>
      </c>
      <c r="T9" s="156" t="str">
        <f aca="false">INDEX(Monat.Wochentage.Bereich,1,WEEKDAY(T10,2))</f>
        <v>We</v>
      </c>
      <c r="U9" s="156" t="str">
        <f aca="false">INDEX(Monat.Wochentage.Bereich,1,WEEKDAY(U10,2))</f>
        <v>Th</v>
      </c>
      <c r="V9" s="156" t="str">
        <f aca="false">INDEX(Monat.Wochentage.Bereich,1,WEEKDAY(V10,2))</f>
        <v>Fr</v>
      </c>
      <c r="W9" s="156" t="str">
        <f aca="false">INDEX(Monat.Wochentage.Bereich,1,WEEKDAY(W10,2))</f>
        <v>Sa</v>
      </c>
      <c r="X9" s="156" t="str">
        <f aca="false">INDEX(Monat.Wochentage.Bereich,1,WEEKDAY(X10,2))</f>
        <v>Su</v>
      </c>
      <c r="Y9" s="156" t="str">
        <f aca="false">INDEX(Monat.Wochentage.Bereich,1,WEEKDAY(Y10,2))</f>
        <v>Mo</v>
      </c>
      <c r="Z9" s="156" t="str">
        <f aca="false">INDEX(Monat.Wochentage.Bereich,1,WEEKDAY(Z10,2))</f>
        <v>Tu</v>
      </c>
      <c r="AA9" s="156" t="str">
        <f aca="false">INDEX(Monat.Wochentage.Bereich,1,WEEKDAY(AA10,2))</f>
        <v>We</v>
      </c>
      <c r="AB9" s="156" t="str">
        <f aca="false">INDEX(Monat.Wochentage.Bereich,1,WEEKDAY(AB10,2))</f>
        <v>Th</v>
      </c>
      <c r="AC9" s="156" t="str">
        <f aca="false">INDEX(Monat.Wochentage.Bereich,1,WEEKDAY(AC10,2))</f>
        <v>Fr</v>
      </c>
      <c r="AD9" s="156" t="str">
        <f aca="false">INDEX(Monat.Wochentage.Bereich,1,WEEKDAY(AD10,2))</f>
        <v>Sa</v>
      </c>
      <c r="AE9" s="156" t="str">
        <f aca="false">INDEX(Monat.Wochentage.Bereich,1,WEEKDAY(AE10,2))</f>
        <v>Su</v>
      </c>
      <c r="AF9" s="156" t="str">
        <f aca="false">INDEX(Monat.Wochentage.Bereich,1,WEEKDAY(AF10,2))</f>
        <v>Mo</v>
      </c>
      <c r="AG9" s="13"/>
      <c r="AH9" s="146"/>
      <c r="AI9" s="39"/>
      <c r="AJ9" s="39"/>
      <c r="AK9" s="39"/>
      <c r="AL9" s="39"/>
      <c r="AM9" s="39"/>
      <c r="AN9" s="147"/>
      <c r="AO9" s="39"/>
      <c r="AP9" s="39"/>
      <c r="AQ9" s="39"/>
    </row>
    <row r="10" s="164" customFormat="true" ht="39" hidden="false" customHeight="false" outlineLevel="0" collapsed="false">
      <c r="A10" s="157" t="s">
        <v>121</v>
      </c>
      <c r="B10" s="158" t="n">
        <v>41973</v>
      </c>
      <c r="C10" s="158" t="n">
        <f aca="false">B10+1</f>
        <v>41974</v>
      </c>
      <c r="D10" s="158" t="n">
        <f aca="false">C10+1</f>
        <v>41975</v>
      </c>
      <c r="E10" s="158" t="n">
        <f aca="false">D10+1</f>
        <v>41976</v>
      </c>
      <c r="F10" s="158" t="n">
        <f aca="false">E10+1</f>
        <v>41977</v>
      </c>
      <c r="G10" s="158" t="n">
        <f aca="false">F10+1</f>
        <v>41978</v>
      </c>
      <c r="H10" s="158" t="n">
        <f aca="false">G10+1</f>
        <v>41979</v>
      </c>
      <c r="I10" s="158" t="n">
        <f aca="false">H10+1</f>
        <v>41980</v>
      </c>
      <c r="J10" s="158" t="n">
        <f aca="false">I10+1</f>
        <v>41981</v>
      </c>
      <c r="K10" s="158" t="n">
        <f aca="false">J10+1</f>
        <v>41982</v>
      </c>
      <c r="L10" s="158" t="n">
        <f aca="false">K10+1</f>
        <v>41983</v>
      </c>
      <c r="M10" s="158" t="n">
        <f aca="false">L10+1</f>
        <v>41984</v>
      </c>
      <c r="N10" s="158" t="n">
        <f aca="false">M10+1</f>
        <v>41985</v>
      </c>
      <c r="O10" s="158" t="n">
        <f aca="false">N10+1</f>
        <v>41986</v>
      </c>
      <c r="P10" s="158" t="n">
        <f aca="false">O10+1</f>
        <v>41987</v>
      </c>
      <c r="Q10" s="158" t="n">
        <f aca="false">P10+1</f>
        <v>41988</v>
      </c>
      <c r="R10" s="158" t="n">
        <f aca="false">Q10+1</f>
        <v>41989</v>
      </c>
      <c r="S10" s="158" t="n">
        <f aca="false">R10+1</f>
        <v>41990</v>
      </c>
      <c r="T10" s="158" t="n">
        <f aca="false">S10+1</f>
        <v>41991</v>
      </c>
      <c r="U10" s="158" t="n">
        <f aca="false">T10+1</f>
        <v>41992</v>
      </c>
      <c r="V10" s="158" t="n">
        <f aca="false">U10+1</f>
        <v>41993</v>
      </c>
      <c r="W10" s="158" t="n">
        <f aca="false">V10+1</f>
        <v>41994</v>
      </c>
      <c r="X10" s="158" t="n">
        <f aca="false">W10+1</f>
        <v>41995</v>
      </c>
      <c r="Y10" s="158" t="n">
        <f aca="false">X10+1</f>
        <v>41996</v>
      </c>
      <c r="Z10" s="158" t="n">
        <f aca="false">Y10+1</f>
        <v>41997</v>
      </c>
      <c r="AA10" s="158" t="n">
        <f aca="false">Z10+1</f>
        <v>41998</v>
      </c>
      <c r="AB10" s="158" t="n">
        <f aca="false">AA10+1</f>
        <v>41999</v>
      </c>
      <c r="AC10" s="158" t="n">
        <f aca="false">AB10+1</f>
        <v>42000</v>
      </c>
      <c r="AD10" s="158" t="n">
        <f aca="false">AC10+1</f>
        <v>42001</v>
      </c>
      <c r="AE10" s="158" t="n">
        <f aca="false">AD10+1</f>
        <v>42002</v>
      </c>
      <c r="AF10" s="158" t="n">
        <f aca="false">AE10+1</f>
        <v>42003</v>
      </c>
      <c r="AG10" s="159" t="str">
        <f aca="false">A10</f>
        <v>Day</v>
      </c>
      <c r="AH10" s="160" t="str">
        <f aca="false">"Total " &amp; INDEX(EB.Monate.Bereich,MONTH(Monat.Tag1))</f>
        <v>Total December</v>
      </c>
      <c r="AI10" s="160"/>
      <c r="AJ10" s="160" t="s">
        <v>122</v>
      </c>
      <c r="AK10" s="161" t="s">
        <v>123</v>
      </c>
      <c r="AL10" s="161" t="s">
        <v>124</v>
      </c>
      <c r="AM10" s="161" t="s">
        <v>125</v>
      </c>
      <c r="AN10" s="162" t="s">
        <v>68</v>
      </c>
      <c r="AO10" s="156" t="str">
        <f aca="true">IF(EB.Sprache="DE","Jahressaldo per" &amp; CHAR(10) &amp; "    ME       " &amp; IFERROR(TEXT(TODAY(),"[$-0007]"&amp;"TT.MM.JJ"),TEXT(TODAY(),"[$-0007]"&amp;"DD.MM.YY")), "Yearly balance by" &amp; CHAR(10) &amp; "   eom      " &amp; IFERROR(TEXT(TODAY(),"[$-0809]"&amp;"DD.MM.YY"),TEXT(TODAY(),"[$-0809]"&amp;"TT.MM.JJ")))</f>
        <v>Yearly balance by
   eom      22.05.18</v>
      </c>
      <c r="AP10" s="156"/>
      <c r="AQ10" s="163"/>
    </row>
    <row r="11" s="164" customFormat="true" ht="12" hidden="true" customHeight="true" outlineLevel="0" collapsed="false">
      <c r="A11" s="157" t="s">
        <v>126</v>
      </c>
      <c r="B11" s="165" t="n">
        <f aca="true">IFERROR(OFFSET(T.Feiertage.Bereich,MATCH(B$10,T.Feiertage.Bereich,0)-1,1,1,1),1)</f>
        <v>1</v>
      </c>
      <c r="C11" s="165" t="n">
        <f aca="true">IFERROR(OFFSET(T.Feiertage.Bereich,MATCH(C$10,T.Feiertage.Bereich,0)-1,1,1,1),1)</f>
        <v>1</v>
      </c>
      <c r="D11" s="165" t="n">
        <f aca="true">IFERROR(OFFSET(T.Feiertage.Bereich,MATCH(D$10,T.Feiertage.Bereich,0)-1,1,1,1),1)</f>
        <v>1</v>
      </c>
      <c r="E11" s="166" t="n">
        <f aca="true">IFERROR(OFFSET(T.Feiertage.Bereich,MATCH(E$10,T.Feiertage.Bereich,0)-1,1,1,1),1)</f>
        <v>1</v>
      </c>
      <c r="F11" s="165" t="n">
        <f aca="true">IFERROR(OFFSET(T.Feiertage.Bereich,MATCH(F$10,T.Feiertage.Bereich,0)-1,1,1,1),1)</f>
        <v>1</v>
      </c>
      <c r="G11" s="165" t="n">
        <f aca="true">IFERROR(OFFSET(T.Feiertage.Bereich,MATCH(G$10,T.Feiertage.Bereich,0)-1,1,1,1),1)</f>
        <v>1</v>
      </c>
      <c r="H11" s="165" t="n">
        <f aca="true">IFERROR(OFFSET(T.Feiertage.Bereich,MATCH(H$10,T.Feiertage.Bereich,0)-1,1,1,1),1)</f>
        <v>1</v>
      </c>
      <c r="I11" s="165" t="n">
        <f aca="true">IFERROR(OFFSET(T.Feiertage.Bereich,MATCH(I$10,T.Feiertage.Bereich,0)-1,1,1,1),1)</f>
        <v>1</v>
      </c>
      <c r="J11" s="166" t="n">
        <f aca="true">IFERROR(OFFSET(T.Feiertage.Bereich,MATCH(J$10,T.Feiertage.Bereich,0)-1,1,1,1),1)</f>
        <v>1</v>
      </c>
      <c r="K11" s="165" t="n">
        <f aca="true">IFERROR(OFFSET(T.Feiertage.Bereich,MATCH(K$10,T.Feiertage.Bereich,0)-1,1,1,1),1)</f>
        <v>1</v>
      </c>
      <c r="L11" s="166" t="n">
        <f aca="true">IFERROR(OFFSET(T.Feiertage.Bereich,MATCH(L$10,T.Feiertage.Bereich,0)-1,1,1,1),1)</f>
        <v>1</v>
      </c>
      <c r="M11" s="165" t="n">
        <f aca="true">IFERROR(OFFSET(T.Feiertage.Bereich,MATCH(M$10,T.Feiertage.Bereich,0)-1,1,1,1),1)</f>
        <v>1</v>
      </c>
      <c r="N11" s="165" t="n">
        <f aca="true">IFERROR(OFFSET(T.Feiertage.Bereich,MATCH(N$10,T.Feiertage.Bereich,0)-1,1,1,1),1)</f>
        <v>1</v>
      </c>
      <c r="O11" s="165" t="n">
        <f aca="true">IFERROR(OFFSET(T.Feiertage.Bereich,MATCH(O$10,T.Feiertage.Bereich,0)-1,1,1,1),1)</f>
        <v>1</v>
      </c>
      <c r="P11" s="165" t="n">
        <f aca="true">IFERROR(OFFSET(T.Feiertage.Bereich,MATCH(P$10,T.Feiertage.Bereich,0)-1,1,1,1),1)</f>
        <v>1</v>
      </c>
      <c r="Q11" s="166" t="n">
        <f aca="true">IFERROR(OFFSET(T.Feiertage.Bereich,MATCH(Q$10,T.Feiertage.Bereich,0)-1,1,1,1),1)</f>
        <v>1</v>
      </c>
      <c r="R11" s="165" t="n">
        <f aca="true">IFERROR(OFFSET(T.Feiertage.Bereich,MATCH(R$10,T.Feiertage.Bereich,0)-1,1,1,1),1)</f>
        <v>1</v>
      </c>
      <c r="S11" s="166" t="n">
        <f aca="true">IFERROR(OFFSET(T.Feiertage.Bereich,MATCH(S$10,T.Feiertage.Bereich,0)-1,1,1,1),1)</f>
        <v>1</v>
      </c>
      <c r="T11" s="166" t="n">
        <f aca="true">IFERROR(OFFSET(T.Feiertage.Bereich,MATCH(T$10,T.Feiertage.Bereich,0)-1,1,1,1),1)</f>
        <v>1</v>
      </c>
      <c r="U11" s="165" t="n">
        <f aca="true">IFERROR(OFFSET(T.Feiertage.Bereich,MATCH(U$10,T.Feiertage.Bereich,0)-1,1,1,1),1)</f>
        <v>1</v>
      </c>
      <c r="V11" s="165" t="n">
        <f aca="true">IFERROR(OFFSET(T.Feiertage.Bereich,MATCH(V$10,T.Feiertage.Bereich,0)-1,1,1,1),1)</f>
        <v>1</v>
      </c>
      <c r="W11" s="165" t="n">
        <f aca="true">IFERROR(OFFSET(T.Feiertage.Bereich,MATCH(W$10,T.Feiertage.Bereich,0)-1,1,1,1),1)</f>
        <v>1</v>
      </c>
      <c r="X11" s="166" t="n">
        <f aca="true">IFERROR(OFFSET(T.Feiertage.Bereich,MATCH(X$10,T.Feiertage.Bereich,0)-1,1,1,1),1)</f>
        <v>1</v>
      </c>
      <c r="Y11" s="165" t="n">
        <f aca="true">IFERROR(OFFSET(T.Feiertage.Bereich,MATCH(Y$10,T.Feiertage.Bereich,0)-1,1,1,1),1)</f>
        <v>0.5</v>
      </c>
      <c r="Z11" s="167" t="n">
        <f aca="true">IFERROR(OFFSET(T.Feiertage.Bereich,MATCH(Z$10,T.Feiertage.Bereich,0)-1,1,1,1),1)</f>
        <v>0</v>
      </c>
      <c r="AA11" s="165" t="n">
        <f aca="true">IFERROR(OFFSET(T.Feiertage.Bereich,MATCH(AA$10,T.Feiertage.Bereich,0)-1,1,1,1),1)</f>
        <v>0</v>
      </c>
      <c r="AB11" s="165" t="n">
        <f aca="true">IFERROR(OFFSET(T.Feiertage.Bereich,MATCH(AB$10,T.Feiertage.Bereich,0)-1,1,1,1),1)</f>
        <v>1</v>
      </c>
      <c r="AC11" s="165" t="n">
        <f aca="true">IFERROR(OFFSET(T.Feiertage.Bereich,MATCH(AC$10,T.Feiertage.Bereich,0)-1,1,1,1),1)</f>
        <v>1</v>
      </c>
      <c r="AD11" s="165" t="n">
        <f aca="true">IFERROR(OFFSET(T.Feiertage.Bereich,MATCH(AD$10,T.Feiertage.Bereich,0)-1,1,1,1),1)</f>
        <v>1</v>
      </c>
      <c r="AE11" s="166" t="n">
        <f aca="true">IFERROR(OFFSET(T.Feiertage.Bereich,MATCH(AE$10,T.Feiertage.Bereich,0)-1,1,1,1),1)</f>
        <v>1</v>
      </c>
      <c r="AF11" s="165" t="n">
        <f aca="true">IFERROR(OFFSET(T.Feiertage.Bereich,MATCH(AF$10,T.Feiertage.Bereich,0)-1,1,1,1),1)</f>
        <v>0.714285714285714</v>
      </c>
      <c r="AG11" s="168"/>
      <c r="AH11" s="146"/>
      <c r="AI11" s="169"/>
      <c r="AJ11" s="170"/>
      <c r="AK11" s="171"/>
      <c r="AL11" s="172"/>
      <c r="AM11" s="172"/>
      <c r="AN11" s="171"/>
      <c r="AO11" s="172"/>
      <c r="AP11" s="172"/>
      <c r="AQ11" s="163"/>
    </row>
    <row r="12" s="164" customFormat="true" ht="12" hidden="true" customHeight="true" outlineLevel="0" collapsed="false">
      <c r="A12" s="157" t="s">
        <v>127</v>
      </c>
      <c r="B12" s="173" t="n">
        <f aca="false">IF(OR(AND(ISNUMBER(EB.UJEintritt),EB.UJEintritt&gt;=B$10+1),AND(ISNUMBER(EB.UJAustritt),EB.UJAustritt&lt;=B$10-1)),0,1)</f>
        <v>1</v>
      </c>
      <c r="C12" s="173" t="n">
        <f aca="false">IF(OR(AND(ISNUMBER(EB.UJEintritt),EB.UJEintritt&gt;=C$10+1),AND(ISNUMBER(EB.UJAustritt),EB.UJAustritt&lt;=C$10-1)),0,1)</f>
        <v>1</v>
      </c>
      <c r="D12" s="173" t="n">
        <f aca="false">IF(OR(AND(ISNUMBER(EB.UJEintritt),EB.UJEintritt&gt;=D$10+1),AND(ISNUMBER(EB.UJAustritt),EB.UJAustritt&lt;=D$10-1)),0,1)</f>
        <v>1</v>
      </c>
      <c r="E12" s="156" t="n">
        <f aca="false">IF(OR(AND(ISNUMBER(EB.UJEintritt),EB.UJEintritt&gt;=E$10+1),AND(ISNUMBER(EB.UJAustritt),EB.UJAustritt&lt;=E$10-1)),0,1)</f>
        <v>1</v>
      </c>
      <c r="F12" s="173" t="n">
        <f aca="false">IF(OR(AND(ISNUMBER(EB.UJEintritt),EB.UJEintritt&gt;=F$10+1),AND(ISNUMBER(EB.UJAustritt),EB.UJAustritt&lt;=F$10-1)),0,1)</f>
        <v>1</v>
      </c>
      <c r="G12" s="173" t="n">
        <f aca="false">IF(OR(AND(ISNUMBER(EB.UJEintritt),EB.UJEintritt&gt;=G$10+1),AND(ISNUMBER(EB.UJAustritt),EB.UJAustritt&lt;=G$10-1)),0,1)</f>
        <v>1</v>
      </c>
      <c r="H12" s="173" t="n">
        <f aca="false">IF(OR(AND(ISNUMBER(EB.UJEintritt),EB.UJEintritt&gt;=H$10+1),AND(ISNUMBER(EB.UJAustritt),EB.UJAustritt&lt;=H$10-1)),0,1)</f>
        <v>1</v>
      </c>
      <c r="I12" s="173" t="n">
        <f aca="false">IF(OR(AND(ISNUMBER(EB.UJEintritt),EB.UJEintritt&gt;=I$10+1),AND(ISNUMBER(EB.UJAustritt),EB.UJAustritt&lt;=I$10-1)),0,1)</f>
        <v>1</v>
      </c>
      <c r="J12" s="156" t="n">
        <f aca="false">IF(OR(AND(ISNUMBER(EB.UJEintritt),EB.UJEintritt&gt;=J$10+1),AND(ISNUMBER(EB.UJAustritt),EB.UJAustritt&lt;=J$10-1)),0,1)</f>
        <v>1</v>
      </c>
      <c r="K12" s="173" t="n">
        <f aca="false">IF(OR(AND(ISNUMBER(EB.UJEintritt),EB.UJEintritt&gt;=K$10+1),AND(ISNUMBER(EB.UJAustritt),EB.UJAustritt&lt;=K$10-1)),0,1)</f>
        <v>1</v>
      </c>
      <c r="L12" s="156" t="n">
        <f aca="false">IF(OR(AND(ISNUMBER(EB.UJEintritt),EB.UJEintritt&gt;=L$10+1),AND(ISNUMBER(EB.UJAustritt),EB.UJAustritt&lt;=L$10-1)),0,1)</f>
        <v>1</v>
      </c>
      <c r="M12" s="173" t="n">
        <f aca="false">IF(OR(AND(ISNUMBER(EB.UJEintritt),EB.UJEintritt&gt;=M$10+1),AND(ISNUMBER(EB.UJAustritt),EB.UJAustritt&lt;=M$10-1)),0,1)</f>
        <v>1</v>
      </c>
      <c r="N12" s="173" t="n">
        <f aca="false">IF(OR(AND(ISNUMBER(EB.UJEintritt),EB.UJEintritt&gt;=N$10+1),AND(ISNUMBER(EB.UJAustritt),EB.UJAustritt&lt;=N$10-1)),0,1)</f>
        <v>1</v>
      </c>
      <c r="O12" s="173" t="n">
        <f aca="false">IF(OR(AND(ISNUMBER(EB.UJEintritt),EB.UJEintritt&gt;=O$10+1),AND(ISNUMBER(EB.UJAustritt),EB.UJAustritt&lt;=O$10-1)),0,1)</f>
        <v>1</v>
      </c>
      <c r="P12" s="173" t="n">
        <f aca="false">IF(OR(AND(ISNUMBER(EB.UJEintritt),EB.UJEintritt&gt;=P$10+1),AND(ISNUMBER(EB.UJAustritt),EB.UJAustritt&lt;=P$10-1)),0,1)</f>
        <v>1</v>
      </c>
      <c r="Q12" s="156" t="n">
        <f aca="false">IF(OR(AND(ISNUMBER(EB.UJEintritt),EB.UJEintritt&gt;=Q$10+1),AND(ISNUMBER(EB.UJAustritt),EB.UJAustritt&lt;=Q$10-1)),0,1)</f>
        <v>1</v>
      </c>
      <c r="R12" s="173" t="n">
        <f aca="false">IF(OR(AND(ISNUMBER(EB.UJEintritt),EB.UJEintritt&gt;=R$10+1),AND(ISNUMBER(EB.UJAustritt),EB.UJAustritt&lt;=R$10-1)),0,1)</f>
        <v>1</v>
      </c>
      <c r="S12" s="156" t="n">
        <f aca="false">IF(OR(AND(ISNUMBER(EB.UJEintritt),EB.UJEintritt&gt;=S$10+1),AND(ISNUMBER(EB.UJAustritt),EB.UJAustritt&lt;=S$10-1)),0,1)</f>
        <v>1</v>
      </c>
      <c r="T12" s="156" t="n">
        <f aca="false">IF(OR(AND(ISNUMBER(EB.UJEintritt),EB.UJEintritt&gt;=T$10+1),AND(ISNUMBER(EB.UJAustritt),EB.UJAustritt&lt;=T$10-1)),0,1)</f>
        <v>1</v>
      </c>
      <c r="U12" s="173" t="n">
        <f aca="false">IF(OR(AND(ISNUMBER(EB.UJEintritt),EB.UJEintritt&gt;=U$10+1),AND(ISNUMBER(EB.UJAustritt),EB.UJAustritt&lt;=U$10-1)),0,1)</f>
        <v>1</v>
      </c>
      <c r="V12" s="173" t="n">
        <f aca="false">IF(OR(AND(ISNUMBER(EB.UJEintritt),EB.UJEintritt&gt;=V$10+1),AND(ISNUMBER(EB.UJAustritt),EB.UJAustritt&lt;=V$10-1)),0,1)</f>
        <v>1</v>
      </c>
      <c r="W12" s="173" t="n">
        <f aca="false">IF(OR(AND(ISNUMBER(EB.UJEintritt),EB.UJEintritt&gt;=W$10+1),AND(ISNUMBER(EB.UJAustritt),EB.UJAustritt&lt;=W$10-1)),0,1)</f>
        <v>1</v>
      </c>
      <c r="X12" s="156" t="n">
        <f aca="false">IF(OR(AND(ISNUMBER(EB.UJEintritt),EB.UJEintritt&gt;=X$10+1),AND(ISNUMBER(EB.UJAustritt),EB.UJAustritt&lt;=X$10-1)),0,1)</f>
        <v>1</v>
      </c>
      <c r="Y12" s="173" t="n">
        <f aca="false">IF(OR(AND(ISNUMBER(EB.UJEintritt),EB.UJEintritt&gt;=Y$10+1),AND(ISNUMBER(EB.UJAustritt),EB.UJAustritt&lt;=Y$10-1)),0,1)</f>
        <v>1</v>
      </c>
      <c r="Z12" s="174" t="n">
        <f aca="false">IF(OR(AND(ISNUMBER(EB.UJEintritt),EB.UJEintritt&gt;=Z$10+1),AND(ISNUMBER(EB.UJAustritt),EB.UJAustritt&lt;=Z$10-1)),0,1)</f>
        <v>1</v>
      </c>
      <c r="AA12" s="173" t="n">
        <f aca="false">IF(OR(AND(ISNUMBER(EB.UJEintritt),EB.UJEintritt&gt;=AA$10+1),AND(ISNUMBER(EB.UJAustritt),EB.UJAustritt&lt;=AA$10-1)),0,1)</f>
        <v>1</v>
      </c>
      <c r="AB12" s="173" t="n">
        <f aca="false">IF(OR(AND(ISNUMBER(EB.UJEintritt),EB.UJEintritt&gt;=AB$10+1),AND(ISNUMBER(EB.UJAustritt),EB.UJAustritt&lt;=AB$10-1)),0,1)</f>
        <v>1</v>
      </c>
      <c r="AC12" s="173" t="n">
        <f aca="false">IF(OR(AND(ISNUMBER(EB.UJEintritt),EB.UJEintritt&gt;=AC$10+1),AND(ISNUMBER(EB.UJAustritt),EB.UJAustritt&lt;=AC$10-1)),0,1)</f>
        <v>1</v>
      </c>
      <c r="AD12" s="173" t="n">
        <f aca="false">IF(OR(AND(ISNUMBER(EB.UJEintritt),EB.UJEintritt&gt;=AD$10+1),AND(ISNUMBER(EB.UJAustritt),EB.UJAustritt&lt;=AD$10-1)),0,1)</f>
        <v>1</v>
      </c>
      <c r="AE12" s="156" t="n">
        <f aca="false">IF(OR(AND(ISNUMBER(EB.UJEintritt),EB.UJEintritt&gt;=AE$10+1),AND(ISNUMBER(EB.UJAustritt),EB.UJAustritt&lt;=AE$10-1)),0,1)</f>
        <v>1</v>
      </c>
      <c r="AF12" s="173" t="n">
        <f aca="false">IF(OR(AND(ISNUMBER(EB.UJEintritt),EB.UJEintritt&gt;=AF$10+1),AND(ISNUMBER(EB.UJAustritt),EB.UJAustritt&lt;=AF$10-1)),0,1)</f>
        <v>1</v>
      </c>
      <c r="AG12" s="168"/>
      <c r="AH12" s="146"/>
      <c r="AI12" s="169"/>
      <c r="AJ12" s="170"/>
      <c r="AK12" s="171"/>
      <c r="AL12" s="172"/>
      <c r="AM12" s="172"/>
      <c r="AN12" s="171"/>
      <c r="AO12" s="172"/>
      <c r="AP12" s="172"/>
      <c r="AQ12" s="163"/>
    </row>
    <row r="13" s="148" customFormat="true" ht="15" hidden="false" customHeight="true" outlineLevel="0" collapsed="false">
      <c r="A13" s="175" t="s">
        <v>128</v>
      </c>
      <c r="B13" s="176"/>
      <c r="C13" s="176"/>
      <c r="D13" s="176"/>
      <c r="E13" s="177"/>
      <c r="F13" s="176"/>
      <c r="G13" s="176"/>
      <c r="H13" s="176"/>
      <c r="I13" s="176"/>
      <c r="J13" s="177"/>
      <c r="K13" s="176"/>
      <c r="L13" s="177"/>
      <c r="M13" s="176"/>
      <c r="N13" s="176"/>
      <c r="O13" s="176"/>
      <c r="P13" s="176"/>
      <c r="Q13" s="177"/>
      <c r="R13" s="176"/>
      <c r="S13" s="177"/>
      <c r="T13" s="177"/>
      <c r="U13" s="176"/>
      <c r="V13" s="176"/>
      <c r="W13" s="176"/>
      <c r="X13" s="177"/>
      <c r="Y13" s="176"/>
      <c r="Z13" s="178"/>
      <c r="AA13" s="176"/>
      <c r="AB13" s="176"/>
      <c r="AC13" s="176"/>
      <c r="AD13" s="176"/>
      <c r="AE13" s="177"/>
      <c r="AF13" s="176"/>
      <c r="AG13" s="168" t="str">
        <f aca="false">A13</f>
        <v>in</v>
      </c>
      <c r="AH13" s="146"/>
      <c r="AI13" s="169"/>
      <c r="AJ13" s="170"/>
      <c r="AK13" s="171"/>
      <c r="AL13" s="172"/>
      <c r="AM13" s="172"/>
      <c r="AN13" s="171"/>
      <c r="AO13" s="172"/>
      <c r="AP13" s="172"/>
      <c r="AQ13" s="39"/>
    </row>
    <row r="14" s="148" customFormat="true" ht="15" hidden="false" customHeight="true" outlineLevel="0" collapsed="false">
      <c r="A14" s="175" t="s">
        <v>129</v>
      </c>
      <c r="B14" s="176"/>
      <c r="C14" s="176"/>
      <c r="D14" s="176"/>
      <c r="E14" s="177"/>
      <c r="F14" s="176"/>
      <c r="G14" s="176"/>
      <c r="H14" s="176"/>
      <c r="I14" s="176"/>
      <c r="J14" s="177"/>
      <c r="K14" s="176"/>
      <c r="L14" s="177"/>
      <c r="M14" s="176"/>
      <c r="N14" s="176"/>
      <c r="O14" s="176"/>
      <c r="P14" s="176"/>
      <c r="Q14" s="177"/>
      <c r="R14" s="176"/>
      <c r="S14" s="177"/>
      <c r="T14" s="177"/>
      <c r="U14" s="176"/>
      <c r="V14" s="176"/>
      <c r="W14" s="176"/>
      <c r="X14" s="177"/>
      <c r="Y14" s="176"/>
      <c r="Z14" s="178"/>
      <c r="AA14" s="176"/>
      <c r="AB14" s="176"/>
      <c r="AC14" s="176"/>
      <c r="AD14" s="176"/>
      <c r="AE14" s="177"/>
      <c r="AF14" s="176"/>
      <c r="AG14" s="168" t="str">
        <f aca="false">A14</f>
        <v>out</v>
      </c>
      <c r="AH14" s="146"/>
      <c r="AI14" s="169"/>
      <c r="AJ14" s="170"/>
      <c r="AK14" s="171"/>
      <c r="AL14" s="172"/>
      <c r="AM14" s="172"/>
      <c r="AN14" s="171"/>
      <c r="AO14" s="172"/>
      <c r="AP14" s="172"/>
      <c r="AQ14" s="39"/>
    </row>
    <row r="15" s="148" customFormat="true" ht="15" hidden="false" customHeight="true" outlineLevel="0" collapsed="false">
      <c r="A15" s="175" t="s">
        <v>128</v>
      </c>
      <c r="B15" s="176"/>
      <c r="C15" s="176"/>
      <c r="D15" s="176"/>
      <c r="E15" s="177"/>
      <c r="F15" s="176"/>
      <c r="G15" s="176"/>
      <c r="H15" s="176"/>
      <c r="I15" s="176"/>
      <c r="J15" s="177"/>
      <c r="K15" s="176"/>
      <c r="L15" s="177"/>
      <c r="M15" s="176"/>
      <c r="N15" s="176"/>
      <c r="O15" s="176"/>
      <c r="P15" s="176"/>
      <c r="Q15" s="177"/>
      <c r="R15" s="176"/>
      <c r="S15" s="177"/>
      <c r="T15" s="177"/>
      <c r="U15" s="176"/>
      <c r="V15" s="176"/>
      <c r="W15" s="176"/>
      <c r="X15" s="177"/>
      <c r="Y15" s="176"/>
      <c r="Z15" s="178"/>
      <c r="AA15" s="176"/>
      <c r="AB15" s="176"/>
      <c r="AC15" s="176"/>
      <c r="AD15" s="176"/>
      <c r="AE15" s="177"/>
      <c r="AF15" s="176"/>
      <c r="AG15" s="168" t="str">
        <f aca="false">A15</f>
        <v>in</v>
      </c>
      <c r="AH15" s="146"/>
      <c r="AI15" s="169"/>
      <c r="AJ15" s="170"/>
      <c r="AK15" s="171"/>
      <c r="AL15" s="172"/>
      <c r="AM15" s="172"/>
      <c r="AN15" s="171"/>
      <c r="AO15" s="172"/>
      <c r="AP15" s="172"/>
      <c r="AQ15" s="39"/>
    </row>
    <row r="16" s="148" customFormat="true" ht="15" hidden="false" customHeight="true" outlineLevel="0" collapsed="false">
      <c r="A16" s="175" t="s">
        <v>129</v>
      </c>
      <c r="B16" s="176"/>
      <c r="C16" s="176"/>
      <c r="D16" s="176"/>
      <c r="E16" s="177"/>
      <c r="F16" s="176"/>
      <c r="G16" s="176"/>
      <c r="H16" s="176"/>
      <c r="I16" s="176"/>
      <c r="J16" s="177"/>
      <c r="K16" s="176"/>
      <c r="L16" s="177"/>
      <c r="M16" s="176"/>
      <c r="N16" s="176"/>
      <c r="O16" s="176"/>
      <c r="P16" s="176"/>
      <c r="Q16" s="177"/>
      <c r="R16" s="176"/>
      <c r="S16" s="177"/>
      <c r="T16" s="177"/>
      <c r="U16" s="176"/>
      <c r="V16" s="176"/>
      <c r="W16" s="176"/>
      <c r="X16" s="177"/>
      <c r="Y16" s="176"/>
      <c r="Z16" s="178"/>
      <c r="AA16" s="176"/>
      <c r="AB16" s="176"/>
      <c r="AC16" s="176"/>
      <c r="AD16" s="176"/>
      <c r="AE16" s="177"/>
      <c r="AF16" s="176"/>
      <c r="AG16" s="168" t="str">
        <f aca="false">A16</f>
        <v>out</v>
      </c>
      <c r="AH16" s="146"/>
      <c r="AI16" s="179"/>
      <c r="AJ16" s="180"/>
      <c r="AK16" s="172"/>
      <c r="AL16" s="172"/>
      <c r="AM16" s="172"/>
      <c r="AN16" s="171"/>
      <c r="AO16" s="172"/>
      <c r="AP16" s="172"/>
      <c r="AQ16" s="39"/>
    </row>
    <row r="17" s="148" customFormat="true" ht="15" hidden="false" customHeight="true" outlineLevel="0" collapsed="false">
      <c r="A17" s="175" t="s">
        <v>128</v>
      </c>
      <c r="B17" s="176"/>
      <c r="C17" s="176"/>
      <c r="D17" s="176"/>
      <c r="E17" s="177"/>
      <c r="F17" s="176"/>
      <c r="G17" s="176"/>
      <c r="H17" s="176"/>
      <c r="I17" s="176"/>
      <c r="J17" s="177"/>
      <c r="K17" s="176"/>
      <c r="L17" s="177"/>
      <c r="M17" s="176"/>
      <c r="N17" s="176"/>
      <c r="O17" s="176"/>
      <c r="P17" s="176"/>
      <c r="Q17" s="177"/>
      <c r="R17" s="176"/>
      <c r="S17" s="177"/>
      <c r="T17" s="177"/>
      <c r="U17" s="176"/>
      <c r="V17" s="176"/>
      <c r="W17" s="176"/>
      <c r="X17" s="177"/>
      <c r="Y17" s="176"/>
      <c r="Z17" s="178"/>
      <c r="AA17" s="176"/>
      <c r="AB17" s="176"/>
      <c r="AC17" s="176"/>
      <c r="AD17" s="176"/>
      <c r="AE17" s="177"/>
      <c r="AF17" s="176"/>
      <c r="AG17" s="168" t="str">
        <f aca="false">A17</f>
        <v>in</v>
      </c>
      <c r="AH17" s="146"/>
      <c r="AI17" s="179"/>
      <c r="AJ17" s="180"/>
      <c r="AK17" s="172"/>
      <c r="AL17" s="172"/>
      <c r="AM17" s="172"/>
      <c r="AN17" s="171"/>
      <c r="AO17" s="172"/>
      <c r="AP17" s="172"/>
      <c r="AQ17" s="39"/>
    </row>
    <row r="18" s="148" customFormat="true" ht="15" hidden="false" customHeight="true" outlineLevel="0" collapsed="false">
      <c r="A18" s="175" t="s">
        <v>129</v>
      </c>
      <c r="B18" s="176"/>
      <c r="C18" s="176"/>
      <c r="D18" s="176"/>
      <c r="E18" s="177"/>
      <c r="F18" s="176"/>
      <c r="G18" s="176"/>
      <c r="H18" s="176"/>
      <c r="I18" s="176"/>
      <c r="J18" s="177"/>
      <c r="K18" s="176"/>
      <c r="L18" s="177"/>
      <c r="M18" s="176"/>
      <c r="N18" s="176"/>
      <c r="O18" s="176"/>
      <c r="P18" s="176"/>
      <c r="Q18" s="177"/>
      <c r="R18" s="176"/>
      <c r="S18" s="177"/>
      <c r="T18" s="177"/>
      <c r="U18" s="176"/>
      <c r="V18" s="176"/>
      <c r="W18" s="176"/>
      <c r="X18" s="177"/>
      <c r="Y18" s="176"/>
      <c r="Z18" s="178"/>
      <c r="AA18" s="176"/>
      <c r="AB18" s="176"/>
      <c r="AC18" s="176"/>
      <c r="AD18" s="176"/>
      <c r="AE18" s="177"/>
      <c r="AF18" s="176"/>
      <c r="AG18" s="168" t="str">
        <f aca="false">A18</f>
        <v>out</v>
      </c>
      <c r="AH18" s="146"/>
      <c r="AI18" s="179"/>
      <c r="AJ18" s="180"/>
      <c r="AK18" s="172"/>
      <c r="AL18" s="172"/>
      <c r="AM18" s="172"/>
      <c r="AN18" s="171"/>
      <c r="AO18" s="172"/>
      <c r="AP18" s="172"/>
      <c r="AQ18" s="39"/>
    </row>
    <row r="19" s="148" customFormat="true" ht="15" hidden="true" customHeight="true" outlineLevel="1" collapsed="false">
      <c r="A19" s="175" t="s">
        <v>128</v>
      </c>
      <c r="B19" s="176"/>
      <c r="C19" s="176"/>
      <c r="D19" s="176"/>
      <c r="E19" s="177"/>
      <c r="F19" s="176"/>
      <c r="G19" s="176"/>
      <c r="H19" s="176"/>
      <c r="I19" s="176"/>
      <c r="J19" s="177"/>
      <c r="K19" s="176"/>
      <c r="L19" s="177"/>
      <c r="M19" s="176"/>
      <c r="N19" s="176"/>
      <c r="O19" s="176"/>
      <c r="P19" s="176"/>
      <c r="Q19" s="177"/>
      <c r="R19" s="176"/>
      <c r="S19" s="177"/>
      <c r="T19" s="177"/>
      <c r="U19" s="176"/>
      <c r="V19" s="176"/>
      <c r="W19" s="176"/>
      <c r="X19" s="177"/>
      <c r="Y19" s="176"/>
      <c r="Z19" s="178"/>
      <c r="AA19" s="176"/>
      <c r="AB19" s="176"/>
      <c r="AC19" s="176"/>
      <c r="AD19" s="176"/>
      <c r="AE19" s="177"/>
      <c r="AF19" s="176"/>
      <c r="AG19" s="168" t="str">
        <f aca="false">A19</f>
        <v>in</v>
      </c>
      <c r="AH19" s="146"/>
      <c r="AI19" s="179"/>
      <c r="AJ19" s="180"/>
      <c r="AK19" s="172"/>
      <c r="AL19" s="172"/>
      <c r="AM19" s="172"/>
      <c r="AN19" s="171"/>
      <c r="AO19" s="172"/>
      <c r="AP19" s="172"/>
      <c r="AQ19" s="39"/>
    </row>
    <row r="20" s="148" customFormat="true" ht="15" hidden="true" customHeight="true" outlineLevel="1" collapsed="false">
      <c r="A20" s="175" t="s">
        <v>129</v>
      </c>
      <c r="B20" s="176"/>
      <c r="C20" s="176"/>
      <c r="D20" s="176"/>
      <c r="E20" s="177"/>
      <c r="F20" s="176"/>
      <c r="G20" s="176"/>
      <c r="H20" s="176"/>
      <c r="I20" s="176"/>
      <c r="J20" s="177"/>
      <c r="K20" s="176"/>
      <c r="L20" s="177"/>
      <c r="M20" s="176"/>
      <c r="N20" s="176"/>
      <c r="O20" s="176"/>
      <c r="P20" s="176"/>
      <c r="Q20" s="177"/>
      <c r="R20" s="176"/>
      <c r="S20" s="177"/>
      <c r="T20" s="177"/>
      <c r="U20" s="176"/>
      <c r="V20" s="176"/>
      <c r="W20" s="176"/>
      <c r="X20" s="177"/>
      <c r="Y20" s="176"/>
      <c r="Z20" s="178"/>
      <c r="AA20" s="176"/>
      <c r="AB20" s="176"/>
      <c r="AC20" s="176"/>
      <c r="AD20" s="176"/>
      <c r="AE20" s="177"/>
      <c r="AF20" s="176"/>
      <c r="AG20" s="168" t="str">
        <f aca="false">A20</f>
        <v>out</v>
      </c>
      <c r="AH20" s="146"/>
      <c r="AI20" s="179"/>
      <c r="AJ20" s="180"/>
      <c r="AK20" s="172"/>
      <c r="AL20" s="172"/>
      <c r="AM20" s="172"/>
      <c r="AN20" s="171"/>
      <c r="AO20" s="172"/>
      <c r="AP20" s="172"/>
      <c r="AQ20" s="39"/>
    </row>
    <row r="21" s="148" customFormat="true" ht="15" hidden="true" customHeight="true" outlineLevel="1" collapsed="false">
      <c r="A21" s="175" t="s">
        <v>128</v>
      </c>
      <c r="B21" s="176"/>
      <c r="C21" s="176"/>
      <c r="D21" s="176"/>
      <c r="E21" s="177"/>
      <c r="F21" s="176"/>
      <c r="G21" s="176"/>
      <c r="H21" s="176"/>
      <c r="I21" s="176"/>
      <c r="J21" s="177"/>
      <c r="K21" s="176"/>
      <c r="L21" s="177"/>
      <c r="M21" s="176"/>
      <c r="N21" s="176"/>
      <c r="O21" s="176"/>
      <c r="P21" s="176"/>
      <c r="Q21" s="177"/>
      <c r="R21" s="176"/>
      <c r="S21" s="177"/>
      <c r="T21" s="177"/>
      <c r="U21" s="176"/>
      <c r="V21" s="176"/>
      <c r="W21" s="176"/>
      <c r="X21" s="177"/>
      <c r="Y21" s="176"/>
      <c r="Z21" s="178"/>
      <c r="AA21" s="176"/>
      <c r="AB21" s="176"/>
      <c r="AC21" s="176"/>
      <c r="AD21" s="176"/>
      <c r="AE21" s="177"/>
      <c r="AF21" s="176"/>
      <c r="AG21" s="168" t="str">
        <f aca="false">A21</f>
        <v>in</v>
      </c>
      <c r="AH21" s="146"/>
      <c r="AI21" s="179"/>
      <c r="AJ21" s="180"/>
      <c r="AK21" s="172"/>
      <c r="AL21" s="172"/>
      <c r="AM21" s="172"/>
      <c r="AN21" s="171"/>
      <c r="AO21" s="172"/>
      <c r="AP21" s="172"/>
      <c r="AQ21" s="39"/>
    </row>
    <row r="22" s="148" customFormat="true" ht="15" hidden="true" customHeight="true" outlineLevel="1" collapsed="false">
      <c r="A22" s="175" t="s">
        <v>129</v>
      </c>
      <c r="B22" s="176"/>
      <c r="C22" s="176"/>
      <c r="D22" s="176"/>
      <c r="E22" s="177"/>
      <c r="F22" s="176"/>
      <c r="G22" s="176"/>
      <c r="H22" s="176"/>
      <c r="I22" s="176"/>
      <c r="J22" s="177"/>
      <c r="K22" s="176"/>
      <c r="L22" s="177"/>
      <c r="M22" s="176"/>
      <c r="N22" s="176"/>
      <c r="O22" s="176"/>
      <c r="P22" s="176"/>
      <c r="Q22" s="177"/>
      <c r="R22" s="176"/>
      <c r="S22" s="177"/>
      <c r="T22" s="177"/>
      <c r="U22" s="176"/>
      <c r="V22" s="176"/>
      <c r="W22" s="176"/>
      <c r="X22" s="177"/>
      <c r="Y22" s="176"/>
      <c r="Z22" s="178"/>
      <c r="AA22" s="176"/>
      <c r="AB22" s="176"/>
      <c r="AC22" s="176"/>
      <c r="AD22" s="176"/>
      <c r="AE22" s="177"/>
      <c r="AF22" s="176"/>
      <c r="AG22" s="168" t="str">
        <f aca="false">A22</f>
        <v>out</v>
      </c>
      <c r="AH22" s="146"/>
      <c r="AI22" s="179"/>
      <c r="AJ22" s="180"/>
      <c r="AK22" s="172"/>
      <c r="AL22" s="172"/>
      <c r="AM22" s="172"/>
      <c r="AN22" s="171"/>
      <c r="AO22" s="172"/>
      <c r="AP22" s="172"/>
      <c r="AQ22" s="39"/>
    </row>
    <row r="23" s="148" customFormat="true" ht="15" hidden="false" customHeight="true" outlineLevel="0" collapsed="false">
      <c r="A23" s="181" t="s">
        <v>130</v>
      </c>
      <c r="B23" s="182" t="n">
        <f aca="false">ROUND((B14-B13)+(B16-B15)+(B18-B17)+(B20-B19)+(B22-B21),9)</f>
        <v>0</v>
      </c>
      <c r="C23" s="182" t="n">
        <f aca="false">ROUND((C14-C13)+(C16-C15)+(C18-C17)+(C20-C19)+(C22-C21),9)</f>
        <v>0</v>
      </c>
      <c r="D23" s="182" t="n">
        <f aca="false">ROUND((D14-D13)+(D16-D15)+(D18-D17)+(D20-D19)+(D22-D21),9)</f>
        <v>0</v>
      </c>
      <c r="E23" s="182" t="n">
        <f aca="false">ROUND((E14-E13)+(E16-E15)+(E18-E17)+(E20-E19)+(E22-E21),9)</f>
        <v>0</v>
      </c>
      <c r="F23" s="182" t="n">
        <f aca="false">ROUND((F14-F13)+(F16-F15)+(F18-F17)+(F20-F19)+(F22-F21),9)</f>
        <v>0</v>
      </c>
      <c r="G23" s="182" t="n">
        <f aca="false">ROUND((G14-G13)+(G16-G15)+(G18-G17)+(G20-G19)+(G22-G21),9)</f>
        <v>0</v>
      </c>
      <c r="H23" s="182" t="n">
        <f aca="false">ROUND((H14-H13)+(H16-H15)+(H18-H17)+(H20-H19)+(H22-H21),9)</f>
        <v>0</v>
      </c>
      <c r="I23" s="182" t="n">
        <f aca="false">ROUND((I14-I13)+(I16-I15)+(I18-I17)+(I20-I19)+(I22-I21),9)</f>
        <v>0</v>
      </c>
      <c r="J23" s="182" t="n">
        <f aca="false">ROUND((J14-J13)+(J16-J15)+(J18-J17)+(J20-J19)+(J22-J21),9)</f>
        <v>0</v>
      </c>
      <c r="K23" s="182" t="n">
        <f aca="false">ROUND((K14-K13)+(K16-K15)+(K18-K17)+(K20-K19)+(K22-K21),9)</f>
        <v>0</v>
      </c>
      <c r="L23" s="182" t="n">
        <f aca="false">ROUND((L14-L13)+(L16-L15)+(L18-L17)+(L20-L19)+(L22-L21),9)</f>
        <v>0</v>
      </c>
      <c r="M23" s="182" t="n">
        <f aca="false">ROUND((M14-M13)+(M16-M15)+(M18-M17)+(M20-M19)+(M22-M21),9)</f>
        <v>0</v>
      </c>
      <c r="N23" s="182" t="n">
        <f aca="false">ROUND((N14-N13)+(N16-N15)+(N18-N17)+(N20-N19)+(N22-N21),9)</f>
        <v>0</v>
      </c>
      <c r="O23" s="182" t="n">
        <f aca="false">ROUND((O14-O13)+(O16-O15)+(O18-O17)+(O20-O19)+(O22-O21),9)</f>
        <v>0</v>
      </c>
      <c r="P23" s="182" t="n">
        <f aca="false">ROUND((P14-P13)+(P16-P15)+(P18-P17)+(P20-P19)+(P22-P21),9)</f>
        <v>0</v>
      </c>
      <c r="Q23" s="182" t="n">
        <f aca="false">ROUND((Q14-Q13)+(Q16-Q15)+(Q18-Q17)+(Q20-Q19)+(Q22-Q21),9)</f>
        <v>0</v>
      </c>
      <c r="R23" s="182" t="n">
        <f aca="false">ROUND((R14-R13)+(R16-R15)+(R18-R17)+(R20-R19)+(R22-R21),9)</f>
        <v>0</v>
      </c>
      <c r="S23" s="182" t="n">
        <f aca="false">ROUND((S14-S13)+(S16-S15)+(S18-S17)+(S20-S19)+(S22-S21),9)</f>
        <v>0</v>
      </c>
      <c r="T23" s="182" t="n">
        <f aca="false">ROUND((T14-T13)+(T16-T15)+(T18-T17)+(T20-T19)+(T22-T21),9)</f>
        <v>0</v>
      </c>
      <c r="U23" s="182" t="n">
        <f aca="false">ROUND((U14-U13)+(U16-U15)+(U18-U17)+(U20-U19)+(U22-U21),9)</f>
        <v>0</v>
      </c>
      <c r="V23" s="182" t="n">
        <f aca="false">ROUND((V14-V13)+(V16-V15)+(V18-V17)+(V20-V19)+(V22-V21),9)</f>
        <v>0</v>
      </c>
      <c r="W23" s="182" t="n">
        <f aca="false">ROUND((W14-W13)+(W16-W15)+(W18-W17)+(W20-W19)+(W22-W21),9)</f>
        <v>0</v>
      </c>
      <c r="X23" s="182" t="n">
        <f aca="false">ROUND((X14-X13)+(X16-X15)+(X18-X17)+(X20-X19)+(X22-X21),9)</f>
        <v>0</v>
      </c>
      <c r="Y23" s="182" t="n">
        <f aca="false">ROUND((Y14-Y13)+(Y16-Y15)+(Y18-Y17)+(Y20-Y19)+(Y22-Y21),9)</f>
        <v>0</v>
      </c>
      <c r="Z23" s="182" t="n">
        <f aca="false">ROUND((Z14-Z13)+(Z16-Z15)+(Z18-Z17)+(Z20-Z19)+(Z22-Z21),9)</f>
        <v>0</v>
      </c>
      <c r="AA23" s="182" t="n">
        <f aca="false">ROUND((AA14-AA13)+(AA16-AA15)+(AA18-AA17)+(AA20-AA19)+(AA22-AA21),9)</f>
        <v>0</v>
      </c>
      <c r="AB23" s="182" t="n">
        <f aca="false">ROUND((AB14-AB13)+(AB16-AB15)+(AB18-AB17)+(AB20-AB19)+(AB22-AB21),9)</f>
        <v>0</v>
      </c>
      <c r="AC23" s="182" t="n">
        <f aca="false">ROUND((AC14-AC13)+(AC16-AC15)+(AC18-AC17)+(AC20-AC19)+(AC22-AC21),9)</f>
        <v>0</v>
      </c>
      <c r="AD23" s="182" t="n">
        <f aca="false">ROUND((AD14-AD13)+(AD16-AD15)+(AD18-AD17)+(AD20-AD19)+(AD22-AD21),9)</f>
        <v>0</v>
      </c>
      <c r="AE23" s="182" t="n">
        <f aca="false">ROUND((AE14-AE13)+(AE16-AE15)+(AE18-AE17)+(AE20-AE19)+(AE22-AE21),9)</f>
        <v>0</v>
      </c>
      <c r="AF23" s="182" t="n">
        <f aca="false">ROUND((AF14-AF13)+(AF16-AF15)+(AF18-AF17)+(AF20-AF19)+(AF22-AF21),9)</f>
        <v>0</v>
      </c>
      <c r="AG23" s="183" t="str">
        <f aca="false">A23</f>
        <v>Total in/out</v>
      </c>
      <c r="AH23" s="184"/>
      <c r="AI23" s="185" t="n">
        <f aca="false">SUM(B23:AF23)</f>
        <v>0</v>
      </c>
      <c r="AJ23" s="180"/>
      <c r="AK23" s="172"/>
      <c r="AL23" s="172"/>
      <c r="AM23" s="172"/>
      <c r="AN23" s="171"/>
      <c r="AO23" s="172"/>
      <c r="AP23" s="172"/>
      <c r="AQ23" s="39"/>
    </row>
    <row r="24" s="148" customFormat="true" ht="3.75" hidden="true" customHeight="true" outlineLevel="1" collapsed="false">
      <c r="A24" s="186"/>
      <c r="B24" s="187"/>
      <c r="C24" s="187"/>
      <c r="D24" s="187"/>
      <c r="E24" s="187"/>
      <c r="F24" s="187"/>
      <c r="G24" s="187"/>
      <c r="H24" s="187"/>
      <c r="I24" s="187"/>
      <c r="J24" s="187"/>
      <c r="K24" s="187"/>
      <c r="L24" s="187"/>
      <c r="M24" s="187"/>
      <c r="N24" s="187"/>
      <c r="O24" s="187"/>
      <c r="P24" s="187"/>
      <c r="Q24" s="187"/>
      <c r="R24" s="187"/>
      <c r="S24" s="187"/>
      <c r="T24" s="187"/>
      <c r="U24" s="187"/>
      <c r="V24" s="187"/>
      <c r="W24" s="187"/>
      <c r="X24" s="187"/>
      <c r="Y24" s="187"/>
      <c r="Z24" s="187"/>
      <c r="AA24" s="187"/>
      <c r="AB24" s="187"/>
      <c r="AC24" s="187"/>
      <c r="AD24" s="187"/>
      <c r="AE24" s="187"/>
      <c r="AF24" s="188"/>
      <c r="AG24" s="168"/>
      <c r="AH24" s="146"/>
      <c r="AI24" s="179"/>
      <c r="AJ24" s="180"/>
      <c r="AK24" s="172"/>
      <c r="AL24" s="172"/>
      <c r="AM24" s="172"/>
      <c r="AN24" s="171"/>
      <c r="AO24" s="172"/>
      <c r="AP24" s="172"/>
      <c r="AQ24" s="39"/>
    </row>
    <row r="25" s="148" customFormat="true" ht="15" hidden="true" customHeight="true" outlineLevel="1" collapsed="false">
      <c r="A25" s="175" t="s">
        <v>131</v>
      </c>
      <c r="B25" s="176"/>
      <c r="C25" s="176"/>
      <c r="D25" s="176"/>
      <c r="E25" s="189"/>
      <c r="F25" s="176"/>
      <c r="G25" s="176"/>
      <c r="H25" s="176"/>
      <c r="I25" s="176"/>
      <c r="J25" s="176"/>
      <c r="K25" s="176"/>
      <c r="L25" s="176"/>
      <c r="M25" s="176"/>
      <c r="N25" s="176"/>
      <c r="O25" s="176"/>
      <c r="P25" s="176"/>
      <c r="Q25" s="176"/>
      <c r="R25" s="176"/>
      <c r="S25" s="176"/>
      <c r="T25" s="176"/>
      <c r="U25" s="176"/>
      <c r="V25" s="176"/>
      <c r="W25" s="176"/>
      <c r="X25" s="176"/>
      <c r="Y25" s="176"/>
      <c r="Z25" s="190"/>
      <c r="AA25" s="176"/>
      <c r="AB25" s="176"/>
      <c r="AC25" s="176"/>
      <c r="AD25" s="176"/>
      <c r="AE25" s="176"/>
      <c r="AF25" s="176"/>
      <c r="AG25" s="168" t="str">
        <f aca="false">A25</f>
        <v>paid break in</v>
      </c>
      <c r="AH25" s="146"/>
      <c r="AI25" s="179"/>
      <c r="AJ25" s="180"/>
      <c r="AK25" s="172"/>
      <c r="AL25" s="172"/>
      <c r="AM25" s="172"/>
      <c r="AN25" s="171"/>
      <c r="AO25" s="172"/>
      <c r="AP25" s="172"/>
      <c r="AQ25" s="39"/>
    </row>
    <row r="26" s="148" customFormat="true" ht="15" hidden="true" customHeight="true" outlineLevel="1" collapsed="false">
      <c r="A26" s="175" t="s">
        <v>132</v>
      </c>
      <c r="B26" s="176"/>
      <c r="C26" s="176"/>
      <c r="D26" s="176"/>
      <c r="E26" s="176"/>
      <c r="F26" s="176"/>
      <c r="G26" s="176"/>
      <c r="H26" s="176"/>
      <c r="I26" s="176"/>
      <c r="J26" s="176"/>
      <c r="K26" s="176"/>
      <c r="L26" s="176"/>
      <c r="M26" s="176"/>
      <c r="N26" s="176"/>
      <c r="O26" s="176"/>
      <c r="P26" s="176"/>
      <c r="Q26" s="176"/>
      <c r="R26" s="176"/>
      <c r="S26" s="176"/>
      <c r="T26" s="176"/>
      <c r="U26" s="176"/>
      <c r="V26" s="176"/>
      <c r="W26" s="176"/>
      <c r="X26" s="176"/>
      <c r="Y26" s="176"/>
      <c r="Z26" s="190"/>
      <c r="AA26" s="176"/>
      <c r="AB26" s="176"/>
      <c r="AC26" s="176"/>
      <c r="AD26" s="176"/>
      <c r="AE26" s="176"/>
      <c r="AF26" s="176"/>
      <c r="AG26" s="168" t="str">
        <f aca="false">A26</f>
        <v>paid break out</v>
      </c>
      <c r="AH26" s="146"/>
      <c r="AI26" s="179"/>
      <c r="AJ26" s="180"/>
      <c r="AK26" s="172"/>
      <c r="AL26" s="172"/>
      <c r="AM26" s="172"/>
      <c r="AN26" s="171"/>
      <c r="AO26" s="172"/>
      <c r="AP26" s="172"/>
      <c r="AQ26" s="39"/>
    </row>
    <row r="27" s="148" customFormat="true" ht="15" hidden="true" customHeight="true" outlineLevel="1" collapsed="false">
      <c r="A27" s="175" t="s">
        <v>131</v>
      </c>
      <c r="B27" s="176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90"/>
      <c r="AA27" s="176"/>
      <c r="AB27" s="176"/>
      <c r="AC27" s="176"/>
      <c r="AD27" s="176"/>
      <c r="AE27" s="176"/>
      <c r="AF27" s="176"/>
      <c r="AG27" s="168" t="str">
        <f aca="false">A27</f>
        <v>paid break in</v>
      </c>
      <c r="AH27" s="146"/>
      <c r="AI27" s="179"/>
      <c r="AJ27" s="180"/>
      <c r="AK27" s="172"/>
      <c r="AL27" s="172"/>
      <c r="AM27" s="172"/>
      <c r="AN27" s="171"/>
      <c r="AO27" s="172"/>
      <c r="AP27" s="172"/>
      <c r="AQ27" s="39"/>
    </row>
    <row r="28" s="148" customFormat="true" ht="15" hidden="true" customHeight="true" outlineLevel="1" collapsed="false">
      <c r="A28" s="175" t="s">
        <v>132</v>
      </c>
      <c r="B28" s="176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90"/>
      <c r="AA28" s="176"/>
      <c r="AB28" s="176"/>
      <c r="AC28" s="176"/>
      <c r="AD28" s="176"/>
      <c r="AE28" s="176"/>
      <c r="AF28" s="176"/>
      <c r="AG28" s="168" t="str">
        <f aca="false">A28</f>
        <v>paid break out</v>
      </c>
      <c r="AH28" s="146"/>
      <c r="AI28" s="179"/>
      <c r="AJ28" s="180"/>
      <c r="AK28" s="172"/>
      <c r="AL28" s="172"/>
      <c r="AM28" s="172"/>
      <c r="AN28" s="171"/>
      <c r="AO28" s="172"/>
      <c r="AP28" s="172"/>
      <c r="AQ28" s="39"/>
    </row>
    <row r="29" s="148" customFormat="true" ht="15" hidden="true" customHeight="true" outlineLevel="1" collapsed="false">
      <c r="A29" s="175" t="s">
        <v>131</v>
      </c>
      <c r="B29" s="176"/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90"/>
      <c r="AA29" s="176"/>
      <c r="AB29" s="176"/>
      <c r="AC29" s="176"/>
      <c r="AD29" s="176"/>
      <c r="AE29" s="176"/>
      <c r="AF29" s="176"/>
      <c r="AG29" s="168" t="str">
        <f aca="false">A29</f>
        <v>paid break in</v>
      </c>
      <c r="AH29" s="146"/>
      <c r="AI29" s="179"/>
      <c r="AJ29" s="180"/>
      <c r="AK29" s="172"/>
      <c r="AL29" s="172"/>
      <c r="AM29" s="172"/>
      <c r="AN29" s="171"/>
      <c r="AO29" s="172"/>
      <c r="AP29" s="172"/>
      <c r="AQ29" s="39"/>
    </row>
    <row r="30" s="148" customFormat="true" ht="15" hidden="true" customHeight="true" outlineLevel="1" collapsed="false">
      <c r="A30" s="175" t="s">
        <v>132</v>
      </c>
      <c r="B30" s="176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90"/>
      <c r="AA30" s="176"/>
      <c r="AB30" s="176"/>
      <c r="AC30" s="176"/>
      <c r="AD30" s="176"/>
      <c r="AE30" s="176"/>
      <c r="AF30" s="176"/>
      <c r="AG30" s="168" t="str">
        <f aca="false">A30</f>
        <v>paid break out</v>
      </c>
      <c r="AH30" s="146"/>
      <c r="AI30" s="179"/>
      <c r="AJ30" s="180"/>
      <c r="AK30" s="172"/>
      <c r="AL30" s="172"/>
      <c r="AM30" s="172"/>
      <c r="AN30" s="171"/>
      <c r="AO30" s="172"/>
      <c r="AP30" s="172"/>
      <c r="AQ30" s="39"/>
    </row>
    <row r="31" s="148" customFormat="true" ht="3.75" hidden="true" customHeight="true" outlineLevel="1" collapsed="false">
      <c r="A31" s="186"/>
      <c r="B31" s="191"/>
      <c r="C31" s="191"/>
      <c r="D31" s="191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  <c r="AA31" s="191"/>
      <c r="AB31" s="191"/>
      <c r="AC31" s="191"/>
      <c r="AD31" s="191"/>
      <c r="AE31" s="191"/>
      <c r="AF31" s="192"/>
      <c r="AG31" s="168"/>
      <c r="AH31" s="146"/>
      <c r="AI31" s="179"/>
      <c r="AJ31" s="180"/>
      <c r="AK31" s="172"/>
      <c r="AL31" s="172"/>
      <c r="AM31" s="172"/>
      <c r="AN31" s="171"/>
      <c r="AO31" s="172"/>
      <c r="AP31" s="172"/>
      <c r="AQ31" s="39"/>
    </row>
    <row r="32" s="148" customFormat="true" ht="15" hidden="true" customHeight="true" outlineLevel="1" collapsed="false">
      <c r="A32" s="181" t="s">
        <v>133</v>
      </c>
      <c r="B32" s="193" t="n">
        <f aca="false">ROUND(IF(MAX(0,B15-B14)&lt;1/24/60*180,MAX(0,B15-B14),0)+IF(MAX(0,B17-B16)&lt;1/24/60*180,MAX(0,B17-B16),0)+IF(MAX(0,B19-B18)&lt;1/24/60*180,MAX(0,B19-B18),0)+IF(MAX(0,B21-B20)&lt;1/24/60*180,MAX(0,B21-B20))+MAX(0,B26-B25)+MAX(0,B28-B27)+MAX(0,B30-B29),9)</f>
        <v>0</v>
      </c>
      <c r="C32" s="193" t="n">
        <f aca="false">ROUND(IF(MAX(0,C15-C14)&lt;1/24/60*180,MAX(0,C15-C14),0)+IF(MAX(0,C17-C16)&lt;1/24/60*180,MAX(0,C17-C16),0)+IF(MAX(0,C19-C18)&lt;1/24/60*180,MAX(0,C19-C18),0)+IF(MAX(0,C21-C20)&lt;1/24/60*180,MAX(0,C21-C20))+MAX(0,C26-C25)+MAX(0,C28-C27)+MAX(0,C30-C29),9)</f>
        <v>0</v>
      </c>
      <c r="D32" s="193" t="n">
        <f aca="false">ROUND(IF(MAX(0,D15-D14)&lt;1/24/60*180,MAX(0,D15-D14),0)+IF(MAX(0,D17-D16)&lt;1/24/60*180,MAX(0,D17-D16),0)+IF(MAX(0,D19-D18)&lt;1/24/60*180,MAX(0,D19-D18),0)+IF(MAX(0,D21-D20)&lt;1/24/60*180,MAX(0,D21-D20))+MAX(0,D26-D25)+MAX(0,D28-D27)+MAX(0,D30-D29),9)</f>
        <v>0</v>
      </c>
      <c r="E32" s="193" t="n">
        <f aca="false">ROUND(IF(MAX(0,E15-E14)&lt;1/24/60*180,MAX(0,E15-E14),0)+IF(MAX(0,E17-E16)&lt;1/24/60*180,MAX(0,E17-E16),0)+IF(MAX(0,E19-E18)&lt;1/24/60*180,MAX(0,E19-E18),0)+IF(MAX(0,E21-E20)&lt;1/24/60*180,MAX(0,E21-E20))+MAX(0,E26-E25)+MAX(0,E28-E27)+MAX(0,E30-E29),9)</f>
        <v>0</v>
      </c>
      <c r="F32" s="193" t="n">
        <f aca="false">ROUND(IF(MAX(0,F15-F14)&lt;1/24/60*180,MAX(0,F15-F14),0)+IF(MAX(0,F17-F16)&lt;1/24/60*180,MAX(0,F17-F16),0)+IF(MAX(0,F19-F18)&lt;1/24/60*180,MAX(0,F19-F18),0)+IF(MAX(0,F21-F20)&lt;1/24/60*180,MAX(0,F21-F20))+MAX(0,F26-F25)+MAX(0,F28-F27)+MAX(0,F30-F29),9)</f>
        <v>0</v>
      </c>
      <c r="G32" s="193" t="n">
        <f aca="false">ROUND(IF(MAX(0,G15-G14)&lt;1/24/60*180,MAX(0,G15-G14),0)+IF(MAX(0,G17-G16)&lt;1/24/60*180,MAX(0,G17-G16),0)+IF(MAX(0,G19-G18)&lt;1/24/60*180,MAX(0,G19-G18),0)+IF(MAX(0,G21-G20)&lt;1/24/60*180,MAX(0,G21-G20))+MAX(0,G26-G25)+MAX(0,G28-G27)+MAX(0,G30-G29),9)</f>
        <v>0</v>
      </c>
      <c r="H32" s="193" t="n">
        <f aca="false">ROUND(IF(MAX(0,H15-H14)&lt;1/24/60*180,MAX(0,H15-H14),0)+IF(MAX(0,H17-H16)&lt;1/24/60*180,MAX(0,H17-H16),0)+IF(MAX(0,H19-H18)&lt;1/24/60*180,MAX(0,H19-H18),0)+IF(MAX(0,H21-H20)&lt;1/24/60*180,MAX(0,H21-H20))+MAX(0,H26-H25)+MAX(0,H28-H27)+MAX(0,H30-H29),9)</f>
        <v>0</v>
      </c>
      <c r="I32" s="193" t="n">
        <f aca="false">ROUND(IF(MAX(0,I15-I14)&lt;1/24/60*180,MAX(0,I15-I14),0)+IF(MAX(0,I17-I16)&lt;1/24/60*180,MAX(0,I17-I16),0)+IF(MAX(0,I19-I18)&lt;1/24/60*180,MAX(0,I19-I18),0)+IF(MAX(0,I21-I20)&lt;1/24/60*180,MAX(0,I21-I20))+MAX(0,I26-I25)+MAX(0,I28-I27)+MAX(0,I30-I29),9)</f>
        <v>0</v>
      </c>
      <c r="J32" s="193" t="n">
        <f aca="false">ROUND(IF(MAX(0,J15-J14)&lt;1/24/60*180,MAX(0,J15-J14),0)+IF(MAX(0,J17-J16)&lt;1/24/60*180,MAX(0,J17-J16),0)+IF(MAX(0,J19-J18)&lt;1/24/60*180,MAX(0,J19-J18),0)+IF(MAX(0,J21-J20)&lt;1/24/60*180,MAX(0,J21-J20))+MAX(0,J26-J25)+MAX(0,J28-J27)+MAX(0,J30-J29),9)</f>
        <v>0</v>
      </c>
      <c r="K32" s="193" t="n">
        <f aca="false">ROUND(IF(MAX(0,K15-K14)&lt;1/24/60*180,MAX(0,K15-K14),0)+IF(MAX(0,K17-K16)&lt;1/24/60*180,MAX(0,K17-K16),0)+IF(MAX(0,K19-K18)&lt;1/24/60*180,MAX(0,K19-K18),0)+IF(MAX(0,K21-K20)&lt;1/24/60*180,MAX(0,K21-K20))+MAX(0,K26-K25)+MAX(0,K28-K27)+MAX(0,K30-K29),9)</f>
        <v>0</v>
      </c>
      <c r="L32" s="193" t="n">
        <f aca="false">ROUND(IF(MAX(0,L15-L14)&lt;1/24/60*180,MAX(0,L15-L14),0)+IF(MAX(0,L17-L16)&lt;1/24/60*180,MAX(0,L17-L16),0)+IF(MAX(0,L19-L18)&lt;1/24/60*180,MAX(0,L19-L18),0)+IF(MAX(0,L21-L20)&lt;1/24/60*180,MAX(0,L21-L20))+MAX(0,L26-L25)+MAX(0,L28-L27)+MAX(0,L30-L29),9)</f>
        <v>0</v>
      </c>
      <c r="M32" s="193" t="n">
        <f aca="false">ROUND(IF(MAX(0,M15-M14)&lt;1/24/60*180,MAX(0,M15-M14),0)+IF(MAX(0,M17-M16)&lt;1/24/60*180,MAX(0,M17-M16),0)+IF(MAX(0,M19-M18)&lt;1/24/60*180,MAX(0,M19-M18),0)+IF(MAX(0,M21-M20)&lt;1/24/60*180,MAX(0,M21-M20))+MAX(0,M26-M25)+MAX(0,M28-M27)+MAX(0,M30-M29),9)</f>
        <v>0</v>
      </c>
      <c r="N32" s="193" t="n">
        <f aca="false">ROUND(IF(MAX(0,N15-N14)&lt;1/24/60*180,MAX(0,N15-N14),0)+IF(MAX(0,N17-N16)&lt;1/24/60*180,MAX(0,N17-N16),0)+IF(MAX(0,N19-N18)&lt;1/24/60*180,MAX(0,N19-N18),0)+IF(MAX(0,N21-N20)&lt;1/24/60*180,MAX(0,N21-N20))+MAX(0,N26-N25)+MAX(0,N28-N27)+MAX(0,N30-N29),9)</f>
        <v>0</v>
      </c>
      <c r="O32" s="193" t="n">
        <f aca="false">ROUND(IF(MAX(0,O15-O14)&lt;1/24/60*180,MAX(0,O15-O14),0)+IF(MAX(0,O17-O16)&lt;1/24/60*180,MAX(0,O17-O16),0)+IF(MAX(0,O19-O18)&lt;1/24/60*180,MAX(0,O19-O18),0)+IF(MAX(0,O21-O20)&lt;1/24/60*180,MAX(0,O21-O20))+MAX(0,O26-O25)+MAX(0,O28-O27)+MAX(0,O30-O29),9)</f>
        <v>0</v>
      </c>
      <c r="P32" s="193" t="n">
        <f aca="false">ROUND(IF(MAX(0,P15-P14)&lt;1/24/60*180,MAX(0,P15-P14),0)+IF(MAX(0,P17-P16)&lt;1/24/60*180,MAX(0,P17-P16),0)+IF(MAX(0,P19-P18)&lt;1/24/60*180,MAX(0,P19-P18),0)+IF(MAX(0,P21-P20)&lt;1/24/60*180,MAX(0,P21-P20))+MAX(0,P26-P25)+MAX(0,P28-P27)+MAX(0,P30-P29),9)</f>
        <v>0</v>
      </c>
      <c r="Q32" s="193" t="n">
        <f aca="false">ROUND(IF(MAX(0,Q15-Q14)&lt;1/24/60*180,MAX(0,Q15-Q14),0)+IF(MAX(0,Q17-Q16)&lt;1/24/60*180,MAX(0,Q17-Q16),0)+IF(MAX(0,Q19-Q18)&lt;1/24/60*180,MAX(0,Q19-Q18),0)+IF(MAX(0,Q21-Q20)&lt;1/24/60*180,MAX(0,Q21-Q20))+MAX(0,Q26-Q25)+MAX(0,Q28-Q27)+MAX(0,Q30-Q29),9)</f>
        <v>0</v>
      </c>
      <c r="R32" s="193" t="n">
        <f aca="false">ROUND(IF(MAX(0,R15-R14)&lt;1/24/60*180,MAX(0,R15-R14),0)+IF(MAX(0,R17-R16)&lt;1/24/60*180,MAX(0,R17-R16),0)+IF(MAX(0,R19-R18)&lt;1/24/60*180,MAX(0,R19-R18),0)+IF(MAX(0,R21-R20)&lt;1/24/60*180,MAX(0,R21-R20))+MAX(0,R26-R25)+MAX(0,R28-R27)+MAX(0,R30-R29),9)</f>
        <v>0</v>
      </c>
      <c r="S32" s="193" t="n">
        <f aca="false">ROUND(IF(MAX(0,S15-S14)&lt;1/24/60*180,MAX(0,S15-S14),0)+IF(MAX(0,S17-S16)&lt;1/24/60*180,MAX(0,S17-S16),0)+IF(MAX(0,S19-S18)&lt;1/24/60*180,MAX(0,S19-S18),0)+IF(MAX(0,S21-S20)&lt;1/24/60*180,MAX(0,S21-S20))+MAX(0,S26-S25)+MAX(0,S28-S27)+MAX(0,S30-S29),9)</f>
        <v>0</v>
      </c>
      <c r="T32" s="193" t="n">
        <f aca="false">ROUND(IF(MAX(0,T15-T14)&lt;1/24/60*180,MAX(0,T15-T14),0)+IF(MAX(0,T17-T16)&lt;1/24/60*180,MAX(0,T17-T16),0)+IF(MAX(0,T19-T18)&lt;1/24/60*180,MAX(0,T19-T18),0)+IF(MAX(0,T21-T20)&lt;1/24/60*180,MAX(0,T21-T20))+MAX(0,T26-T25)+MAX(0,T28-T27)+MAX(0,T30-T29),9)</f>
        <v>0</v>
      </c>
      <c r="U32" s="193" t="n">
        <f aca="false">ROUND(IF(MAX(0,U15-U14)&lt;1/24/60*180,MAX(0,U15-U14),0)+IF(MAX(0,U17-U16)&lt;1/24/60*180,MAX(0,U17-U16),0)+IF(MAX(0,U19-U18)&lt;1/24/60*180,MAX(0,U19-U18),0)+IF(MAX(0,U21-U20)&lt;1/24/60*180,MAX(0,U21-U20))+MAX(0,U26-U25)+MAX(0,U28-U27)+MAX(0,U30-U29),9)</f>
        <v>0</v>
      </c>
      <c r="V32" s="193" t="n">
        <f aca="false">ROUND(IF(MAX(0,V15-V14)&lt;1/24/60*180,MAX(0,V15-V14),0)+IF(MAX(0,V17-V16)&lt;1/24/60*180,MAX(0,V17-V16),0)+IF(MAX(0,V19-V18)&lt;1/24/60*180,MAX(0,V19-V18),0)+IF(MAX(0,V21-V20)&lt;1/24/60*180,MAX(0,V21-V20))+MAX(0,V26-V25)+MAX(0,V28-V27)+MAX(0,V30-V29),9)</f>
        <v>0</v>
      </c>
      <c r="W32" s="193" t="n">
        <f aca="false">ROUND(IF(MAX(0,W15-W14)&lt;1/24/60*180,MAX(0,W15-W14),0)+IF(MAX(0,W17-W16)&lt;1/24/60*180,MAX(0,W17-W16),0)+IF(MAX(0,W19-W18)&lt;1/24/60*180,MAX(0,W19-W18),0)+IF(MAX(0,W21-W20)&lt;1/24/60*180,MAX(0,W21-W20))+MAX(0,W26-W25)+MAX(0,W28-W27)+MAX(0,W30-W29),9)</f>
        <v>0</v>
      </c>
      <c r="X32" s="193" t="n">
        <f aca="false">ROUND(IF(MAX(0,X15-X14)&lt;1/24/60*180,MAX(0,X15-X14),0)+IF(MAX(0,X17-X16)&lt;1/24/60*180,MAX(0,X17-X16),0)+IF(MAX(0,X19-X18)&lt;1/24/60*180,MAX(0,X19-X18),0)+IF(MAX(0,X21-X20)&lt;1/24/60*180,MAX(0,X21-X20))+MAX(0,X26-X25)+MAX(0,X28-X27)+MAX(0,X30-X29),9)</f>
        <v>0</v>
      </c>
      <c r="Y32" s="193" t="n">
        <f aca="false">ROUND(IF(MAX(0,Y15-Y14)&lt;1/24/60*180,MAX(0,Y15-Y14),0)+IF(MAX(0,Y17-Y16)&lt;1/24/60*180,MAX(0,Y17-Y16),0)+IF(MAX(0,Y19-Y18)&lt;1/24/60*180,MAX(0,Y19-Y18),0)+IF(MAX(0,Y21-Y20)&lt;1/24/60*180,MAX(0,Y21-Y20))+MAX(0,Y26-Y25)+MAX(0,Y28-Y27)+MAX(0,Y30-Y29),9)</f>
        <v>0</v>
      </c>
      <c r="Z32" s="193" t="n">
        <f aca="false">ROUND(IF(MAX(0,Z15-Z14)&lt;1/24/60*180,MAX(0,Z15-Z14),0)+IF(MAX(0,Z17-Z16)&lt;1/24/60*180,MAX(0,Z17-Z16),0)+IF(MAX(0,Z19-Z18)&lt;1/24/60*180,MAX(0,Z19-Z18),0)+IF(MAX(0,Z21-Z20)&lt;1/24/60*180,MAX(0,Z21-Z20))+MAX(0,Z26-Z25)+MAX(0,Z28-Z27)+MAX(0,Z30-Z29),9)</f>
        <v>0</v>
      </c>
      <c r="AA32" s="193" t="n">
        <f aca="false">ROUND(IF(MAX(0,AA15-AA14)&lt;1/24/60*180,MAX(0,AA15-AA14),0)+IF(MAX(0,AA17-AA16)&lt;1/24/60*180,MAX(0,AA17-AA16),0)+IF(MAX(0,AA19-AA18)&lt;1/24/60*180,MAX(0,AA19-AA18),0)+IF(MAX(0,AA21-AA20)&lt;1/24/60*180,MAX(0,AA21-AA20))+MAX(0,AA26-AA25)+MAX(0,AA28-AA27)+MAX(0,AA30-AA29),9)</f>
        <v>0</v>
      </c>
      <c r="AB32" s="193" t="n">
        <f aca="false">ROUND(IF(MAX(0,AB15-AB14)&lt;1/24/60*180,MAX(0,AB15-AB14),0)+IF(MAX(0,AB17-AB16)&lt;1/24/60*180,MAX(0,AB17-AB16),0)+IF(MAX(0,AB19-AB18)&lt;1/24/60*180,MAX(0,AB19-AB18),0)+IF(MAX(0,AB21-AB20)&lt;1/24/60*180,MAX(0,AB21-AB20))+MAX(0,AB26-AB25)+MAX(0,AB28-AB27)+MAX(0,AB30-AB29),9)</f>
        <v>0</v>
      </c>
      <c r="AC32" s="193" t="n">
        <f aca="false">ROUND(IF(MAX(0,AC15-AC14)&lt;1/24/60*180,MAX(0,AC15-AC14),0)+IF(MAX(0,AC17-AC16)&lt;1/24/60*180,MAX(0,AC17-AC16),0)+IF(MAX(0,AC19-AC18)&lt;1/24/60*180,MAX(0,AC19-AC18),0)+IF(MAX(0,AC21-AC20)&lt;1/24/60*180,MAX(0,AC21-AC20))+MAX(0,AC26-AC25)+MAX(0,AC28-AC27)+MAX(0,AC30-AC29),9)</f>
        <v>0</v>
      </c>
      <c r="AD32" s="193" t="n">
        <f aca="false">ROUND(IF(MAX(0,AD15-AD14)&lt;1/24/60*180,MAX(0,AD15-AD14),0)+IF(MAX(0,AD17-AD16)&lt;1/24/60*180,MAX(0,AD17-AD16),0)+IF(MAX(0,AD19-AD18)&lt;1/24/60*180,MAX(0,AD19-AD18),0)+IF(MAX(0,AD21-AD20)&lt;1/24/60*180,MAX(0,AD21-AD20))+MAX(0,AD26-AD25)+MAX(0,AD28-AD27)+MAX(0,AD30-AD29),9)</f>
        <v>0</v>
      </c>
      <c r="AE32" s="193" t="n">
        <f aca="false">ROUND(IF(MAX(0,AE15-AE14)&lt;1/24/60*180,MAX(0,AE15-AE14),0)+IF(MAX(0,AE17-AE16)&lt;1/24/60*180,MAX(0,AE17-AE16),0)+IF(MAX(0,AE19-AE18)&lt;1/24/60*180,MAX(0,AE19-AE18),0)+IF(MAX(0,AE21-AE20)&lt;1/24/60*180,MAX(0,AE21-AE20))+MAX(0,AE26-AE25)+MAX(0,AE28-AE27)+MAX(0,AE30-AE29),9)</f>
        <v>0</v>
      </c>
      <c r="AF32" s="193" t="n">
        <f aca="false">ROUND(IF(MAX(0,AF15-AF14)&lt;1/24/60*180,MAX(0,AF15-AF14),0)+IF(MAX(0,AF17-AF16)&lt;1/24/60*180,MAX(0,AF17-AF16),0)+IF(MAX(0,AF19-AF18)&lt;1/24/60*180,MAX(0,AF19-AF18),0)+IF(MAX(0,AF21-AF20)&lt;1/24/60*180,MAX(0,AF21-AF20))+MAX(0,AF26-AF25)+MAX(0,AF28-AF27)+MAX(0,AF30-AF29),9)</f>
        <v>0</v>
      </c>
      <c r="AG32" s="183" t="str">
        <f aca="false">A32</f>
        <v>Total breaks (in out/paid)</v>
      </c>
      <c r="AH32" s="184"/>
      <c r="AI32" s="185" t="n">
        <f aca="false">SUM(B32:AF32)</f>
        <v>0</v>
      </c>
      <c r="AJ32" s="180"/>
      <c r="AK32" s="172"/>
      <c r="AL32" s="172"/>
      <c r="AM32" s="172"/>
      <c r="AN32" s="171"/>
      <c r="AO32" s="172"/>
      <c r="AP32" s="172"/>
      <c r="AQ32" s="39"/>
    </row>
    <row r="33" s="148" customFormat="true" ht="3.75" hidden="false" customHeight="true" outlineLevel="0" collapsed="false">
      <c r="A33" s="186"/>
      <c r="B33" s="194"/>
      <c r="C33" s="194"/>
      <c r="D33" s="194"/>
      <c r="E33" s="194"/>
      <c r="F33" s="194"/>
      <c r="G33" s="194"/>
      <c r="H33" s="194"/>
      <c r="I33" s="194"/>
      <c r="J33" s="194"/>
      <c r="K33" s="194"/>
      <c r="L33" s="194"/>
      <c r="M33" s="194"/>
      <c r="N33" s="194"/>
      <c r="O33" s="194"/>
      <c r="P33" s="194"/>
      <c r="Q33" s="194"/>
      <c r="R33" s="194"/>
      <c r="S33" s="194"/>
      <c r="T33" s="194"/>
      <c r="U33" s="194"/>
      <c r="V33" s="194"/>
      <c r="W33" s="194"/>
      <c r="X33" s="194"/>
      <c r="Y33" s="194"/>
      <c r="Z33" s="194"/>
      <c r="AA33" s="194"/>
      <c r="AB33" s="194"/>
      <c r="AC33" s="194"/>
      <c r="AD33" s="194"/>
      <c r="AE33" s="194"/>
      <c r="AF33" s="195"/>
      <c r="AG33" s="168"/>
      <c r="AH33" s="146"/>
      <c r="AI33" s="179"/>
      <c r="AJ33" s="180"/>
      <c r="AK33" s="172"/>
      <c r="AL33" s="172"/>
      <c r="AM33" s="172"/>
      <c r="AN33" s="171"/>
      <c r="AO33" s="172"/>
      <c r="AP33" s="172"/>
      <c r="AQ33" s="39"/>
    </row>
    <row r="34" s="148" customFormat="true" ht="15" hidden="false" customHeight="true" outlineLevel="1" collapsed="false">
      <c r="A34" s="175" t="s">
        <v>134</v>
      </c>
      <c r="B34" s="196" t="str">
        <f aca="true">IF(EB.Anwendung&lt;&gt;"",IF(EB.Wochenarbeitszeit=50/24,INDEX(T.Pikett.Bereich,1),IF(DAY(B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A34="B",INDEX(T.Pikett.Bereich,4),IF(A34="E",INDEX(T.Pikett.Bereich,1),A34)))),"")</f>
        <v>No</v>
      </c>
      <c r="C34" s="196" t="str">
        <f aca="true">IF(EB.Anwendung&lt;&gt;"",IF(EB.Wochenarbeitszeit=50/24,INDEX(T.Pikett.Bereich,1),IF(DAY(C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B34="B",INDEX(T.Pikett.Bereich,4),IF(B34="E",INDEX(T.Pikett.Bereich,1),B34)))),"")</f>
        <v>No</v>
      </c>
      <c r="D34" s="196" t="str">
        <f aca="true">IF(EB.Anwendung&lt;&gt;"",IF(EB.Wochenarbeitszeit=50/24,INDEX(T.Pikett.Bereich,1),IF(DAY(D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C34="B",INDEX(T.Pikett.Bereich,4),IF(C34="E",INDEX(T.Pikett.Bereich,1),C34)))),"")</f>
        <v>No</v>
      </c>
      <c r="E34" s="196" t="str">
        <f aca="true">IF(EB.Anwendung&lt;&gt;"",IF(EB.Wochenarbeitszeit=50/24,INDEX(T.Pikett.Bereich,1),IF(DAY(E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D34="B",INDEX(T.Pikett.Bereich,4),IF(D34="E",INDEX(T.Pikett.Bereich,1),D34)))),"")</f>
        <v>No</v>
      </c>
      <c r="F34" s="196" t="str">
        <f aca="true">IF(EB.Anwendung&lt;&gt;"",IF(EB.Wochenarbeitszeit=50/24,INDEX(T.Pikett.Bereich,1),IF(DAY(F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E34="B",INDEX(T.Pikett.Bereich,4),IF(E34="E",INDEX(T.Pikett.Bereich,1),E34)))),"")</f>
        <v>No</v>
      </c>
      <c r="G34" s="196" t="str">
        <f aca="true">IF(EB.Anwendung&lt;&gt;"",IF(EB.Wochenarbeitszeit=50/24,INDEX(T.Pikett.Bereich,1),IF(DAY(G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F34="B",INDEX(T.Pikett.Bereich,4),IF(F34="E",INDEX(T.Pikett.Bereich,1),F34)))),"")</f>
        <v>No</v>
      </c>
      <c r="H34" s="196" t="str">
        <f aca="true">IF(EB.Anwendung&lt;&gt;"",IF(EB.Wochenarbeitszeit=50/24,INDEX(T.Pikett.Bereich,1),IF(DAY(H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G34="B",INDEX(T.Pikett.Bereich,4),IF(G34="E",INDEX(T.Pikett.Bereich,1),G34)))),"")</f>
        <v>No</v>
      </c>
      <c r="I34" s="196" t="str">
        <f aca="true">IF(EB.Anwendung&lt;&gt;"",IF(EB.Wochenarbeitszeit=50/24,INDEX(T.Pikett.Bereich,1),IF(DAY(I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H34="B",INDEX(T.Pikett.Bereich,4),IF(H34="E",INDEX(T.Pikett.Bereich,1),H34)))),"")</f>
        <v>No</v>
      </c>
      <c r="J34" s="196" t="str">
        <f aca="true">IF(EB.Anwendung&lt;&gt;"",IF(EB.Wochenarbeitszeit=50/24,INDEX(T.Pikett.Bereich,1),IF(DAY(J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I34="B",INDEX(T.Pikett.Bereich,4),IF(I34="E",INDEX(T.Pikett.Bereich,1),I34)))),"")</f>
        <v>No</v>
      </c>
      <c r="K34" s="196" t="str">
        <f aca="true">IF(EB.Anwendung&lt;&gt;"",IF(EB.Wochenarbeitszeit=50/24,INDEX(T.Pikett.Bereich,1),IF(DAY(K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J34="B",INDEX(T.Pikett.Bereich,4),IF(J34="E",INDEX(T.Pikett.Bereich,1),J34)))),"")</f>
        <v>No</v>
      </c>
      <c r="L34" s="196" t="str">
        <f aca="true">IF(EB.Anwendung&lt;&gt;"",IF(EB.Wochenarbeitszeit=50/24,INDEX(T.Pikett.Bereich,1),IF(DAY(L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K34="B",INDEX(T.Pikett.Bereich,4),IF(K34="E",INDEX(T.Pikett.Bereich,1),K34)))),"")</f>
        <v>No</v>
      </c>
      <c r="M34" s="196" t="str">
        <f aca="true">IF(EB.Anwendung&lt;&gt;"",IF(EB.Wochenarbeitszeit=50/24,INDEX(T.Pikett.Bereich,1),IF(DAY(M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L34="B",INDEX(T.Pikett.Bereich,4),IF(L34="E",INDEX(T.Pikett.Bereich,1),L34)))),"")</f>
        <v>No</v>
      </c>
      <c r="N34" s="196" t="str">
        <f aca="true">IF(EB.Anwendung&lt;&gt;"",IF(EB.Wochenarbeitszeit=50/24,INDEX(T.Pikett.Bereich,1),IF(DAY(N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M34="B",INDEX(T.Pikett.Bereich,4),IF(M34="E",INDEX(T.Pikett.Bereich,1),M34)))),"")</f>
        <v>No</v>
      </c>
      <c r="O34" s="196" t="str">
        <f aca="true">IF(EB.Anwendung&lt;&gt;"",IF(EB.Wochenarbeitszeit=50/24,INDEX(T.Pikett.Bereich,1),IF(DAY(O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N34="B",INDEX(T.Pikett.Bereich,4),IF(N34="E",INDEX(T.Pikett.Bereich,1),N34)))),"")</f>
        <v>No</v>
      </c>
      <c r="P34" s="196" t="str">
        <f aca="true">IF(EB.Anwendung&lt;&gt;"",IF(EB.Wochenarbeitszeit=50/24,INDEX(T.Pikett.Bereich,1),IF(DAY(P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O34="B",INDEX(T.Pikett.Bereich,4),IF(O34="E",INDEX(T.Pikett.Bereich,1),O34)))),"")</f>
        <v>No</v>
      </c>
      <c r="Q34" s="196" t="str">
        <f aca="true">IF(EB.Anwendung&lt;&gt;"",IF(EB.Wochenarbeitszeit=50/24,INDEX(T.Pikett.Bereich,1),IF(DAY(Q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P34="B",INDEX(T.Pikett.Bereich,4),IF(P34="E",INDEX(T.Pikett.Bereich,1),P34)))),"")</f>
        <v>No</v>
      </c>
      <c r="R34" s="196" t="str">
        <f aca="true">IF(EB.Anwendung&lt;&gt;"",IF(EB.Wochenarbeitszeit=50/24,INDEX(T.Pikett.Bereich,1),IF(DAY(R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Q34="B",INDEX(T.Pikett.Bereich,4),IF(Q34="E",INDEX(T.Pikett.Bereich,1),Q34)))),"")</f>
        <v>No</v>
      </c>
      <c r="S34" s="196" t="str">
        <f aca="true">IF(EB.Anwendung&lt;&gt;"",IF(EB.Wochenarbeitszeit=50/24,INDEX(T.Pikett.Bereich,1),IF(DAY(S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R34="B",INDEX(T.Pikett.Bereich,4),IF(R34="E",INDEX(T.Pikett.Bereich,1),R34)))),"")</f>
        <v>No</v>
      </c>
      <c r="T34" s="196" t="str">
        <f aca="true">IF(EB.Anwendung&lt;&gt;"",IF(EB.Wochenarbeitszeit=50/24,INDEX(T.Pikett.Bereich,1),IF(DAY(T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S34="B",INDEX(T.Pikett.Bereich,4),IF(S34="E",INDEX(T.Pikett.Bereich,1),S34)))),"")</f>
        <v>No</v>
      </c>
      <c r="U34" s="196" t="str">
        <f aca="true">IF(EB.Anwendung&lt;&gt;"",IF(EB.Wochenarbeitszeit=50/24,INDEX(T.Pikett.Bereich,1),IF(DAY(U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T34="B",INDEX(T.Pikett.Bereich,4),IF(T34="E",INDEX(T.Pikett.Bereich,1),T34)))),"")</f>
        <v>No</v>
      </c>
      <c r="V34" s="196" t="str">
        <f aca="true">IF(EB.Anwendung&lt;&gt;"",IF(EB.Wochenarbeitszeit=50/24,INDEX(T.Pikett.Bereich,1),IF(DAY(V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U34="B",INDEX(T.Pikett.Bereich,4),IF(U34="E",INDEX(T.Pikett.Bereich,1),U34)))),"")</f>
        <v>No</v>
      </c>
      <c r="W34" s="196" t="str">
        <f aca="true">IF(EB.Anwendung&lt;&gt;"",IF(EB.Wochenarbeitszeit=50/24,INDEX(T.Pikett.Bereich,1),IF(DAY(W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V34="B",INDEX(T.Pikett.Bereich,4),IF(V34="E",INDEX(T.Pikett.Bereich,1),V34)))),"")</f>
        <v>No</v>
      </c>
      <c r="X34" s="196" t="str">
        <f aca="true">IF(EB.Anwendung&lt;&gt;"",IF(EB.Wochenarbeitszeit=50/24,INDEX(T.Pikett.Bereich,1),IF(DAY(X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W34="B",INDEX(T.Pikett.Bereich,4),IF(W34="E",INDEX(T.Pikett.Bereich,1),W34)))),"")</f>
        <v>No</v>
      </c>
      <c r="Y34" s="196" t="str">
        <f aca="true">IF(EB.Anwendung&lt;&gt;"",IF(EB.Wochenarbeitszeit=50/24,INDEX(T.Pikett.Bereich,1),IF(DAY(Y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X34="B",INDEX(T.Pikett.Bereich,4),IF(X34="E",INDEX(T.Pikett.Bereich,1),X34)))),"")</f>
        <v>No</v>
      </c>
      <c r="Z34" s="196" t="str">
        <f aca="true">IF(EB.Anwendung&lt;&gt;"",IF(EB.Wochenarbeitszeit=50/24,INDEX(T.Pikett.Bereich,1),IF(DAY(Z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Y34="B",INDEX(T.Pikett.Bereich,4),IF(Y34="E",INDEX(T.Pikett.Bereich,1),Y34)))),"")</f>
        <v>No</v>
      </c>
      <c r="AA34" s="196" t="str">
        <f aca="true">IF(EB.Anwendung&lt;&gt;"",IF(EB.Wochenarbeitszeit=50/24,INDEX(T.Pikett.Bereich,1),IF(DAY(AA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Z34="B",INDEX(T.Pikett.Bereich,4),IF(Z34="E",INDEX(T.Pikett.Bereich,1),Z34)))),"")</f>
        <v>No</v>
      </c>
      <c r="AB34" s="196" t="str">
        <f aca="true">IF(EB.Anwendung&lt;&gt;"",IF(EB.Wochenarbeitszeit=50/24,INDEX(T.Pikett.Bereich,1),IF(DAY(AB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AA34="B",INDEX(T.Pikett.Bereich,4),IF(AA34="E",INDEX(T.Pikett.Bereich,1),AA34)))),"")</f>
        <v>No</v>
      </c>
      <c r="AC34" s="196" t="str">
        <f aca="true">IF(EB.Anwendung&lt;&gt;"",IF(EB.Wochenarbeitszeit=50/24,INDEX(T.Pikett.Bereich,1),IF(DAY(AC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AB34="B",INDEX(T.Pikett.Bereich,4),IF(AB34="E",INDEX(T.Pikett.Bereich,1),AB34)))),"")</f>
        <v>No</v>
      </c>
      <c r="AD34" s="196" t="str">
        <f aca="true">IF(EB.Anwendung&lt;&gt;"",IF(EB.Wochenarbeitszeit=50/24,INDEX(T.Pikett.Bereich,1),IF(DAY(AD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AC34="B",INDEX(T.Pikett.Bereich,4),IF(AC34="E",INDEX(T.Pikett.Bereich,1),AC34)))),"")</f>
        <v>No</v>
      </c>
      <c r="AE34" s="196" t="str">
        <f aca="true">IF(EB.Anwendung&lt;&gt;"",IF(EB.Wochenarbeitszeit=50/24,INDEX(T.Pikett.Bereich,1),IF(DAY(AE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AD34="B",INDEX(T.Pikett.Bereich,4),IF(AD34="E",INDEX(T.Pikett.Bereich,1),AD34)))),"")</f>
        <v>No</v>
      </c>
      <c r="AF34" s="196" t="str">
        <f aca="true">IF(EB.Anwendung&lt;&gt;"",IF(EB.Wochenarbeitszeit=50/24,INDEX(T.Pikett.Bereich,1),IF(DAY(AF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AE34="B",INDEX(T.Pikett.Bereich,4),IF(AE34="E",INDEX(T.Pikett.Bereich,1),AE34)))),"")</f>
        <v>No</v>
      </c>
      <c r="AG34" s="183" t="str">
        <f aca="true">IF(OFFSET(B34,0,DAY(EOMONTH(Monat.Tag1,0))-1,1,1)="B",INDEX(T.Pikett.Bereich,4),IF(OFFSET(B34,0,DAY(EOMONTH(Monat.Tag1,0))-1,1,1)="E",INDEX(T.Pikett.Bereich,1),OFFSET(B34,0,DAY(EOMONTH(Monat.Tag1,0))-1,1,1)))</f>
        <v>No</v>
      </c>
      <c r="AH34" s="197"/>
      <c r="AI34" s="192"/>
      <c r="AJ34" s="198" t="str">
        <f aca="true">IF(T.50_Vetsuisse,IFERROR(SUMPRODUCT((B34:AF34=INDEX(T.Pikett.Bereich,4))*((B49:AF49)&lt;1/24*5)),0) &amp; " / " &amp; IFERROR(SUMPRODUCT((B34:AF34=INDEX(T.Pikett.Bereich,4))*((B49:AF49)&gt;=1/24*5)),0) &amp; " / " &amp; IFERROR(SUMPRODUCT((B34:AF34=INDEX(T.Pikett.Bereich,4))*((B49:AF49)&lt;1/24*5)),0) + IFERROR(SUMPRODUCT((B34:AF34=INDEX(T.Pikett.Bereich,4))*((B49:AF49)&gt;=1/24*5)),0), IFERROR(SUMPRODUCT((B34:AF34=INDEX(T.Pikett.Bereich,4))*(WEEKDAY(B10:AF10,2)&lt;6)*(B11:AF11&lt;&gt;0)),0) &amp; " / " &amp; IFERROR(SUMPRODUCT((B34:AF34=INDEX(T.Pikett.Bereich,4))*(WEEKDAY(B10:AF10,2)&gt;5)*(B11:AF11&lt;&gt;0))+SUMPRODUCT((B34:AF34=INDEX(T.Pikett.Bereich,4))*(B11:AF11=0)),0) &amp; " / " &amp; IFERROR(SUMPRODUCT((B34:AF34=INDEX(T.Pikett.Bereich,4))*(WEEKDAY(B10:AF10,2)&lt;6)*(B11:AF11&lt;&gt;0)),0) + IFERROR(SUMPRODUCT((B34:AF34=INDEX(T.Pikett.Bereich,4))*(WEEKDAY(B10:AF10,2)&gt;5)*(B11:AF11&lt;&gt;0))+SUMPRODUCT((B34:AF34=INDEX(T.Pikett.Bereich,4))*(B11:AF11=0)),0))</f>
        <v>0 / 0 / 0</v>
      </c>
      <c r="AK34" s="172"/>
      <c r="AL34" s="172"/>
      <c r="AM34" s="172"/>
      <c r="AN34" s="171"/>
      <c r="AO34" s="172"/>
      <c r="AP34" s="172"/>
      <c r="AQ34" s="39"/>
    </row>
    <row r="35" s="148" customFormat="true" ht="15" hidden="false" customHeight="true" outlineLevel="1" collapsed="false">
      <c r="A35" s="175" t="s">
        <v>128</v>
      </c>
      <c r="B35" s="176"/>
      <c r="C35" s="176"/>
      <c r="D35" s="176"/>
      <c r="E35" s="177"/>
      <c r="F35" s="176"/>
      <c r="G35" s="176"/>
      <c r="H35" s="176"/>
      <c r="I35" s="176"/>
      <c r="J35" s="177"/>
      <c r="K35" s="176"/>
      <c r="L35" s="177"/>
      <c r="M35" s="176"/>
      <c r="N35" s="176"/>
      <c r="O35" s="176"/>
      <c r="P35" s="176"/>
      <c r="Q35" s="177"/>
      <c r="R35" s="176"/>
      <c r="S35" s="177"/>
      <c r="T35" s="177"/>
      <c r="U35" s="176"/>
      <c r="V35" s="176"/>
      <c r="W35" s="176"/>
      <c r="X35" s="177"/>
      <c r="Y35" s="176"/>
      <c r="Z35" s="178"/>
      <c r="AA35" s="176"/>
      <c r="AB35" s="176"/>
      <c r="AC35" s="176"/>
      <c r="AD35" s="176"/>
      <c r="AE35" s="177"/>
      <c r="AF35" s="176"/>
      <c r="AG35" s="168" t="str">
        <f aca="false">A35</f>
        <v>in</v>
      </c>
      <c r="AH35" s="146"/>
      <c r="AI35" s="179"/>
      <c r="AJ35" s="180"/>
      <c r="AK35" s="172"/>
      <c r="AL35" s="172"/>
      <c r="AM35" s="172"/>
      <c r="AN35" s="171"/>
      <c r="AO35" s="172"/>
      <c r="AP35" s="172"/>
      <c r="AQ35" s="39"/>
    </row>
    <row r="36" s="148" customFormat="true" ht="15" hidden="false" customHeight="true" outlineLevel="1" collapsed="false">
      <c r="A36" s="175" t="s">
        <v>129</v>
      </c>
      <c r="B36" s="176"/>
      <c r="C36" s="176"/>
      <c r="D36" s="176"/>
      <c r="E36" s="177"/>
      <c r="F36" s="176"/>
      <c r="G36" s="176"/>
      <c r="H36" s="176"/>
      <c r="I36" s="176"/>
      <c r="J36" s="177"/>
      <c r="K36" s="176"/>
      <c r="L36" s="177"/>
      <c r="M36" s="176"/>
      <c r="N36" s="176"/>
      <c r="O36" s="176"/>
      <c r="P36" s="176"/>
      <c r="Q36" s="177"/>
      <c r="R36" s="176"/>
      <c r="S36" s="177"/>
      <c r="T36" s="177"/>
      <c r="U36" s="176"/>
      <c r="V36" s="176"/>
      <c r="W36" s="176"/>
      <c r="X36" s="177"/>
      <c r="Y36" s="176"/>
      <c r="Z36" s="178"/>
      <c r="AA36" s="176"/>
      <c r="AB36" s="176"/>
      <c r="AC36" s="176"/>
      <c r="AD36" s="176"/>
      <c r="AE36" s="177"/>
      <c r="AF36" s="176"/>
      <c r="AG36" s="168" t="str">
        <f aca="false">A36</f>
        <v>out</v>
      </c>
      <c r="AH36" s="146"/>
      <c r="AI36" s="179"/>
      <c r="AJ36" s="180"/>
      <c r="AK36" s="172"/>
      <c r="AL36" s="172"/>
      <c r="AM36" s="172"/>
      <c r="AN36" s="171"/>
      <c r="AO36" s="172"/>
      <c r="AP36" s="172"/>
      <c r="AQ36" s="39"/>
    </row>
    <row r="37" s="148" customFormat="true" ht="15" hidden="false" customHeight="true" outlineLevel="1" collapsed="false">
      <c r="A37" s="175" t="s">
        <v>128</v>
      </c>
      <c r="B37" s="176"/>
      <c r="C37" s="176"/>
      <c r="D37" s="176"/>
      <c r="E37" s="177"/>
      <c r="F37" s="176"/>
      <c r="G37" s="176"/>
      <c r="H37" s="176"/>
      <c r="I37" s="176"/>
      <c r="J37" s="177"/>
      <c r="K37" s="176"/>
      <c r="L37" s="177"/>
      <c r="M37" s="176"/>
      <c r="N37" s="176"/>
      <c r="O37" s="176"/>
      <c r="P37" s="176"/>
      <c r="Q37" s="177"/>
      <c r="R37" s="176"/>
      <c r="S37" s="177"/>
      <c r="T37" s="177"/>
      <c r="U37" s="176"/>
      <c r="V37" s="176"/>
      <c r="W37" s="176"/>
      <c r="X37" s="177"/>
      <c r="Y37" s="176"/>
      <c r="Z37" s="178"/>
      <c r="AA37" s="176"/>
      <c r="AB37" s="176"/>
      <c r="AC37" s="176"/>
      <c r="AD37" s="176"/>
      <c r="AE37" s="177"/>
      <c r="AF37" s="176"/>
      <c r="AG37" s="168" t="str">
        <f aca="false">A37</f>
        <v>in</v>
      </c>
      <c r="AH37" s="146"/>
      <c r="AI37" s="179"/>
      <c r="AJ37" s="180"/>
      <c r="AK37" s="172"/>
      <c r="AL37" s="172"/>
      <c r="AM37" s="172"/>
      <c r="AN37" s="171"/>
      <c r="AO37" s="172"/>
      <c r="AP37" s="172"/>
      <c r="AQ37" s="39"/>
    </row>
    <row r="38" s="148" customFormat="true" ht="15" hidden="false" customHeight="true" outlineLevel="1" collapsed="false">
      <c r="A38" s="175" t="s">
        <v>129</v>
      </c>
      <c r="B38" s="176"/>
      <c r="C38" s="176"/>
      <c r="D38" s="176"/>
      <c r="E38" s="177"/>
      <c r="F38" s="176"/>
      <c r="G38" s="176"/>
      <c r="H38" s="176"/>
      <c r="I38" s="176"/>
      <c r="J38" s="177"/>
      <c r="K38" s="176"/>
      <c r="L38" s="177"/>
      <c r="M38" s="176"/>
      <c r="N38" s="176"/>
      <c r="O38" s="176"/>
      <c r="P38" s="176"/>
      <c r="Q38" s="177"/>
      <c r="R38" s="176"/>
      <c r="S38" s="177"/>
      <c r="T38" s="177"/>
      <c r="U38" s="176"/>
      <c r="V38" s="176"/>
      <c r="W38" s="176"/>
      <c r="X38" s="177"/>
      <c r="Y38" s="176"/>
      <c r="Z38" s="178"/>
      <c r="AA38" s="176"/>
      <c r="AB38" s="176"/>
      <c r="AC38" s="176"/>
      <c r="AD38" s="176"/>
      <c r="AE38" s="177"/>
      <c r="AF38" s="176"/>
      <c r="AG38" s="168" t="str">
        <f aca="false">A38</f>
        <v>out</v>
      </c>
      <c r="AH38" s="146"/>
      <c r="AI38" s="179"/>
      <c r="AJ38" s="180"/>
      <c r="AK38" s="172"/>
      <c r="AL38" s="172"/>
      <c r="AM38" s="172"/>
      <c r="AN38" s="171"/>
      <c r="AO38" s="172"/>
      <c r="AP38" s="172"/>
      <c r="AQ38" s="39"/>
    </row>
    <row r="39" s="148" customFormat="true" ht="15" hidden="false" customHeight="true" outlineLevel="1" collapsed="false">
      <c r="A39" s="175" t="s">
        <v>128</v>
      </c>
      <c r="B39" s="176"/>
      <c r="C39" s="176"/>
      <c r="D39" s="176"/>
      <c r="E39" s="177"/>
      <c r="F39" s="176"/>
      <c r="G39" s="176"/>
      <c r="H39" s="176"/>
      <c r="I39" s="176"/>
      <c r="J39" s="177"/>
      <c r="K39" s="176"/>
      <c r="L39" s="177"/>
      <c r="M39" s="176"/>
      <c r="N39" s="176"/>
      <c r="O39" s="176"/>
      <c r="P39" s="176"/>
      <c r="Q39" s="177"/>
      <c r="R39" s="176"/>
      <c r="S39" s="177"/>
      <c r="T39" s="177"/>
      <c r="U39" s="176"/>
      <c r="V39" s="176"/>
      <c r="W39" s="176"/>
      <c r="X39" s="177"/>
      <c r="Y39" s="176"/>
      <c r="Z39" s="178"/>
      <c r="AA39" s="176"/>
      <c r="AB39" s="176"/>
      <c r="AC39" s="176"/>
      <c r="AD39" s="176"/>
      <c r="AE39" s="177"/>
      <c r="AF39" s="176"/>
      <c r="AG39" s="168" t="str">
        <f aca="false">A39</f>
        <v>in</v>
      </c>
      <c r="AH39" s="146"/>
      <c r="AI39" s="179"/>
      <c r="AJ39" s="180"/>
      <c r="AK39" s="172"/>
      <c r="AL39" s="172"/>
      <c r="AM39" s="172"/>
      <c r="AN39" s="171"/>
      <c r="AO39" s="172"/>
      <c r="AP39" s="172"/>
      <c r="AQ39" s="39"/>
    </row>
    <row r="40" s="148" customFormat="true" ht="15" hidden="false" customHeight="true" outlineLevel="1" collapsed="false">
      <c r="A40" s="175" t="s">
        <v>129</v>
      </c>
      <c r="B40" s="176"/>
      <c r="C40" s="176"/>
      <c r="D40" s="176"/>
      <c r="E40" s="177"/>
      <c r="F40" s="176"/>
      <c r="G40" s="176"/>
      <c r="H40" s="176"/>
      <c r="I40" s="176"/>
      <c r="J40" s="177"/>
      <c r="K40" s="176"/>
      <c r="L40" s="177"/>
      <c r="M40" s="176"/>
      <c r="N40" s="176"/>
      <c r="O40" s="176"/>
      <c r="P40" s="176"/>
      <c r="Q40" s="177"/>
      <c r="R40" s="176"/>
      <c r="S40" s="177"/>
      <c r="T40" s="177"/>
      <c r="U40" s="176"/>
      <c r="V40" s="176"/>
      <c r="W40" s="176"/>
      <c r="X40" s="177"/>
      <c r="Y40" s="176"/>
      <c r="Z40" s="178"/>
      <c r="AA40" s="176"/>
      <c r="AB40" s="176"/>
      <c r="AC40" s="176"/>
      <c r="AD40" s="176"/>
      <c r="AE40" s="177"/>
      <c r="AF40" s="176"/>
      <c r="AG40" s="168" t="str">
        <f aca="false">A40</f>
        <v>out</v>
      </c>
      <c r="AH40" s="146"/>
      <c r="AI40" s="179"/>
      <c r="AJ40" s="180"/>
      <c r="AK40" s="172"/>
      <c r="AL40" s="172"/>
      <c r="AM40" s="172"/>
      <c r="AN40" s="171"/>
      <c r="AO40" s="172"/>
      <c r="AP40" s="172"/>
      <c r="AQ40" s="39"/>
    </row>
    <row r="41" s="148" customFormat="true" ht="15" hidden="true" customHeight="true" outlineLevel="1" collapsed="false">
      <c r="A41" s="175" t="s">
        <v>128</v>
      </c>
      <c r="B41" s="176"/>
      <c r="C41" s="176"/>
      <c r="D41" s="176"/>
      <c r="E41" s="177"/>
      <c r="F41" s="176"/>
      <c r="G41" s="176"/>
      <c r="H41" s="176"/>
      <c r="I41" s="176"/>
      <c r="J41" s="177"/>
      <c r="K41" s="176"/>
      <c r="L41" s="177"/>
      <c r="M41" s="176"/>
      <c r="N41" s="176"/>
      <c r="O41" s="176"/>
      <c r="P41" s="176"/>
      <c r="Q41" s="177"/>
      <c r="R41" s="176"/>
      <c r="S41" s="177"/>
      <c r="T41" s="177"/>
      <c r="U41" s="176"/>
      <c r="V41" s="176"/>
      <c r="W41" s="176"/>
      <c r="X41" s="177"/>
      <c r="Y41" s="176"/>
      <c r="Z41" s="178"/>
      <c r="AA41" s="176"/>
      <c r="AB41" s="176"/>
      <c r="AC41" s="176"/>
      <c r="AD41" s="176"/>
      <c r="AE41" s="177"/>
      <c r="AF41" s="176"/>
      <c r="AG41" s="168" t="str">
        <f aca="false">A41</f>
        <v>in</v>
      </c>
      <c r="AH41" s="146"/>
      <c r="AI41" s="179"/>
      <c r="AJ41" s="180"/>
      <c r="AK41" s="172"/>
      <c r="AL41" s="172"/>
      <c r="AM41" s="172"/>
      <c r="AN41" s="171"/>
      <c r="AO41" s="172"/>
      <c r="AP41" s="172"/>
      <c r="AQ41" s="39"/>
    </row>
    <row r="42" s="148" customFormat="true" ht="15" hidden="true" customHeight="true" outlineLevel="1" collapsed="false">
      <c r="A42" s="175" t="s">
        <v>129</v>
      </c>
      <c r="B42" s="176"/>
      <c r="C42" s="176"/>
      <c r="D42" s="176"/>
      <c r="E42" s="177"/>
      <c r="F42" s="176"/>
      <c r="G42" s="176"/>
      <c r="H42" s="176"/>
      <c r="I42" s="176"/>
      <c r="J42" s="177"/>
      <c r="K42" s="176"/>
      <c r="L42" s="177"/>
      <c r="M42" s="176"/>
      <c r="N42" s="176"/>
      <c r="O42" s="176"/>
      <c r="P42" s="176"/>
      <c r="Q42" s="177"/>
      <c r="R42" s="176"/>
      <c r="S42" s="177"/>
      <c r="T42" s="177"/>
      <c r="U42" s="176"/>
      <c r="V42" s="176"/>
      <c r="W42" s="176"/>
      <c r="X42" s="177"/>
      <c r="Y42" s="176"/>
      <c r="Z42" s="178"/>
      <c r="AA42" s="176"/>
      <c r="AB42" s="176"/>
      <c r="AC42" s="176"/>
      <c r="AD42" s="176"/>
      <c r="AE42" s="177"/>
      <c r="AF42" s="176"/>
      <c r="AG42" s="168" t="str">
        <f aca="false">A42</f>
        <v>out</v>
      </c>
      <c r="AH42" s="146"/>
      <c r="AI42" s="179"/>
      <c r="AJ42" s="180"/>
      <c r="AK42" s="172"/>
      <c r="AL42" s="172"/>
      <c r="AM42" s="172"/>
      <c r="AN42" s="171"/>
      <c r="AO42" s="172"/>
      <c r="AP42" s="172"/>
      <c r="AQ42" s="39"/>
    </row>
    <row r="43" s="148" customFormat="true" ht="15" hidden="true" customHeight="true" outlineLevel="1" collapsed="false">
      <c r="A43" s="175" t="s">
        <v>128</v>
      </c>
      <c r="B43" s="176"/>
      <c r="C43" s="176"/>
      <c r="D43" s="176"/>
      <c r="E43" s="177"/>
      <c r="F43" s="176"/>
      <c r="G43" s="176"/>
      <c r="H43" s="176"/>
      <c r="I43" s="176"/>
      <c r="J43" s="177"/>
      <c r="K43" s="176"/>
      <c r="L43" s="177"/>
      <c r="M43" s="176"/>
      <c r="N43" s="176"/>
      <c r="O43" s="176"/>
      <c r="P43" s="176"/>
      <c r="Q43" s="177"/>
      <c r="R43" s="176"/>
      <c r="S43" s="177"/>
      <c r="T43" s="177"/>
      <c r="U43" s="176"/>
      <c r="V43" s="176"/>
      <c r="W43" s="176"/>
      <c r="X43" s="177"/>
      <c r="Y43" s="176"/>
      <c r="Z43" s="178"/>
      <c r="AA43" s="176"/>
      <c r="AB43" s="176"/>
      <c r="AC43" s="176"/>
      <c r="AD43" s="176"/>
      <c r="AE43" s="177"/>
      <c r="AF43" s="176"/>
      <c r="AG43" s="168" t="str">
        <f aca="false">A43</f>
        <v>in</v>
      </c>
      <c r="AH43" s="146"/>
      <c r="AI43" s="179"/>
      <c r="AJ43" s="180"/>
      <c r="AK43" s="172"/>
      <c r="AL43" s="172"/>
      <c r="AM43" s="172"/>
      <c r="AN43" s="171"/>
      <c r="AO43" s="172"/>
      <c r="AP43" s="172"/>
      <c r="AQ43" s="39"/>
    </row>
    <row r="44" s="148" customFormat="true" ht="15" hidden="true" customHeight="true" outlineLevel="1" collapsed="false">
      <c r="A44" s="175" t="s">
        <v>129</v>
      </c>
      <c r="B44" s="176"/>
      <c r="C44" s="176"/>
      <c r="D44" s="176"/>
      <c r="E44" s="177"/>
      <c r="F44" s="176"/>
      <c r="G44" s="176"/>
      <c r="H44" s="176"/>
      <c r="I44" s="176"/>
      <c r="J44" s="177"/>
      <c r="K44" s="176"/>
      <c r="L44" s="177"/>
      <c r="M44" s="176"/>
      <c r="N44" s="176"/>
      <c r="O44" s="176"/>
      <c r="P44" s="176"/>
      <c r="Q44" s="177"/>
      <c r="R44" s="176"/>
      <c r="S44" s="177"/>
      <c r="T44" s="177"/>
      <c r="U44" s="176"/>
      <c r="V44" s="176"/>
      <c r="W44" s="176"/>
      <c r="X44" s="177"/>
      <c r="Y44" s="176"/>
      <c r="Z44" s="178"/>
      <c r="AA44" s="176"/>
      <c r="AB44" s="176"/>
      <c r="AC44" s="176"/>
      <c r="AD44" s="176"/>
      <c r="AE44" s="177"/>
      <c r="AF44" s="176"/>
      <c r="AG44" s="168" t="str">
        <f aca="false">A44</f>
        <v>out</v>
      </c>
      <c r="AH44" s="146"/>
      <c r="AI44" s="179"/>
      <c r="AJ44" s="180"/>
      <c r="AK44" s="172"/>
      <c r="AL44" s="172"/>
      <c r="AM44" s="172"/>
      <c r="AN44" s="171"/>
      <c r="AO44" s="172"/>
      <c r="AP44" s="172"/>
      <c r="AQ44" s="39"/>
    </row>
    <row r="45" s="148" customFormat="true" ht="15" hidden="false" customHeight="true" outlineLevel="1" collapsed="false">
      <c r="A45" s="181" t="s">
        <v>135</v>
      </c>
      <c r="B45" s="182" t="n">
        <f aca="false">ROUND((B36-B35)+(B38-B37)+(B40-B39)+(B42-B41)+(B44-B43),9)</f>
        <v>0</v>
      </c>
      <c r="C45" s="182" t="n">
        <f aca="false">ROUND((C36-C35)+(C38-C37)+(C40-C39)+(C42-C41)+(C44-C43),9)</f>
        <v>0</v>
      </c>
      <c r="D45" s="182" t="n">
        <f aca="false">ROUND((D36-D35)+(D38-D37)+(D40-D39)+(D42-D41)+(D44-D43),9)</f>
        <v>0</v>
      </c>
      <c r="E45" s="182" t="n">
        <f aca="false">ROUND((E36-E35)+(E38-E37)+(E40-E39)+(E42-E41)+(E44-E43),9)</f>
        <v>0</v>
      </c>
      <c r="F45" s="182" t="n">
        <f aca="false">ROUND((F36-F35)+(F38-F37)+(F40-F39)+(F42-F41)+(F44-F43),9)</f>
        <v>0</v>
      </c>
      <c r="G45" s="182" t="n">
        <f aca="false">ROUND((G36-G35)+(G38-G37)+(G40-G39)+(G42-G41)+(G44-G43),9)</f>
        <v>0</v>
      </c>
      <c r="H45" s="182" t="n">
        <f aca="false">ROUND((H36-H35)+(H38-H37)+(H40-H39)+(H42-H41)+(H44-H43),9)</f>
        <v>0</v>
      </c>
      <c r="I45" s="182" t="n">
        <f aca="false">ROUND((I36-I35)+(I38-I37)+(I40-I39)+(I42-I41)+(I44-I43),9)</f>
        <v>0</v>
      </c>
      <c r="J45" s="182" t="n">
        <f aca="false">ROUND((J36-J35)+(J38-J37)+(J40-J39)+(J42-J41)+(J44-J43),9)</f>
        <v>0</v>
      </c>
      <c r="K45" s="182" t="n">
        <f aca="false">ROUND((K36-K35)+(K38-K37)+(K40-K39)+(K42-K41)+(K44-K43),9)</f>
        <v>0</v>
      </c>
      <c r="L45" s="182" t="n">
        <f aca="false">ROUND((L36-L35)+(L38-L37)+(L40-L39)+(L42-L41)+(L44-L43),9)</f>
        <v>0</v>
      </c>
      <c r="M45" s="182" t="n">
        <f aca="false">ROUND((M36-M35)+(M38-M37)+(M40-M39)+(M42-M41)+(M44-M43),9)</f>
        <v>0</v>
      </c>
      <c r="N45" s="182" t="n">
        <f aca="false">ROUND((N36-N35)+(N38-N37)+(N40-N39)+(N42-N41)+(N44-N43),9)</f>
        <v>0</v>
      </c>
      <c r="O45" s="182" t="n">
        <f aca="false">ROUND((O36-O35)+(O38-O37)+(O40-O39)+(O42-O41)+(O44-O43),9)</f>
        <v>0</v>
      </c>
      <c r="P45" s="182" t="n">
        <f aca="false">ROUND((P36-P35)+(P38-P37)+(P40-P39)+(P42-P41)+(P44-P43),9)</f>
        <v>0</v>
      </c>
      <c r="Q45" s="182" t="n">
        <f aca="false">ROUND((Q36-Q35)+(Q38-Q37)+(Q40-Q39)+(Q42-Q41)+(Q44-Q43),9)</f>
        <v>0</v>
      </c>
      <c r="R45" s="182" t="n">
        <f aca="false">ROUND((R36-R35)+(R38-R37)+(R40-R39)+(R42-R41)+(R44-R43),9)</f>
        <v>0</v>
      </c>
      <c r="S45" s="182" t="n">
        <f aca="false">ROUND((S36-S35)+(S38-S37)+(S40-S39)+(S42-S41)+(S44-S43),9)</f>
        <v>0</v>
      </c>
      <c r="T45" s="182" t="n">
        <f aca="false">ROUND((T36-T35)+(T38-T37)+(T40-T39)+(T42-T41)+(T44-T43),9)</f>
        <v>0</v>
      </c>
      <c r="U45" s="182" t="n">
        <f aca="false">ROUND((U36-U35)+(U38-U37)+(U40-U39)+(U42-U41)+(U44-U43),9)</f>
        <v>0</v>
      </c>
      <c r="V45" s="182" t="n">
        <f aca="false">ROUND((V36-V35)+(V38-V37)+(V40-V39)+(V42-V41)+(V44-V43),9)</f>
        <v>0</v>
      </c>
      <c r="W45" s="182" t="n">
        <f aca="false">ROUND((W36-W35)+(W38-W37)+(W40-W39)+(W42-W41)+(W44-W43),9)</f>
        <v>0</v>
      </c>
      <c r="X45" s="182" t="n">
        <f aca="false">ROUND((X36-X35)+(X38-X37)+(X40-X39)+(X42-X41)+(X44-X43),9)</f>
        <v>0</v>
      </c>
      <c r="Y45" s="182" t="n">
        <f aca="false">ROUND((Y36-Y35)+(Y38-Y37)+(Y40-Y39)+(Y42-Y41)+(Y44-Y43),9)</f>
        <v>0</v>
      </c>
      <c r="Z45" s="182" t="n">
        <f aca="false">ROUND((Z36-Z35)+(Z38-Z37)+(Z40-Z39)+(Z42-Z41)+(Z44-Z43),9)</f>
        <v>0</v>
      </c>
      <c r="AA45" s="182" t="n">
        <f aca="false">ROUND((AA36-AA35)+(AA38-AA37)+(AA40-AA39)+(AA42-AA41)+(AA44-AA43),9)</f>
        <v>0</v>
      </c>
      <c r="AB45" s="182" t="n">
        <f aca="false">ROUND((AB36-AB35)+(AB38-AB37)+(AB40-AB39)+(AB42-AB41)+(AB44-AB43),9)</f>
        <v>0</v>
      </c>
      <c r="AC45" s="182" t="n">
        <f aca="false">ROUND((AC36-AC35)+(AC38-AC37)+(AC40-AC39)+(AC42-AC41)+(AC44-AC43),9)</f>
        <v>0</v>
      </c>
      <c r="AD45" s="182" t="n">
        <f aca="false">ROUND((AD36-AD35)+(AD38-AD37)+(AD40-AD39)+(AD42-AD41)+(AD44-AD43),9)</f>
        <v>0</v>
      </c>
      <c r="AE45" s="182" t="n">
        <f aca="false">ROUND((AE36-AE35)+(AE38-AE37)+(AE40-AE39)+(AE42-AE41)+(AE44-AE43),9)</f>
        <v>0</v>
      </c>
      <c r="AF45" s="182" t="n">
        <f aca="false">ROUND((AF36-AF35)+(AF38-AF37)+(AF40-AF39)+(AF42-AF41)+(AF44-AF43),9)</f>
        <v>0</v>
      </c>
      <c r="AG45" s="183" t="str">
        <f aca="false">A45</f>
        <v>Total on call standby in/out</v>
      </c>
      <c r="AH45" s="184"/>
      <c r="AI45" s="185" t="n">
        <f aca="false">SUM(B45:AF45)</f>
        <v>0</v>
      </c>
      <c r="AJ45" s="180"/>
      <c r="AK45" s="172"/>
      <c r="AL45" s="172"/>
      <c r="AM45" s="172"/>
      <c r="AN45" s="171"/>
      <c r="AO45" s="172"/>
      <c r="AP45" s="172"/>
      <c r="AQ45" s="39"/>
    </row>
    <row r="46" s="148" customFormat="true" ht="3.75" hidden="false" customHeight="true" outlineLevel="0" collapsed="false">
      <c r="A46" s="186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179"/>
      <c r="AG46" s="168"/>
      <c r="AH46" s="146"/>
      <c r="AI46" s="179"/>
      <c r="AJ46" s="180"/>
      <c r="AK46" s="172"/>
      <c r="AL46" s="172"/>
      <c r="AM46" s="172"/>
      <c r="AN46" s="171"/>
      <c r="AO46" s="172"/>
      <c r="AP46" s="172"/>
      <c r="AQ46" s="39"/>
    </row>
    <row r="47" s="148" customFormat="true" ht="16.5" hidden="true" customHeight="true" outlineLevel="1" collapsed="false">
      <c r="A47" s="181" t="s">
        <v>136</v>
      </c>
      <c r="B47" s="182" t="n">
        <f aca="false">IF(B45&gt;0,ROUND(B45- IF(B35&lt;T.PikettVetsuissebis,MIN(T.PikettVetsuissebis-B35,B36-B35)+IF(B37&lt;T.PikettVetsuissebis,MIN(T.PikettVetsuissebis-B37,B38-B37)+IF(B39&lt;T.PikettVetsuissebis,MIN(T.PikettVetsuissebis-B39,B40-B39)+IF(B41&lt;T.PikettVetsuissebis,MIN(T.PikettVetsuissebis-B41,B42-B41)+IF(B43&lt;T.PikettVetsuissebis,MIN(T.PikettVetsuissebis-B43,B44-B43),0),0),0),0),0),9),0)</f>
        <v>0</v>
      </c>
      <c r="C47" s="182" t="n">
        <f aca="false">IF(C45&gt;0,ROUND(C45- IF(C35&lt;T.PikettVetsuissebis,MIN(T.PikettVetsuissebis-C35,C36-C35)+IF(C37&lt;T.PikettVetsuissebis,MIN(T.PikettVetsuissebis-C37,C38-C37)+IF(C39&lt;T.PikettVetsuissebis,MIN(T.PikettVetsuissebis-C39,C40-C39)+IF(C41&lt;T.PikettVetsuissebis,MIN(T.PikettVetsuissebis-C41,C42-C41)+IF(C43&lt;T.PikettVetsuissebis,MIN(T.PikettVetsuissebis-C43,C44-C43),0),0),0),0),0),9),0)</f>
        <v>0</v>
      </c>
      <c r="D47" s="182" t="n">
        <f aca="false">IF(D45&gt;0,ROUND(D45- IF(D35&lt;T.PikettVetsuissebis,MIN(T.PikettVetsuissebis-D35,D36-D35)+IF(D37&lt;T.PikettVetsuissebis,MIN(T.PikettVetsuissebis-D37,D38-D37)+IF(D39&lt;T.PikettVetsuissebis,MIN(T.PikettVetsuissebis-D39,D40-D39)+IF(D41&lt;T.PikettVetsuissebis,MIN(T.PikettVetsuissebis-D41,D42-D41)+IF(D43&lt;T.PikettVetsuissebis,MIN(T.PikettVetsuissebis-D43,D44-D43),0),0),0),0),0),9),0)</f>
        <v>0</v>
      </c>
      <c r="E47" s="182" t="n">
        <f aca="false">IF(E45&gt;0,ROUND(E45- IF(E35&lt;T.PikettVetsuissebis,MIN(T.PikettVetsuissebis-E35,E36-E35)+IF(E37&lt;T.PikettVetsuissebis,MIN(T.PikettVetsuissebis-E37,E38-E37)+IF(E39&lt;T.PikettVetsuissebis,MIN(T.PikettVetsuissebis-E39,E40-E39)+IF(E41&lt;T.PikettVetsuissebis,MIN(T.PikettVetsuissebis-E41,E42-E41)+IF(E43&lt;T.PikettVetsuissebis,MIN(T.PikettVetsuissebis-E43,E44-E43),0),0),0),0),0),9),0)</f>
        <v>0</v>
      </c>
      <c r="F47" s="182" t="n">
        <f aca="false">IF(F45&gt;0,ROUND(F45- IF(F35&lt;T.PikettVetsuissebis,MIN(T.PikettVetsuissebis-F35,F36-F35)+IF(F37&lt;T.PikettVetsuissebis,MIN(T.PikettVetsuissebis-F37,F38-F37)+IF(F39&lt;T.PikettVetsuissebis,MIN(T.PikettVetsuissebis-F39,F40-F39)+IF(F41&lt;T.PikettVetsuissebis,MIN(T.PikettVetsuissebis-F41,F42-F41)+IF(F43&lt;T.PikettVetsuissebis,MIN(T.PikettVetsuissebis-F43,F44-F43),0),0),0),0),0),9),0)</f>
        <v>0</v>
      </c>
      <c r="G47" s="182" t="n">
        <f aca="false">IF(G45&gt;0,ROUND(G45- IF(G35&lt;T.PikettVetsuissebis,MIN(T.PikettVetsuissebis-G35,G36-G35)+IF(G37&lt;T.PikettVetsuissebis,MIN(T.PikettVetsuissebis-G37,G38-G37)+IF(G39&lt;T.PikettVetsuissebis,MIN(T.PikettVetsuissebis-G39,G40-G39)+IF(G41&lt;T.PikettVetsuissebis,MIN(T.PikettVetsuissebis-G41,G42-G41)+IF(G43&lt;T.PikettVetsuissebis,MIN(T.PikettVetsuissebis-G43,G44-G43),0),0),0),0),0),9),0)</f>
        <v>0</v>
      </c>
      <c r="H47" s="182" t="n">
        <f aca="false">IF(H45&gt;0,ROUND(H45- IF(H35&lt;T.PikettVetsuissebis,MIN(T.PikettVetsuissebis-H35,H36-H35)+IF(H37&lt;T.PikettVetsuissebis,MIN(T.PikettVetsuissebis-H37,H38-H37)+IF(H39&lt;T.PikettVetsuissebis,MIN(T.PikettVetsuissebis-H39,H40-H39)+IF(H41&lt;T.PikettVetsuissebis,MIN(T.PikettVetsuissebis-H41,H42-H41)+IF(H43&lt;T.PikettVetsuissebis,MIN(T.PikettVetsuissebis-H43,H44-H43),0),0),0),0),0),9),0)</f>
        <v>0</v>
      </c>
      <c r="I47" s="182" t="n">
        <f aca="false">IF(I45&gt;0,ROUND(I45- IF(I35&lt;T.PikettVetsuissebis,MIN(T.PikettVetsuissebis-I35,I36-I35)+IF(I37&lt;T.PikettVetsuissebis,MIN(T.PikettVetsuissebis-I37,I38-I37)+IF(I39&lt;T.PikettVetsuissebis,MIN(T.PikettVetsuissebis-I39,I40-I39)+IF(I41&lt;T.PikettVetsuissebis,MIN(T.PikettVetsuissebis-I41,I42-I41)+IF(I43&lt;T.PikettVetsuissebis,MIN(T.PikettVetsuissebis-I43,I44-I43),0),0),0),0),0),9),0)</f>
        <v>0</v>
      </c>
      <c r="J47" s="182" t="n">
        <f aca="false">IF(J45&gt;0,ROUND(J45- IF(J35&lt;T.PikettVetsuissebis,MIN(T.PikettVetsuissebis-J35,J36-J35)+IF(J37&lt;T.PikettVetsuissebis,MIN(T.PikettVetsuissebis-J37,J38-J37)+IF(J39&lt;T.PikettVetsuissebis,MIN(T.PikettVetsuissebis-J39,J40-J39)+IF(J41&lt;T.PikettVetsuissebis,MIN(T.PikettVetsuissebis-J41,J42-J41)+IF(J43&lt;T.PikettVetsuissebis,MIN(T.PikettVetsuissebis-J43,J44-J43),0),0),0),0),0),9),0)</f>
        <v>0</v>
      </c>
      <c r="K47" s="182" t="n">
        <f aca="false">IF(K45&gt;0,ROUND(K45- IF(K35&lt;T.PikettVetsuissebis,MIN(T.PikettVetsuissebis-K35,K36-K35)+IF(K37&lt;T.PikettVetsuissebis,MIN(T.PikettVetsuissebis-K37,K38-K37)+IF(K39&lt;T.PikettVetsuissebis,MIN(T.PikettVetsuissebis-K39,K40-K39)+IF(K41&lt;T.PikettVetsuissebis,MIN(T.PikettVetsuissebis-K41,K42-K41)+IF(K43&lt;T.PikettVetsuissebis,MIN(T.PikettVetsuissebis-K43,K44-K43),0),0),0),0),0),9),0)</f>
        <v>0</v>
      </c>
      <c r="L47" s="182" t="n">
        <f aca="false">IF(L45&gt;0,ROUND(L45- IF(L35&lt;T.PikettVetsuissebis,MIN(T.PikettVetsuissebis-L35,L36-L35)+IF(L37&lt;T.PikettVetsuissebis,MIN(T.PikettVetsuissebis-L37,L38-L37)+IF(L39&lt;T.PikettVetsuissebis,MIN(T.PikettVetsuissebis-L39,L40-L39)+IF(L41&lt;T.PikettVetsuissebis,MIN(T.PikettVetsuissebis-L41,L42-L41)+IF(L43&lt;T.PikettVetsuissebis,MIN(T.PikettVetsuissebis-L43,L44-L43),0),0),0),0),0),9),0)</f>
        <v>0</v>
      </c>
      <c r="M47" s="182" t="n">
        <f aca="false">IF(M45&gt;0,ROUND(M45- IF(M35&lt;T.PikettVetsuissebis,MIN(T.PikettVetsuissebis-M35,M36-M35)+IF(M37&lt;T.PikettVetsuissebis,MIN(T.PikettVetsuissebis-M37,M38-M37)+IF(M39&lt;T.PikettVetsuissebis,MIN(T.PikettVetsuissebis-M39,M40-M39)+IF(M41&lt;T.PikettVetsuissebis,MIN(T.PikettVetsuissebis-M41,M42-M41)+IF(M43&lt;T.PikettVetsuissebis,MIN(T.PikettVetsuissebis-M43,M44-M43),0),0),0),0),0),9),0)</f>
        <v>0</v>
      </c>
      <c r="N47" s="182" t="n">
        <f aca="false">IF(N45&gt;0,ROUND(N45- IF(N35&lt;T.PikettVetsuissebis,MIN(T.PikettVetsuissebis-N35,N36-N35)+IF(N37&lt;T.PikettVetsuissebis,MIN(T.PikettVetsuissebis-N37,N38-N37)+IF(N39&lt;T.PikettVetsuissebis,MIN(T.PikettVetsuissebis-N39,N40-N39)+IF(N41&lt;T.PikettVetsuissebis,MIN(T.PikettVetsuissebis-N41,N42-N41)+IF(N43&lt;T.PikettVetsuissebis,MIN(T.PikettVetsuissebis-N43,N44-N43),0),0),0),0),0),9),0)</f>
        <v>0</v>
      </c>
      <c r="O47" s="182" t="n">
        <f aca="false">IF(O45&gt;0,ROUND(O45- IF(O35&lt;T.PikettVetsuissebis,MIN(T.PikettVetsuissebis-O35,O36-O35)+IF(O37&lt;T.PikettVetsuissebis,MIN(T.PikettVetsuissebis-O37,O38-O37)+IF(O39&lt;T.PikettVetsuissebis,MIN(T.PikettVetsuissebis-O39,O40-O39)+IF(O41&lt;T.PikettVetsuissebis,MIN(T.PikettVetsuissebis-O41,O42-O41)+IF(O43&lt;T.PikettVetsuissebis,MIN(T.PikettVetsuissebis-O43,O44-O43),0),0),0),0),0),9),0)</f>
        <v>0</v>
      </c>
      <c r="P47" s="182" t="n">
        <f aca="false">IF(P45&gt;0,ROUND(P45- IF(P35&lt;T.PikettVetsuissebis,MIN(T.PikettVetsuissebis-P35,P36-P35)+IF(P37&lt;T.PikettVetsuissebis,MIN(T.PikettVetsuissebis-P37,P38-P37)+IF(P39&lt;T.PikettVetsuissebis,MIN(T.PikettVetsuissebis-P39,P40-P39)+IF(P41&lt;T.PikettVetsuissebis,MIN(T.PikettVetsuissebis-P41,P42-P41)+IF(P43&lt;T.PikettVetsuissebis,MIN(T.PikettVetsuissebis-P43,P44-P43),0),0),0),0),0),9),0)</f>
        <v>0</v>
      </c>
      <c r="Q47" s="182" t="n">
        <f aca="false">IF(Q45&gt;0,ROUND(Q45- IF(Q35&lt;T.PikettVetsuissebis,MIN(T.PikettVetsuissebis-Q35,Q36-Q35)+IF(Q37&lt;T.PikettVetsuissebis,MIN(T.PikettVetsuissebis-Q37,Q38-Q37)+IF(Q39&lt;T.PikettVetsuissebis,MIN(T.PikettVetsuissebis-Q39,Q40-Q39)+IF(Q41&lt;T.PikettVetsuissebis,MIN(T.PikettVetsuissebis-Q41,Q42-Q41)+IF(Q43&lt;T.PikettVetsuissebis,MIN(T.PikettVetsuissebis-Q43,Q44-Q43),0),0),0),0),0),9),0)</f>
        <v>0</v>
      </c>
      <c r="R47" s="182" t="n">
        <f aca="false">IF(R45&gt;0,ROUND(R45- IF(R35&lt;T.PikettVetsuissebis,MIN(T.PikettVetsuissebis-R35,R36-R35)+IF(R37&lt;T.PikettVetsuissebis,MIN(T.PikettVetsuissebis-R37,R38-R37)+IF(R39&lt;T.PikettVetsuissebis,MIN(T.PikettVetsuissebis-R39,R40-R39)+IF(R41&lt;T.PikettVetsuissebis,MIN(T.PikettVetsuissebis-R41,R42-R41)+IF(R43&lt;T.PikettVetsuissebis,MIN(T.PikettVetsuissebis-R43,R44-R43),0),0),0),0),0),9),0)</f>
        <v>0</v>
      </c>
      <c r="S47" s="182" t="n">
        <f aca="false">IF(S45&gt;0,ROUND(S45- IF(S35&lt;T.PikettVetsuissebis,MIN(T.PikettVetsuissebis-S35,S36-S35)+IF(S37&lt;T.PikettVetsuissebis,MIN(T.PikettVetsuissebis-S37,S38-S37)+IF(S39&lt;T.PikettVetsuissebis,MIN(T.PikettVetsuissebis-S39,S40-S39)+IF(S41&lt;T.PikettVetsuissebis,MIN(T.PikettVetsuissebis-S41,S42-S41)+IF(S43&lt;T.PikettVetsuissebis,MIN(T.PikettVetsuissebis-S43,S44-S43),0),0),0),0),0),9),0)</f>
        <v>0</v>
      </c>
      <c r="T47" s="182" t="n">
        <f aca="false">IF(T45&gt;0,ROUND(T45- IF(T35&lt;T.PikettVetsuissebis,MIN(T.PikettVetsuissebis-T35,T36-T35)+IF(T37&lt;T.PikettVetsuissebis,MIN(T.PikettVetsuissebis-T37,T38-T37)+IF(T39&lt;T.PikettVetsuissebis,MIN(T.PikettVetsuissebis-T39,T40-T39)+IF(T41&lt;T.PikettVetsuissebis,MIN(T.PikettVetsuissebis-T41,T42-T41)+IF(T43&lt;T.PikettVetsuissebis,MIN(T.PikettVetsuissebis-T43,T44-T43),0),0),0),0),0),9),0)</f>
        <v>0</v>
      </c>
      <c r="U47" s="182" t="n">
        <f aca="false">IF(U45&gt;0,ROUND(U45- IF(U35&lt;T.PikettVetsuissebis,MIN(T.PikettVetsuissebis-U35,U36-U35)+IF(U37&lt;T.PikettVetsuissebis,MIN(T.PikettVetsuissebis-U37,U38-U37)+IF(U39&lt;T.PikettVetsuissebis,MIN(T.PikettVetsuissebis-U39,U40-U39)+IF(U41&lt;T.PikettVetsuissebis,MIN(T.PikettVetsuissebis-U41,U42-U41)+IF(U43&lt;T.PikettVetsuissebis,MIN(T.PikettVetsuissebis-U43,U44-U43),0),0),0),0),0),9),0)</f>
        <v>0</v>
      </c>
      <c r="V47" s="182" t="n">
        <f aca="false">IF(V45&gt;0,ROUND(V45- IF(V35&lt;T.PikettVetsuissebis,MIN(T.PikettVetsuissebis-V35,V36-V35)+IF(V37&lt;T.PikettVetsuissebis,MIN(T.PikettVetsuissebis-V37,V38-V37)+IF(V39&lt;T.PikettVetsuissebis,MIN(T.PikettVetsuissebis-V39,V40-V39)+IF(V41&lt;T.PikettVetsuissebis,MIN(T.PikettVetsuissebis-V41,V42-V41)+IF(V43&lt;T.PikettVetsuissebis,MIN(T.PikettVetsuissebis-V43,V44-V43),0),0),0),0),0),9),0)</f>
        <v>0</v>
      </c>
      <c r="W47" s="182" t="n">
        <f aca="false">IF(W45&gt;0,ROUND(W45- IF(W35&lt;T.PikettVetsuissebis,MIN(T.PikettVetsuissebis-W35,W36-W35)+IF(W37&lt;T.PikettVetsuissebis,MIN(T.PikettVetsuissebis-W37,W38-W37)+IF(W39&lt;T.PikettVetsuissebis,MIN(T.PikettVetsuissebis-W39,W40-W39)+IF(W41&lt;T.PikettVetsuissebis,MIN(T.PikettVetsuissebis-W41,W42-W41)+IF(W43&lt;T.PikettVetsuissebis,MIN(T.PikettVetsuissebis-W43,W44-W43),0),0),0),0),0),9),0)</f>
        <v>0</v>
      </c>
      <c r="X47" s="182" t="n">
        <f aca="false">IF(X45&gt;0,ROUND(X45- IF(X35&lt;T.PikettVetsuissebis,MIN(T.PikettVetsuissebis-X35,X36-X35)+IF(X37&lt;T.PikettVetsuissebis,MIN(T.PikettVetsuissebis-X37,X38-X37)+IF(X39&lt;T.PikettVetsuissebis,MIN(T.PikettVetsuissebis-X39,X40-X39)+IF(X41&lt;T.PikettVetsuissebis,MIN(T.PikettVetsuissebis-X41,X42-X41)+IF(X43&lt;T.PikettVetsuissebis,MIN(T.PikettVetsuissebis-X43,X44-X43),0),0),0),0),0),9),0)</f>
        <v>0</v>
      </c>
      <c r="Y47" s="182" t="n">
        <f aca="false">IF(Y45&gt;0,ROUND(Y45- IF(Y35&lt;T.PikettVetsuissebis,MIN(T.PikettVetsuissebis-Y35,Y36-Y35)+IF(Y37&lt;T.PikettVetsuissebis,MIN(T.PikettVetsuissebis-Y37,Y38-Y37)+IF(Y39&lt;T.PikettVetsuissebis,MIN(T.PikettVetsuissebis-Y39,Y40-Y39)+IF(Y41&lt;T.PikettVetsuissebis,MIN(T.PikettVetsuissebis-Y41,Y42-Y41)+IF(Y43&lt;T.PikettVetsuissebis,MIN(T.PikettVetsuissebis-Y43,Y44-Y43),0),0),0),0),0),9),0)</f>
        <v>0</v>
      </c>
      <c r="Z47" s="182" t="n">
        <f aca="false">IF(Z45&gt;0,ROUND(Z45- IF(Z35&lt;T.PikettVetsuissebis,MIN(T.PikettVetsuissebis-Z35,Z36-Z35)+IF(Z37&lt;T.PikettVetsuissebis,MIN(T.PikettVetsuissebis-Z37,Z38-Z37)+IF(Z39&lt;T.PikettVetsuissebis,MIN(T.PikettVetsuissebis-Z39,Z40-Z39)+IF(Z41&lt;T.PikettVetsuissebis,MIN(T.PikettVetsuissebis-Z41,Z42-Z41)+IF(Z43&lt;T.PikettVetsuissebis,MIN(T.PikettVetsuissebis-Z43,Z44-Z43),0),0),0),0),0),9),0)</f>
        <v>0</v>
      </c>
      <c r="AA47" s="182" t="n">
        <f aca="false">IF(AA45&gt;0,ROUND(AA45- IF(AA35&lt;T.PikettVetsuissebis,MIN(T.PikettVetsuissebis-AA35,AA36-AA35)+IF(AA37&lt;T.PikettVetsuissebis,MIN(T.PikettVetsuissebis-AA37,AA38-AA37)+IF(AA39&lt;T.PikettVetsuissebis,MIN(T.PikettVetsuissebis-AA39,AA40-AA39)+IF(AA41&lt;T.PikettVetsuissebis,MIN(T.PikettVetsuissebis-AA41,AA42-AA41)+IF(AA43&lt;T.PikettVetsuissebis,MIN(T.PikettVetsuissebis-AA43,AA44-AA43),0),0),0),0),0),9),0)</f>
        <v>0</v>
      </c>
      <c r="AB47" s="182" t="n">
        <f aca="false">IF(AB45&gt;0,ROUND(AB45- IF(AB35&lt;T.PikettVetsuissebis,MIN(T.PikettVetsuissebis-AB35,AB36-AB35)+IF(AB37&lt;T.PikettVetsuissebis,MIN(T.PikettVetsuissebis-AB37,AB38-AB37)+IF(AB39&lt;T.PikettVetsuissebis,MIN(T.PikettVetsuissebis-AB39,AB40-AB39)+IF(AB41&lt;T.PikettVetsuissebis,MIN(T.PikettVetsuissebis-AB41,AB42-AB41)+IF(AB43&lt;T.PikettVetsuissebis,MIN(T.PikettVetsuissebis-AB43,AB44-AB43),0),0),0),0),0),9),0)</f>
        <v>0</v>
      </c>
      <c r="AC47" s="182" t="n">
        <f aca="false">IF(AC45&gt;0,ROUND(AC45- IF(AC35&lt;T.PikettVetsuissebis,MIN(T.PikettVetsuissebis-AC35,AC36-AC35)+IF(AC37&lt;T.PikettVetsuissebis,MIN(T.PikettVetsuissebis-AC37,AC38-AC37)+IF(AC39&lt;T.PikettVetsuissebis,MIN(T.PikettVetsuissebis-AC39,AC40-AC39)+IF(AC41&lt;T.PikettVetsuissebis,MIN(T.PikettVetsuissebis-AC41,AC42-AC41)+IF(AC43&lt;T.PikettVetsuissebis,MIN(T.PikettVetsuissebis-AC43,AC44-AC43),0),0),0),0),0),9),0)</f>
        <v>0</v>
      </c>
      <c r="AD47" s="182" t="n">
        <f aca="false">IF(AD45&gt;0,ROUND(AD45- IF(AD35&lt;T.PikettVetsuissebis,MIN(T.PikettVetsuissebis-AD35,AD36-AD35)+IF(AD37&lt;T.PikettVetsuissebis,MIN(T.PikettVetsuissebis-AD37,AD38-AD37)+IF(AD39&lt;T.PikettVetsuissebis,MIN(T.PikettVetsuissebis-AD39,AD40-AD39)+IF(AD41&lt;T.PikettVetsuissebis,MIN(T.PikettVetsuissebis-AD41,AD42-AD41)+IF(AD43&lt;T.PikettVetsuissebis,MIN(T.PikettVetsuissebis-AD43,AD44-AD43),0),0),0),0),0),9),0)</f>
        <v>0</v>
      </c>
      <c r="AE47" s="182" t="n">
        <f aca="false">IF(AE45&gt;0,ROUND(AE45- IF(AE35&lt;T.PikettVetsuissebis,MIN(T.PikettVetsuissebis-AE35,AE36-AE35)+IF(AE37&lt;T.PikettVetsuissebis,MIN(T.PikettVetsuissebis-AE37,AE38-AE37)+IF(AE39&lt;T.PikettVetsuissebis,MIN(T.PikettVetsuissebis-AE39,AE40-AE39)+IF(AE41&lt;T.PikettVetsuissebis,MIN(T.PikettVetsuissebis-AE41,AE42-AE41)+IF(AE43&lt;T.PikettVetsuissebis,MIN(T.PikettVetsuissebis-AE43,AE44-AE43),0),0),0),0),0),9),0)</f>
        <v>0</v>
      </c>
      <c r="AF47" s="182" t="n">
        <f aca="false">IF(AF45&gt;0,ROUND(AF45- IF(AF35&lt;T.PikettVetsuissebis,MIN(T.PikettVetsuissebis-AF35,AF36-AF35)+IF(AF37&lt;T.PikettVetsuissebis,MIN(T.PikettVetsuissebis-AF37,AF38-AF37)+IF(AF39&lt;T.PikettVetsuissebis,MIN(T.PikettVetsuissebis-AF39,AF40-AF39)+IF(AF41&lt;T.PikettVetsuissebis,MIN(T.PikettVetsuissebis-AF41,AF42-AF41)+IF(AF43&lt;T.PikettVetsuissebis,MIN(T.PikettVetsuissebis-AF43,AF44-AF43),0),0),0),0),0),9),0)</f>
        <v>0</v>
      </c>
      <c r="AG47" s="183" t="str">
        <f aca="false">A47</f>
        <v>Total on call hours today</v>
      </c>
      <c r="AH47" s="146"/>
      <c r="AI47" s="179"/>
      <c r="AJ47" s="180"/>
      <c r="AK47" s="172"/>
      <c r="AL47" s="172"/>
      <c r="AM47" s="172"/>
      <c r="AN47" s="171"/>
      <c r="AO47" s="172"/>
      <c r="AP47" s="172"/>
      <c r="AQ47" s="39"/>
    </row>
    <row r="48" s="148" customFormat="true" ht="16.5" hidden="true" customHeight="true" outlineLevel="1" collapsed="false">
      <c r="A48" s="181" t="s">
        <v>137</v>
      </c>
      <c r="B48" s="193" t="n">
        <f aca="false">B45-B47</f>
        <v>0</v>
      </c>
      <c r="C48" s="193" t="n">
        <f aca="false">C45-C47</f>
        <v>0</v>
      </c>
      <c r="D48" s="193" t="n">
        <f aca="false">D45-D47</f>
        <v>0</v>
      </c>
      <c r="E48" s="193" t="n">
        <f aca="false">E45-E47</f>
        <v>0</v>
      </c>
      <c r="F48" s="193" t="n">
        <f aca="false">F45-F47</f>
        <v>0</v>
      </c>
      <c r="G48" s="193" t="n">
        <f aca="false">G45-G47</f>
        <v>0</v>
      </c>
      <c r="H48" s="193" t="n">
        <f aca="false">H45-H47</f>
        <v>0</v>
      </c>
      <c r="I48" s="193" t="n">
        <f aca="false">I45-I47</f>
        <v>0</v>
      </c>
      <c r="J48" s="193" t="n">
        <f aca="false">J45-J47</f>
        <v>0</v>
      </c>
      <c r="K48" s="193" t="n">
        <f aca="false">K45-K47</f>
        <v>0</v>
      </c>
      <c r="L48" s="193" t="n">
        <f aca="false">L45-L47</f>
        <v>0</v>
      </c>
      <c r="M48" s="193" t="n">
        <f aca="false">M45-M47</f>
        <v>0</v>
      </c>
      <c r="N48" s="193" t="n">
        <f aca="false">N45-N47</f>
        <v>0</v>
      </c>
      <c r="O48" s="193" t="n">
        <f aca="false">O45-O47</f>
        <v>0</v>
      </c>
      <c r="P48" s="193" t="n">
        <f aca="false">P45-P47</f>
        <v>0</v>
      </c>
      <c r="Q48" s="193" t="n">
        <f aca="false">Q45-Q47</f>
        <v>0</v>
      </c>
      <c r="R48" s="193" t="n">
        <f aca="false">R45-R47</f>
        <v>0</v>
      </c>
      <c r="S48" s="193" t="n">
        <f aca="false">S45-S47</f>
        <v>0</v>
      </c>
      <c r="T48" s="193" t="n">
        <f aca="false">T45-T47</f>
        <v>0</v>
      </c>
      <c r="U48" s="193" t="n">
        <f aca="false">U45-U47</f>
        <v>0</v>
      </c>
      <c r="V48" s="193" t="n">
        <f aca="false">V45-V47</f>
        <v>0</v>
      </c>
      <c r="W48" s="193" t="n">
        <f aca="false">W45-W47</f>
        <v>0</v>
      </c>
      <c r="X48" s="193" t="n">
        <f aca="false">X45-X47</f>
        <v>0</v>
      </c>
      <c r="Y48" s="193" t="n">
        <f aca="false">Y45-Y47</f>
        <v>0</v>
      </c>
      <c r="Z48" s="193" t="n">
        <f aca="false">Z45-Z47</f>
        <v>0</v>
      </c>
      <c r="AA48" s="193" t="n">
        <f aca="false">AA45-AA47</f>
        <v>0</v>
      </c>
      <c r="AB48" s="193" t="n">
        <f aca="false">AB45-AB47</f>
        <v>0</v>
      </c>
      <c r="AC48" s="193" t="n">
        <f aca="false">AC45-AC47</f>
        <v>0</v>
      </c>
      <c r="AD48" s="193" t="n">
        <f aca="false">AD45-AD47</f>
        <v>0</v>
      </c>
      <c r="AE48" s="193" t="n">
        <f aca="false">AE45-AE47</f>
        <v>0</v>
      </c>
      <c r="AF48" s="193" t="n">
        <f aca="false">AF45-AF47</f>
        <v>0</v>
      </c>
      <c r="AG48" s="183" t="str">
        <f aca="false">A48</f>
        <v>Total on call hours yesterday</v>
      </c>
      <c r="AH48" s="146"/>
      <c r="AI48" s="179"/>
      <c r="AJ48" s="180"/>
      <c r="AK48" s="172"/>
      <c r="AL48" s="172"/>
      <c r="AM48" s="199" t="n">
        <f aca="false">IF(EB.Anwendung&lt;&gt;"",IF(MONTH(Monat.Tag1)=12,0,IF(MONTH(Monat.Tag1)=1,February!Monat.PikettgesternTag1,IF(MONTH(Monat.Tag1)=2,March!Monat.PikettgesternTag1,IF(MONTH(Monat.Tag1)=3,April!Monat.PikettgesternTag1,IF(MONTH(Monat.Tag1)=4,May!Monat.PikettgesternTag1,IF(MONTH(Monat.Tag1)=5,June!Monat.PikettgesternTag1,IF(MONTH(Monat.Tag1)=6,July!Monat.PikettgesternTag1,IF(MONTH(Monat.Tag1)=7,August!Monat.PikettgesternTag1,IF(MONTH(Monat.Tag1)=8,September!Monat.PikettgesternTag1,IF(MONTH(Monat.Tag1)=9,October!Monat.PikettgesternTag1,IF(MONTH(Monat.Tag1)=10,November!Monat.PikettgesternTag1,IF(MONTH(Monat.Tag1)=11,Monat.PikettgesternTag1,"")))))))))))),"")</f>
        <v>0</v>
      </c>
      <c r="AN48" s="171"/>
      <c r="AO48" s="172"/>
      <c r="AP48" s="172"/>
      <c r="AQ48" s="39"/>
    </row>
    <row r="49" s="148" customFormat="true" ht="16.5" hidden="true" customHeight="true" outlineLevel="1" collapsed="false">
      <c r="A49" s="181" t="s">
        <v>138</v>
      </c>
      <c r="B49" s="182" t="n">
        <f aca="false">B47+IF(B$10=EOMONTH(B$10,0),$AM48,C48)</f>
        <v>0</v>
      </c>
      <c r="C49" s="182" t="n">
        <f aca="false">C47+IF(C$10=EOMONTH(C$10,0),$AM48,D48)</f>
        <v>0</v>
      </c>
      <c r="D49" s="182" t="n">
        <f aca="false">D47+IF(D$10=EOMONTH(D$10,0),$AM48,E48)</f>
        <v>0</v>
      </c>
      <c r="E49" s="182" t="n">
        <f aca="false">E47+IF(E$10=EOMONTH(E$10,0),$AM48,F48)</f>
        <v>0</v>
      </c>
      <c r="F49" s="182" t="n">
        <f aca="false">F47+IF(F$10=EOMONTH(F$10,0),$AM48,G48)</f>
        <v>0</v>
      </c>
      <c r="G49" s="182" t="n">
        <f aca="false">G47+IF(G$10=EOMONTH(G$10,0),$AM48,H48)</f>
        <v>0</v>
      </c>
      <c r="H49" s="182" t="n">
        <f aca="false">H47+IF(H$10=EOMONTH(H$10,0),$AM48,I48)</f>
        <v>0</v>
      </c>
      <c r="I49" s="182" t="n">
        <f aca="false">I47+IF(I$10=EOMONTH(I$10,0),$AM48,J48)</f>
        <v>0</v>
      </c>
      <c r="J49" s="182" t="n">
        <f aca="false">J47+IF(J$10=EOMONTH(J$10,0),$AM48,K48)</f>
        <v>0</v>
      </c>
      <c r="K49" s="182" t="n">
        <f aca="false">K47+IF(K$10=EOMONTH(K$10,0),$AM48,L48)</f>
        <v>0</v>
      </c>
      <c r="L49" s="182" t="n">
        <f aca="false">L47+IF(L$10=EOMONTH(L$10,0),$AM48,M48)</f>
        <v>0</v>
      </c>
      <c r="M49" s="182" t="n">
        <f aca="false">M47+IF(M$10=EOMONTH(M$10,0),$AM48,N48)</f>
        <v>0</v>
      </c>
      <c r="N49" s="182" t="n">
        <f aca="false">N47+IF(N$10=EOMONTH(N$10,0),$AM48,O48)</f>
        <v>0</v>
      </c>
      <c r="O49" s="182" t="n">
        <f aca="false">O47+IF(O$10=EOMONTH(O$10,0),$AM48,P48)</f>
        <v>0</v>
      </c>
      <c r="P49" s="182" t="n">
        <f aca="false">P47+IF(P$10=EOMONTH(P$10,0),$AM48,Q48)</f>
        <v>0</v>
      </c>
      <c r="Q49" s="182" t="n">
        <f aca="false">Q47+IF(Q$10=EOMONTH(Q$10,0),$AM48,R48)</f>
        <v>0</v>
      </c>
      <c r="R49" s="182" t="n">
        <f aca="false">R47+IF(R$10=EOMONTH(R$10,0),$AM48,S48)</f>
        <v>0</v>
      </c>
      <c r="S49" s="182" t="n">
        <f aca="false">S47+IF(S$10=EOMONTH(S$10,0),$AM48,T48)</f>
        <v>0</v>
      </c>
      <c r="T49" s="182" t="n">
        <f aca="false">T47+IF(T$10=EOMONTH(T$10,0),$AM48,U48)</f>
        <v>0</v>
      </c>
      <c r="U49" s="182" t="n">
        <f aca="false">U47+IF(U$10=EOMONTH(U$10,0),$AM48,V48)</f>
        <v>0</v>
      </c>
      <c r="V49" s="182" t="n">
        <f aca="false">V47+IF(V$10=EOMONTH(V$10,0),$AM48,W48)</f>
        <v>0</v>
      </c>
      <c r="W49" s="182" t="n">
        <f aca="false">W47+IF(W$10=EOMONTH(W$10,0),$AM48,X48)</f>
        <v>0</v>
      </c>
      <c r="X49" s="182" t="n">
        <f aca="false">X47+IF(X$10=EOMONTH(X$10,0),$AM48,Y48)</f>
        <v>0</v>
      </c>
      <c r="Y49" s="182" t="n">
        <f aca="false">Y47+IF(Y$10=EOMONTH(Y$10,0),$AM48,Z48)</f>
        <v>0</v>
      </c>
      <c r="Z49" s="182" t="n">
        <f aca="false">Z47+IF(Z$10=EOMONTH(Z$10,0),$AM48,AA48)</f>
        <v>0</v>
      </c>
      <c r="AA49" s="182" t="n">
        <f aca="false">AA47+IF(AA$10=EOMONTH(AA$10,0),$AM48,AB48)</f>
        <v>0</v>
      </c>
      <c r="AB49" s="182" t="n">
        <f aca="false">AB47+IF(AB$10=EOMONTH(AB$10,0),$AM48,AC48)</f>
        <v>0</v>
      </c>
      <c r="AC49" s="182" t="n">
        <f aca="false">AC47+IF(AC$10=EOMONTH(AC$10,0),$AM48,AD48)</f>
        <v>0</v>
      </c>
      <c r="AD49" s="182" t="n">
        <f aca="false">AD47+IF(AD$10=EOMONTH(AD$10,0),$AM48,AE48)</f>
        <v>0</v>
      </c>
      <c r="AE49" s="182" t="n">
        <f aca="false">AE47+IF(AE$10=EOMONTH(AE$10,0),$AM48,AF48)</f>
        <v>0</v>
      </c>
      <c r="AF49" s="182" t="n">
        <f aca="false">AF47+IF(AF$10=EOMONTH(AF$10,0),$AM48,AG48)</f>
        <v>0</v>
      </c>
      <c r="AG49" s="183" t="str">
        <f aca="false">A49</f>
        <v>Total on call standby hours</v>
      </c>
      <c r="AH49" s="184"/>
      <c r="AI49" s="185" t="n">
        <f aca="false">SUM(B49:AF49)</f>
        <v>0</v>
      </c>
      <c r="AJ49" s="180"/>
      <c r="AK49" s="172"/>
      <c r="AL49" s="172"/>
      <c r="AM49" s="172"/>
      <c r="AN49" s="171"/>
      <c r="AO49" s="172"/>
      <c r="AP49" s="172"/>
      <c r="AQ49" s="39"/>
    </row>
    <row r="50" s="148" customFormat="true" ht="3.75" hidden="false" customHeight="true" outlineLevel="0" collapsed="false">
      <c r="A50" s="200"/>
      <c r="B50" s="187"/>
      <c r="C50" s="187"/>
      <c r="D50" s="187"/>
      <c r="E50" s="187"/>
      <c r="F50" s="187"/>
      <c r="G50" s="187"/>
      <c r="H50" s="187"/>
      <c r="I50" s="187"/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87"/>
      <c r="U50" s="187"/>
      <c r="V50" s="187"/>
      <c r="W50" s="187"/>
      <c r="X50" s="187"/>
      <c r="Y50" s="187"/>
      <c r="Z50" s="187"/>
      <c r="AA50" s="187"/>
      <c r="AB50" s="187"/>
      <c r="AC50" s="187"/>
      <c r="AD50" s="187"/>
      <c r="AE50" s="187"/>
      <c r="AF50" s="188"/>
      <c r="AG50" s="201"/>
      <c r="AH50" s="202"/>
      <c r="AI50" s="188"/>
      <c r="AJ50" s="180"/>
      <c r="AK50" s="172"/>
      <c r="AL50" s="172"/>
      <c r="AM50" s="172"/>
      <c r="AN50" s="171"/>
      <c r="AO50" s="172"/>
      <c r="AP50" s="172"/>
      <c r="AQ50" s="39"/>
    </row>
    <row r="51" s="148" customFormat="true" ht="15" hidden="false" customHeight="true" outlineLevel="0" collapsed="false">
      <c r="A51" s="181" t="s">
        <v>139</v>
      </c>
      <c r="B51" s="203" t="n">
        <f aca="false">ROUND(B23+B45+B84+SUM(B86:B95)+IF(T.50_Vetsuisse,B71,0),9)</f>
        <v>0</v>
      </c>
      <c r="C51" s="203" t="n">
        <f aca="false">ROUND(C23+C45+C84+SUM(C86:C95)+IF(T.50_Vetsuisse,C71,0),9)</f>
        <v>0</v>
      </c>
      <c r="D51" s="203" t="n">
        <f aca="false">ROUND(D23+D45+D84+SUM(D86:D95)+IF(T.50_Vetsuisse,D71,0),9)</f>
        <v>0</v>
      </c>
      <c r="E51" s="204" t="n">
        <f aca="false">ROUND(E23+E45+E84+SUM(E86:E95)+IF(T.50_Vetsuisse,E71,0),9)</f>
        <v>0</v>
      </c>
      <c r="F51" s="203" t="n">
        <f aca="false">ROUND(F23+F45+F84+SUM(F86:F95)+IF(T.50_Vetsuisse,F71,0),9)</f>
        <v>0</v>
      </c>
      <c r="G51" s="203" t="n">
        <f aca="false">ROUND(G23+G45+G84+SUM(G86:G95)+IF(T.50_Vetsuisse,G71,0),9)</f>
        <v>0</v>
      </c>
      <c r="H51" s="203" t="n">
        <f aca="false">ROUND(H23+H45+H84+SUM(H86:H95)+IF(T.50_Vetsuisse,H71,0),9)</f>
        <v>0</v>
      </c>
      <c r="I51" s="203" t="n">
        <f aca="false">ROUND(I23+I45+I84+SUM(I86:I95)+IF(T.50_Vetsuisse,I71,0),9)</f>
        <v>0</v>
      </c>
      <c r="J51" s="205" t="n">
        <f aca="false">ROUND(J23+J45+J84+SUM(J86:J95)+IF(T.50_Vetsuisse,J71,0),9)</f>
        <v>0</v>
      </c>
      <c r="K51" s="203" t="n">
        <f aca="false">ROUND(K23+K45+K84+SUM(K86:K95)+IF(T.50_Vetsuisse,K71,0),9)</f>
        <v>0</v>
      </c>
      <c r="L51" s="205" t="n">
        <f aca="false">ROUND(L23+L45+L84+SUM(L86:L95)+IF(T.50_Vetsuisse,L71,0),9)</f>
        <v>0</v>
      </c>
      <c r="M51" s="203" t="n">
        <f aca="false">ROUND(M23+M45+M84+SUM(M86:M95)+IF(T.50_Vetsuisse,M71,0),9)</f>
        <v>0</v>
      </c>
      <c r="N51" s="203" t="n">
        <f aca="false">ROUND(N23+N45+N84+SUM(N86:N95)+IF(T.50_Vetsuisse,N71,0),9)</f>
        <v>0</v>
      </c>
      <c r="O51" s="203" t="n">
        <f aca="false">ROUND(O23+O45+O84+SUM(O86:O95)+IF(T.50_Vetsuisse,O71,0),9)</f>
        <v>0</v>
      </c>
      <c r="P51" s="203" t="n">
        <f aca="false">ROUND(P23+P45+P84+SUM(P86:P95)+IF(T.50_Vetsuisse,P71,0),9)</f>
        <v>0</v>
      </c>
      <c r="Q51" s="205" t="n">
        <f aca="false">ROUND(Q23+Q45+Q84+SUM(Q86:Q95)+IF(T.50_Vetsuisse,Q71,0),9)</f>
        <v>0</v>
      </c>
      <c r="R51" s="203" t="n">
        <f aca="false">ROUND(R23+R45+R84+SUM(R86:R95)+IF(T.50_Vetsuisse,R71,0),9)</f>
        <v>0</v>
      </c>
      <c r="S51" s="205" t="n">
        <f aca="false">ROUND(S23+S45+S84+SUM(S86:S95)+IF(T.50_Vetsuisse,S71,0),9)</f>
        <v>0</v>
      </c>
      <c r="T51" s="205" t="n">
        <f aca="false">ROUND(T23+T45+T84+SUM(T86:T95)+IF(T.50_Vetsuisse,T71,0),9)</f>
        <v>0</v>
      </c>
      <c r="U51" s="203" t="n">
        <f aca="false">ROUND(U23+U45+U84+SUM(U86:U95)+IF(T.50_Vetsuisse,U71,0),9)</f>
        <v>0</v>
      </c>
      <c r="V51" s="203" t="n">
        <f aca="false">ROUND(V23+V45+V84+SUM(V86:V95)+IF(T.50_Vetsuisse,V71,0),9)</f>
        <v>0</v>
      </c>
      <c r="W51" s="203" t="n">
        <f aca="false">ROUND(W23+W45+W84+SUM(W86:W95)+IF(T.50_Vetsuisse,W71,0),9)</f>
        <v>0</v>
      </c>
      <c r="X51" s="205" t="n">
        <f aca="false">ROUND(X23+X45+X84+SUM(X86:X95)+IF(T.50_Vetsuisse,X71,0),9)</f>
        <v>0</v>
      </c>
      <c r="Y51" s="203" t="n">
        <f aca="false">ROUND(Y23+Y45+Y84+SUM(Y86:Y95)+IF(T.50_Vetsuisse,Y71,0),9)</f>
        <v>0</v>
      </c>
      <c r="Z51" s="206" t="n">
        <f aca="false">ROUND(Z23+Z45+Z84+SUM(Z86:Z95)+IF(T.50_Vetsuisse,Z71,0),9)</f>
        <v>0</v>
      </c>
      <c r="AA51" s="203" t="n">
        <f aca="false">ROUND(AA23+AA45+AA84+SUM(AA86:AA95)+IF(T.50_Vetsuisse,AA71,0),9)</f>
        <v>0</v>
      </c>
      <c r="AB51" s="203" t="n">
        <f aca="false">ROUND(AB23+AB45+AB84+SUM(AB86:AB95)+IF(T.50_Vetsuisse,AB71,0),9)</f>
        <v>0</v>
      </c>
      <c r="AC51" s="203" t="n">
        <f aca="false">ROUND(AC23+AC45+AC84+SUM(AC86:AC95)+IF(T.50_Vetsuisse,AC71,0),9)</f>
        <v>0</v>
      </c>
      <c r="AD51" s="203" t="n">
        <f aca="false">ROUND(AD23+AD45+AD84+SUM(AD86:AD95)+IF(T.50_Vetsuisse,AD71,0),9)</f>
        <v>0</v>
      </c>
      <c r="AE51" s="205" t="n">
        <f aca="false">ROUND(AE23+AE45+AE84+SUM(AE86:AE95)+IF(T.50_Vetsuisse,AE71,0),9)</f>
        <v>0</v>
      </c>
      <c r="AF51" s="203" t="n">
        <f aca="false">ROUND(AF23+AF45+AF84+SUM(AF86:AF95)+IF(T.50_Vetsuisse,AF71,0),9)</f>
        <v>0</v>
      </c>
      <c r="AG51" s="183" t="str">
        <f aca="false">A51</f>
        <v>Actual hours worked</v>
      </c>
      <c r="AH51" s="184"/>
      <c r="AI51" s="207" t="n">
        <f aca="false">SUM(B51:AF51)</f>
        <v>0</v>
      </c>
      <c r="AJ51" s="180"/>
      <c r="AK51" s="172"/>
      <c r="AL51" s="172"/>
      <c r="AM51" s="172"/>
      <c r="AN51" s="208" t="n">
        <f aca="true">IF(WEEKDAY(EOMONTH(Monat.Tag1,0),2)=7,0,MAX(0,SUM(OFFSET(B51,0,DAY(EOMONTH(Monat.Tag1,0))-WEEKDAY(EOMONTH(Monat.Tag1,0),2),1,WEEKDAY(EOMONTH(Monat.Tag1,0),2)))))</f>
        <v>0</v>
      </c>
      <c r="AO51" s="172"/>
      <c r="AP51" s="172"/>
      <c r="AQ51" s="39"/>
    </row>
    <row r="52" s="148" customFormat="true" ht="15" hidden="false" customHeight="true" outlineLevel="1" collapsed="false">
      <c r="A52" s="175" t="s">
        <v>140</v>
      </c>
      <c r="B52" s="209" t="n">
        <f aca="false">IF(B$12=0,0,ROUND(INDEX(Monat.RAZ1_7.Bereich,WEEKDAY(B$10,2))*B$11,9))</f>
        <v>0</v>
      </c>
      <c r="C52" s="209" t="n">
        <f aca="false">IF(C$12=0,0,ROUND(INDEX(Monat.RAZ1_7.Bereich,WEEKDAY(C$10,2))*C$11,9))</f>
        <v>0</v>
      </c>
      <c r="D52" s="210" t="n">
        <f aca="false">IF(D$12=0,0,ROUND(INDEX(Monat.RAZ1_7.Bereich,WEEKDAY(D$10,2))*D$11,9))</f>
        <v>0.35</v>
      </c>
      <c r="E52" s="209" t="n">
        <f aca="false">IF(E$12=0,0,ROUND(INDEX(Monat.RAZ1_7.Bereich,WEEKDAY(E$10,2))*E$11,9))</f>
        <v>0.35</v>
      </c>
      <c r="F52" s="210" t="n">
        <f aca="false">IF(F$12=0,0,ROUND(INDEX(Monat.RAZ1_7.Bereich,WEEKDAY(F$10,2))*F$11,9))</f>
        <v>0.35</v>
      </c>
      <c r="G52" s="210" t="n">
        <f aca="false">IF(G$12=0,0,ROUND(INDEX(Monat.RAZ1_7.Bereich,WEEKDAY(G$10,2))*G$11,9))</f>
        <v>0.35</v>
      </c>
      <c r="H52" s="210" t="n">
        <f aca="false">IF(H$12=0,0,ROUND(INDEX(Monat.RAZ1_7.Bereich,WEEKDAY(H$10,2))*H$11,9))</f>
        <v>0.35</v>
      </c>
      <c r="I52" s="210" t="n">
        <f aca="false">IF(I$12=0,0,ROUND(INDEX(Monat.RAZ1_7.Bereich,WEEKDAY(I$10,2))*I$11,9))</f>
        <v>0</v>
      </c>
      <c r="J52" s="209" t="n">
        <f aca="false">IF(J$12=0,0,ROUND(INDEX(Monat.RAZ1_7.Bereich,WEEKDAY(J$10,2))*J$11,9))</f>
        <v>0</v>
      </c>
      <c r="K52" s="210" t="n">
        <f aca="false">IF(K$12=0,0,ROUND(INDEX(Monat.RAZ1_7.Bereich,WEEKDAY(K$10,2))*K$11,9))</f>
        <v>0.35</v>
      </c>
      <c r="L52" s="209" t="n">
        <f aca="false">IF(L$12=0,0,ROUND(INDEX(Monat.RAZ1_7.Bereich,WEEKDAY(L$10,2))*L$11,9))</f>
        <v>0.35</v>
      </c>
      <c r="M52" s="210" t="n">
        <f aca="false">IF(M$12=0,0,ROUND(INDEX(Monat.RAZ1_7.Bereich,WEEKDAY(M$10,2))*M$11,9))</f>
        <v>0.35</v>
      </c>
      <c r="N52" s="210" t="n">
        <f aca="false">IF(N$12=0,0,ROUND(INDEX(Monat.RAZ1_7.Bereich,WEEKDAY(N$10,2))*N$11,9))</f>
        <v>0.35</v>
      </c>
      <c r="O52" s="210" t="n">
        <f aca="false">IF(O$12=0,0,ROUND(INDEX(Monat.RAZ1_7.Bereich,WEEKDAY(O$10,2))*O$11,9))</f>
        <v>0.35</v>
      </c>
      <c r="P52" s="210" t="n">
        <f aca="false">IF(P$12=0,0,ROUND(INDEX(Monat.RAZ1_7.Bereich,WEEKDAY(P$10,2))*P$11,9))</f>
        <v>0</v>
      </c>
      <c r="Q52" s="209" t="n">
        <f aca="false">IF(Q$12=0,0,ROUND(INDEX(Monat.RAZ1_7.Bereich,WEEKDAY(Q$10,2))*Q$11,9))</f>
        <v>0</v>
      </c>
      <c r="R52" s="210" t="n">
        <f aca="false">IF(R$12=0,0,ROUND(INDEX(Monat.RAZ1_7.Bereich,WEEKDAY(R$10,2))*R$11,9))</f>
        <v>0.35</v>
      </c>
      <c r="S52" s="209" t="n">
        <f aca="false">IF(S$12=0,0,ROUND(INDEX(Monat.RAZ1_7.Bereich,WEEKDAY(S$10,2))*S$11,9))</f>
        <v>0.35</v>
      </c>
      <c r="T52" s="209" t="n">
        <f aca="false">IF(T$12=0,0,ROUND(INDEX(Monat.RAZ1_7.Bereich,WEEKDAY(T$10,2))*T$11,9))</f>
        <v>0.35</v>
      </c>
      <c r="U52" s="210" t="n">
        <f aca="false">IF(U$12=0,0,ROUND(INDEX(Monat.RAZ1_7.Bereich,WEEKDAY(U$10,2))*U$11,9))</f>
        <v>0.35</v>
      </c>
      <c r="V52" s="210" t="n">
        <f aca="false">IF(V$12=0,0,ROUND(INDEX(Monat.RAZ1_7.Bereich,WEEKDAY(V$10,2))*V$11,9))</f>
        <v>0.35</v>
      </c>
      <c r="W52" s="210" t="n">
        <f aca="false">IF(W$12=0,0,ROUND(INDEX(Monat.RAZ1_7.Bereich,WEEKDAY(W$10,2))*W$11,9))</f>
        <v>0</v>
      </c>
      <c r="X52" s="209" t="n">
        <f aca="false">IF(X$12=0,0,ROUND(INDEX(Monat.RAZ1_7.Bereich,WEEKDAY(X$10,2))*X$11,9))</f>
        <v>0</v>
      </c>
      <c r="Y52" s="210" t="n">
        <f aca="false">IF(Y$12=0,0,ROUND(INDEX(Monat.RAZ1_7.Bereich,WEEKDAY(Y$10,2))*Y$11,9))</f>
        <v>0.175</v>
      </c>
      <c r="Z52" s="211" t="n">
        <f aca="false">IF(Z$12=0,0,ROUND(INDEX(Monat.RAZ1_7.Bereich,WEEKDAY(Z$10,2))*Z$11,9))</f>
        <v>0</v>
      </c>
      <c r="AA52" s="210" t="n">
        <f aca="false">IF(AA$12=0,0,ROUND(INDEX(Monat.RAZ1_7.Bereich,WEEKDAY(AA$10,2))*AA$11,9))</f>
        <v>0</v>
      </c>
      <c r="AB52" s="210" t="n">
        <f aca="false">IF(AB$12=0,0,ROUND(INDEX(Monat.RAZ1_7.Bereich,WEEKDAY(AB$10,2))*AB$11,9))</f>
        <v>0.35</v>
      </c>
      <c r="AC52" s="210" t="n">
        <f aca="false">IF(AC$12=0,0,ROUND(INDEX(Monat.RAZ1_7.Bereich,WEEKDAY(AC$10,2))*AC$11,9))</f>
        <v>0.35</v>
      </c>
      <c r="AD52" s="210" t="n">
        <f aca="false">IF(AD$12=0,0,ROUND(INDEX(Monat.RAZ1_7.Bereich,WEEKDAY(AD$10,2))*AD$11,9))</f>
        <v>0</v>
      </c>
      <c r="AE52" s="209" t="n">
        <f aca="false">IF(AE$12=0,0,ROUND(INDEX(Monat.RAZ1_7.Bereich,WEEKDAY(AE$10,2))*AE$11,9))</f>
        <v>0</v>
      </c>
      <c r="AF52" s="210" t="n">
        <f aca="false">IF(AF$12=0,0,ROUND(INDEX(Monat.RAZ1_7.Bereich,WEEKDAY(AF$10,2))*AF$11,9))</f>
        <v>0.25</v>
      </c>
      <c r="AG52" s="212" t="str">
        <f aca="false">A52</f>
        <v>Standardized hours (Info)</v>
      </c>
      <c r="AH52" s="184"/>
      <c r="AI52" s="179"/>
      <c r="AJ52" s="180"/>
      <c r="AK52" s="172"/>
      <c r="AL52" s="172"/>
      <c r="AM52" s="172"/>
      <c r="AN52" s="171"/>
      <c r="AO52" s="172"/>
      <c r="AP52" s="172"/>
      <c r="AQ52" s="39"/>
    </row>
    <row r="53" s="148" customFormat="true" ht="15" hidden="false" customHeight="true" outlineLevel="0" collapsed="false">
      <c r="A53" s="175" t="s">
        <v>141</v>
      </c>
      <c r="B53" s="213" t="n">
        <f aca="false">IF(B$12=0,0,ROUND(INDEX(EB.AZSOLLTag100.Bereich,MATCH(INDEX(EB.Monate.Bereich,MONTH(Monat.Tag1)),EB.Monate.Bereich,0))*B$11*IF(WEEKDAY(B$10,2)&gt;5,0,1)*$V$2/100,9))</f>
        <v>0</v>
      </c>
      <c r="C53" s="213" t="n">
        <f aca="false">IF(C$12=0,0,ROUND(INDEX(EB.AZSOLLTag100.Bereich,MATCH(INDEX(EB.Monate.Bereich,MONTH(Monat.Tag1)),EB.Monate.Bereich,0))*C$11*IF(WEEKDAY(C$10,2)&gt;5,0,1)*$V$2/100,9))</f>
        <v>0</v>
      </c>
      <c r="D53" s="213" t="n">
        <f aca="false">IF(D$12=0,0,ROUND(INDEX(EB.AZSOLLTag100.Bereich,MATCH(INDEX(EB.Monate.Bereich,MONTH(Monat.Tag1)),EB.Monate.Bereich,0))*D$11*IF(WEEKDAY(D$10,2)&gt;5,0,1)*$V$2/100,9))</f>
        <v>0.35</v>
      </c>
      <c r="E53" s="213" t="n">
        <f aca="false">IF(E$12=0,0,ROUND(INDEX(EB.AZSOLLTag100.Bereich,MATCH(INDEX(EB.Monate.Bereich,MONTH(Monat.Tag1)),EB.Monate.Bereich,0))*E$11*IF(WEEKDAY(E$10,2)&gt;5,0,1)*$V$2/100,9))</f>
        <v>0.35</v>
      </c>
      <c r="F53" s="213" t="n">
        <f aca="false">IF(F$12=0,0,ROUND(INDEX(EB.AZSOLLTag100.Bereich,MATCH(INDEX(EB.Monate.Bereich,MONTH(Monat.Tag1)),EB.Monate.Bereich,0))*F$11*IF(WEEKDAY(F$10,2)&gt;5,0,1)*$V$2/100,9))</f>
        <v>0.35</v>
      </c>
      <c r="G53" s="213" t="n">
        <f aca="false">IF(G$12=0,0,ROUND(INDEX(EB.AZSOLLTag100.Bereich,MATCH(INDEX(EB.Monate.Bereich,MONTH(Monat.Tag1)),EB.Monate.Bereich,0))*G$11*IF(WEEKDAY(G$10,2)&gt;5,0,1)*$V$2/100,9))</f>
        <v>0.35</v>
      </c>
      <c r="H53" s="213" t="n">
        <f aca="false">IF(H$12=0,0,ROUND(INDEX(EB.AZSOLLTag100.Bereich,MATCH(INDEX(EB.Monate.Bereich,MONTH(Monat.Tag1)),EB.Monate.Bereich,0))*H$11*IF(WEEKDAY(H$10,2)&gt;5,0,1)*$V$2/100,9))</f>
        <v>0.35</v>
      </c>
      <c r="I53" s="213" t="n">
        <f aca="false">IF(I$12=0,0,ROUND(INDEX(EB.AZSOLLTag100.Bereich,MATCH(INDEX(EB.Monate.Bereich,MONTH(Monat.Tag1)),EB.Monate.Bereich,0))*I$11*IF(WEEKDAY(I$10,2)&gt;5,0,1)*$V$2/100,9))</f>
        <v>0</v>
      </c>
      <c r="J53" s="213" t="n">
        <f aca="false">IF(J$12=0,0,ROUND(INDEX(EB.AZSOLLTag100.Bereich,MATCH(INDEX(EB.Monate.Bereich,MONTH(Monat.Tag1)),EB.Monate.Bereich,0))*J$11*IF(WEEKDAY(J$10,2)&gt;5,0,1)*$V$2/100,9))</f>
        <v>0</v>
      </c>
      <c r="K53" s="213" t="n">
        <f aca="false">IF(K$12=0,0,ROUND(INDEX(EB.AZSOLLTag100.Bereich,MATCH(INDEX(EB.Monate.Bereich,MONTH(Monat.Tag1)),EB.Monate.Bereich,0))*K$11*IF(WEEKDAY(K$10,2)&gt;5,0,1)*$V$2/100,9))</f>
        <v>0.35</v>
      </c>
      <c r="L53" s="213" t="n">
        <f aca="false">IF(L$12=0,0,ROUND(INDEX(EB.AZSOLLTag100.Bereich,MATCH(INDEX(EB.Monate.Bereich,MONTH(Monat.Tag1)),EB.Monate.Bereich,0))*L$11*IF(WEEKDAY(L$10,2)&gt;5,0,1)*$V$2/100,9))</f>
        <v>0.35</v>
      </c>
      <c r="M53" s="213" t="n">
        <f aca="false">IF(M$12=0,0,ROUND(INDEX(EB.AZSOLLTag100.Bereich,MATCH(INDEX(EB.Monate.Bereich,MONTH(Monat.Tag1)),EB.Monate.Bereich,0))*M$11*IF(WEEKDAY(M$10,2)&gt;5,0,1)*$V$2/100,9))</f>
        <v>0.35</v>
      </c>
      <c r="N53" s="213" t="n">
        <f aca="false">IF(N$12=0,0,ROUND(INDEX(EB.AZSOLLTag100.Bereich,MATCH(INDEX(EB.Monate.Bereich,MONTH(Monat.Tag1)),EB.Monate.Bereich,0))*N$11*IF(WEEKDAY(N$10,2)&gt;5,0,1)*$V$2/100,9))</f>
        <v>0.35</v>
      </c>
      <c r="O53" s="213" t="n">
        <f aca="false">IF(O$12=0,0,ROUND(INDEX(EB.AZSOLLTag100.Bereich,MATCH(INDEX(EB.Monate.Bereich,MONTH(Monat.Tag1)),EB.Monate.Bereich,0))*O$11*IF(WEEKDAY(O$10,2)&gt;5,0,1)*$V$2/100,9))</f>
        <v>0.35</v>
      </c>
      <c r="P53" s="213" t="n">
        <f aca="false">IF(P$12=0,0,ROUND(INDEX(EB.AZSOLLTag100.Bereich,MATCH(INDEX(EB.Monate.Bereich,MONTH(Monat.Tag1)),EB.Monate.Bereich,0))*P$11*IF(WEEKDAY(P$10,2)&gt;5,0,1)*$V$2/100,9))</f>
        <v>0</v>
      </c>
      <c r="Q53" s="213" t="n">
        <f aca="false">IF(Q$12=0,0,ROUND(INDEX(EB.AZSOLLTag100.Bereich,MATCH(INDEX(EB.Monate.Bereich,MONTH(Monat.Tag1)),EB.Monate.Bereich,0))*Q$11*IF(WEEKDAY(Q$10,2)&gt;5,0,1)*$V$2/100,9))</f>
        <v>0</v>
      </c>
      <c r="R53" s="213" t="n">
        <f aca="false">IF(R$12=0,0,ROUND(INDEX(EB.AZSOLLTag100.Bereich,MATCH(INDEX(EB.Monate.Bereich,MONTH(Monat.Tag1)),EB.Monate.Bereich,0))*R$11*IF(WEEKDAY(R$10,2)&gt;5,0,1)*$V$2/100,9))</f>
        <v>0.35</v>
      </c>
      <c r="S53" s="213" t="n">
        <f aca="false">IF(S$12=0,0,ROUND(INDEX(EB.AZSOLLTag100.Bereich,MATCH(INDEX(EB.Monate.Bereich,MONTH(Monat.Tag1)),EB.Monate.Bereich,0))*S$11*IF(WEEKDAY(S$10,2)&gt;5,0,1)*$V$2/100,9))</f>
        <v>0.35</v>
      </c>
      <c r="T53" s="213" t="n">
        <f aca="false">IF(T$12=0,0,ROUND(INDEX(EB.AZSOLLTag100.Bereich,MATCH(INDEX(EB.Monate.Bereich,MONTH(Monat.Tag1)),EB.Monate.Bereich,0))*T$11*IF(WEEKDAY(T$10,2)&gt;5,0,1)*$V$2/100,9))</f>
        <v>0.35</v>
      </c>
      <c r="U53" s="213" t="n">
        <f aca="false">IF(U$12=0,0,ROUND(INDEX(EB.AZSOLLTag100.Bereich,MATCH(INDEX(EB.Monate.Bereich,MONTH(Monat.Tag1)),EB.Monate.Bereich,0))*U$11*IF(WEEKDAY(U$10,2)&gt;5,0,1)*$V$2/100,9))</f>
        <v>0.35</v>
      </c>
      <c r="V53" s="213" t="n">
        <f aca="false">IF(V$12=0,0,ROUND(INDEX(EB.AZSOLLTag100.Bereich,MATCH(INDEX(EB.Monate.Bereich,MONTH(Monat.Tag1)),EB.Monate.Bereich,0))*V$11*IF(WEEKDAY(V$10,2)&gt;5,0,1)*$V$2/100,9))</f>
        <v>0.35</v>
      </c>
      <c r="W53" s="213" t="n">
        <f aca="false">IF(W$12=0,0,ROUND(INDEX(EB.AZSOLLTag100.Bereich,MATCH(INDEX(EB.Monate.Bereich,MONTH(Monat.Tag1)),EB.Monate.Bereich,0))*W$11*IF(WEEKDAY(W$10,2)&gt;5,0,1)*$V$2/100,9))</f>
        <v>0</v>
      </c>
      <c r="X53" s="213" t="n">
        <f aca="false">IF(X$12=0,0,ROUND(INDEX(EB.AZSOLLTag100.Bereich,MATCH(INDEX(EB.Monate.Bereich,MONTH(Monat.Tag1)),EB.Monate.Bereich,0))*X$11*IF(WEEKDAY(X$10,2)&gt;5,0,1)*$V$2/100,9))</f>
        <v>0</v>
      </c>
      <c r="Y53" s="213" t="n">
        <f aca="false">IF(Y$12=0,0,ROUND(INDEX(EB.AZSOLLTag100.Bereich,MATCH(INDEX(EB.Monate.Bereich,MONTH(Monat.Tag1)),EB.Monate.Bereich,0))*Y$11*IF(WEEKDAY(Y$10,2)&gt;5,0,1)*$V$2/100,9))</f>
        <v>0.175</v>
      </c>
      <c r="Z53" s="213" t="n">
        <f aca="false">IF(Z$12=0,0,ROUND(INDEX(EB.AZSOLLTag100.Bereich,MATCH(INDEX(EB.Monate.Bereich,MONTH(Monat.Tag1)),EB.Monate.Bereich,0))*Z$11*IF(WEEKDAY(Z$10,2)&gt;5,0,1)*$V$2/100,9))</f>
        <v>0</v>
      </c>
      <c r="AA53" s="213" t="n">
        <f aca="false">IF(AA$12=0,0,ROUND(INDEX(EB.AZSOLLTag100.Bereich,MATCH(INDEX(EB.Monate.Bereich,MONTH(Monat.Tag1)),EB.Monate.Bereich,0))*AA$11*IF(WEEKDAY(AA$10,2)&gt;5,0,1)*$V$2/100,9))</f>
        <v>0</v>
      </c>
      <c r="AB53" s="213" t="n">
        <f aca="false">IF(AB$12=0,0,ROUND(INDEX(EB.AZSOLLTag100.Bereich,MATCH(INDEX(EB.Monate.Bereich,MONTH(Monat.Tag1)),EB.Monate.Bereich,0))*AB$11*IF(WEEKDAY(AB$10,2)&gt;5,0,1)*$V$2/100,9))</f>
        <v>0.35</v>
      </c>
      <c r="AC53" s="213" t="n">
        <f aca="false">IF(AC$12=0,0,ROUND(INDEX(EB.AZSOLLTag100.Bereich,MATCH(INDEX(EB.Monate.Bereich,MONTH(Monat.Tag1)),EB.Monate.Bereich,0))*AC$11*IF(WEEKDAY(AC$10,2)&gt;5,0,1)*$V$2/100,9))</f>
        <v>0.35</v>
      </c>
      <c r="AD53" s="213" t="n">
        <f aca="false">IF(AD$12=0,0,ROUND(INDEX(EB.AZSOLLTag100.Bereich,MATCH(INDEX(EB.Monate.Bereich,MONTH(Monat.Tag1)),EB.Monate.Bereich,0))*AD$11*IF(WEEKDAY(AD$10,2)&gt;5,0,1)*$V$2/100,9))</f>
        <v>0</v>
      </c>
      <c r="AE53" s="213" t="n">
        <f aca="false">IF(AE$12=0,0,ROUND(INDEX(EB.AZSOLLTag100.Bereich,MATCH(INDEX(EB.Monate.Bereich,MONTH(Monat.Tag1)),EB.Monate.Bereich,0))*AE$11*IF(WEEKDAY(AE$10,2)&gt;5,0,1)*$V$2/100,9))</f>
        <v>0</v>
      </c>
      <c r="AF53" s="213" t="n">
        <f aca="false">IF(AF$12=0,0,ROUND(INDEX(EB.AZSOLLTag100.Bereich,MATCH(INDEX(EB.Monate.Bereich,MONTH(Monat.Tag1)),EB.Monate.Bereich,0))*AF$11*IF(WEEKDAY(AF$10,2)&gt;5,0,1)*$V$2/100,9))</f>
        <v>0.25</v>
      </c>
      <c r="AG53" s="168" t="str">
        <f aca="false">A53</f>
        <v>Req. hours of work FTE</v>
      </c>
      <c r="AH53" s="184"/>
      <c r="AI53" s="207" t="n">
        <f aca="false">SUM(B53:AF53)</f>
        <v>6.375</v>
      </c>
      <c r="AJ53" s="180"/>
      <c r="AK53" s="172"/>
      <c r="AL53" s="172"/>
      <c r="AM53" s="172"/>
      <c r="AN53" s="171"/>
      <c r="AO53" s="172"/>
      <c r="AP53" s="172"/>
      <c r="AQ53" s="39"/>
    </row>
    <row r="54" s="148" customFormat="true" ht="15" hidden="true" customHeight="true" outlineLevel="1" collapsed="false">
      <c r="A54" s="175" t="s">
        <v>142</v>
      </c>
      <c r="B54" s="213" t="n">
        <f aca="false">ROUND(INDEX(EB.AZSOLLTag100.Bereich,MATCH(INDEX(EB.Monate.Bereich,MONTH(Monat.Tag1)),EB.Monate.Bereich,0))*B$11*IF(WEEKDAY(B$10,2)&gt;5,0,1),9)</f>
        <v>0</v>
      </c>
      <c r="C54" s="213" t="n">
        <f aca="false">ROUND(INDEX(EB.AZSOLLTag100.Bereich,MATCH(INDEX(EB.Monate.Bereich,MONTH(Monat.Tag1)),EB.Monate.Bereich,0))*C$11*IF(WEEKDAY(C$10,2)&gt;5,0,1),9)</f>
        <v>0</v>
      </c>
      <c r="D54" s="214" t="n">
        <f aca="false">ROUND(INDEX(EB.AZSOLLTag100.Bereich,MATCH(INDEX(EB.Monate.Bereich,MONTH(Monat.Tag1)),EB.Monate.Bereich,0))*D$11*IF(WEEKDAY(D$10,2)&gt;5,0,1),9)</f>
        <v>0.35</v>
      </c>
      <c r="E54" s="213" t="n">
        <f aca="false">ROUND(INDEX(EB.AZSOLLTag100.Bereich,MATCH(INDEX(EB.Monate.Bereich,MONTH(Monat.Tag1)),EB.Monate.Bereich,0))*E$11*IF(WEEKDAY(E$10,2)&gt;5,0,1),9)</f>
        <v>0.35</v>
      </c>
      <c r="F54" s="214" t="n">
        <f aca="false">ROUND(INDEX(EB.AZSOLLTag100.Bereich,MATCH(INDEX(EB.Monate.Bereich,MONTH(Monat.Tag1)),EB.Monate.Bereich,0))*F$11*IF(WEEKDAY(F$10,2)&gt;5,0,1),9)</f>
        <v>0.35</v>
      </c>
      <c r="G54" s="214" t="n">
        <f aca="false">ROUND(INDEX(EB.AZSOLLTag100.Bereich,MATCH(INDEX(EB.Monate.Bereich,MONTH(Monat.Tag1)),EB.Monate.Bereich,0))*G$11*IF(WEEKDAY(G$10,2)&gt;5,0,1),9)</f>
        <v>0.35</v>
      </c>
      <c r="H54" s="214" t="n">
        <f aca="false">ROUND(INDEX(EB.AZSOLLTag100.Bereich,MATCH(INDEX(EB.Monate.Bereich,MONTH(Monat.Tag1)),EB.Monate.Bereich,0))*H$11*IF(WEEKDAY(H$10,2)&gt;5,0,1),9)</f>
        <v>0.35</v>
      </c>
      <c r="I54" s="214" t="n">
        <f aca="false">ROUND(INDEX(EB.AZSOLLTag100.Bereich,MATCH(INDEX(EB.Monate.Bereich,MONTH(Monat.Tag1)),EB.Monate.Bereich,0))*I$11*IF(WEEKDAY(I$10,2)&gt;5,0,1),9)</f>
        <v>0</v>
      </c>
      <c r="J54" s="213" t="n">
        <f aca="false">ROUND(INDEX(EB.AZSOLLTag100.Bereich,MATCH(INDEX(EB.Monate.Bereich,MONTH(Monat.Tag1)),EB.Monate.Bereich,0))*J$11*IF(WEEKDAY(J$10,2)&gt;5,0,1),9)</f>
        <v>0</v>
      </c>
      <c r="K54" s="214" t="n">
        <f aca="false">ROUND(INDEX(EB.AZSOLLTag100.Bereich,MATCH(INDEX(EB.Monate.Bereich,MONTH(Monat.Tag1)),EB.Monate.Bereich,0))*K$11*IF(WEEKDAY(K$10,2)&gt;5,0,1),9)</f>
        <v>0.35</v>
      </c>
      <c r="L54" s="213" t="n">
        <f aca="false">ROUND(INDEX(EB.AZSOLLTag100.Bereich,MATCH(INDEX(EB.Monate.Bereich,MONTH(Monat.Tag1)),EB.Monate.Bereich,0))*L$11*IF(WEEKDAY(L$10,2)&gt;5,0,1),9)</f>
        <v>0.35</v>
      </c>
      <c r="M54" s="214" t="n">
        <f aca="false">ROUND(INDEX(EB.AZSOLLTag100.Bereich,MATCH(INDEX(EB.Monate.Bereich,MONTH(Monat.Tag1)),EB.Monate.Bereich,0))*M$11*IF(WEEKDAY(M$10,2)&gt;5,0,1),9)</f>
        <v>0.35</v>
      </c>
      <c r="N54" s="214" t="n">
        <f aca="false">ROUND(INDEX(EB.AZSOLLTag100.Bereich,MATCH(INDEX(EB.Monate.Bereich,MONTH(Monat.Tag1)),EB.Monate.Bereich,0))*N$11*IF(WEEKDAY(N$10,2)&gt;5,0,1),9)</f>
        <v>0.35</v>
      </c>
      <c r="O54" s="214" t="n">
        <f aca="false">ROUND(INDEX(EB.AZSOLLTag100.Bereich,MATCH(INDEX(EB.Monate.Bereich,MONTH(Monat.Tag1)),EB.Monate.Bereich,0))*O$11*IF(WEEKDAY(O$10,2)&gt;5,0,1),9)</f>
        <v>0.35</v>
      </c>
      <c r="P54" s="214" t="n">
        <f aca="false">ROUND(INDEX(EB.AZSOLLTag100.Bereich,MATCH(INDEX(EB.Monate.Bereich,MONTH(Monat.Tag1)),EB.Monate.Bereich,0))*P$11*IF(WEEKDAY(P$10,2)&gt;5,0,1),9)</f>
        <v>0</v>
      </c>
      <c r="Q54" s="213" t="n">
        <f aca="false">ROUND(INDEX(EB.AZSOLLTag100.Bereich,MATCH(INDEX(EB.Monate.Bereich,MONTH(Monat.Tag1)),EB.Monate.Bereich,0))*Q$11*IF(WEEKDAY(Q$10,2)&gt;5,0,1),9)</f>
        <v>0</v>
      </c>
      <c r="R54" s="214" t="n">
        <f aca="false">ROUND(INDEX(EB.AZSOLLTag100.Bereich,MATCH(INDEX(EB.Monate.Bereich,MONTH(Monat.Tag1)),EB.Monate.Bereich,0))*R$11*IF(WEEKDAY(R$10,2)&gt;5,0,1),9)</f>
        <v>0.35</v>
      </c>
      <c r="S54" s="213" t="n">
        <f aca="false">ROUND(INDEX(EB.AZSOLLTag100.Bereich,MATCH(INDEX(EB.Monate.Bereich,MONTH(Monat.Tag1)),EB.Monate.Bereich,0))*S$11*IF(WEEKDAY(S$10,2)&gt;5,0,1),9)</f>
        <v>0.35</v>
      </c>
      <c r="T54" s="213" t="n">
        <f aca="false">ROUND(INDEX(EB.AZSOLLTag100.Bereich,MATCH(INDEX(EB.Monate.Bereich,MONTH(Monat.Tag1)),EB.Monate.Bereich,0))*T$11*IF(WEEKDAY(T$10,2)&gt;5,0,1),9)</f>
        <v>0.35</v>
      </c>
      <c r="U54" s="214" t="n">
        <f aca="false">ROUND(INDEX(EB.AZSOLLTag100.Bereich,MATCH(INDEX(EB.Monate.Bereich,MONTH(Monat.Tag1)),EB.Monate.Bereich,0))*U$11*IF(WEEKDAY(U$10,2)&gt;5,0,1),9)</f>
        <v>0.35</v>
      </c>
      <c r="V54" s="214" t="n">
        <f aca="false">ROUND(INDEX(EB.AZSOLLTag100.Bereich,MATCH(INDEX(EB.Monate.Bereich,MONTH(Monat.Tag1)),EB.Monate.Bereich,0))*V$11*IF(WEEKDAY(V$10,2)&gt;5,0,1),9)</f>
        <v>0.35</v>
      </c>
      <c r="W54" s="214" t="n">
        <f aca="false">ROUND(INDEX(EB.AZSOLLTag100.Bereich,MATCH(INDEX(EB.Monate.Bereich,MONTH(Monat.Tag1)),EB.Monate.Bereich,0))*W$11*IF(WEEKDAY(W$10,2)&gt;5,0,1),9)</f>
        <v>0</v>
      </c>
      <c r="X54" s="213" t="n">
        <f aca="false">ROUND(INDEX(EB.AZSOLLTag100.Bereich,MATCH(INDEX(EB.Monate.Bereich,MONTH(Monat.Tag1)),EB.Monate.Bereich,0))*X$11*IF(WEEKDAY(X$10,2)&gt;5,0,1),9)</f>
        <v>0</v>
      </c>
      <c r="Y54" s="214" t="n">
        <f aca="false">ROUND(INDEX(EB.AZSOLLTag100.Bereich,MATCH(INDEX(EB.Monate.Bereich,MONTH(Monat.Tag1)),EB.Monate.Bereich,0))*Y$11*IF(WEEKDAY(Y$10,2)&gt;5,0,1),9)</f>
        <v>0.175</v>
      </c>
      <c r="Z54" s="215" t="n">
        <f aca="false">ROUND(INDEX(EB.AZSOLLTag100.Bereich,MATCH(INDEX(EB.Monate.Bereich,MONTH(Monat.Tag1)),EB.Monate.Bereich,0))*Z$11*IF(WEEKDAY(Z$10,2)&gt;5,0,1),9)</f>
        <v>0</v>
      </c>
      <c r="AA54" s="214" t="n">
        <f aca="false">ROUND(INDEX(EB.AZSOLLTag100.Bereich,MATCH(INDEX(EB.Monate.Bereich,MONTH(Monat.Tag1)),EB.Monate.Bereich,0))*AA$11*IF(WEEKDAY(AA$10,2)&gt;5,0,1),9)</f>
        <v>0</v>
      </c>
      <c r="AB54" s="214" t="n">
        <f aca="false">ROUND(INDEX(EB.AZSOLLTag100.Bereich,MATCH(INDEX(EB.Monate.Bereich,MONTH(Monat.Tag1)),EB.Monate.Bereich,0))*AB$11*IF(WEEKDAY(AB$10,2)&gt;5,0,1),9)</f>
        <v>0.35</v>
      </c>
      <c r="AC54" s="214" t="n">
        <f aca="false">ROUND(INDEX(EB.AZSOLLTag100.Bereich,MATCH(INDEX(EB.Monate.Bereich,MONTH(Monat.Tag1)),EB.Monate.Bereich,0))*AC$11*IF(WEEKDAY(AC$10,2)&gt;5,0,1),9)</f>
        <v>0.35</v>
      </c>
      <c r="AD54" s="214" t="n">
        <f aca="false">ROUND(INDEX(EB.AZSOLLTag100.Bereich,MATCH(INDEX(EB.Monate.Bereich,MONTH(Monat.Tag1)),EB.Monate.Bereich,0))*AD$11*IF(WEEKDAY(AD$10,2)&gt;5,0,1),9)</f>
        <v>0</v>
      </c>
      <c r="AE54" s="213" t="n">
        <f aca="false">ROUND(INDEX(EB.AZSOLLTag100.Bereich,MATCH(INDEX(EB.Monate.Bereich,MONTH(Monat.Tag1)),EB.Monate.Bereich,0))*AE$11*IF(WEEKDAY(AE$10,2)&gt;5,0,1),9)</f>
        <v>0</v>
      </c>
      <c r="AF54" s="214" t="n">
        <f aca="false">ROUND(INDEX(EB.AZSOLLTag100.Bereich,MATCH(INDEX(EB.Monate.Bereich,MONTH(Monat.Tag1)),EB.Monate.Bereich,0))*AF$11*IF(WEEKDAY(AF$10,2)&gt;5,0,1),9)</f>
        <v>0.25</v>
      </c>
      <c r="AG54" s="168" t="str">
        <f aca="false">A54</f>
        <v>Req. hours of work 100%</v>
      </c>
      <c r="AH54" s="184"/>
      <c r="AI54" s="207" t="n">
        <f aca="false">SUM(B54:AF54)</f>
        <v>6.375</v>
      </c>
      <c r="AJ54" s="180"/>
      <c r="AK54" s="172"/>
      <c r="AL54" s="172"/>
      <c r="AM54" s="172"/>
      <c r="AN54" s="171"/>
      <c r="AO54" s="172"/>
      <c r="AP54" s="172"/>
      <c r="AQ54" s="39"/>
    </row>
    <row r="55" s="148" customFormat="true" ht="15" hidden="false" customHeight="true" outlineLevel="0" collapsed="false">
      <c r="A55" s="175" t="s">
        <v>143</v>
      </c>
      <c r="B55" s="203" t="n">
        <f aca="false">ROUND(B51-B53,9)</f>
        <v>0</v>
      </c>
      <c r="C55" s="203" t="n">
        <f aca="false">ROUND(C51-C53,9)</f>
        <v>0</v>
      </c>
      <c r="D55" s="203" t="n">
        <f aca="false">ROUND(D51-D53,9)</f>
        <v>-0.35</v>
      </c>
      <c r="E55" s="205" t="n">
        <f aca="false">ROUND(E51-E53,9)</f>
        <v>-0.35</v>
      </c>
      <c r="F55" s="203" t="n">
        <f aca="false">ROUND(F51-F53,9)</f>
        <v>-0.35</v>
      </c>
      <c r="G55" s="203" t="n">
        <f aca="false">ROUND(G51-G53,9)</f>
        <v>-0.35</v>
      </c>
      <c r="H55" s="203" t="n">
        <f aca="false">ROUND(H51-H53,9)</f>
        <v>-0.35</v>
      </c>
      <c r="I55" s="203" t="n">
        <f aca="false">ROUND(I51-I53,9)</f>
        <v>0</v>
      </c>
      <c r="J55" s="205" t="n">
        <f aca="false">ROUND(J51-J53,9)</f>
        <v>0</v>
      </c>
      <c r="K55" s="203" t="n">
        <f aca="false">ROUND(K51-K53,9)</f>
        <v>-0.35</v>
      </c>
      <c r="L55" s="205" t="n">
        <f aca="false">ROUND(L51-L53,9)</f>
        <v>-0.35</v>
      </c>
      <c r="M55" s="203" t="n">
        <f aca="false">ROUND(M51-M53,9)</f>
        <v>-0.35</v>
      </c>
      <c r="N55" s="203" t="n">
        <f aca="false">ROUND(N51-N53,9)</f>
        <v>-0.35</v>
      </c>
      <c r="O55" s="203" t="n">
        <f aca="false">ROUND(O51-O53,9)</f>
        <v>-0.35</v>
      </c>
      <c r="P55" s="203" t="n">
        <f aca="false">ROUND(P51-P53,9)</f>
        <v>0</v>
      </c>
      <c r="Q55" s="205" t="n">
        <f aca="false">ROUND(Q51-Q53,9)</f>
        <v>0</v>
      </c>
      <c r="R55" s="203" t="n">
        <f aca="false">ROUND(R51-R53,9)</f>
        <v>-0.35</v>
      </c>
      <c r="S55" s="205" t="n">
        <f aca="false">ROUND(S51-S53,9)</f>
        <v>-0.35</v>
      </c>
      <c r="T55" s="205" t="n">
        <f aca="false">ROUND(T51-T53,9)</f>
        <v>-0.35</v>
      </c>
      <c r="U55" s="203" t="n">
        <f aca="false">ROUND(U51-U53,9)</f>
        <v>-0.35</v>
      </c>
      <c r="V55" s="203" t="n">
        <f aca="false">ROUND(V51-V53,9)</f>
        <v>-0.35</v>
      </c>
      <c r="W55" s="203" t="n">
        <f aca="false">ROUND(W51-W53,9)</f>
        <v>0</v>
      </c>
      <c r="X55" s="205" t="n">
        <f aca="false">ROUND(X51-X53,9)</f>
        <v>0</v>
      </c>
      <c r="Y55" s="203" t="n">
        <f aca="false">ROUND(Y51-Y53,9)</f>
        <v>-0.175</v>
      </c>
      <c r="Z55" s="206" t="n">
        <f aca="false">ROUND(Z51-Z53,9)</f>
        <v>0</v>
      </c>
      <c r="AA55" s="203" t="n">
        <f aca="false">ROUND(AA51-AA53,9)</f>
        <v>0</v>
      </c>
      <c r="AB55" s="203" t="n">
        <f aca="false">ROUND(AB51-AB53,9)</f>
        <v>-0.35</v>
      </c>
      <c r="AC55" s="203" t="n">
        <f aca="false">ROUND(AC51-AC53,9)</f>
        <v>-0.35</v>
      </c>
      <c r="AD55" s="203" t="n">
        <f aca="false">ROUND(AD51-AD53,9)</f>
        <v>0</v>
      </c>
      <c r="AE55" s="205" t="n">
        <f aca="false">ROUND(AE51-AE53,9)</f>
        <v>0</v>
      </c>
      <c r="AF55" s="203" t="n">
        <f aca="false">ROUND(AF51-AF53,9)</f>
        <v>-0.25</v>
      </c>
      <c r="AG55" s="168" t="str">
        <f aca="false">A55</f>
        <v>+/- required/actual hours daily</v>
      </c>
      <c r="AH55" s="184"/>
      <c r="AI55" s="207" t="n">
        <f aca="false">SUM(B55:AF55)</f>
        <v>-6.375</v>
      </c>
      <c r="AJ55" s="180"/>
      <c r="AK55" s="172"/>
      <c r="AL55" s="216" t="n">
        <f aca="false">IF(EB.Anwendung&lt;&gt;"",IF(MONTH(Monat.Tag1)=1,0,IF(MONTH(Monat.Tag1)=2,January!Monat.Soll_Ist_UeVM,IF(MONTH(Monat.Tag1)=3,February!Monat.Soll_Ist_UeVM,IF(MONTH(Monat.Tag1)=4,March!Monat.Soll_Ist_UeVM,IF(MONTH(Monat.Tag1)=5,April!Monat.Soll_Ist_UeVM,IF(MONTH(Monat.Tag1)=6,May!Monat.Soll_Ist_UeVM,IF(MONTH(Monat.Tag1)=7,June!Monat.Soll_Ist_UeVM,IF(MONTH(Monat.Tag1)=8,July!Monat.Soll_Ist_UeVM,IF(MONTH(Monat.Tag1)=9,August!Monat.Soll_Ist_UeVM,IF(MONTH(Monat.Tag1)=10,September!Monat.Soll_Ist_UeVM,IF(MONTH(Monat.Tag1)=11,October!Monat.Soll_Ist_UeVM,IF(MONTH(Monat.Tag1)=12,November!Monat.Soll_Ist_UeVM,"")))))))))))),"")</f>
        <v>-7.7</v>
      </c>
      <c r="AM55" s="172"/>
      <c r="AN55" s="217" t="n">
        <f aca="false">IF(AH57="+",(AI55+AI57),(AI55-AI57))</f>
        <v>-6.375</v>
      </c>
      <c r="AO55" s="217" t="n">
        <f aca="true">SUM(OFFSET(J.AZSaldo.Total,-12,0,MONTH(Monat.Tag1),1))</f>
        <v>-54.918055555</v>
      </c>
      <c r="AP55" s="217" t="n">
        <f aca="false">J.AZSaldo.Total</f>
        <v>-54.918055555</v>
      </c>
      <c r="AQ55" s="39"/>
    </row>
    <row r="56" s="148" customFormat="true" ht="15" hidden="false" customHeight="true" outlineLevel="0" collapsed="false">
      <c r="A56" s="175" t="s">
        <v>144</v>
      </c>
      <c r="B56" s="218" t="n">
        <f aca="true">IF(EB.Anwendung&lt;&gt;"",IF(DAY(B$10)=1,IF(MONTH(Monat.Tag1)=1,ROUND(EB.ÜVMMS,9),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B$10&gt;TODAY(),0,B55), IF(B$10&gt;TODAY(),A56,A56+B55)),"")</f>
        <v>-0.768055555</v>
      </c>
      <c r="C56" s="218" t="n">
        <f aca="true">IF(EB.Anwendung&lt;&gt;"",IF(DAY(C$10)=1,IF(MONTH(Monat.Tag1)=1,ROUND(EB.ÜVMMS,9),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C$10&gt;TODAY(),0,C55), IF(C$10&gt;TODAY(),B56,B56+C55)),"")</f>
        <v>-0.768055555</v>
      </c>
      <c r="D56" s="218" t="n">
        <f aca="true">IF(EB.Anwendung&lt;&gt;"",IF(DAY(D$10)=1,IF(MONTH(Monat.Tag1)=1,ROUND(EB.ÜVMMS,9),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D$10&gt;TODAY(),0,D55), IF(D$10&gt;TODAY(),C56,C56+D55)),"")</f>
        <v>-0.768055555</v>
      </c>
      <c r="E56" s="218" t="n">
        <f aca="true">IF(EB.Anwendung&lt;&gt;"",IF(DAY(E$10)=1,IF(MONTH(Monat.Tag1)=1,ROUND(EB.ÜVMMS,9),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E$10&gt;TODAY(),0,E55), IF(E$10&gt;TODAY(),D56,D56+E55)),"")</f>
        <v>-0.768055555</v>
      </c>
      <c r="F56" s="218" t="n">
        <f aca="true">IF(EB.Anwendung&lt;&gt;"",IF(DAY(F$10)=1,IF(MONTH(Monat.Tag1)=1,ROUND(EB.ÜVMMS,9),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F$10&gt;TODAY(),0,F55), IF(F$10&gt;TODAY(),E56,E56+F55)),"")</f>
        <v>-0.768055555</v>
      </c>
      <c r="G56" s="218" t="n">
        <f aca="true">IF(EB.Anwendung&lt;&gt;"",IF(DAY(G$10)=1,IF(MONTH(Monat.Tag1)=1,ROUND(EB.ÜVMMS,9),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G$10&gt;TODAY(),0,G55), IF(G$10&gt;TODAY(),F56,F56+G55)),"")</f>
        <v>-0.768055555</v>
      </c>
      <c r="H56" s="218" t="n">
        <f aca="true">IF(EB.Anwendung&lt;&gt;"",IF(DAY(H$10)=1,IF(MONTH(Monat.Tag1)=1,ROUND(EB.ÜVMMS,9),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H$10&gt;TODAY(),0,H55), IF(H$10&gt;TODAY(),G56,G56+H55)),"")</f>
        <v>-0.768055555</v>
      </c>
      <c r="I56" s="218" t="n">
        <f aca="true">IF(EB.Anwendung&lt;&gt;"",IF(DAY(I$10)=1,IF(MONTH(Monat.Tag1)=1,ROUND(EB.ÜVMMS,9),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I$10&gt;TODAY(),0,I55), IF(I$10&gt;TODAY(),H56,H56+I55)),"")</f>
        <v>-0.768055555</v>
      </c>
      <c r="J56" s="218" t="n">
        <f aca="true">IF(EB.Anwendung&lt;&gt;"",IF(DAY(J$10)=1,IF(MONTH(Monat.Tag1)=1,ROUND(EB.ÜVMMS,9),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J$10&gt;TODAY(),0,J55), IF(J$10&gt;TODAY(),I56,I56+J55)),"")</f>
        <v>-0.768055555</v>
      </c>
      <c r="K56" s="218" t="n">
        <f aca="true">IF(EB.Anwendung&lt;&gt;"",IF(DAY(K$10)=1,IF(MONTH(Monat.Tag1)=1,ROUND(EB.ÜVMMS,9),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K$10&gt;TODAY(),0,K55), IF(K$10&gt;TODAY(),J56,J56+K55)),"")</f>
        <v>-0.768055555</v>
      </c>
      <c r="L56" s="218" t="n">
        <f aca="true">IF(EB.Anwendung&lt;&gt;"",IF(DAY(L$10)=1,IF(MONTH(Monat.Tag1)=1,ROUND(EB.ÜVMMS,9),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L$10&gt;TODAY(),0,L55), IF(L$10&gt;TODAY(),K56,K56+L55)),"")</f>
        <v>-0.768055555</v>
      </c>
      <c r="M56" s="218" t="n">
        <f aca="true">IF(EB.Anwendung&lt;&gt;"",IF(DAY(M$10)=1,IF(MONTH(Monat.Tag1)=1,ROUND(EB.ÜVMMS,9),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M$10&gt;TODAY(),0,M55), IF(M$10&gt;TODAY(),L56,L56+M55)),"")</f>
        <v>-0.768055555</v>
      </c>
      <c r="N56" s="218" t="n">
        <f aca="true">IF(EB.Anwendung&lt;&gt;"",IF(DAY(N$10)=1,IF(MONTH(Monat.Tag1)=1,ROUND(EB.ÜVMMS,9),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N$10&gt;TODAY(),0,N55), IF(N$10&gt;TODAY(),M56,M56+N55)),"")</f>
        <v>-0.768055555</v>
      </c>
      <c r="O56" s="218" t="n">
        <f aca="true">IF(EB.Anwendung&lt;&gt;"",IF(DAY(O$10)=1,IF(MONTH(Monat.Tag1)=1,ROUND(EB.ÜVMMS,9),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O$10&gt;TODAY(),0,O55), IF(O$10&gt;TODAY(),N56,N56+O55)),"")</f>
        <v>-0.768055555</v>
      </c>
      <c r="P56" s="218" t="n">
        <f aca="true">IF(EB.Anwendung&lt;&gt;"",IF(DAY(P$10)=1,IF(MONTH(Monat.Tag1)=1,ROUND(EB.ÜVMMS,9),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P$10&gt;TODAY(),0,P55), IF(P$10&gt;TODAY(),O56,O56+P55)),"")</f>
        <v>-0.768055555</v>
      </c>
      <c r="Q56" s="218" t="n">
        <f aca="true">IF(EB.Anwendung&lt;&gt;"",IF(DAY(Q$10)=1,IF(MONTH(Monat.Tag1)=1,ROUND(EB.ÜVMMS,9),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Q$10&gt;TODAY(),0,Q55), IF(Q$10&gt;TODAY(),P56,P56+Q55)),"")</f>
        <v>-0.768055555</v>
      </c>
      <c r="R56" s="218" t="n">
        <f aca="true">IF(EB.Anwendung&lt;&gt;"",IF(DAY(R$10)=1,IF(MONTH(Monat.Tag1)=1,ROUND(EB.ÜVMMS,9),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R$10&gt;TODAY(),0,R55), IF(R$10&gt;TODAY(),Q56,Q56+R55)),"")</f>
        <v>-0.768055555</v>
      </c>
      <c r="S56" s="218" t="n">
        <f aca="true">IF(EB.Anwendung&lt;&gt;"",IF(DAY(S$10)=1,IF(MONTH(Monat.Tag1)=1,ROUND(EB.ÜVMMS,9),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S$10&gt;TODAY(),0,S55), IF(S$10&gt;TODAY(),R56,R56+S55)),"")</f>
        <v>-0.768055555</v>
      </c>
      <c r="T56" s="218" t="n">
        <f aca="true">IF(EB.Anwendung&lt;&gt;"",IF(DAY(T$10)=1,IF(MONTH(Monat.Tag1)=1,ROUND(EB.ÜVMMS,9),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T$10&gt;TODAY(),0,T55), IF(T$10&gt;TODAY(),S56,S56+T55)),"")</f>
        <v>-0.768055555</v>
      </c>
      <c r="U56" s="218" t="n">
        <f aca="true">IF(EB.Anwendung&lt;&gt;"",IF(DAY(U$10)=1,IF(MONTH(Monat.Tag1)=1,ROUND(EB.ÜVMMS,9),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U$10&gt;TODAY(),0,U55), IF(U$10&gt;TODAY(),T56,T56+U55)),"")</f>
        <v>-0.768055555</v>
      </c>
      <c r="V56" s="218" t="n">
        <f aca="true">IF(EB.Anwendung&lt;&gt;"",IF(DAY(V$10)=1,IF(MONTH(Monat.Tag1)=1,ROUND(EB.ÜVMMS,9),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V$10&gt;TODAY(),0,V55), IF(V$10&gt;TODAY(),U56,U56+V55)),"")</f>
        <v>-0.768055555</v>
      </c>
      <c r="W56" s="218" t="n">
        <f aca="true">IF(EB.Anwendung&lt;&gt;"",IF(DAY(W$10)=1,IF(MONTH(Monat.Tag1)=1,ROUND(EB.ÜVMMS,9),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W$10&gt;TODAY(),0,W55), IF(W$10&gt;TODAY(),V56,V56+W55)),"")</f>
        <v>-0.768055555</v>
      </c>
      <c r="X56" s="218" t="n">
        <f aca="true">IF(EB.Anwendung&lt;&gt;"",IF(DAY(X$10)=1,IF(MONTH(Monat.Tag1)=1,ROUND(EB.ÜVMMS,9),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X$10&gt;TODAY(),0,X55), IF(X$10&gt;TODAY(),W56,W56+X55)),"")</f>
        <v>-0.768055555</v>
      </c>
      <c r="Y56" s="218" t="n">
        <f aca="true">IF(EB.Anwendung&lt;&gt;"",IF(DAY(Y$10)=1,IF(MONTH(Monat.Tag1)=1,ROUND(EB.ÜVMMS,9),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Y$10&gt;TODAY(),0,Y55), IF(Y$10&gt;TODAY(),X56,X56+Y55)),"")</f>
        <v>-0.768055555</v>
      </c>
      <c r="Z56" s="218" t="n">
        <f aca="true">IF(EB.Anwendung&lt;&gt;"",IF(DAY(Z$10)=1,IF(MONTH(Monat.Tag1)=1,ROUND(EB.ÜVMMS,9),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Z$10&gt;TODAY(),0,Z55), IF(Z$10&gt;TODAY(),Y56,Y56+Z55)),"")</f>
        <v>-0.768055555</v>
      </c>
      <c r="AA56" s="218" t="n">
        <f aca="true">IF(EB.Anwendung&lt;&gt;"",IF(DAY(AA$10)=1,IF(MONTH(Monat.Tag1)=1,ROUND(EB.ÜVMMS,9),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AA$10&gt;TODAY(),0,AA55), IF(AA$10&gt;TODAY(),Z56,Z56+AA55)),"")</f>
        <v>-0.768055555</v>
      </c>
      <c r="AB56" s="218" t="n">
        <f aca="true">IF(EB.Anwendung&lt;&gt;"",IF(DAY(AB$10)=1,IF(MONTH(Monat.Tag1)=1,ROUND(EB.ÜVMMS,9),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AB$10&gt;TODAY(),0,AB55), IF(AB$10&gt;TODAY(),AA56,AA56+AB55)),"")</f>
        <v>-0.768055555</v>
      </c>
      <c r="AC56" s="218" t="n">
        <f aca="true">IF(EB.Anwendung&lt;&gt;"",IF(DAY(AC$10)=1,IF(MONTH(Monat.Tag1)=1,ROUND(EB.ÜVMMS,9),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AC$10&gt;TODAY(),0,AC55), IF(AC$10&gt;TODAY(),AB56,AB56+AC55)),"")</f>
        <v>-0.768055555</v>
      </c>
      <c r="AD56" s="218" t="n">
        <f aca="true">IF(EB.Anwendung&lt;&gt;"",IF(DAY(AD$10)=1,IF(MONTH(Monat.Tag1)=1,ROUND(EB.ÜVMMS,9),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AD$10&gt;TODAY(),0,AD55), IF(AD$10&gt;TODAY(),AC56,AC56+AD55)),"")</f>
        <v>-0.768055555</v>
      </c>
      <c r="AE56" s="218" t="n">
        <f aca="true">IF(EB.Anwendung&lt;&gt;"",IF(DAY(AE$10)=1,IF(MONTH(Monat.Tag1)=1,ROUND(EB.ÜVMMS,9),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AE$10&gt;TODAY(),0,AE55), IF(AE$10&gt;TODAY(),AD56,AD56+AE55)),"")</f>
        <v>-0.768055555</v>
      </c>
      <c r="AF56" s="218" t="n">
        <f aca="true">IF(EB.Anwendung&lt;&gt;"",IF(DAY(AF$10)=1,IF(MONTH(Monat.Tag1)=1,ROUND(EB.ÜVMMS,9),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AF$10&gt;TODAY(),0,AF55), IF(AF$10&gt;TODAY(),AE56,AE56+AF55)),"")</f>
        <v>-0.768055555</v>
      </c>
      <c r="AG56" s="168" t="str">
        <f aca="false">A56</f>
        <v>current extra/minus hours</v>
      </c>
      <c r="AH56" s="184"/>
      <c r="AI56" s="207" t="n">
        <f aca="true">OFFSET(B56,0,DAY(EOMONTH(Monat.Tag1,0))-1,1,1)</f>
        <v>-0.768055555</v>
      </c>
      <c r="AJ56" s="180"/>
      <c r="AK56" s="172"/>
      <c r="AL56" s="172"/>
      <c r="AM56" s="172"/>
      <c r="AN56" s="171"/>
      <c r="AO56" s="172"/>
      <c r="AP56" s="172"/>
      <c r="AQ56" s="39"/>
    </row>
    <row r="57" s="231" customFormat="true" ht="15" hidden="false" customHeight="true" outlineLevel="1" collapsed="false">
      <c r="A57" s="219"/>
      <c r="B57" s="220"/>
      <c r="C57" s="220"/>
      <c r="D57" s="220"/>
      <c r="E57" s="152"/>
      <c r="F57" s="220"/>
      <c r="G57" s="220"/>
      <c r="H57" s="221"/>
      <c r="I57" s="220"/>
      <c r="J57" s="222"/>
      <c r="K57" s="220"/>
      <c r="L57" s="223"/>
      <c r="M57" s="220"/>
      <c r="N57" s="220"/>
      <c r="O57" s="221"/>
      <c r="P57" s="220"/>
      <c r="Q57" s="152"/>
      <c r="R57" s="220"/>
      <c r="S57" s="223"/>
      <c r="T57" s="220"/>
      <c r="U57" s="220"/>
      <c r="V57" s="221"/>
      <c r="W57" s="220"/>
      <c r="X57" s="224"/>
      <c r="Y57" s="220"/>
      <c r="Z57" s="152"/>
      <c r="AA57" s="220"/>
      <c r="AB57" s="220"/>
      <c r="AC57" s="221"/>
      <c r="AD57" s="220"/>
      <c r="AE57" s="152"/>
      <c r="AF57" s="225"/>
      <c r="AG57" s="175" t="s">
        <v>145</v>
      </c>
      <c r="AH57" s="226" t="s">
        <v>146</v>
      </c>
      <c r="AI57" s="227"/>
      <c r="AJ57" s="228"/>
      <c r="AK57" s="229"/>
      <c r="AL57" s="172"/>
      <c r="AM57" s="172"/>
      <c r="AN57" s="171"/>
      <c r="AO57" s="230"/>
      <c r="AP57" s="230"/>
      <c r="AQ57" s="96"/>
    </row>
    <row r="58" s="236" customFormat="true" ht="15" hidden="false" customHeight="true" outlineLevel="0" collapsed="false">
      <c r="A58" s="232"/>
      <c r="B58" s="223"/>
      <c r="C58" s="223"/>
      <c r="D58" s="223"/>
      <c r="E58" s="152"/>
      <c r="F58" s="223"/>
      <c r="G58" s="223"/>
      <c r="H58" s="223"/>
      <c r="I58" s="223"/>
      <c r="J58" s="152"/>
      <c r="K58" s="223"/>
      <c r="L58" s="223"/>
      <c r="M58" s="223"/>
      <c r="N58" s="223"/>
      <c r="O58" s="223"/>
      <c r="P58" s="223"/>
      <c r="Q58" s="152"/>
      <c r="R58" s="223"/>
      <c r="S58" s="223"/>
      <c r="T58" s="223"/>
      <c r="U58" s="223"/>
      <c r="V58" s="223"/>
      <c r="W58" s="223"/>
      <c r="X58" s="224"/>
      <c r="Y58" s="223"/>
      <c r="Z58" s="152"/>
      <c r="AA58" s="223"/>
      <c r="AB58" s="223"/>
      <c r="AC58" s="223"/>
      <c r="AD58" s="223"/>
      <c r="AE58" s="152"/>
      <c r="AF58" s="233"/>
      <c r="AG58" s="234" t="s">
        <v>147</v>
      </c>
      <c r="AH58" s="184"/>
      <c r="AI58" s="207" t="n">
        <f aca="false">IF(AH57="+",(Monat.ZUeZ.Total+AI57),(Monat.ZUeZ.Total-AI57))</f>
        <v>-0.768055555</v>
      </c>
      <c r="AJ58" s="33"/>
      <c r="AK58" s="235"/>
      <c r="AL58" s="216" t="n">
        <f aca="false">IF(EB.Anwendung&lt;&gt;"",IF(MONTH(Monat.Tag1)=1,EB.MMS,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,"")</f>
        <v>-0.768055555</v>
      </c>
      <c r="AM58" s="172"/>
      <c r="AN58" s="217" t="n">
        <f aca="false">AI58</f>
        <v>-0.768055555</v>
      </c>
      <c r="AO58" s="172"/>
      <c r="AP58" s="172"/>
      <c r="AQ58" s="51"/>
    </row>
    <row r="59" s="148" customFormat="true" ht="11.25" hidden="false" customHeight="true" outlineLevel="0" collapsed="false">
      <c r="A59" s="186"/>
      <c r="B59" s="187"/>
      <c r="C59" s="187"/>
      <c r="D59" s="187"/>
      <c r="E59" s="187"/>
      <c r="F59" s="187"/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  <c r="U59" s="187"/>
      <c r="V59" s="187"/>
      <c r="W59" s="187"/>
      <c r="X59" s="187"/>
      <c r="Y59" s="187"/>
      <c r="Z59" s="187"/>
      <c r="AA59" s="187"/>
      <c r="AB59" s="187"/>
      <c r="AC59" s="187"/>
      <c r="AD59" s="187"/>
      <c r="AE59" s="187"/>
      <c r="AF59" s="188"/>
      <c r="AG59" s="168"/>
      <c r="AH59" s="146"/>
      <c r="AI59" s="179"/>
      <c r="AJ59" s="180"/>
      <c r="AK59" s="172"/>
      <c r="AL59" s="172"/>
      <c r="AM59" s="172"/>
      <c r="AN59" s="171"/>
      <c r="AO59" s="172"/>
      <c r="AP59" s="172"/>
      <c r="AQ59" s="39"/>
    </row>
    <row r="60" s="148" customFormat="true" ht="15" hidden="false" customHeight="true" outlineLevel="0" collapsed="false">
      <c r="A60" s="175" t="s">
        <v>148</v>
      </c>
      <c r="B60" s="237" t="str">
        <f aca="true">IF(EB.Wochenarbeitszeit=50/24,IF(T.50_Vetsuisse,IF(WEEKDAY(B$10,2)=7,MAX(0,SUM(OFFSET(B51,0,-MIN(6,DAY(B$10)-1),1,MIN(7,DAY(B$10))))+IF(AND(MONTH(Monat.Tag1)&lt;&gt;1,DAY(B$10)&lt;7),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-1/24*50),""),""),IF(B45=0,"",B45))</f>
        <v/>
      </c>
      <c r="C60" s="237" t="str">
        <f aca="true">IF(EB.Wochenarbeitszeit=50/24,IF(T.50_Vetsuisse,IF(WEEKDAY(C$10,2)=7,MAX(0,SUM(OFFSET(C51,0,-MIN(6,DAY(C$10)-1),1,MIN(7,DAY(C$10))))+IF(AND(MONTH(Monat.Tag1)&lt;&gt;1,DAY(C$10)&lt;7),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-1/24*50),""),""),IF(C45=0,"",C45))</f>
        <v/>
      </c>
      <c r="D60" s="237" t="str">
        <f aca="true">IF(EB.Wochenarbeitszeit=50/24,IF(T.50_Vetsuisse,IF(WEEKDAY(D$10,2)=7,MAX(0,SUM(OFFSET(D51,0,-MIN(6,DAY(D$10)-1),1,MIN(7,DAY(D$10))))+IF(AND(MONTH(Monat.Tag1)&lt;&gt;1,DAY(D$10)&lt;7),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-1/24*50),""),""),IF(D45=0,"",D45))</f>
        <v/>
      </c>
      <c r="E60" s="238" t="str">
        <f aca="true">IF(EB.Wochenarbeitszeit=50/24,IF(T.50_Vetsuisse,IF(WEEKDAY(E$10,2)=7,MAX(0,SUM(OFFSET(E51,0,-MIN(6,DAY(E$10)-1),1,MIN(7,DAY(E$10))))+IF(AND(MONTH(Monat.Tag1)&lt;&gt;1,DAY(E$10)&lt;7),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-1/24*50),""),""),IF(E45=0,"",E45))</f>
        <v/>
      </c>
      <c r="F60" s="237" t="str">
        <f aca="true">IF(EB.Wochenarbeitszeit=50/24,IF(T.50_Vetsuisse,IF(WEEKDAY(F$10,2)=7,MAX(0,SUM(OFFSET(F51,0,-MIN(6,DAY(F$10)-1),1,MIN(7,DAY(F$10))))+IF(AND(MONTH(Monat.Tag1)&lt;&gt;1,DAY(F$10)&lt;7),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-1/24*50),""),""),IF(F45=0,"",F45))</f>
        <v/>
      </c>
      <c r="G60" s="237" t="str">
        <f aca="true">IF(EB.Wochenarbeitszeit=50/24,IF(T.50_Vetsuisse,IF(WEEKDAY(G$10,2)=7,MAX(0,SUM(OFFSET(G51,0,-MIN(6,DAY(G$10)-1),1,MIN(7,DAY(G$10))))+IF(AND(MONTH(Monat.Tag1)&lt;&gt;1,DAY(G$10)&lt;7),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-1/24*50),""),""),IF(G45=0,"",G45))</f>
        <v/>
      </c>
      <c r="H60" s="237" t="str">
        <f aca="true">IF(EB.Wochenarbeitszeit=50/24,IF(T.50_Vetsuisse,IF(WEEKDAY(H$10,2)=7,MAX(0,SUM(OFFSET(H51,0,-MIN(6,DAY(H$10)-1),1,MIN(7,DAY(H$10))))+IF(AND(MONTH(Monat.Tag1)&lt;&gt;1,DAY(H$10)&lt;7),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-1/24*50),""),""),IF(H45=0,"",H45))</f>
        <v/>
      </c>
      <c r="I60" s="237" t="str">
        <f aca="true">IF(EB.Wochenarbeitszeit=50/24,IF(T.50_Vetsuisse,IF(WEEKDAY(I$10,2)=7,MAX(0,SUM(OFFSET(I51,0,-MIN(6,DAY(I$10)-1),1,MIN(7,DAY(I$10))))+IF(AND(MONTH(Monat.Tag1)&lt;&gt;1,DAY(I$10)&lt;7),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-1/24*50),""),""),IF(I45=0,"",I45))</f>
        <v/>
      </c>
      <c r="J60" s="238" t="str">
        <f aca="true">IF(EB.Wochenarbeitszeit=50/24,IF(T.50_Vetsuisse,IF(WEEKDAY(J$10,2)=7,MAX(0,SUM(OFFSET(J51,0,-MIN(6,DAY(J$10)-1),1,MIN(7,DAY(J$10))))+IF(AND(MONTH(Monat.Tag1)&lt;&gt;1,DAY(J$10)&lt;7),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-1/24*50),""),""),IF(J45=0,"",J45))</f>
        <v/>
      </c>
      <c r="K60" s="237" t="str">
        <f aca="true">IF(EB.Wochenarbeitszeit=50/24,IF(T.50_Vetsuisse,IF(WEEKDAY(K$10,2)=7,MAX(0,SUM(OFFSET(K51,0,-MIN(6,DAY(K$10)-1),1,MIN(7,DAY(K$10))))+IF(AND(MONTH(Monat.Tag1)&lt;&gt;1,DAY(K$10)&lt;7),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-1/24*50),""),""),IF(K45=0,"",K45))</f>
        <v/>
      </c>
      <c r="L60" s="238" t="str">
        <f aca="true">IF(EB.Wochenarbeitszeit=50/24,IF(T.50_Vetsuisse,IF(WEEKDAY(L$10,2)=7,MAX(0,SUM(OFFSET(L51,0,-MIN(6,DAY(L$10)-1),1,MIN(7,DAY(L$10))))+IF(AND(MONTH(Monat.Tag1)&lt;&gt;1,DAY(L$10)&lt;7),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-1/24*50),""),""),IF(L45=0,"",L45))</f>
        <v/>
      </c>
      <c r="M60" s="237" t="str">
        <f aca="true">IF(EB.Wochenarbeitszeit=50/24,IF(T.50_Vetsuisse,IF(WEEKDAY(M$10,2)=7,MAX(0,SUM(OFFSET(M51,0,-MIN(6,DAY(M$10)-1),1,MIN(7,DAY(M$10))))+IF(AND(MONTH(Monat.Tag1)&lt;&gt;1,DAY(M$10)&lt;7),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-1/24*50),""),""),IF(M45=0,"",M45))</f>
        <v/>
      </c>
      <c r="N60" s="237" t="str">
        <f aca="true">IF(EB.Wochenarbeitszeit=50/24,IF(T.50_Vetsuisse,IF(WEEKDAY(N$10,2)=7,MAX(0,SUM(OFFSET(N51,0,-MIN(6,DAY(N$10)-1),1,MIN(7,DAY(N$10))))+IF(AND(MONTH(Monat.Tag1)&lt;&gt;1,DAY(N$10)&lt;7),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-1/24*50),""),""),IF(N45=0,"",N45))</f>
        <v/>
      </c>
      <c r="O60" s="237" t="str">
        <f aca="true">IF(EB.Wochenarbeitszeit=50/24,IF(T.50_Vetsuisse,IF(WEEKDAY(O$10,2)=7,MAX(0,SUM(OFFSET(O51,0,-MIN(6,DAY(O$10)-1),1,MIN(7,DAY(O$10))))+IF(AND(MONTH(Monat.Tag1)&lt;&gt;1,DAY(O$10)&lt;7),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-1/24*50),""),""),IF(O45=0,"",O45))</f>
        <v/>
      </c>
      <c r="P60" s="237" t="str">
        <f aca="true">IF(EB.Wochenarbeitszeit=50/24,IF(T.50_Vetsuisse,IF(WEEKDAY(P$10,2)=7,MAX(0,SUM(OFFSET(P51,0,-MIN(6,DAY(P$10)-1),1,MIN(7,DAY(P$10))))+IF(AND(MONTH(Monat.Tag1)&lt;&gt;1,DAY(P$10)&lt;7),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-1/24*50),""),""),IF(P45=0,"",P45))</f>
        <v/>
      </c>
      <c r="Q60" s="238" t="str">
        <f aca="true">IF(EB.Wochenarbeitszeit=50/24,IF(T.50_Vetsuisse,IF(WEEKDAY(Q$10,2)=7,MAX(0,SUM(OFFSET(Q51,0,-MIN(6,DAY(Q$10)-1),1,MIN(7,DAY(Q$10))))+IF(AND(MONTH(Monat.Tag1)&lt;&gt;1,DAY(Q$10)&lt;7),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-1/24*50),""),""),IF(Q45=0,"",Q45))</f>
        <v/>
      </c>
      <c r="R60" s="237" t="str">
        <f aca="true">IF(EB.Wochenarbeitszeit=50/24,IF(T.50_Vetsuisse,IF(WEEKDAY(R$10,2)=7,MAX(0,SUM(OFFSET(R51,0,-MIN(6,DAY(R$10)-1),1,MIN(7,DAY(R$10))))+IF(AND(MONTH(Monat.Tag1)&lt;&gt;1,DAY(R$10)&lt;7),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-1/24*50),""),""),IF(R45=0,"",R45))</f>
        <v/>
      </c>
      <c r="S60" s="238" t="str">
        <f aca="true">IF(EB.Wochenarbeitszeit=50/24,IF(T.50_Vetsuisse,IF(WEEKDAY(S$10,2)=7,MAX(0,SUM(OFFSET(S51,0,-MIN(6,DAY(S$10)-1),1,MIN(7,DAY(S$10))))+IF(AND(MONTH(Monat.Tag1)&lt;&gt;1,DAY(S$10)&lt;7),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-1/24*50),""),""),IF(S45=0,"",S45))</f>
        <v/>
      </c>
      <c r="T60" s="238" t="str">
        <f aca="true">IF(EB.Wochenarbeitszeit=50/24,IF(T.50_Vetsuisse,IF(WEEKDAY(T$10,2)=7,MAX(0,SUM(OFFSET(T51,0,-MIN(6,DAY(T$10)-1),1,MIN(7,DAY(T$10))))+IF(AND(MONTH(Monat.Tag1)&lt;&gt;1,DAY(T$10)&lt;7),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-1/24*50),""),""),IF(T45=0,"",T45))</f>
        <v/>
      </c>
      <c r="U60" s="237" t="str">
        <f aca="true">IF(EB.Wochenarbeitszeit=50/24,IF(T.50_Vetsuisse,IF(WEEKDAY(U$10,2)=7,MAX(0,SUM(OFFSET(U51,0,-MIN(6,DAY(U$10)-1),1,MIN(7,DAY(U$10))))+IF(AND(MONTH(Monat.Tag1)&lt;&gt;1,DAY(U$10)&lt;7),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-1/24*50),""),""),IF(U45=0,"",U45))</f>
        <v/>
      </c>
      <c r="V60" s="237" t="str">
        <f aca="true">IF(EB.Wochenarbeitszeit=50/24,IF(T.50_Vetsuisse,IF(WEEKDAY(V$10,2)=7,MAX(0,SUM(OFFSET(V51,0,-MIN(6,DAY(V$10)-1),1,MIN(7,DAY(V$10))))+IF(AND(MONTH(Monat.Tag1)&lt;&gt;1,DAY(V$10)&lt;7),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-1/24*50),""),""),IF(V45=0,"",V45))</f>
        <v/>
      </c>
      <c r="W60" s="237" t="str">
        <f aca="true">IF(EB.Wochenarbeitszeit=50/24,IF(T.50_Vetsuisse,IF(WEEKDAY(W$10,2)=7,MAX(0,SUM(OFFSET(W51,0,-MIN(6,DAY(W$10)-1),1,MIN(7,DAY(W$10))))+IF(AND(MONTH(Monat.Tag1)&lt;&gt;1,DAY(W$10)&lt;7),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-1/24*50),""),""),IF(W45=0,"",W45))</f>
        <v/>
      </c>
      <c r="X60" s="238" t="str">
        <f aca="true">IF(EB.Wochenarbeitszeit=50/24,IF(T.50_Vetsuisse,IF(WEEKDAY(X$10,2)=7,MAX(0,SUM(OFFSET(X51,0,-MIN(6,DAY(X$10)-1),1,MIN(7,DAY(X$10))))+IF(AND(MONTH(Monat.Tag1)&lt;&gt;1,DAY(X$10)&lt;7),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-1/24*50),""),""),IF(X45=0,"",X45))</f>
        <v/>
      </c>
      <c r="Y60" s="237" t="str">
        <f aca="true">IF(EB.Wochenarbeitszeit=50/24,IF(T.50_Vetsuisse,IF(WEEKDAY(Y$10,2)=7,MAX(0,SUM(OFFSET(Y51,0,-MIN(6,DAY(Y$10)-1),1,MIN(7,DAY(Y$10))))+IF(AND(MONTH(Monat.Tag1)&lt;&gt;1,DAY(Y$10)&lt;7),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-1/24*50),""),""),IF(Y45=0,"",Y45))</f>
        <v/>
      </c>
      <c r="Z60" s="239" t="str">
        <f aca="true">IF(EB.Wochenarbeitszeit=50/24,IF(T.50_Vetsuisse,IF(WEEKDAY(Z$10,2)=7,MAX(0,SUM(OFFSET(Z51,0,-MIN(6,DAY(Z$10)-1),1,MIN(7,DAY(Z$10))))+IF(AND(MONTH(Monat.Tag1)&lt;&gt;1,DAY(Z$10)&lt;7),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-1/24*50),""),""),IF(Z45=0,"",Z45))</f>
        <v/>
      </c>
      <c r="AA60" s="237" t="str">
        <f aca="true">IF(EB.Wochenarbeitszeit=50/24,IF(T.50_Vetsuisse,IF(WEEKDAY(AA$10,2)=7,MAX(0,SUM(OFFSET(AA51,0,-MIN(6,DAY(AA$10)-1),1,MIN(7,DAY(AA$10))))+IF(AND(MONTH(Monat.Tag1)&lt;&gt;1,DAY(AA$10)&lt;7),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-1/24*50),""),""),IF(AA45=0,"",AA45))</f>
        <v/>
      </c>
      <c r="AB60" s="237" t="str">
        <f aca="true">IF(EB.Wochenarbeitszeit=50/24,IF(T.50_Vetsuisse,IF(WEEKDAY(AB$10,2)=7,MAX(0,SUM(OFFSET(AB51,0,-MIN(6,DAY(AB$10)-1),1,MIN(7,DAY(AB$10))))+IF(AND(MONTH(Monat.Tag1)&lt;&gt;1,DAY(AB$10)&lt;7),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-1/24*50),""),""),IF(AB45=0,"",AB45))</f>
        <v/>
      </c>
      <c r="AC60" s="237" t="str">
        <f aca="true">IF(EB.Wochenarbeitszeit=50/24,IF(T.50_Vetsuisse,IF(WEEKDAY(AC$10,2)=7,MAX(0,SUM(OFFSET(AC51,0,-MIN(6,DAY(AC$10)-1),1,MIN(7,DAY(AC$10))))+IF(AND(MONTH(Monat.Tag1)&lt;&gt;1,DAY(AC$10)&lt;7),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-1/24*50),""),""),IF(AC45=0,"",AC45))</f>
        <v/>
      </c>
      <c r="AD60" s="237" t="str">
        <f aca="true">IF(EB.Wochenarbeitszeit=50/24,IF(T.50_Vetsuisse,IF(WEEKDAY(AD$10,2)=7,MAX(0,SUM(OFFSET(AD51,0,-MIN(6,DAY(AD$10)-1),1,MIN(7,DAY(AD$10))))+IF(AND(MONTH(Monat.Tag1)&lt;&gt;1,DAY(AD$10)&lt;7),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-1/24*50),""),""),IF(AD45=0,"",AD45))</f>
        <v/>
      </c>
      <c r="AE60" s="238" t="str">
        <f aca="true">IF(EB.Wochenarbeitszeit=50/24,IF(T.50_Vetsuisse,IF(WEEKDAY(AE$10,2)=7,MAX(0,SUM(OFFSET(AE51,0,-MIN(6,DAY(AE$10)-1),1,MIN(7,DAY(AE$10))))+IF(AND(MONTH(Monat.Tag1)&lt;&gt;1,DAY(AE$10)&lt;7),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-1/24*50),""),""),IF(AE45=0,"",AE45))</f>
        <v/>
      </c>
      <c r="AF60" s="237" t="str">
        <f aca="true">IF(EB.Wochenarbeitszeit=50/24,IF(T.50_Vetsuisse,IF(WEEKDAY(AF$10,2)=7,MAX(0,SUM(OFFSET(AF51,0,-MIN(6,DAY(AF$10)-1),1,MIN(7,DAY(AF$10))))+IF(AND(MONTH(Monat.Tag1)&lt;&gt;1,DAY(AF$10)&lt;7),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-1/24*50),""),""),IF(AF45=0,"",AF45))</f>
        <v/>
      </c>
      <c r="AG60" s="168" t="str">
        <f aca="false">A60</f>
        <v>Ordered overtime</v>
      </c>
      <c r="AH60" s="184"/>
      <c r="AI60" s="207" t="n">
        <f aca="false">SUM(B60:AF60)</f>
        <v>0</v>
      </c>
      <c r="AJ60" s="180"/>
      <c r="AK60" s="172"/>
      <c r="AL60" s="216" t="n">
        <f aca="false">IF(EB.Anwendung&lt;&gt;"",IF(MONTH(Monat.Tag1)=1,0,IF(MONTH(Monat.Tag1)=2,January!Monat.AnUeZUeVM,IF(MONTH(Monat.Tag1)=3,February!Monat.AnUeZUeVM,IF(MONTH(Monat.Tag1)=4,March!Monat.AnUeZUeVM,IF(MONTH(Monat.Tag1)=5,April!Monat.AnUeZUeVM,IF(MONTH(Monat.Tag1)=6,May!Monat.AnUeZUeVM,IF(MONTH(Monat.Tag1)=7,June!Monat.AnUeZUeVM,IF(MONTH(Monat.Tag1)=8,July!Monat.AnUeZUeVM,IF(MONTH(Monat.Tag1)=9,August!Monat.AnUeZUeVM,IF(MONTH(Monat.Tag1)=10,September!Monat.AnUeZUeVM,IF(MONTH(Monat.Tag1)=11,October!Monat.AnUeZUeVM,IF(MONTH(Monat.Tag1)=12,November!Monat.AnUeZUeVM,"")))))))))))),"")</f>
        <v>0</v>
      </c>
      <c r="AM60" s="172"/>
      <c r="AN60" s="217" t="n">
        <f aca="false">AI60+AL60</f>
        <v>0</v>
      </c>
      <c r="AO60" s="217" t="n">
        <f aca="true">SUM(OFFSET(Jahr.AngÜZ,-12,0,MONTH(Monat.Tag1),1))</f>
        <v>0</v>
      </c>
      <c r="AP60" s="217" t="n">
        <f aca="false">Jahr.AngÜZ</f>
        <v>0</v>
      </c>
      <c r="AQ60" s="39"/>
    </row>
    <row r="61" s="148" customFormat="true" ht="15" hidden="false" customHeight="true" outlineLevel="0" collapsed="false">
      <c r="A61" s="175" t="s">
        <v>149</v>
      </c>
      <c r="B61" s="177"/>
      <c r="C61" s="177"/>
      <c r="D61" s="177"/>
      <c r="E61" s="177"/>
      <c r="F61" s="177"/>
      <c r="G61" s="177"/>
      <c r="H61" s="177"/>
      <c r="I61" s="177"/>
      <c r="J61" s="177"/>
      <c r="K61" s="177"/>
      <c r="L61" s="177"/>
      <c r="M61" s="177"/>
      <c r="N61" s="177"/>
      <c r="O61" s="177"/>
      <c r="P61" s="177"/>
      <c r="Q61" s="177"/>
      <c r="R61" s="177"/>
      <c r="S61" s="177"/>
      <c r="T61" s="177"/>
      <c r="U61" s="177"/>
      <c r="V61" s="177"/>
      <c r="W61" s="177"/>
      <c r="X61" s="177"/>
      <c r="Y61" s="177"/>
      <c r="Z61" s="178"/>
      <c r="AA61" s="177"/>
      <c r="AB61" s="177"/>
      <c r="AC61" s="177"/>
      <c r="AD61" s="177"/>
      <c r="AE61" s="177"/>
      <c r="AF61" s="177"/>
      <c r="AG61" s="168" t="str">
        <f aca="false">A61</f>
        <v>Compensation overtime</v>
      </c>
      <c r="AH61" s="184"/>
      <c r="AI61" s="207" t="n">
        <f aca="false">SUM(B61:AF61)</f>
        <v>0</v>
      </c>
      <c r="AJ61" s="180"/>
      <c r="AK61" s="172"/>
      <c r="AL61" s="172"/>
      <c r="AM61" s="172"/>
      <c r="AN61" s="171"/>
      <c r="AO61" s="172"/>
      <c r="AP61" s="172"/>
      <c r="AQ61" s="39"/>
    </row>
    <row r="62" s="231" customFormat="true" ht="15" hidden="true" customHeight="true" outlineLevel="1" collapsed="false">
      <c r="A62" s="219"/>
      <c r="B62" s="224"/>
      <c r="C62" s="224"/>
      <c r="D62" s="224"/>
      <c r="E62" s="152"/>
      <c r="F62" s="224"/>
      <c r="G62" s="224"/>
      <c r="H62" s="224"/>
      <c r="I62" s="224"/>
      <c r="J62" s="222"/>
      <c r="K62" s="224"/>
      <c r="L62" s="223"/>
      <c r="M62" s="224"/>
      <c r="N62" s="224"/>
      <c r="O62" s="224"/>
      <c r="P62" s="224"/>
      <c r="Q62" s="152"/>
      <c r="R62" s="224"/>
      <c r="S62" s="223"/>
      <c r="T62" s="224"/>
      <c r="U62" s="224"/>
      <c r="V62" s="224"/>
      <c r="W62" s="224"/>
      <c r="X62" s="224"/>
      <c r="Y62" s="224"/>
      <c r="Z62" s="152"/>
      <c r="AA62" s="224"/>
      <c r="AB62" s="224"/>
      <c r="AC62" s="224"/>
      <c r="AD62" s="224"/>
      <c r="AE62" s="152"/>
      <c r="AF62" s="240"/>
      <c r="AG62" s="241" t="s">
        <v>150</v>
      </c>
      <c r="AH62" s="242"/>
      <c r="AI62" s="207" t="n">
        <f aca="false">Monat.AnUeZ.Total-Monat.KomUeZ.Total</f>
        <v>0</v>
      </c>
      <c r="AJ62" s="180"/>
      <c r="AK62" s="230"/>
      <c r="AL62" s="230"/>
      <c r="AM62" s="172"/>
      <c r="AN62" s="230"/>
      <c r="AO62" s="230"/>
      <c r="AP62" s="230"/>
      <c r="AQ62" s="96"/>
    </row>
    <row r="63" s="148" customFormat="true" ht="15" hidden="false" customHeight="true" outlineLevel="0" collapsed="false">
      <c r="A63" s="186"/>
      <c r="B63" s="152"/>
      <c r="C63" s="152"/>
      <c r="D63" s="152"/>
      <c r="E63" s="152"/>
      <c r="F63" s="152"/>
      <c r="G63" s="152"/>
      <c r="H63" s="152"/>
      <c r="I63" s="152"/>
      <c r="J63" s="152"/>
      <c r="K63" s="152"/>
      <c r="L63" s="223"/>
      <c r="M63" s="152"/>
      <c r="N63" s="152"/>
      <c r="O63" s="152"/>
      <c r="P63" s="152"/>
      <c r="Q63" s="152"/>
      <c r="R63" s="152"/>
      <c r="S63" s="223"/>
      <c r="T63" s="152"/>
      <c r="U63" s="152"/>
      <c r="V63" s="152"/>
      <c r="W63" s="152"/>
      <c r="X63" s="224"/>
      <c r="Y63" s="152"/>
      <c r="Z63" s="152"/>
      <c r="AA63" s="152"/>
      <c r="AB63" s="152"/>
      <c r="AC63" s="152"/>
      <c r="AD63" s="152"/>
      <c r="AE63" s="152"/>
      <c r="AF63" s="243"/>
      <c r="AG63" s="175" t="s">
        <v>151</v>
      </c>
      <c r="AH63" s="184"/>
      <c r="AI63" s="207" t="n">
        <f aca="true">IF(T.50_Vetsuisse,0,IF(AND(AI62&gt;0,Monat.ÜZZSBerechtigt=INDEX(T.JaNein.Bereich,1,1)),(AI62*0.25),0))</f>
        <v>0</v>
      </c>
      <c r="AJ63" s="180"/>
      <c r="AK63" s="172"/>
      <c r="AL63" s="230"/>
      <c r="AM63" s="172"/>
      <c r="AN63" s="230"/>
      <c r="AO63" s="230"/>
      <c r="AP63" s="230"/>
      <c r="AQ63" s="39"/>
    </row>
    <row r="64" s="148" customFormat="true" ht="15" hidden="true" customHeight="true" outlineLevel="1" collapsed="false">
      <c r="A64" s="186"/>
      <c r="B64" s="152"/>
      <c r="C64" s="152"/>
      <c r="D64" s="152"/>
      <c r="E64" s="152"/>
      <c r="F64" s="152"/>
      <c r="G64" s="152"/>
      <c r="H64" s="152"/>
      <c r="I64" s="152"/>
      <c r="J64" s="152"/>
      <c r="K64" s="152"/>
      <c r="L64" s="223"/>
      <c r="M64" s="152"/>
      <c r="N64" s="152"/>
      <c r="O64" s="152"/>
      <c r="P64" s="152"/>
      <c r="Q64" s="152"/>
      <c r="R64" s="152"/>
      <c r="S64" s="223"/>
      <c r="T64" s="152"/>
      <c r="U64" s="152"/>
      <c r="V64" s="152"/>
      <c r="W64" s="152"/>
      <c r="X64" s="224"/>
      <c r="Y64" s="152"/>
      <c r="Z64" s="152"/>
      <c r="AA64" s="152"/>
      <c r="AB64" s="152"/>
      <c r="AC64" s="152"/>
      <c r="AD64" s="152"/>
      <c r="AE64" s="152"/>
      <c r="AF64" s="243"/>
      <c r="AG64" s="175" t="s">
        <v>152</v>
      </c>
      <c r="AH64" s="244" t="s">
        <v>146</v>
      </c>
      <c r="AI64" s="245"/>
      <c r="AJ64" s="246"/>
      <c r="AK64" s="172"/>
      <c r="AL64" s="230"/>
      <c r="AM64" s="172"/>
      <c r="AN64" s="230"/>
      <c r="AO64" s="230"/>
      <c r="AP64" s="230"/>
      <c r="AQ64" s="39"/>
    </row>
    <row r="65" s="231" customFormat="true" ht="15" hidden="false" customHeight="true" outlineLevel="0" collapsed="false">
      <c r="A65" s="219"/>
      <c r="B65" s="224"/>
      <c r="C65" s="224"/>
      <c r="D65" s="224"/>
      <c r="E65" s="152"/>
      <c r="F65" s="224"/>
      <c r="G65" s="224"/>
      <c r="H65" s="224"/>
      <c r="I65" s="224"/>
      <c r="J65" s="152"/>
      <c r="K65" s="224"/>
      <c r="L65" s="223"/>
      <c r="M65" s="224"/>
      <c r="N65" s="224"/>
      <c r="O65" s="224"/>
      <c r="P65" s="224"/>
      <c r="Q65" s="152"/>
      <c r="R65" s="224"/>
      <c r="S65" s="223"/>
      <c r="T65" s="224"/>
      <c r="U65" s="224"/>
      <c r="V65" s="224"/>
      <c r="W65" s="224"/>
      <c r="X65" s="224"/>
      <c r="Y65" s="224"/>
      <c r="Z65" s="152"/>
      <c r="AA65" s="224"/>
      <c r="AB65" s="224"/>
      <c r="AC65" s="224"/>
      <c r="AD65" s="224"/>
      <c r="AE65" s="152"/>
      <c r="AF65" s="240"/>
      <c r="AG65" s="234" t="s">
        <v>153</v>
      </c>
      <c r="AH65" s="242"/>
      <c r="AI65" s="207" t="n">
        <f aca="false">IF(AH64="+",(AI62+AI63+AI64),(AI62+AI63-AI64))</f>
        <v>0</v>
      </c>
      <c r="AJ65" s="33"/>
      <c r="AK65" s="247"/>
      <c r="AL65" s="216" t="n">
        <f aca="false">IF(EB.Anwendung&lt;&gt;"",IF(MONTH(Monat.Tag1)=1,EB.UeZ,IF(MONTH(Monat.Tag1)=2,January!Monat.UeZUeVM,IF(MONTH(Monat.Tag1)=3,February!Monat.UeZUeVM,IF(MONTH(Monat.Tag1)=4,March!Monat.UeZUeVM,IF(MONTH(Monat.Tag1)=5,April!Monat.UeZUeVM,IF(MONTH(Monat.Tag1)=6,May!Monat.UeZUeVM,IF(MONTH(Monat.Tag1)=7,June!Monat.UeZUeVM,IF(MONTH(Monat.Tag1)=8,July!Monat.UeZUeVM,IF(MONTH(Monat.Tag1)=9,August!Monat.UeZUeVM,IF(MONTH(Monat.Tag1)=10,September!Monat.UeZUeVM,IF(MONTH(Monat.Tag1)=11,October!Monat.UeZUeVM,IF(MONTH(Monat.Tag1)=12,November!Monat.UeZUeVM,"")))))))))))),"")</f>
        <v>0</v>
      </c>
      <c r="AM65" s="172"/>
      <c r="AN65" s="217" t="n">
        <f aca="false">AI65+AL65</f>
        <v>0</v>
      </c>
      <c r="AO65" s="217" t="n">
        <f aca="true">SUM(OFFSET(J.UeZ.Total,-12,0,MONTH(Monat.Tag1),1))</f>
        <v>0</v>
      </c>
      <c r="AP65" s="217" t="n">
        <f aca="false">J.UeZ.Total</f>
        <v>0</v>
      </c>
      <c r="AQ65" s="96"/>
    </row>
    <row r="66" s="148" customFormat="true" ht="11.25" hidden="false" customHeight="true" outlineLevel="1" collapsed="false">
      <c r="A66" s="186"/>
      <c r="B66" s="57"/>
      <c r="C66" s="57"/>
      <c r="D66" s="57"/>
      <c r="E66" s="152"/>
      <c r="F66" s="57"/>
      <c r="G66" s="57"/>
      <c r="H66" s="57"/>
      <c r="I66" s="57"/>
      <c r="J66" s="152"/>
      <c r="K66" s="57"/>
      <c r="L66" s="223"/>
      <c r="M66" s="57"/>
      <c r="N66" s="57"/>
      <c r="O66" s="57"/>
      <c r="P66" s="57"/>
      <c r="Q66" s="152"/>
      <c r="R66" s="57"/>
      <c r="S66" s="223"/>
      <c r="T66" s="57"/>
      <c r="U66" s="57"/>
      <c r="V66" s="57"/>
      <c r="W66" s="57"/>
      <c r="X66" s="224"/>
      <c r="Y66" s="57"/>
      <c r="Z66" s="152"/>
      <c r="AA66" s="57"/>
      <c r="AB66" s="57"/>
      <c r="AC66" s="57"/>
      <c r="AD66" s="57"/>
      <c r="AE66" s="152"/>
      <c r="AF66" s="179"/>
      <c r="AG66" s="175"/>
      <c r="AH66" s="146"/>
      <c r="AI66" s="179"/>
      <c r="AJ66" s="180"/>
      <c r="AK66" s="172"/>
      <c r="AL66" s="172"/>
      <c r="AM66" s="172"/>
      <c r="AN66" s="171"/>
      <c r="AO66" s="172"/>
      <c r="AP66" s="172"/>
      <c r="AQ66" s="39"/>
    </row>
    <row r="67" s="148" customFormat="true" ht="15" hidden="false" customHeight="true" outlineLevel="1" collapsed="false">
      <c r="A67" s="175" t="s">
        <v>154</v>
      </c>
      <c r="B67" s="177"/>
      <c r="C67" s="177"/>
      <c r="D67" s="177"/>
      <c r="E67" s="177"/>
      <c r="F67" s="177"/>
      <c r="G67" s="177"/>
      <c r="H67" s="177"/>
      <c r="I67" s="177"/>
      <c r="J67" s="177"/>
      <c r="K67" s="177"/>
      <c r="L67" s="177"/>
      <c r="M67" s="177"/>
      <c r="N67" s="177"/>
      <c r="O67" s="177"/>
      <c r="P67" s="177"/>
      <c r="Q67" s="177"/>
      <c r="R67" s="177"/>
      <c r="S67" s="177"/>
      <c r="T67" s="177"/>
      <c r="U67" s="177"/>
      <c r="V67" s="177"/>
      <c r="W67" s="177"/>
      <c r="X67" s="177"/>
      <c r="Y67" s="177"/>
      <c r="Z67" s="178"/>
      <c r="AA67" s="177"/>
      <c r="AB67" s="177"/>
      <c r="AC67" s="177"/>
      <c r="AD67" s="177"/>
      <c r="AE67" s="177"/>
      <c r="AF67" s="177"/>
      <c r="AG67" s="168" t="str">
        <f aca="false">A67</f>
        <v>Compensation working hours</v>
      </c>
      <c r="AH67" s="184"/>
      <c r="AI67" s="207" t="n">
        <f aca="false">SUM(B67:AF67)</f>
        <v>0</v>
      </c>
      <c r="AJ67" s="33"/>
      <c r="AK67" s="216" t="n">
        <f aca="true">OFFSET(EB.MKAStd.Knoten,MONTH(Monat.Tag1),0,1,1)</f>
        <v>0.4375</v>
      </c>
      <c r="AL67" s="248" t="n">
        <f aca="false">IF(EB.Anwendung&lt;&gt;"",IF(MONTH(Monat.Tag1)=1,0,IF(MONTH(Monat.Tag1)=2,January!Monat.KomUeVM,IF(MONTH(Monat.Tag1)=3,February!Monat.KomUeVM,IF(MONTH(Monat.Tag1)=4,March!Monat.KomUeVM,IF(MONTH(Monat.Tag1)=5,April!Monat.KomUeVM,IF(MONTH(Monat.Tag1)=6,May!Monat.KomUeVM,IF(MONTH(Monat.Tag1)=7,June!Monat.KomUeVM,IF(MONTH(Monat.Tag1)=8,July!Monat.KomUeVM,IF(MONTH(Monat.Tag1)=9,August!Monat.KomUeVM,IF(MONTH(Monat.Tag1)=10,September!Monat.KomUeVM,IF(MONTH(Monat.Tag1)=11,October!Monat.KomUeVM,IF(MONTH(Monat.Tag1)=12,November!Monat.KomUeVM,"")))))))))))),"")</f>
        <v>3.5</v>
      </c>
      <c r="AM67" s="172"/>
      <c r="AN67" s="217" t="n">
        <f aca="false">AK67+AL67-Monat.KomAZ.Total</f>
        <v>3.9375</v>
      </c>
      <c r="AO67" s="217" t="n">
        <f aca="true">Jahresabrechnung!P12-SUM(OFFSET(Jahresabrechnung!P15,0,0,MONTH(Monat.Tag1),1))</f>
        <v>3.9375</v>
      </c>
      <c r="AP67" s="217" t="n">
        <f aca="false">Jahresabrechnung!P28</f>
        <v>3.9375</v>
      </c>
      <c r="AQ67" s="39"/>
    </row>
    <row r="68" s="148" customFormat="true" ht="11.25" hidden="false" customHeight="true" outlineLevel="0" collapsed="false">
      <c r="A68" s="186"/>
      <c r="B68" s="187"/>
      <c r="C68" s="187"/>
      <c r="D68" s="187"/>
      <c r="E68" s="187"/>
      <c r="F68" s="187"/>
      <c r="G68" s="187"/>
      <c r="H68" s="187"/>
      <c r="I68" s="187"/>
      <c r="J68" s="187"/>
      <c r="K68" s="187"/>
      <c r="L68" s="187"/>
      <c r="M68" s="187"/>
      <c r="N68" s="187"/>
      <c r="O68" s="187"/>
      <c r="P68" s="187"/>
      <c r="Q68" s="187"/>
      <c r="R68" s="187"/>
      <c r="S68" s="187"/>
      <c r="T68" s="187"/>
      <c r="U68" s="187"/>
      <c r="V68" s="187"/>
      <c r="W68" s="187"/>
      <c r="X68" s="187"/>
      <c r="Y68" s="187"/>
      <c r="Z68" s="187"/>
      <c r="AA68" s="187"/>
      <c r="AB68" s="187"/>
      <c r="AC68" s="187"/>
      <c r="AD68" s="187"/>
      <c r="AE68" s="187"/>
      <c r="AF68" s="188"/>
      <c r="AG68" s="168"/>
      <c r="AH68" s="146"/>
      <c r="AI68" s="179"/>
      <c r="AJ68" s="180"/>
      <c r="AK68" s="172"/>
      <c r="AL68" s="172"/>
      <c r="AM68" s="172"/>
      <c r="AN68" s="171"/>
      <c r="AO68" s="172"/>
      <c r="AP68" s="172"/>
      <c r="AQ68" s="39"/>
    </row>
    <row r="69" s="148" customFormat="true" ht="15" hidden="true" customHeight="true" outlineLevel="0" collapsed="false">
      <c r="A69" s="175" t="s">
        <v>155</v>
      </c>
      <c r="B69" s="249" t="n">
        <f aca="true">IF(AND(T.50_Vetsuisse,B72=INDEX(T.JaNein.Bereich,1,1),B73&gt;0,MOD(IFERROR(MATCH(1,B13:B22,0),1),2)=0),1, IF(AND(T.ServiceCenterIrchel,B72=INDEX(T.JaNein.Bereich,1,1),B77&gt;0),1, IF(AND(T.50_Vetsuisse=0,T.ServiceCenterIrchel=0,B77&gt;0),1,0)))</f>
        <v>0</v>
      </c>
      <c r="C69" s="249" t="n">
        <f aca="true">IF(AND(T.50_Vetsuisse,C72=INDEX(T.JaNein.Bereich,1,1),C73&gt;0,MOD(IFERROR(MATCH(1,C13:C22,0),1),2)=0),1, IF(AND(T.ServiceCenterIrchel,C72=INDEX(T.JaNein.Bereich,1,1),C77&gt;0),1, IF(AND(T.50_Vetsuisse=0,T.ServiceCenterIrchel=0,C77&gt;0),1,0)))</f>
        <v>0</v>
      </c>
      <c r="D69" s="249" t="n">
        <f aca="true">IF(AND(T.50_Vetsuisse,D72=INDEX(T.JaNein.Bereich,1,1),D73&gt;0,MOD(IFERROR(MATCH(1,D13:D22,0),1),2)=0),1, IF(AND(T.ServiceCenterIrchel,D72=INDEX(T.JaNein.Bereich,1,1),D77&gt;0),1, IF(AND(T.50_Vetsuisse=0,T.ServiceCenterIrchel=0,D77&gt;0),1,0)))</f>
        <v>0</v>
      </c>
      <c r="E69" s="249" t="n">
        <f aca="true">IF(AND(T.50_Vetsuisse,E72=INDEX(T.JaNein.Bereich,1,1),E73&gt;0,MOD(IFERROR(MATCH(1,E13:E22,0),1),2)=0),1, IF(AND(T.ServiceCenterIrchel,E72=INDEX(T.JaNein.Bereich,1,1),E77&gt;0),1, IF(AND(T.50_Vetsuisse=0,T.ServiceCenterIrchel=0,E77&gt;0),1,0)))</f>
        <v>0</v>
      </c>
      <c r="F69" s="249" t="n">
        <f aca="true">IF(AND(T.50_Vetsuisse,F72=INDEX(T.JaNein.Bereich,1,1),F73&gt;0,MOD(IFERROR(MATCH(1,F13:F22,0),1),2)=0),1, IF(AND(T.ServiceCenterIrchel,F72=INDEX(T.JaNein.Bereich,1,1),F77&gt;0),1, IF(AND(T.50_Vetsuisse=0,T.ServiceCenterIrchel=0,F77&gt;0),1,0)))</f>
        <v>0</v>
      </c>
      <c r="G69" s="249" t="n">
        <f aca="true">IF(AND(T.50_Vetsuisse,G72=INDEX(T.JaNein.Bereich,1,1),G73&gt;0,MOD(IFERROR(MATCH(1,G13:G22,0),1),2)=0),1, IF(AND(T.ServiceCenterIrchel,G72=INDEX(T.JaNein.Bereich,1,1),G77&gt;0),1, IF(AND(T.50_Vetsuisse=0,T.ServiceCenterIrchel=0,G77&gt;0),1,0)))</f>
        <v>0</v>
      </c>
      <c r="H69" s="249" t="n">
        <f aca="true">IF(AND(T.50_Vetsuisse,H72=INDEX(T.JaNein.Bereich,1,1),H73&gt;0,MOD(IFERROR(MATCH(1,H13:H22,0),1),2)=0),1, IF(AND(T.ServiceCenterIrchel,H72=INDEX(T.JaNein.Bereich,1,1),H77&gt;0),1, IF(AND(T.50_Vetsuisse=0,T.ServiceCenterIrchel=0,H77&gt;0),1,0)))</f>
        <v>0</v>
      </c>
      <c r="I69" s="249" t="n">
        <f aca="true">IF(AND(T.50_Vetsuisse,I72=INDEX(T.JaNein.Bereich,1,1),I73&gt;0,MOD(IFERROR(MATCH(1,I13:I22,0),1),2)=0),1, IF(AND(T.ServiceCenterIrchel,I72=INDEX(T.JaNein.Bereich,1,1),I77&gt;0),1, IF(AND(T.50_Vetsuisse=0,T.ServiceCenterIrchel=0,I77&gt;0),1,0)))</f>
        <v>0</v>
      </c>
      <c r="J69" s="249" t="n">
        <f aca="true">IF(AND(T.50_Vetsuisse,J72=INDEX(T.JaNein.Bereich,1,1),J73&gt;0,MOD(IFERROR(MATCH(1,J13:J22,0),1),2)=0),1, IF(AND(T.ServiceCenterIrchel,J72=INDEX(T.JaNein.Bereich,1,1),J77&gt;0),1, IF(AND(T.50_Vetsuisse=0,T.ServiceCenterIrchel=0,J77&gt;0),1,0)))</f>
        <v>0</v>
      </c>
      <c r="K69" s="249" t="n">
        <f aca="true">IF(AND(T.50_Vetsuisse,K72=INDEX(T.JaNein.Bereich,1,1),K73&gt;0,MOD(IFERROR(MATCH(1,K13:K22,0),1),2)=0),1, IF(AND(T.ServiceCenterIrchel,K72=INDEX(T.JaNein.Bereich,1,1),K77&gt;0),1, IF(AND(T.50_Vetsuisse=0,T.ServiceCenterIrchel=0,K77&gt;0),1,0)))</f>
        <v>0</v>
      </c>
      <c r="L69" s="249" t="n">
        <f aca="true">IF(AND(T.50_Vetsuisse,L72=INDEX(T.JaNein.Bereich,1,1),L73&gt;0,MOD(IFERROR(MATCH(1,L13:L22,0),1),2)=0),1, IF(AND(T.ServiceCenterIrchel,L72=INDEX(T.JaNein.Bereich,1,1),L77&gt;0),1, IF(AND(T.50_Vetsuisse=0,T.ServiceCenterIrchel=0,L77&gt;0),1,0)))</f>
        <v>0</v>
      </c>
      <c r="M69" s="249" t="n">
        <f aca="true">IF(AND(T.50_Vetsuisse,M72=INDEX(T.JaNein.Bereich,1,1),M73&gt;0,MOD(IFERROR(MATCH(1,M13:M22,0),1),2)=0),1, IF(AND(T.ServiceCenterIrchel,M72=INDEX(T.JaNein.Bereich,1,1),M77&gt;0),1, IF(AND(T.50_Vetsuisse=0,T.ServiceCenterIrchel=0,M77&gt;0),1,0)))</f>
        <v>0</v>
      </c>
      <c r="N69" s="249" t="n">
        <f aca="true">IF(AND(T.50_Vetsuisse,N72=INDEX(T.JaNein.Bereich,1,1),N73&gt;0,MOD(IFERROR(MATCH(1,N13:N22,0),1),2)=0),1, IF(AND(T.ServiceCenterIrchel,N72=INDEX(T.JaNein.Bereich,1,1),N77&gt;0),1, IF(AND(T.50_Vetsuisse=0,T.ServiceCenterIrchel=0,N77&gt;0),1,0)))</f>
        <v>0</v>
      </c>
      <c r="O69" s="249" t="n">
        <f aca="true">IF(AND(T.50_Vetsuisse,O72=INDEX(T.JaNein.Bereich,1,1),O73&gt;0,MOD(IFERROR(MATCH(1,O13:O22,0),1),2)=0),1, IF(AND(T.ServiceCenterIrchel,O72=INDEX(T.JaNein.Bereich,1,1),O77&gt;0),1, IF(AND(T.50_Vetsuisse=0,T.ServiceCenterIrchel=0,O77&gt;0),1,0)))</f>
        <v>0</v>
      </c>
      <c r="P69" s="249" t="n">
        <f aca="true">IF(AND(T.50_Vetsuisse,P72=INDEX(T.JaNein.Bereich,1,1),P73&gt;0,MOD(IFERROR(MATCH(1,P13:P22,0),1),2)=0),1, IF(AND(T.ServiceCenterIrchel,P72=INDEX(T.JaNein.Bereich,1,1),P77&gt;0),1, IF(AND(T.50_Vetsuisse=0,T.ServiceCenterIrchel=0,P77&gt;0),1,0)))</f>
        <v>0</v>
      </c>
      <c r="Q69" s="249" t="n">
        <f aca="true">IF(AND(T.50_Vetsuisse,Q72=INDEX(T.JaNein.Bereich,1,1),Q73&gt;0,MOD(IFERROR(MATCH(1,Q13:Q22,0),1),2)=0),1, IF(AND(T.ServiceCenterIrchel,Q72=INDEX(T.JaNein.Bereich,1,1),Q77&gt;0),1, IF(AND(T.50_Vetsuisse=0,T.ServiceCenterIrchel=0,Q77&gt;0),1,0)))</f>
        <v>0</v>
      </c>
      <c r="R69" s="249" t="n">
        <f aca="true">IF(AND(T.50_Vetsuisse,R72=INDEX(T.JaNein.Bereich,1,1),R73&gt;0,MOD(IFERROR(MATCH(1,R13:R22,0),1),2)=0),1, IF(AND(T.ServiceCenterIrchel,R72=INDEX(T.JaNein.Bereich,1,1),R77&gt;0),1, IF(AND(T.50_Vetsuisse=0,T.ServiceCenterIrchel=0,R77&gt;0),1,0)))</f>
        <v>0</v>
      </c>
      <c r="S69" s="249" t="n">
        <f aca="true">IF(AND(T.50_Vetsuisse,S72=INDEX(T.JaNein.Bereich,1,1),S73&gt;0,MOD(IFERROR(MATCH(1,S13:S22,0),1),2)=0),1, IF(AND(T.ServiceCenterIrchel,S72=INDEX(T.JaNein.Bereich,1,1),S77&gt;0),1, IF(AND(T.50_Vetsuisse=0,T.ServiceCenterIrchel=0,S77&gt;0),1,0)))</f>
        <v>0</v>
      </c>
      <c r="T69" s="249" t="n">
        <f aca="true">IF(AND(T.50_Vetsuisse,T72=INDEX(T.JaNein.Bereich,1,1),T73&gt;0,MOD(IFERROR(MATCH(1,T13:T22,0),1),2)=0),1, IF(AND(T.ServiceCenterIrchel,T72=INDEX(T.JaNein.Bereich,1,1),T77&gt;0),1, IF(AND(T.50_Vetsuisse=0,T.ServiceCenterIrchel=0,T77&gt;0),1,0)))</f>
        <v>0</v>
      </c>
      <c r="U69" s="249" t="n">
        <f aca="true">IF(AND(T.50_Vetsuisse,U72=INDEX(T.JaNein.Bereich,1,1),U73&gt;0,MOD(IFERROR(MATCH(1,U13:U22,0),1),2)=0),1, IF(AND(T.ServiceCenterIrchel,U72=INDEX(T.JaNein.Bereich,1,1),U77&gt;0),1, IF(AND(T.50_Vetsuisse=0,T.ServiceCenterIrchel=0,U77&gt;0),1,0)))</f>
        <v>0</v>
      </c>
      <c r="V69" s="249" t="n">
        <f aca="true">IF(AND(T.50_Vetsuisse,V72=INDEX(T.JaNein.Bereich,1,1),V73&gt;0,MOD(IFERROR(MATCH(1,V13:V22,0),1),2)=0),1, IF(AND(T.ServiceCenterIrchel,V72=INDEX(T.JaNein.Bereich,1,1),V77&gt;0),1, IF(AND(T.50_Vetsuisse=0,T.ServiceCenterIrchel=0,V77&gt;0),1,0)))</f>
        <v>0</v>
      </c>
      <c r="W69" s="249" t="n">
        <f aca="true">IF(AND(T.50_Vetsuisse,W72=INDEX(T.JaNein.Bereich,1,1),W73&gt;0,MOD(IFERROR(MATCH(1,W13:W22,0),1),2)=0),1, IF(AND(T.ServiceCenterIrchel,W72=INDEX(T.JaNein.Bereich,1,1),W77&gt;0),1, IF(AND(T.50_Vetsuisse=0,T.ServiceCenterIrchel=0,W77&gt;0),1,0)))</f>
        <v>0</v>
      </c>
      <c r="X69" s="249" t="n">
        <f aca="true">IF(AND(T.50_Vetsuisse,X72=INDEX(T.JaNein.Bereich,1,1),X73&gt;0,MOD(IFERROR(MATCH(1,X13:X22,0),1),2)=0),1, IF(AND(T.ServiceCenterIrchel,X72=INDEX(T.JaNein.Bereich,1,1),X77&gt;0),1, IF(AND(T.50_Vetsuisse=0,T.ServiceCenterIrchel=0,X77&gt;0),1,0)))</f>
        <v>0</v>
      </c>
      <c r="Y69" s="249" t="n">
        <f aca="true">IF(AND(T.50_Vetsuisse,Y72=INDEX(T.JaNein.Bereich,1,1),Y73&gt;0,MOD(IFERROR(MATCH(1,Y13:Y22,0),1),2)=0),1, IF(AND(T.ServiceCenterIrchel,Y72=INDEX(T.JaNein.Bereich,1,1),Y77&gt;0),1, IF(AND(T.50_Vetsuisse=0,T.ServiceCenterIrchel=0,Y77&gt;0),1,0)))</f>
        <v>0</v>
      </c>
      <c r="Z69" s="249" t="n">
        <f aca="true">IF(AND(T.50_Vetsuisse,Z72=INDEX(T.JaNein.Bereich,1,1),Z73&gt;0,MOD(IFERROR(MATCH(1,Z13:Z22,0),1),2)=0),1, IF(AND(T.ServiceCenterIrchel,Z72=INDEX(T.JaNein.Bereich,1,1),Z77&gt;0),1, IF(AND(T.50_Vetsuisse=0,T.ServiceCenterIrchel=0,Z77&gt;0),1,0)))</f>
        <v>0</v>
      </c>
      <c r="AA69" s="249" t="n">
        <f aca="true">IF(AND(T.50_Vetsuisse,AA72=INDEX(T.JaNein.Bereich,1,1),AA73&gt;0,MOD(IFERROR(MATCH(1,AA13:AA22,0),1),2)=0),1, IF(AND(T.ServiceCenterIrchel,AA72=INDEX(T.JaNein.Bereich,1,1),AA77&gt;0),1, IF(AND(T.50_Vetsuisse=0,T.ServiceCenterIrchel=0,AA77&gt;0),1,0)))</f>
        <v>0</v>
      </c>
      <c r="AB69" s="249" t="n">
        <f aca="true">IF(AND(T.50_Vetsuisse,AB72=INDEX(T.JaNein.Bereich,1,1),AB73&gt;0,MOD(IFERROR(MATCH(1,AB13:AB22,0),1),2)=0),1, IF(AND(T.ServiceCenterIrchel,AB72=INDEX(T.JaNein.Bereich,1,1),AB77&gt;0),1, IF(AND(T.50_Vetsuisse=0,T.ServiceCenterIrchel=0,AB77&gt;0),1,0)))</f>
        <v>0</v>
      </c>
      <c r="AC69" s="249" t="n">
        <f aca="true">IF(AND(T.50_Vetsuisse,AC72=INDEX(T.JaNein.Bereich,1,1),AC73&gt;0,MOD(IFERROR(MATCH(1,AC13:AC22,0),1),2)=0),1, IF(AND(T.ServiceCenterIrchel,AC72=INDEX(T.JaNein.Bereich,1,1),AC77&gt;0),1, IF(AND(T.50_Vetsuisse=0,T.ServiceCenterIrchel=0,AC77&gt;0),1,0)))</f>
        <v>0</v>
      </c>
      <c r="AD69" s="249" t="n">
        <f aca="true">IF(AND(T.50_Vetsuisse,AD72=INDEX(T.JaNein.Bereich,1,1),AD73&gt;0,MOD(IFERROR(MATCH(1,AD13:AD22,0),1),2)=0),1, IF(AND(T.ServiceCenterIrchel,AD72=INDEX(T.JaNein.Bereich,1,1),AD77&gt;0),1, IF(AND(T.50_Vetsuisse=0,T.ServiceCenterIrchel=0,AD77&gt;0),1,0)))</f>
        <v>0</v>
      </c>
      <c r="AE69" s="249" t="n">
        <f aca="true">IF(AND(T.50_Vetsuisse,AE72=INDEX(T.JaNein.Bereich,1,1),AE73&gt;0,MOD(IFERROR(MATCH(1,AE13:AE22,0),1),2)=0),1, IF(AND(T.ServiceCenterIrchel,AE72=INDEX(T.JaNein.Bereich,1,1),AE77&gt;0),1, IF(AND(T.50_Vetsuisse=0,T.ServiceCenterIrchel=0,AE77&gt;0),1,0)))</f>
        <v>0</v>
      </c>
      <c r="AF69" s="249" t="n">
        <f aca="true">IF(AND(T.50_Vetsuisse,AF72=INDEX(T.JaNein.Bereich,1,1),AF73&gt;0,MOD(IFERROR(MATCH(1,AF13:AF22,0),1),2)=0),1, IF(AND(T.ServiceCenterIrchel,AF72=INDEX(T.JaNein.Bereich,1,1),AF77&gt;0),1, IF(AND(T.50_Vetsuisse=0,T.ServiceCenterIrchel=0,AF77&gt;0),1,0)))</f>
        <v>0</v>
      </c>
      <c r="AG69" s="168" t="str">
        <f aca="false">A69</f>
        <v>Counter night shift</v>
      </c>
      <c r="AH69" s="250"/>
      <c r="AI69" s="251" t="n">
        <f aca="false">SUM(B69:AF69)</f>
        <v>0</v>
      </c>
      <c r="AJ69" s="33"/>
      <c r="AK69" s="192"/>
      <c r="AL69" s="252" t="n">
        <f aca="false">IF(EB.Anwendung&lt;&gt;"",IF(MONTH(Monat.Tag1)=1,0,IF(MONTH(Monat.Tag1)=2,January!Monat.ZählerNDUe,IF(MONTH(Monat.Tag1)=3,February!Monat.ZählerNDUe,IF(MONTH(Monat.Tag1)=4,March!Monat.ZählerNDUe,IF(MONTH(Monat.Tag1)=5,April!Monat.ZählerNDUe,IF(MONTH(Monat.Tag1)=6,May!Monat.ZählerNDUe,IF(MONTH(Monat.Tag1)=7,June!Monat.ZählerNDUe,IF(MONTH(Monat.Tag1)=8,July!Monat.ZählerNDUe,IF(MONTH(Monat.Tag1)=9,August!Monat.ZählerNDUe,IF(MONTH(Monat.Tag1)=10,September!Monat.ZählerNDUe,IF(MONTH(Monat.Tag1)=11,October!Monat.ZählerNDUe,IF(MONTH(Monat.Tag1)=12,November!Monat.ZählerNDUe,"")))))))))))),"")</f>
        <v>0</v>
      </c>
      <c r="AM69" s="172"/>
      <c r="AN69" s="253" t="n">
        <f aca="false">AL69+AI69</f>
        <v>0</v>
      </c>
      <c r="AO69" s="171"/>
      <c r="AP69" s="171"/>
      <c r="AQ69" s="39"/>
    </row>
    <row r="70" s="148" customFormat="true" ht="15" hidden="true" customHeight="true" outlineLevel="0" collapsed="false">
      <c r="A70" s="175" t="s">
        <v>156</v>
      </c>
      <c r="B70" s="249" t="n">
        <f aca="false">IF(DAY(B$10)=1,$AL$69,A70)+B69</f>
        <v>0</v>
      </c>
      <c r="C70" s="249" t="n">
        <f aca="false">IF(DAY(C$10)=1,$AL$69,B70)+C69</f>
        <v>0</v>
      </c>
      <c r="D70" s="249" t="n">
        <f aca="false">IF(DAY(D$10)=1,$AL$69,C70)+D69</f>
        <v>0</v>
      </c>
      <c r="E70" s="249" t="n">
        <f aca="false">IF(DAY(E$10)=1,$AL$69,D70)+E69</f>
        <v>0</v>
      </c>
      <c r="F70" s="249" t="n">
        <f aca="false">IF(DAY(F$10)=1,$AL$69,E70)+F69</f>
        <v>0</v>
      </c>
      <c r="G70" s="249" t="n">
        <f aca="false">IF(DAY(G$10)=1,$AL$69,F70)+G69</f>
        <v>0</v>
      </c>
      <c r="H70" s="249" t="n">
        <f aca="false">IF(DAY(H$10)=1,$AL$69,G70)+H69</f>
        <v>0</v>
      </c>
      <c r="I70" s="249" t="n">
        <f aca="false">IF(DAY(I$10)=1,$AL$69,H70)+I69</f>
        <v>0</v>
      </c>
      <c r="J70" s="249" t="n">
        <f aca="false">IF(DAY(J$10)=1,$AL$69,I70)+J69</f>
        <v>0</v>
      </c>
      <c r="K70" s="249" t="n">
        <f aca="false">IF(DAY(K$10)=1,$AL$69,J70)+K69</f>
        <v>0</v>
      </c>
      <c r="L70" s="249" t="n">
        <f aca="false">IF(DAY(L$10)=1,$AL$69,K70)+L69</f>
        <v>0</v>
      </c>
      <c r="M70" s="249" t="n">
        <f aca="false">IF(DAY(M$10)=1,$AL$69,L70)+M69</f>
        <v>0</v>
      </c>
      <c r="N70" s="249" t="n">
        <f aca="false">IF(DAY(N$10)=1,$AL$69,M70)+N69</f>
        <v>0</v>
      </c>
      <c r="O70" s="249" t="n">
        <f aca="false">IF(DAY(O$10)=1,$AL$69,N70)+O69</f>
        <v>0</v>
      </c>
      <c r="P70" s="249" t="n">
        <f aca="false">IF(DAY(P$10)=1,$AL$69,O70)+P69</f>
        <v>0</v>
      </c>
      <c r="Q70" s="249" t="n">
        <f aca="false">IF(DAY(Q$10)=1,$AL$69,P70)+Q69</f>
        <v>0</v>
      </c>
      <c r="R70" s="249" t="n">
        <f aca="false">IF(DAY(R$10)=1,$AL$69,Q70)+R69</f>
        <v>0</v>
      </c>
      <c r="S70" s="249" t="n">
        <f aca="false">IF(DAY(S$10)=1,$AL$69,R70)+S69</f>
        <v>0</v>
      </c>
      <c r="T70" s="249" t="n">
        <f aca="false">IF(DAY(T$10)=1,$AL$69,S70)+T69</f>
        <v>0</v>
      </c>
      <c r="U70" s="249" t="n">
        <f aca="false">IF(DAY(U$10)=1,$AL$69,T70)+U69</f>
        <v>0</v>
      </c>
      <c r="V70" s="249" t="n">
        <f aca="false">IF(DAY(V$10)=1,$AL$69,U70)+V69</f>
        <v>0</v>
      </c>
      <c r="W70" s="249" t="n">
        <f aca="false">IF(DAY(W$10)=1,$AL$69,V70)+W69</f>
        <v>0</v>
      </c>
      <c r="X70" s="249" t="n">
        <f aca="false">IF(DAY(X$10)=1,$AL$69,W70)+X69</f>
        <v>0</v>
      </c>
      <c r="Y70" s="249" t="n">
        <f aca="false">IF(DAY(Y$10)=1,$AL$69,X70)+Y69</f>
        <v>0</v>
      </c>
      <c r="Z70" s="249" t="n">
        <f aca="false">IF(DAY(Z$10)=1,$AL$69,Y70)+Z69</f>
        <v>0</v>
      </c>
      <c r="AA70" s="249" t="n">
        <f aca="false">IF(DAY(AA$10)=1,$AL$69,Z70)+AA69</f>
        <v>0</v>
      </c>
      <c r="AB70" s="249" t="n">
        <f aca="false">IF(DAY(AB$10)=1,$AL$69,AA70)+AB69</f>
        <v>0</v>
      </c>
      <c r="AC70" s="249" t="n">
        <f aca="false">IF(DAY(AC$10)=1,$AL$69,AB70)+AC69</f>
        <v>0</v>
      </c>
      <c r="AD70" s="249" t="n">
        <f aca="false">IF(DAY(AD$10)=1,$AL$69,AC70)+AD69</f>
        <v>0</v>
      </c>
      <c r="AE70" s="249" t="n">
        <f aca="false">IF(DAY(AE$10)=1,$AL$69,AD70)+AE69</f>
        <v>0</v>
      </c>
      <c r="AF70" s="249" t="n">
        <f aca="false">IF(DAY(AF$10)=1,$AL$69,AE70)+AF69</f>
        <v>0</v>
      </c>
      <c r="AG70" s="168" t="str">
        <f aca="false">A70</f>
        <v>Balance counter night shift</v>
      </c>
      <c r="AH70" s="197"/>
      <c r="AI70" s="192"/>
      <c r="AJ70" s="27"/>
      <c r="AK70" s="235"/>
      <c r="AL70" s="235"/>
      <c r="AM70" s="172"/>
      <c r="AN70" s="254"/>
      <c r="AO70" s="171"/>
      <c r="AP70" s="171"/>
      <c r="AQ70" s="39"/>
    </row>
    <row r="71" s="148" customFormat="true" ht="15" hidden="true" customHeight="true" outlineLevel="1" collapsed="false">
      <c r="A71" s="175" t="s">
        <v>157</v>
      </c>
      <c r="B71" s="176"/>
      <c r="C71" s="176"/>
      <c r="D71" s="176"/>
      <c r="E71" s="177"/>
      <c r="F71" s="176"/>
      <c r="G71" s="176"/>
      <c r="H71" s="176"/>
      <c r="I71" s="176"/>
      <c r="J71" s="177"/>
      <c r="K71" s="176"/>
      <c r="L71" s="177"/>
      <c r="M71" s="176"/>
      <c r="N71" s="176"/>
      <c r="O71" s="176"/>
      <c r="P71" s="176"/>
      <c r="Q71" s="177"/>
      <c r="R71" s="176"/>
      <c r="S71" s="177"/>
      <c r="T71" s="177"/>
      <c r="U71" s="176"/>
      <c r="V71" s="176"/>
      <c r="W71" s="176"/>
      <c r="X71" s="177"/>
      <c r="Y71" s="176"/>
      <c r="Z71" s="178"/>
      <c r="AA71" s="176"/>
      <c r="AB71" s="176"/>
      <c r="AC71" s="176"/>
      <c r="AD71" s="176"/>
      <c r="AE71" s="177"/>
      <c r="AF71" s="176"/>
      <c r="AG71" s="168" t="str">
        <f aca="false">A71</f>
        <v>Compensation TS night shift</v>
      </c>
      <c r="AH71" s="184"/>
      <c r="AI71" s="207" t="n">
        <f aca="false">SUM(B71:AF71)</f>
        <v>0</v>
      </c>
      <c r="AJ71" s="33"/>
      <c r="AK71" s="235"/>
      <c r="AL71" s="216" t="n">
        <f aca="false">IF(EB.Anwendung&lt;&gt;"",IF(MONTH(Monat.Tag1)=1,0,IF(MONTH(Monat.Tag1)=2,January!Monat.KompZZSNDUeVM,IF(MONTH(Monat.Tag1)=3,February!Monat.KompZZSNDUeVM,IF(MONTH(Monat.Tag1)=4,March!Monat.KompZZSNDUeVM,IF(MONTH(Monat.Tag1)=5,April!Monat.KompZZSNDUeVM,IF(MONTH(Monat.Tag1)=6,May!Monat.KompZZSNDUeVM,IF(MONTH(Monat.Tag1)=7,June!Monat.KompZZSNDUeVM,IF(MONTH(Monat.Tag1)=8,July!Monat.KompZZSNDUeVM,IF(MONTH(Monat.Tag1)=9,August!Monat.KompZZSNDUeVM,IF(MONTH(Monat.Tag1)=10,September!Monat.KompZZSNDUeVM,IF(MONTH(Monat.Tag1)=11,October!Monat.KompZZSNDUeVM,IF(MONTH(Monat.Tag1)=12,November!Monat.KompZZSNDUeVM,"")))))))))))),"")</f>
        <v>0</v>
      </c>
      <c r="AM71" s="172"/>
      <c r="AN71" s="217" t="n">
        <f aca="false">AI71+AL71</f>
        <v>0</v>
      </c>
      <c r="AO71" s="217" t="n">
        <f aca="true">SUM(OFFSET(Jahr.KompZZSND,-12,0,MONTH(Monat.Tag1),1))</f>
        <v>0</v>
      </c>
      <c r="AP71" s="217" t="n">
        <f aca="false">Jahr.KompZZSND</f>
        <v>0</v>
      </c>
      <c r="AQ71" s="39"/>
    </row>
    <row r="72" s="148" customFormat="true" ht="15" hidden="true" customHeight="true" outlineLevel="1" collapsed="false">
      <c r="A72" s="175" t="s">
        <v>158</v>
      </c>
      <c r="B72" s="255"/>
      <c r="C72" s="255"/>
      <c r="D72" s="255"/>
      <c r="E72" s="255"/>
      <c r="F72" s="255"/>
      <c r="G72" s="255"/>
      <c r="H72" s="255"/>
      <c r="I72" s="255"/>
      <c r="J72" s="255"/>
      <c r="K72" s="255"/>
      <c r="L72" s="255"/>
      <c r="M72" s="255"/>
      <c r="N72" s="255"/>
      <c r="O72" s="255"/>
      <c r="P72" s="255"/>
      <c r="Q72" s="255"/>
      <c r="R72" s="255"/>
      <c r="S72" s="255"/>
      <c r="T72" s="255"/>
      <c r="U72" s="255"/>
      <c r="V72" s="255"/>
      <c r="W72" s="255"/>
      <c r="X72" s="255"/>
      <c r="Y72" s="255"/>
      <c r="Z72" s="255"/>
      <c r="AA72" s="255"/>
      <c r="AB72" s="255"/>
      <c r="AC72" s="255"/>
      <c r="AD72" s="255"/>
      <c r="AE72" s="255"/>
      <c r="AF72" s="255"/>
      <c r="AG72" s="168" t="str">
        <f aca="false">A72</f>
        <v>Start pl. night shift Yes/No</v>
      </c>
      <c r="AH72" s="184"/>
      <c r="AI72" s="192"/>
      <c r="AJ72" s="198" t="n">
        <f aca="true">IFERROR(SUMPRODUCT((B72:AF72=INDEX(T.JaNein.Bereich,1))*(B72:AF72&lt;&gt;"")),0)</f>
        <v>0</v>
      </c>
      <c r="AK72" s="235"/>
      <c r="AL72" s="198" t="n">
        <f aca="false">AL69</f>
        <v>0</v>
      </c>
      <c r="AM72" s="172"/>
      <c r="AN72" s="253" t="n">
        <f aca="false">AN69</f>
        <v>0</v>
      </c>
      <c r="AO72" s="172"/>
      <c r="AP72" s="172"/>
      <c r="AQ72" s="39"/>
    </row>
    <row r="73" s="148" customFormat="true" ht="15" hidden="false" customHeight="true" outlineLevel="1" collapsed="false">
      <c r="A73" s="175" t="s">
        <v>159</v>
      </c>
      <c r="B73" s="256" t="n">
        <f aca="false">IF(B$12=0,0,IF(OR(T.50_Vetsuisse,T.ServiceCenterIrchel),ROUND(B14-B13+MAX(0,T.Nachtab-MAX(T.Nachtbis,B14))-MAX(0,T.Nachtab-MAX(B13,T.Nachtbis))+(B13&gt;B14)*(1+T.Nachtbis-T.Nachtab)+B16-B15+MAX(0,T.Nachtab-MAX(T.Nachtbis,B16))-MAX(0,T.Nachtab-MAX(B15,T.Nachtbis))+(B15&gt;B16)*(1+T.Nachtbis-T.Nachtab)+B18-B17+MAX(0,T.Nachtab-MAX(T.Nachtbis,B18))-MAX(0,T.Nachtab-MAX(B17,T.Nachtbis))+(B17&gt;B18)*(1+T.Nachtbis-T.Nachtab)+B20-B19+MAX(0,T.Nachtab-MAX(T.Nachtbis,B20))-MAX(0,T.Nachtab-MAX(B19,T.Nachtbis))+(B19&gt;B20)*(1+T.Nachtbis-T.Nachtab)+B22-B21+MAX(0,T.Nachtab-MAX(T.Nachtbis,B22))-MAX(0,T.Nachtab-MAX(B21,T.Nachtbis))+(B21&gt;B22)*(1+T.Nachtbis-T.Nachtab),9), IF(AND(WEEKDAY(B$10,2)&lt;6,B$11&lt;&gt;0),ROUND(B36-B35+MAX(0,T.Nachtab-MAX(T.Nachtbis,B36))-MAX(0,T.Nachtab-MAX(B35,T.Nachtbis))+(B35&gt;B36)*(1+T.Nachtbis-T.Nachtab)+B38-B37+MAX(0,T.Nachtab-MAX(T.Nachtbis,B38))-MAX(0,T.Nachtab-MAX(B37,T.Nachtbis))+(B37&gt;B38)*(1+T.Nachtbis-T.Nachtab)+B40-B39+MAX(0,T.Nachtab-MAX(T.Nachtbis,B40))-MAX(0,T.Nachtab-MAX(B39,T.Nachtbis))+(B39&gt;B40)*(1+T.Nachtbis-T.Nachtab)+B42-B41+MAX(0,T.Nachtab-MAX(T.Nachtbis,B42))-MAX(0,T.Nachtab-MAX(B41,T.Nachtbis))+(B41&gt;B42)*(1+T.Nachtbis-T.Nachtab)+B44-B43+MAX(0,T.Nachtab-MAX(T.Nachtbis,B44))-MAX(0,T.Nachtab-MAX(B43,T.Nachtbis))+(B43&gt;B44)*(1+T.Nachtbis-T.Nachtab),9),0)))</f>
        <v>0</v>
      </c>
      <c r="C73" s="256" t="n">
        <f aca="false">IF(C$12=0,0,IF(OR(T.50_Vetsuisse,T.ServiceCenterIrchel),ROUND(C14-C13+MAX(0,T.Nachtab-MAX(T.Nachtbis,C14))-MAX(0,T.Nachtab-MAX(C13,T.Nachtbis))+(C13&gt;C14)*(1+T.Nachtbis-T.Nachtab)+C16-C15+MAX(0,T.Nachtab-MAX(T.Nachtbis,C16))-MAX(0,T.Nachtab-MAX(C15,T.Nachtbis))+(C15&gt;C16)*(1+T.Nachtbis-T.Nachtab)+C18-C17+MAX(0,T.Nachtab-MAX(T.Nachtbis,C18))-MAX(0,T.Nachtab-MAX(C17,T.Nachtbis))+(C17&gt;C18)*(1+T.Nachtbis-T.Nachtab)+C20-C19+MAX(0,T.Nachtab-MAX(T.Nachtbis,C20))-MAX(0,T.Nachtab-MAX(C19,T.Nachtbis))+(C19&gt;C20)*(1+T.Nachtbis-T.Nachtab)+C22-C21+MAX(0,T.Nachtab-MAX(T.Nachtbis,C22))-MAX(0,T.Nachtab-MAX(C21,T.Nachtbis))+(C21&gt;C22)*(1+T.Nachtbis-T.Nachtab),9), IF(AND(WEEKDAY(C$10,2)&lt;6,C$11&lt;&gt;0),ROUND(C36-C35+MAX(0,T.Nachtab-MAX(T.Nachtbis,C36))-MAX(0,T.Nachtab-MAX(C35,T.Nachtbis))+(C35&gt;C36)*(1+T.Nachtbis-T.Nachtab)+C38-C37+MAX(0,T.Nachtab-MAX(T.Nachtbis,C38))-MAX(0,T.Nachtab-MAX(C37,T.Nachtbis))+(C37&gt;C38)*(1+T.Nachtbis-T.Nachtab)+C40-C39+MAX(0,T.Nachtab-MAX(T.Nachtbis,C40))-MAX(0,T.Nachtab-MAX(C39,T.Nachtbis))+(C39&gt;C40)*(1+T.Nachtbis-T.Nachtab)+C42-C41+MAX(0,T.Nachtab-MAX(T.Nachtbis,C42))-MAX(0,T.Nachtab-MAX(C41,T.Nachtbis))+(C41&gt;C42)*(1+T.Nachtbis-T.Nachtab)+C44-C43+MAX(0,T.Nachtab-MAX(T.Nachtbis,C44))-MAX(0,T.Nachtab-MAX(C43,T.Nachtbis))+(C43&gt;C44)*(1+T.Nachtbis-T.Nachtab),9),0)))</f>
        <v>0</v>
      </c>
      <c r="D73" s="256" t="n">
        <f aca="false">IF(D$12=0,0,IF(OR(T.50_Vetsuisse,T.ServiceCenterIrchel),ROUND(D14-D13+MAX(0,T.Nachtab-MAX(T.Nachtbis,D14))-MAX(0,T.Nachtab-MAX(D13,T.Nachtbis))+(D13&gt;D14)*(1+T.Nachtbis-T.Nachtab)+D16-D15+MAX(0,T.Nachtab-MAX(T.Nachtbis,D16))-MAX(0,T.Nachtab-MAX(D15,T.Nachtbis))+(D15&gt;D16)*(1+T.Nachtbis-T.Nachtab)+D18-D17+MAX(0,T.Nachtab-MAX(T.Nachtbis,D18))-MAX(0,T.Nachtab-MAX(D17,T.Nachtbis))+(D17&gt;D18)*(1+T.Nachtbis-T.Nachtab)+D20-D19+MAX(0,T.Nachtab-MAX(T.Nachtbis,D20))-MAX(0,T.Nachtab-MAX(D19,T.Nachtbis))+(D19&gt;D20)*(1+T.Nachtbis-T.Nachtab)+D22-D21+MAX(0,T.Nachtab-MAX(T.Nachtbis,D22))-MAX(0,T.Nachtab-MAX(D21,T.Nachtbis))+(D21&gt;D22)*(1+T.Nachtbis-T.Nachtab),9), IF(AND(WEEKDAY(D$10,2)&lt;6,D$11&lt;&gt;0),ROUND(D36-D35+MAX(0,T.Nachtab-MAX(T.Nachtbis,D36))-MAX(0,T.Nachtab-MAX(D35,T.Nachtbis))+(D35&gt;D36)*(1+T.Nachtbis-T.Nachtab)+D38-D37+MAX(0,T.Nachtab-MAX(T.Nachtbis,D38))-MAX(0,T.Nachtab-MAX(D37,T.Nachtbis))+(D37&gt;D38)*(1+T.Nachtbis-T.Nachtab)+D40-D39+MAX(0,T.Nachtab-MAX(T.Nachtbis,D40))-MAX(0,T.Nachtab-MAX(D39,T.Nachtbis))+(D39&gt;D40)*(1+T.Nachtbis-T.Nachtab)+D42-D41+MAX(0,T.Nachtab-MAX(T.Nachtbis,D42))-MAX(0,T.Nachtab-MAX(D41,T.Nachtbis))+(D41&gt;D42)*(1+T.Nachtbis-T.Nachtab)+D44-D43+MAX(0,T.Nachtab-MAX(T.Nachtbis,D44))-MAX(0,T.Nachtab-MAX(D43,T.Nachtbis))+(D43&gt;D44)*(1+T.Nachtbis-T.Nachtab),9),0)))</f>
        <v>0</v>
      </c>
      <c r="E73" s="256" t="n">
        <f aca="false">IF(E$12=0,0,IF(OR(T.50_Vetsuisse,T.ServiceCenterIrchel),ROUND(E14-E13+MAX(0,T.Nachtab-MAX(T.Nachtbis,E14))-MAX(0,T.Nachtab-MAX(E13,T.Nachtbis))+(E13&gt;E14)*(1+T.Nachtbis-T.Nachtab)+E16-E15+MAX(0,T.Nachtab-MAX(T.Nachtbis,E16))-MAX(0,T.Nachtab-MAX(E15,T.Nachtbis))+(E15&gt;E16)*(1+T.Nachtbis-T.Nachtab)+E18-E17+MAX(0,T.Nachtab-MAX(T.Nachtbis,E18))-MAX(0,T.Nachtab-MAX(E17,T.Nachtbis))+(E17&gt;E18)*(1+T.Nachtbis-T.Nachtab)+E20-E19+MAX(0,T.Nachtab-MAX(T.Nachtbis,E20))-MAX(0,T.Nachtab-MAX(E19,T.Nachtbis))+(E19&gt;E20)*(1+T.Nachtbis-T.Nachtab)+E22-E21+MAX(0,T.Nachtab-MAX(T.Nachtbis,E22))-MAX(0,T.Nachtab-MAX(E21,T.Nachtbis))+(E21&gt;E22)*(1+T.Nachtbis-T.Nachtab),9), IF(AND(WEEKDAY(E$10,2)&lt;6,E$11&lt;&gt;0),ROUND(E36-E35+MAX(0,T.Nachtab-MAX(T.Nachtbis,E36))-MAX(0,T.Nachtab-MAX(E35,T.Nachtbis))+(E35&gt;E36)*(1+T.Nachtbis-T.Nachtab)+E38-E37+MAX(0,T.Nachtab-MAX(T.Nachtbis,E38))-MAX(0,T.Nachtab-MAX(E37,T.Nachtbis))+(E37&gt;E38)*(1+T.Nachtbis-T.Nachtab)+E40-E39+MAX(0,T.Nachtab-MAX(T.Nachtbis,E40))-MAX(0,T.Nachtab-MAX(E39,T.Nachtbis))+(E39&gt;E40)*(1+T.Nachtbis-T.Nachtab)+E42-E41+MAX(0,T.Nachtab-MAX(T.Nachtbis,E42))-MAX(0,T.Nachtab-MAX(E41,T.Nachtbis))+(E41&gt;E42)*(1+T.Nachtbis-T.Nachtab)+E44-E43+MAX(0,T.Nachtab-MAX(T.Nachtbis,E44))-MAX(0,T.Nachtab-MAX(E43,T.Nachtbis))+(E43&gt;E44)*(1+T.Nachtbis-T.Nachtab),9),0)))</f>
        <v>0</v>
      </c>
      <c r="F73" s="256" t="n">
        <f aca="false">IF(F$12=0,0,IF(OR(T.50_Vetsuisse,T.ServiceCenterIrchel),ROUND(F14-F13+MAX(0,T.Nachtab-MAX(T.Nachtbis,F14))-MAX(0,T.Nachtab-MAX(F13,T.Nachtbis))+(F13&gt;F14)*(1+T.Nachtbis-T.Nachtab)+F16-F15+MAX(0,T.Nachtab-MAX(T.Nachtbis,F16))-MAX(0,T.Nachtab-MAX(F15,T.Nachtbis))+(F15&gt;F16)*(1+T.Nachtbis-T.Nachtab)+F18-F17+MAX(0,T.Nachtab-MAX(T.Nachtbis,F18))-MAX(0,T.Nachtab-MAX(F17,T.Nachtbis))+(F17&gt;F18)*(1+T.Nachtbis-T.Nachtab)+F20-F19+MAX(0,T.Nachtab-MAX(T.Nachtbis,F20))-MAX(0,T.Nachtab-MAX(F19,T.Nachtbis))+(F19&gt;F20)*(1+T.Nachtbis-T.Nachtab)+F22-F21+MAX(0,T.Nachtab-MAX(T.Nachtbis,F22))-MAX(0,T.Nachtab-MAX(F21,T.Nachtbis))+(F21&gt;F22)*(1+T.Nachtbis-T.Nachtab),9), IF(AND(WEEKDAY(F$10,2)&lt;6,F$11&lt;&gt;0),ROUND(F36-F35+MAX(0,T.Nachtab-MAX(T.Nachtbis,F36))-MAX(0,T.Nachtab-MAX(F35,T.Nachtbis))+(F35&gt;F36)*(1+T.Nachtbis-T.Nachtab)+F38-F37+MAX(0,T.Nachtab-MAX(T.Nachtbis,F38))-MAX(0,T.Nachtab-MAX(F37,T.Nachtbis))+(F37&gt;F38)*(1+T.Nachtbis-T.Nachtab)+F40-F39+MAX(0,T.Nachtab-MAX(T.Nachtbis,F40))-MAX(0,T.Nachtab-MAX(F39,T.Nachtbis))+(F39&gt;F40)*(1+T.Nachtbis-T.Nachtab)+F42-F41+MAX(0,T.Nachtab-MAX(T.Nachtbis,F42))-MAX(0,T.Nachtab-MAX(F41,T.Nachtbis))+(F41&gt;F42)*(1+T.Nachtbis-T.Nachtab)+F44-F43+MAX(0,T.Nachtab-MAX(T.Nachtbis,F44))-MAX(0,T.Nachtab-MAX(F43,T.Nachtbis))+(F43&gt;F44)*(1+T.Nachtbis-T.Nachtab),9),0)))</f>
        <v>0</v>
      </c>
      <c r="G73" s="256" t="n">
        <f aca="false">IF(G$12=0,0,IF(OR(T.50_Vetsuisse,T.ServiceCenterIrchel),ROUND(G14-G13+MAX(0,T.Nachtab-MAX(T.Nachtbis,G14))-MAX(0,T.Nachtab-MAX(G13,T.Nachtbis))+(G13&gt;G14)*(1+T.Nachtbis-T.Nachtab)+G16-G15+MAX(0,T.Nachtab-MAX(T.Nachtbis,G16))-MAX(0,T.Nachtab-MAX(G15,T.Nachtbis))+(G15&gt;G16)*(1+T.Nachtbis-T.Nachtab)+G18-G17+MAX(0,T.Nachtab-MAX(T.Nachtbis,G18))-MAX(0,T.Nachtab-MAX(G17,T.Nachtbis))+(G17&gt;G18)*(1+T.Nachtbis-T.Nachtab)+G20-G19+MAX(0,T.Nachtab-MAX(T.Nachtbis,G20))-MAX(0,T.Nachtab-MAX(G19,T.Nachtbis))+(G19&gt;G20)*(1+T.Nachtbis-T.Nachtab)+G22-G21+MAX(0,T.Nachtab-MAX(T.Nachtbis,G22))-MAX(0,T.Nachtab-MAX(G21,T.Nachtbis))+(G21&gt;G22)*(1+T.Nachtbis-T.Nachtab),9), IF(AND(WEEKDAY(G$10,2)&lt;6,G$11&lt;&gt;0),ROUND(G36-G35+MAX(0,T.Nachtab-MAX(T.Nachtbis,G36))-MAX(0,T.Nachtab-MAX(G35,T.Nachtbis))+(G35&gt;G36)*(1+T.Nachtbis-T.Nachtab)+G38-G37+MAX(0,T.Nachtab-MAX(T.Nachtbis,G38))-MAX(0,T.Nachtab-MAX(G37,T.Nachtbis))+(G37&gt;G38)*(1+T.Nachtbis-T.Nachtab)+G40-G39+MAX(0,T.Nachtab-MAX(T.Nachtbis,G40))-MAX(0,T.Nachtab-MAX(G39,T.Nachtbis))+(G39&gt;G40)*(1+T.Nachtbis-T.Nachtab)+G42-G41+MAX(0,T.Nachtab-MAX(T.Nachtbis,G42))-MAX(0,T.Nachtab-MAX(G41,T.Nachtbis))+(G41&gt;G42)*(1+T.Nachtbis-T.Nachtab)+G44-G43+MAX(0,T.Nachtab-MAX(T.Nachtbis,G44))-MAX(0,T.Nachtab-MAX(G43,T.Nachtbis))+(G43&gt;G44)*(1+T.Nachtbis-T.Nachtab),9),0)))</f>
        <v>0</v>
      </c>
      <c r="H73" s="256" t="n">
        <f aca="false">IF(H$12=0,0,IF(OR(T.50_Vetsuisse,T.ServiceCenterIrchel),ROUND(H14-H13+MAX(0,T.Nachtab-MAX(T.Nachtbis,H14))-MAX(0,T.Nachtab-MAX(H13,T.Nachtbis))+(H13&gt;H14)*(1+T.Nachtbis-T.Nachtab)+H16-H15+MAX(0,T.Nachtab-MAX(T.Nachtbis,H16))-MAX(0,T.Nachtab-MAX(H15,T.Nachtbis))+(H15&gt;H16)*(1+T.Nachtbis-T.Nachtab)+H18-H17+MAX(0,T.Nachtab-MAX(T.Nachtbis,H18))-MAX(0,T.Nachtab-MAX(H17,T.Nachtbis))+(H17&gt;H18)*(1+T.Nachtbis-T.Nachtab)+H20-H19+MAX(0,T.Nachtab-MAX(T.Nachtbis,H20))-MAX(0,T.Nachtab-MAX(H19,T.Nachtbis))+(H19&gt;H20)*(1+T.Nachtbis-T.Nachtab)+H22-H21+MAX(0,T.Nachtab-MAX(T.Nachtbis,H22))-MAX(0,T.Nachtab-MAX(H21,T.Nachtbis))+(H21&gt;H22)*(1+T.Nachtbis-T.Nachtab),9), IF(AND(WEEKDAY(H$10,2)&lt;6,H$11&lt;&gt;0),ROUND(H36-H35+MAX(0,T.Nachtab-MAX(T.Nachtbis,H36))-MAX(0,T.Nachtab-MAX(H35,T.Nachtbis))+(H35&gt;H36)*(1+T.Nachtbis-T.Nachtab)+H38-H37+MAX(0,T.Nachtab-MAX(T.Nachtbis,H38))-MAX(0,T.Nachtab-MAX(H37,T.Nachtbis))+(H37&gt;H38)*(1+T.Nachtbis-T.Nachtab)+H40-H39+MAX(0,T.Nachtab-MAX(T.Nachtbis,H40))-MAX(0,T.Nachtab-MAX(H39,T.Nachtbis))+(H39&gt;H40)*(1+T.Nachtbis-T.Nachtab)+H42-H41+MAX(0,T.Nachtab-MAX(T.Nachtbis,H42))-MAX(0,T.Nachtab-MAX(H41,T.Nachtbis))+(H41&gt;H42)*(1+T.Nachtbis-T.Nachtab)+H44-H43+MAX(0,T.Nachtab-MAX(T.Nachtbis,H44))-MAX(0,T.Nachtab-MAX(H43,T.Nachtbis))+(H43&gt;H44)*(1+T.Nachtbis-T.Nachtab),9),0)))</f>
        <v>0</v>
      </c>
      <c r="I73" s="256" t="n">
        <f aca="false">IF(I$12=0,0,IF(OR(T.50_Vetsuisse,T.ServiceCenterIrchel),ROUND(I14-I13+MAX(0,T.Nachtab-MAX(T.Nachtbis,I14))-MAX(0,T.Nachtab-MAX(I13,T.Nachtbis))+(I13&gt;I14)*(1+T.Nachtbis-T.Nachtab)+I16-I15+MAX(0,T.Nachtab-MAX(T.Nachtbis,I16))-MAX(0,T.Nachtab-MAX(I15,T.Nachtbis))+(I15&gt;I16)*(1+T.Nachtbis-T.Nachtab)+I18-I17+MAX(0,T.Nachtab-MAX(T.Nachtbis,I18))-MAX(0,T.Nachtab-MAX(I17,T.Nachtbis))+(I17&gt;I18)*(1+T.Nachtbis-T.Nachtab)+I20-I19+MAX(0,T.Nachtab-MAX(T.Nachtbis,I20))-MAX(0,T.Nachtab-MAX(I19,T.Nachtbis))+(I19&gt;I20)*(1+T.Nachtbis-T.Nachtab)+I22-I21+MAX(0,T.Nachtab-MAX(T.Nachtbis,I22))-MAX(0,T.Nachtab-MAX(I21,T.Nachtbis))+(I21&gt;I22)*(1+T.Nachtbis-T.Nachtab),9), IF(AND(WEEKDAY(I$10,2)&lt;6,I$11&lt;&gt;0),ROUND(I36-I35+MAX(0,T.Nachtab-MAX(T.Nachtbis,I36))-MAX(0,T.Nachtab-MAX(I35,T.Nachtbis))+(I35&gt;I36)*(1+T.Nachtbis-T.Nachtab)+I38-I37+MAX(0,T.Nachtab-MAX(T.Nachtbis,I38))-MAX(0,T.Nachtab-MAX(I37,T.Nachtbis))+(I37&gt;I38)*(1+T.Nachtbis-T.Nachtab)+I40-I39+MAX(0,T.Nachtab-MAX(T.Nachtbis,I40))-MAX(0,T.Nachtab-MAX(I39,T.Nachtbis))+(I39&gt;I40)*(1+T.Nachtbis-T.Nachtab)+I42-I41+MAX(0,T.Nachtab-MAX(T.Nachtbis,I42))-MAX(0,T.Nachtab-MAX(I41,T.Nachtbis))+(I41&gt;I42)*(1+T.Nachtbis-T.Nachtab)+I44-I43+MAX(0,T.Nachtab-MAX(T.Nachtbis,I44))-MAX(0,T.Nachtab-MAX(I43,T.Nachtbis))+(I43&gt;I44)*(1+T.Nachtbis-T.Nachtab),9),0)))</f>
        <v>0</v>
      </c>
      <c r="J73" s="256" t="n">
        <f aca="false">IF(J$12=0,0,IF(OR(T.50_Vetsuisse,T.ServiceCenterIrchel),ROUND(J14-J13+MAX(0,T.Nachtab-MAX(T.Nachtbis,J14))-MAX(0,T.Nachtab-MAX(J13,T.Nachtbis))+(J13&gt;J14)*(1+T.Nachtbis-T.Nachtab)+J16-J15+MAX(0,T.Nachtab-MAX(T.Nachtbis,J16))-MAX(0,T.Nachtab-MAX(J15,T.Nachtbis))+(J15&gt;J16)*(1+T.Nachtbis-T.Nachtab)+J18-J17+MAX(0,T.Nachtab-MAX(T.Nachtbis,J18))-MAX(0,T.Nachtab-MAX(J17,T.Nachtbis))+(J17&gt;J18)*(1+T.Nachtbis-T.Nachtab)+J20-J19+MAX(0,T.Nachtab-MAX(T.Nachtbis,J20))-MAX(0,T.Nachtab-MAX(J19,T.Nachtbis))+(J19&gt;J20)*(1+T.Nachtbis-T.Nachtab)+J22-J21+MAX(0,T.Nachtab-MAX(T.Nachtbis,J22))-MAX(0,T.Nachtab-MAX(J21,T.Nachtbis))+(J21&gt;J22)*(1+T.Nachtbis-T.Nachtab),9), IF(AND(WEEKDAY(J$10,2)&lt;6,J$11&lt;&gt;0),ROUND(J36-J35+MAX(0,T.Nachtab-MAX(T.Nachtbis,J36))-MAX(0,T.Nachtab-MAX(J35,T.Nachtbis))+(J35&gt;J36)*(1+T.Nachtbis-T.Nachtab)+J38-J37+MAX(0,T.Nachtab-MAX(T.Nachtbis,J38))-MAX(0,T.Nachtab-MAX(J37,T.Nachtbis))+(J37&gt;J38)*(1+T.Nachtbis-T.Nachtab)+J40-J39+MAX(0,T.Nachtab-MAX(T.Nachtbis,J40))-MAX(0,T.Nachtab-MAX(J39,T.Nachtbis))+(J39&gt;J40)*(1+T.Nachtbis-T.Nachtab)+J42-J41+MAX(0,T.Nachtab-MAX(T.Nachtbis,J42))-MAX(0,T.Nachtab-MAX(J41,T.Nachtbis))+(J41&gt;J42)*(1+T.Nachtbis-T.Nachtab)+J44-J43+MAX(0,T.Nachtab-MAX(T.Nachtbis,J44))-MAX(0,T.Nachtab-MAX(J43,T.Nachtbis))+(J43&gt;J44)*(1+T.Nachtbis-T.Nachtab),9),0)))</f>
        <v>0</v>
      </c>
      <c r="K73" s="256" t="n">
        <f aca="false">IF(K$12=0,0,IF(OR(T.50_Vetsuisse,T.ServiceCenterIrchel),ROUND(K14-K13+MAX(0,T.Nachtab-MAX(T.Nachtbis,K14))-MAX(0,T.Nachtab-MAX(K13,T.Nachtbis))+(K13&gt;K14)*(1+T.Nachtbis-T.Nachtab)+K16-K15+MAX(0,T.Nachtab-MAX(T.Nachtbis,K16))-MAX(0,T.Nachtab-MAX(K15,T.Nachtbis))+(K15&gt;K16)*(1+T.Nachtbis-T.Nachtab)+K18-K17+MAX(0,T.Nachtab-MAX(T.Nachtbis,K18))-MAX(0,T.Nachtab-MAX(K17,T.Nachtbis))+(K17&gt;K18)*(1+T.Nachtbis-T.Nachtab)+K20-K19+MAX(0,T.Nachtab-MAX(T.Nachtbis,K20))-MAX(0,T.Nachtab-MAX(K19,T.Nachtbis))+(K19&gt;K20)*(1+T.Nachtbis-T.Nachtab)+K22-K21+MAX(0,T.Nachtab-MAX(T.Nachtbis,K22))-MAX(0,T.Nachtab-MAX(K21,T.Nachtbis))+(K21&gt;K22)*(1+T.Nachtbis-T.Nachtab),9), IF(AND(WEEKDAY(K$10,2)&lt;6,K$11&lt;&gt;0),ROUND(K36-K35+MAX(0,T.Nachtab-MAX(T.Nachtbis,K36))-MAX(0,T.Nachtab-MAX(K35,T.Nachtbis))+(K35&gt;K36)*(1+T.Nachtbis-T.Nachtab)+K38-K37+MAX(0,T.Nachtab-MAX(T.Nachtbis,K38))-MAX(0,T.Nachtab-MAX(K37,T.Nachtbis))+(K37&gt;K38)*(1+T.Nachtbis-T.Nachtab)+K40-K39+MAX(0,T.Nachtab-MAX(T.Nachtbis,K40))-MAX(0,T.Nachtab-MAX(K39,T.Nachtbis))+(K39&gt;K40)*(1+T.Nachtbis-T.Nachtab)+K42-K41+MAX(0,T.Nachtab-MAX(T.Nachtbis,K42))-MAX(0,T.Nachtab-MAX(K41,T.Nachtbis))+(K41&gt;K42)*(1+T.Nachtbis-T.Nachtab)+K44-K43+MAX(0,T.Nachtab-MAX(T.Nachtbis,K44))-MAX(0,T.Nachtab-MAX(K43,T.Nachtbis))+(K43&gt;K44)*(1+T.Nachtbis-T.Nachtab),9),0)))</f>
        <v>0</v>
      </c>
      <c r="L73" s="256" t="n">
        <f aca="false">IF(L$12=0,0,IF(OR(T.50_Vetsuisse,T.ServiceCenterIrchel),ROUND(L14-L13+MAX(0,T.Nachtab-MAX(T.Nachtbis,L14))-MAX(0,T.Nachtab-MAX(L13,T.Nachtbis))+(L13&gt;L14)*(1+T.Nachtbis-T.Nachtab)+L16-L15+MAX(0,T.Nachtab-MAX(T.Nachtbis,L16))-MAX(0,T.Nachtab-MAX(L15,T.Nachtbis))+(L15&gt;L16)*(1+T.Nachtbis-T.Nachtab)+L18-L17+MAX(0,T.Nachtab-MAX(T.Nachtbis,L18))-MAX(0,T.Nachtab-MAX(L17,T.Nachtbis))+(L17&gt;L18)*(1+T.Nachtbis-T.Nachtab)+L20-L19+MAX(0,T.Nachtab-MAX(T.Nachtbis,L20))-MAX(0,T.Nachtab-MAX(L19,T.Nachtbis))+(L19&gt;L20)*(1+T.Nachtbis-T.Nachtab)+L22-L21+MAX(0,T.Nachtab-MAX(T.Nachtbis,L22))-MAX(0,T.Nachtab-MAX(L21,T.Nachtbis))+(L21&gt;L22)*(1+T.Nachtbis-T.Nachtab),9), IF(AND(WEEKDAY(L$10,2)&lt;6,L$11&lt;&gt;0),ROUND(L36-L35+MAX(0,T.Nachtab-MAX(T.Nachtbis,L36))-MAX(0,T.Nachtab-MAX(L35,T.Nachtbis))+(L35&gt;L36)*(1+T.Nachtbis-T.Nachtab)+L38-L37+MAX(0,T.Nachtab-MAX(T.Nachtbis,L38))-MAX(0,T.Nachtab-MAX(L37,T.Nachtbis))+(L37&gt;L38)*(1+T.Nachtbis-T.Nachtab)+L40-L39+MAX(0,T.Nachtab-MAX(T.Nachtbis,L40))-MAX(0,T.Nachtab-MAX(L39,T.Nachtbis))+(L39&gt;L40)*(1+T.Nachtbis-T.Nachtab)+L42-L41+MAX(0,T.Nachtab-MAX(T.Nachtbis,L42))-MAX(0,T.Nachtab-MAX(L41,T.Nachtbis))+(L41&gt;L42)*(1+T.Nachtbis-T.Nachtab)+L44-L43+MAX(0,T.Nachtab-MAX(T.Nachtbis,L44))-MAX(0,T.Nachtab-MAX(L43,T.Nachtbis))+(L43&gt;L44)*(1+T.Nachtbis-T.Nachtab),9),0)))</f>
        <v>0</v>
      </c>
      <c r="M73" s="256" t="n">
        <f aca="false">IF(M$12=0,0,IF(OR(T.50_Vetsuisse,T.ServiceCenterIrchel),ROUND(M14-M13+MAX(0,T.Nachtab-MAX(T.Nachtbis,M14))-MAX(0,T.Nachtab-MAX(M13,T.Nachtbis))+(M13&gt;M14)*(1+T.Nachtbis-T.Nachtab)+M16-M15+MAX(0,T.Nachtab-MAX(T.Nachtbis,M16))-MAX(0,T.Nachtab-MAX(M15,T.Nachtbis))+(M15&gt;M16)*(1+T.Nachtbis-T.Nachtab)+M18-M17+MAX(0,T.Nachtab-MAX(T.Nachtbis,M18))-MAX(0,T.Nachtab-MAX(M17,T.Nachtbis))+(M17&gt;M18)*(1+T.Nachtbis-T.Nachtab)+M20-M19+MAX(0,T.Nachtab-MAX(T.Nachtbis,M20))-MAX(0,T.Nachtab-MAX(M19,T.Nachtbis))+(M19&gt;M20)*(1+T.Nachtbis-T.Nachtab)+M22-M21+MAX(0,T.Nachtab-MAX(T.Nachtbis,M22))-MAX(0,T.Nachtab-MAX(M21,T.Nachtbis))+(M21&gt;M22)*(1+T.Nachtbis-T.Nachtab),9), IF(AND(WEEKDAY(M$10,2)&lt;6,M$11&lt;&gt;0),ROUND(M36-M35+MAX(0,T.Nachtab-MAX(T.Nachtbis,M36))-MAX(0,T.Nachtab-MAX(M35,T.Nachtbis))+(M35&gt;M36)*(1+T.Nachtbis-T.Nachtab)+M38-M37+MAX(0,T.Nachtab-MAX(T.Nachtbis,M38))-MAX(0,T.Nachtab-MAX(M37,T.Nachtbis))+(M37&gt;M38)*(1+T.Nachtbis-T.Nachtab)+M40-M39+MAX(0,T.Nachtab-MAX(T.Nachtbis,M40))-MAX(0,T.Nachtab-MAX(M39,T.Nachtbis))+(M39&gt;M40)*(1+T.Nachtbis-T.Nachtab)+M42-M41+MAX(0,T.Nachtab-MAX(T.Nachtbis,M42))-MAX(0,T.Nachtab-MAX(M41,T.Nachtbis))+(M41&gt;M42)*(1+T.Nachtbis-T.Nachtab)+M44-M43+MAX(0,T.Nachtab-MAX(T.Nachtbis,M44))-MAX(0,T.Nachtab-MAX(M43,T.Nachtbis))+(M43&gt;M44)*(1+T.Nachtbis-T.Nachtab),9),0)))</f>
        <v>0</v>
      </c>
      <c r="N73" s="256" t="n">
        <f aca="false">IF(N$12=0,0,IF(OR(T.50_Vetsuisse,T.ServiceCenterIrchel),ROUND(N14-N13+MAX(0,T.Nachtab-MAX(T.Nachtbis,N14))-MAX(0,T.Nachtab-MAX(N13,T.Nachtbis))+(N13&gt;N14)*(1+T.Nachtbis-T.Nachtab)+N16-N15+MAX(0,T.Nachtab-MAX(T.Nachtbis,N16))-MAX(0,T.Nachtab-MAX(N15,T.Nachtbis))+(N15&gt;N16)*(1+T.Nachtbis-T.Nachtab)+N18-N17+MAX(0,T.Nachtab-MAX(T.Nachtbis,N18))-MAX(0,T.Nachtab-MAX(N17,T.Nachtbis))+(N17&gt;N18)*(1+T.Nachtbis-T.Nachtab)+N20-N19+MAX(0,T.Nachtab-MAX(T.Nachtbis,N20))-MAX(0,T.Nachtab-MAX(N19,T.Nachtbis))+(N19&gt;N20)*(1+T.Nachtbis-T.Nachtab)+N22-N21+MAX(0,T.Nachtab-MAX(T.Nachtbis,N22))-MAX(0,T.Nachtab-MAX(N21,T.Nachtbis))+(N21&gt;N22)*(1+T.Nachtbis-T.Nachtab),9), IF(AND(WEEKDAY(N$10,2)&lt;6,N$11&lt;&gt;0),ROUND(N36-N35+MAX(0,T.Nachtab-MAX(T.Nachtbis,N36))-MAX(0,T.Nachtab-MAX(N35,T.Nachtbis))+(N35&gt;N36)*(1+T.Nachtbis-T.Nachtab)+N38-N37+MAX(0,T.Nachtab-MAX(T.Nachtbis,N38))-MAX(0,T.Nachtab-MAX(N37,T.Nachtbis))+(N37&gt;N38)*(1+T.Nachtbis-T.Nachtab)+N40-N39+MAX(0,T.Nachtab-MAX(T.Nachtbis,N40))-MAX(0,T.Nachtab-MAX(N39,T.Nachtbis))+(N39&gt;N40)*(1+T.Nachtbis-T.Nachtab)+N42-N41+MAX(0,T.Nachtab-MAX(T.Nachtbis,N42))-MAX(0,T.Nachtab-MAX(N41,T.Nachtbis))+(N41&gt;N42)*(1+T.Nachtbis-T.Nachtab)+N44-N43+MAX(0,T.Nachtab-MAX(T.Nachtbis,N44))-MAX(0,T.Nachtab-MAX(N43,T.Nachtbis))+(N43&gt;N44)*(1+T.Nachtbis-T.Nachtab),9),0)))</f>
        <v>0</v>
      </c>
      <c r="O73" s="256" t="n">
        <f aca="false">IF(O$12=0,0,IF(OR(T.50_Vetsuisse,T.ServiceCenterIrchel),ROUND(O14-O13+MAX(0,T.Nachtab-MAX(T.Nachtbis,O14))-MAX(0,T.Nachtab-MAX(O13,T.Nachtbis))+(O13&gt;O14)*(1+T.Nachtbis-T.Nachtab)+O16-O15+MAX(0,T.Nachtab-MAX(T.Nachtbis,O16))-MAX(0,T.Nachtab-MAX(O15,T.Nachtbis))+(O15&gt;O16)*(1+T.Nachtbis-T.Nachtab)+O18-O17+MAX(0,T.Nachtab-MAX(T.Nachtbis,O18))-MAX(0,T.Nachtab-MAX(O17,T.Nachtbis))+(O17&gt;O18)*(1+T.Nachtbis-T.Nachtab)+O20-O19+MAX(0,T.Nachtab-MAX(T.Nachtbis,O20))-MAX(0,T.Nachtab-MAX(O19,T.Nachtbis))+(O19&gt;O20)*(1+T.Nachtbis-T.Nachtab)+O22-O21+MAX(0,T.Nachtab-MAX(T.Nachtbis,O22))-MAX(0,T.Nachtab-MAX(O21,T.Nachtbis))+(O21&gt;O22)*(1+T.Nachtbis-T.Nachtab),9), IF(AND(WEEKDAY(O$10,2)&lt;6,O$11&lt;&gt;0),ROUND(O36-O35+MAX(0,T.Nachtab-MAX(T.Nachtbis,O36))-MAX(0,T.Nachtab-MAX(O35,T.Nachtbis))+(O35&gt;O36)*(1+T.Nachtbis-T.Nachtab)+O38-O37+MAX(0,T.Nachtab-MAX(T.Nachtbis,O38))-MAX(0,T.Nachtab-MAX(O37,T.Nachtbis))+(O37&gt;O38)*(1+T.Nachtbis-T.Nachtab)+O40-O39+MAX(0,T.Nachtab-MAX(T.Nachtbis,O40))-MAX(0,T.Nachtab-MAX(O39,T.Nachtbis))+(O39&gt;O40)*(1+T.Nachtbis-T.Nachtab)+O42-O41+MAX(0,T.Nachtab-MAX(T.Nachtbis,O42))-MAX(0,T.Nachtab-MAX(O41,T.Nachtbis))+(O41&gt;O42)*(1+T.Nachtbis-T.Nachtab)+O44-O43+MAX(0,T.Nachtab-MAX(T.Nachtbis,O44))-MAX(0,T.Nachtab-MAX(O43,T.Nachtbis))+(O43&gt;O44)*(1+T.Nachtbis-T.Nachtab),9),0)))</f>
        <v>0</v>
      </c>
      <c r="P73" s="256" t="n">
        <f aca="false">IF(P$12=0,0,IF(OR(T.50_Vetsuisse,T.ServiceCenterIrchel),ROUND(P14-P13+MAX(0,T.Nachtab-MAX(T.Nachtbis,P14))-MAX(0,T.Nachtab-MAX(P13,T.Nachtbis))+(P13&gt;P14)*(1+T.Nachtbis-T.Nachtab)+P16-P15+MAX(0,T.Nachtab-MAX(T.Nachtbis,P16))-MAX(0,T.Nachtab-MAX(P15,T.Nachtbis))+(P15&gt;P16)*(1+T.Nachtbis-T.Nachtab)+P18-P17+MAX(0,T.Nachtab-MAX(T.Nachtbis,P18))-MAX(0,T.Nachtab-MAX(P17,T.Nachtbis))+(P17&gt;P18)*(1+T.Nachtbis-T.Nachtab)+P20-P19+MAX(0,T.Nachtab-MAX(T.Nachtbis,P20))-MAX(0,T.Nachtab-MAX(P19,T.Nachtbis))+(P19&gt;P20)*(1+T.Nachtbis-T.Nachtab)+P22-P21+MAX(0,T.Nachtab-MAX(T.Nachtbis,P22))-MAX(0,T.Nachtab-MAX(P21,T.Nachtbis))+(P21&gt;P22)*(1+T.Nachtbis-T.Nachtab),9), IF(AND(WEEKDAY(P$10,2)&lt;6,P$11&lt;&gt;0),ROUND(P36-P35+MAX(0,T.Nachtab-MAX(T.Nachtbis,P36))-MAX(0,T.Nachtab-MAX(P35,T.Nachtbis))+(P35&gt;P36)*(1+T.Nachtbis-T.Nachtab)+P38-P37+MAX(0,T.Nachtab-MAX(T.Nachtbis,P38))-MAX(0,T.Nachtab-MAX(P37,T.Nachtbis))+(P37&gt;P38)*(1+T.Nachtbis-T.Nachtab)+P40-P39+MAX(0,T.Nachtab-MAX(T.Nachtbis,P40))-MAX(0,T.Nachtab-MAX(P39,T.Nachtbis))+(P39&gt;P40)*(1+T.Nachtbis-T.Nachtab)+P42-P41+MAX(0,T.Nachtab-MAX(T.Nachtbis,P42))-MAX(0,T.Nachtab-MAX(P41,T.Nachtbis))+(P41&gt;P42)*(1+T.Nachtbis-T.Nachtab)+P44-P43+MAX(0,T.Nachtab-MAX(T.Nachtbis,P44))-MAX(0,T.Nachtab-MAX(P43,T.Nachtbis))+(P43&gt;P44)*(1+T.Nachtbis-T.Nachtab),9),0)))</f>
        <v>0</v>
      </c>
      <c r="Q73" s="256" t="n">
        <f aca="false">IF(Q$12=0,0,IF(OR(T.50_Vetsuisse,T.ServiceCenterIrchel),ROUND(Q14-Q13+MAX(0,T.Nachtab-MAX(T.Nachtbis,Q14))-MAX(0,T.Nachtab-MAX(Q13,T.Nachtbis))+(Q13&gt;Q14)*(1+T.Nachtbis-T.Nachtab)+Q16-Q15+MAX(0,T.Nachtab-MAX(T.Nachtbis,Q16))-MAX(0,T.Nachtab-MAX(Q15,T.Nachtbis))+(Q15&gt;Q16)*(1+T.Nachtbis-T.Nachtab)+Q18-Q17+MAX(0,T.Nachtab-MAX(T.Nachtbis,Q18))-MAX(0,T.Nachtab-MAX(Q17,T.Nachtbis))+(Q17&gt;Q18)*(1+T.Nachtbis-T.Nachtab)+Q20-Q19+MAX(0,T.Nachtab-MAX(T.Nachtbis,Q20))-MAX(0,T.Nachtab-MAX(Q19,T.Nachtbis))+(Q19&gt;Q20)*(1+T.Nachtbis-T.Nachtab)+Q22-Q21+MAX(0,T.Nachtab-MAX(T.Nachtbis,Q22))-MAX(0,T.Nachtab-MAX(Q21,T.Nachtbis))+(Q21&gt;Q22)*(1+T.Nachtbis-T.Nachtab),9), IF(AND(WEEKDAY(Q$10,2)&lt;6,Q$11&lt;&gt;0),ROUND(Q36-Q35+MAX(0,T.Nachtab-MAX(T.Nachtbis,Q36))-MAX(0,T.Nachtab-MAX(Q35,T.Nachtbis))+(Q35&gt;Q36)*(1+T.Nachtbis-T.Nachtab)+Q38-Q37+MAX(0,T.Nachtab-MAX(T.Nachtbis,Q38))-MAX(0,T.Nachtab-MAX(Q37,T.Nachtbis))+(Q37&gt;Q38)*(1+T.Nachtbis-T.Nachtab)+Q40-Q39+MAX(0,T.Nachtab-MAX(T.Nachtbis,Q40))-MAX(0,T.Nachtab-MAX(Q39,T.Nachtbis))+(Q39&gt;Q40)*(1+T.Nachtbis-T.Nachtab)+Q42-Q41+MAX(0,T.Nachtab-MAX(T.Nachtbis,Q42))-MAX(0,T.Nachtab-MAX(Q41,T.Nachtbis))+(Q41&gt;Q42)*(1+T.Nachtbis-T.Nachtab)+Q44-Q43+MAX(0,T.Nachtab-MAX(T.Nachtbis,Q44))-MAX(0,T.Nachtab-MAX(Q43,T.Nachtbis))+(Q43&gt;Q44)*(1+T.Nachtbis-T.Nachtab),9),0)))</f>
        <v>0</v>
      </c>
      <c r="R73" s="256" t="n">
        <f aca="false">IF(R$12=0,0,IF(OR(T.50_Vetsuisse,T.ServiceCenterIrchel),ROUND(R14-R13+MAX(0,T.Nachtab-MAX(T.Nachtbis,R14))-MAX(0,T.Nachtab-MAX(R13,T.Nachtbis))+(R13&gt;R14)*(1+T.Nachtbis-T.Nachtab)+R16-R15+MAX(0,T.Nachtab-MAX(T.Nachtbis,R16))-MAX(0,T.Nachtab-MAX(R15,T.Nachtbis))+(R15&gt;R16)*(1+T.Nachtbis-T.Nachtab)+R18-R17+MAX(0,T.Nachtab-MAX(T.Nachtbis,R18))-MAX(0,T.Nachtab-MAX(R17,T.Nachtbis))+(R17&gt;R18)*(1+T.Nachtbis-T.Nachtab)+R20-R19+MAX(0,T.Nachtab-MAX(T.Nachtbis,R20))-MAX(0,T.Nachtab-MAX(R19,T.Nachtbis))+(R19&gt;R20)*(1+T.Nachtbis-T.Nachtab)+R22-R21+MAX(0,T.Nachtab-MAX(T.Nachtbis,R22))-MAX(0,T.Nachtab-MAX(R21,T.Nachtbis))+(R21&gt;R22)*(1+T.Nachtbis-T.Nachtab),9), IF(AND(WEEKDAY(R$10,2)&lt;6,R$11&lt;&gt;0),ROUND(R36-R35+MAX(0,T.Nachtab-MAX(T.Nachtbis,R36))-MAX(0,T.Nachtab-MAX(R35,T.Nachtbis))+(R35&gt;R36)*(1+T.Nachtbis-T.Nachtab)+R38-R37+MAX(0,T.Nachtab-MAX(T.Nachtbis,R38))-MAX(0,T.Nachtab-MAX(R37,T.Nachtbis))+(R37&gt;R38)*(1+T.Nachtbis-T.Nachtab)+R40-R39+MAX(0,T.Nachtab-MAX(T.Nachtbis,R40))-MAX(0,T.Nachtab-MAX(R39,T.Nachtbis))+(R39&gt;R40)*(1+T.Nachtbis-T.Nachtab)+R42-R41+MAX(0,T.Nachtab-MAX(T.Nachtbis,R42))-MAX(0,T.Nachtab-MAX(R41,T.Nachtbis))+(R41&gt;R42)*(1+T.Nachtbis-T.Nachtab)+R44-R43+MAX(0,T.Nachtab-MAX(T.Nachtbis,R44))-MAX(0,T.Nachtab-MAX(R43,T.Nachtbis))+(R43&gt;R44)*(1+T.Nachtbis-T.Nachtab),9),0)))</f>
        <v>0</v>
      </c>
      <c r="S73" s="256" t="n">
        <f aca="false">IF(S$12=0,0,IF(OR(T.50_Vetsuisse,T.ServiceCenterIrchel),ROUND(S14-S13+MAX(0,T.Nachtab-MAX(T.Nachtbis,S14))-MAX(0,T.Nachtab-MAX(S13,T.Nachtbis))+(S13&gt;S14)*(1+T.Nachtbis-T.Nachtab)+S16-S15+MAX(0,T.Nachtab-MAX(T.Nachtbis,S16))-MAX(0,T.Nachtab-MAX(S15,T.Nachtbis))+(S15&gt;S16)*(1+T.Nachtbis-T.Nachtab)+S18-S17+MAX(0,T.Nachtab-MAX(T.Nachtbis,S18))-MAX(0,T.Nachtab-MAX(S17,T.Nachtbis))+(S17&gt;S18)*(1+T.Nachtbis-T.Nachtab)+S20-S19+MAX(0,T.Nachtab-MAX(T.Nachtbis,S20))-MAX(0,T.Nachtab-MAX(S19,T.Nachtbis))+(S19&gt;S20)*(1+T.Nachtbis-T.Nachtab)+S22-S21+MAX(0,T.Nachtab-MAX(T.Nachtbis,S22))-MAX(0,T.Nachtab-MAX(S21,T.Nachtbis))+(S21&gt;S22)*(1+T.Nachtbis-T.Nachtab),9), IF(AND(WEEKDAY(S$10,2)&lt;6,S$11&lt;&gt;0),ROUND(S36-S35+MAX(0,T.Nachtab-MAX(T.Nachtbis,S36))-MAX(0,T.Nachtab-MAX(S35,T.Nachtbis))+(S35&gt;S36)*(1+T.Nachtbis-T.Nachtab)+S38-S37+MAX(0,T.Nachtab-MAX(T.Nachtbis,S38))-MAX(0,T.Nachtab-MAX(S37,T.Nachtbis))+(S37&gt;S38)*(1+T.Nachtbis-T.Nachtab)+S40-S39+MAX(0,T.Nachtab-MAX(T.Nachtbis,S40))-MAX(0,T.Nachtab-MAX(S39,T.Nachtbis))+(S39&gt;S40)*(1+T.Nachtbis-T.Nachtab)+S42-S41+MAX(0,T.Nachtab-MAX(T.Nachtbis,S42))-MAX(0,T.Nachtab-MAX(S41,T.Nachtbis))+(S41&gt;S42)*(1+T.Nachtbis-T.Nachtab)+S44-S43+MAX(0,T.Nachtab-MAX(T.Nachtbis,S44))-MAX(0,T.Nachtab-MAX(S43,T.Nachtbis))+(S43&gt;S44)*(1+T.Nachtbis-T.Nachtab),9),0)))</f>
        <v>0</v>
      </c>
      <c r="T73" s="256" t="n">
        <f aca="false">IF(T$12=0,0,IF(OR(T.50_Vetsuisse,T.ServiceCenterIrchel),ROUND(T14-T13+MAX(0,T.Nachtab-MAX(T.Nachtbis,T14))-MAX(0,T.Nachtab-MAX(T13,T.Nachtbis))+(T13&gt;T14)*(1+T.Nachtbis-T.Nachtab)+T16-T15+MAX(0,T.Nachtab-MAX(T.Nachtbis,T16))-MAX(0,T.Nachtab-MAX(T15,T.Nachtbis))+(T15&gt;T16)*(1+T.Nachtbis-T.Nachtab)+T18-T17+MAX(0,T.Nachtab-MAX(T.Nachtbis,T18))-MAX(0,T.Nachtab-MAX(T17,T.Nachtbis))+(T17&gt;T18)*(1+T.Nachtbis-T.Nachtab)+T20-T19+MAX(0,T.Nachtab-MAX(T.Nachtbis,T20))-MAX(0,T.Nachtab-MAX(T19,T.Nachtbis))+(T19&gt;T20)*(1+T.Nachtbis-T.Nachtab)+T22-T21+MAX(0,T.Nachtab-MAX(T.Nachtbis,T22))-MAX(0,T.Nachtab-MAX(T21,T.Nachtbis))+(T21&gt;T22)*(1+T.Nachtbis-T.Nachtab),9), IF(AND(WEEKDAY(T$10,2)&lt;6,T$11&lt;&gt;0),ROUND(T36-T35+MAX(0,T.Nachtab-MAX(T.Nachtbis,T36))-MAX(0,T.Nachtab-MAX(T35,T.Nachtbis))+(T35&gt;T36)*(1+T.Nachtbis-T.Nachtab)+T38-T37+MAX(0,T.Nachtab-MAX(T.Nachtbis,T38))-MAX(0,T.Nachtab-MAX(T37,T.Nachtbis))+(T37&gt;T38)*(1+T.Nachtbis-T.Nachtab)+T40-T39+MAX(0,T.Nachtab-MAX(T.Nachtbis,T40))-MAX(0,T.Nachtab-MAX(T39,T.Nachtbis))+(T39&gt;T40)*(1+T.Nachtbis-T.Nachtab)+T42-T41+MAX(0,T.Nachtab-MAX(T.Nachtbis,T42))-MAX(0,T.Nachtab-MAX(T41,T.Nachtbis))+(T41&gt;T42)*(1+T.Nachtbis-T.Nachtab)+T44-T43+MAX(0,T.Nachtab-MAX(T.Nachtbis,T44))-MAX(0,T.Nachtab-MAX(T43,T.Nachtbis))+(T43&gt;T44)*(1+T.Nachtbis-T.Nachtab),9),0)))</f>
        <v>0</v>
      </c>
      <c r="U73" s="256" t="n">
        <f aca="false">IF(U$12=0,0,IF(OR(T.50_Vetsuisse,T.ServiceCenterIrchel),ROUND(U14-U13+MAX(0,T.Nachtab-MAX(T.Nachtbis,U14))-MAX(0,T.Nachtab-MAX(U13,T.Nachtbis))+(U13&gt;U14)*(1+T.Nachtbis-T.Nachtab)+U16-U15+MAX(0,T.Nachtab-MAX(T.Nachtbis,U16))-MAX(0,T.Nachtab-MAX(U15,T.Nachtbis))+(U15&gt;U16)*(1+T.Nachtbis-T.Nachtab)+U18-U17+MAX(0,T.Nachtab-MAX(T.Nachtbis,U18))-MAX(0,T.Nachtab-MAX(U17,T.Nachtbis))+(U17&gt;U18)*(1+T.Nachtbis-T.Nachtab)+U20-U19+MAX(0,T.Nachtab-MAX(T.Nachtbis,U20))-MAX(0,T.Nachtab-MAX(U19,T.Nachtbis))+(U19&gt;U20)*(1+T.Nachtbis-T.Nachtab)+U22-U21+MAX(0,T.Nachtab-MAX(T.Nachtbis,U22))-MAX(0,T.Nachtab-MAX(U21,T.Nachtbis))+(U21&gt;U22)*(1+T.Nachtbis-T.Nachtab),9), IF(AND(WEEKDAY(U$10,2)&lt;6,U$11&lt;&gt;0),ROUND(U36-U35+MAX(0,T.Nachtab-MAX(T.Nachtbis,U36))-MAX(0,T.Nachtab-MAX(U35,T.Nachtbis))+(U35&gt;U36)*(1+T.Nachtbis-T.Nachtab)+U38-U37+MAX(0,T.Nachtab-MAX(T.Nachtbis,U38))-MAX(0,T.Nachtab-MAX(U37,T.Nachtbis))+(U37&gt;U38)*(1+T.Nachtbis-T.Nachtab)+U40-U39+MAX(0,T.Nachtab-MAX(T.Nachtbis,U40))-MAX(0,T.Nachtab-MAX(U39,T.Nachtbis))+(U39&gt;U40)*(1+T.Nachtbis-T.Nachtab)+U42-U41+MAX(0,T.Nachtab-MAX(T.Nachtbis,U42))-MAX(0,T.Nachtab-MAX(U41,T.Nachtbis))+(U41&gt;U42)*(1+T.Nachtbis-T.Nachtab)+U44-U43+MAX(0,T.Nachtab-MAX(T.Nachtbis,U44))-MAX(0,T.Nachtab-MAX(U43,T.Nachtbis))+(U43&gt;U44)*(1+T.Nachtbis-T.Nachtab),9),0)))</f>
        <v>0</v>
      </c>
      <c r="V73" s="256" t="n">
        <f aca="false">IF(V$12=0,0,IF(OR(T.50_Vetsuisse,T.ServiceCenterIrchel),ROUND(V14-V13+MAX(0,T.Nachtab-MAX(T.Nachtbis,V14))-MAX(0,T.Nachtab-MAX(V13,T.Nachtbis))+(V13&gt;V14)*(1+T.Nachtbis-T.Nachtab)+V16-V15+MAX(0,T.Nachtab-MAX(T.Nachtbis,V16))-MAX(0,T.Nachtab-MAX(V15,T.Nachtbis))+(V15&gt;V16)*(1+T.Nachtbis-T.Nachtab)+V18-V17+MAX(0,T.Nachtab-MAX(T.Nachtbis,V18))-MAX(0,T.Nachtab-MAX(V17,T.Nachtbis))+(V17&gt;V18)*(1+T.Nachtbis-T.Nachtab)+V20-V19+MAX(0,T.Nachtab-MAX(T.Nachtbis,V20))-MAX(0,T.Nachtab-MAX(V19,T.Nachtbis))+(V19&gt;V20)*(1+T.Nachtbis-T.Nachtab)+V22-V21+MAX(0,T.Nachtab-MAX(T.Nachtbis,V22))-MAX(0,T.Nachtab-MAX(V21,T.Nachtbis))+(V21&gt;V22)*(1+T.Nachtbis-T.Nachtab),9), IF(AND(WEEKDAY(V$10,2)&lt;6,V$11&lt;&gt;0),ROUND(V36-V35+MAX(0,T.Nachtab-MAX(T.Nachtbis,V36))-MAX(0,T.Nachtab-MAX(V35,T.Nachtbis))+(V35&gt;V36)*(1+T.Nachtbis-T.Nachtab)+V38-V37+MAX(0,T.Nachtab-MAX(T.Nachtbis,V38))-MAX(0,T.Nachtab-MAX(V37,T.Nachtbis))+(V37&gt;V38)*(1+T.Nachtbis-T.Nachtab)+V40-V39+MAX(0,T.Nachtab-MAX(T.Nachtbis,V40))-MAX(0,T.Nachtab-MAX(V39,T.Nachtbis))+(V39&gt;V40)*(1+T.Nachtbis-T.Nachtab)+V42-V41+MAX(0,T.Nachtab-MAX(T.Nachtbis,V42))-MAX(0,T.Nachtab-MAX(V41,T.Nachtbis))+(V41&gt;V42)*(1+T.Nachtbis-T.Nachtab)+V44-V43+MAX(0,T.Nachtab-MAX(T.Nachtbis,V44))-MAX(0,T.Nachtab-MAX(V43,T.Nachtbis))+(V43&gt;V44)*(1+T.Nachtbis-T.Nachtab),9),0)))</f>
        <v>0</v>
      </c>
      <c r="W73" s="256" t="n">
        <f aca="false">IF(W$12=0,0,IF(OR(T.50_Vetsuisse,T.ServiceCenterIrchel),ROUND(W14-W13+MAX(0,T.Nachtab-MAX(T.Nachtbis,W14))-MAX(0,T.Nachtab-MAX(W13,T.Nachtbis))+(W13&gt;W14)*(1+T.Nachtbis-T.Nachtab)+W16-W15+MAX(0,T.Nachtab-MAX(T.Nachtbis,W16))-MAX(0,T.Nachtab-MAX(W15,T.Nachtbis))+(W15&gt;W16)*(1+T.Nachtbis-T.Nachtab)+W18-W17+MAX(0,T.Nachtab-MAX(T.Nachtbis,W18))-MAX(0,T.Nachtab-MAX(W17,T.Nachtbis))+(W17&gt;W18)*(1+T.Nachtbis-T.Nachtab)+W20-W19+MAX(0,T.Nachtab-MAX(T.Nachtbis,W20))-MAX(0,T.Nachtab-MAX(W19,T.Nachtbis))+(W19&gt;W20)*(1+T.Nachtbis-T.Nachtab)+W22-W21+MAX(0,T.Nachtab-MAX(T.Nachtbis,W22))-MAX(0,T.Nachtab-MAX(W21,T.Nachtbis))+(W21&gt;W22)*(1+T.Nachtbis-T.Nachtab),9), IF(AND(WEEKDAY(W$10,2)&lt;6,W$11&lt;&gt;0),ROUND(W36-W35+MAX(0,T.Nachtab-MAX(T.Nachtbis,W36))-MAX(0,T.Nachtab-MAX(W35,T.Nachtbis))+(W35&gt;W36)*(1+T.Nachtbis-T.Nachtab)+W38-W37+MAX(0,T.Nachtab-MAX(T.Nachtbis,W38))-MAX(0,T.Nachtab-MAX(W37,T.Nachtbis))+(W37&gt;W38)*(1+T.Nachtbis-T.Nachtab)+W40-W39+MAX(0,T.Nachtab-MAX(T.Nachtbis,W40))-MAX(0,T.Nachtab-MAX(W39,T.Nachtbis))+(W39&gt;W40)*(1+T.Nachtbis-T.Nachtab)+W42-W41+MAX(0,T.Nachtab-MAX(T.Nachtbis,W42))-MAX(0,T.Nachtab-MAX(W41,T.Nachtbis))+(W41&gt;W42)*(1+T.Nachtbis-T.Nachtab)+W44-W43+MAX(0,T.Nachtab-MAX(T.Nachtbis,W44))-MAX(0,T.Nachtab-MAX(W43,T.Nachtbis))+(W43&gt;W44)*(1+T.Nachtbis-T.Nachtab),9),0)))</f>
        <v>0</v>
      </c>
      <c r="X73" s="256" t="n">
        <f aca="false">IF(X$12=0,0,IF(OR(T.50_Vetsuisse,T.ServiceCenterIrchel),ROUND(X14-X13+MAX(0,T.Nachtab-MAX(T.Nachtbis,X14))-MAX(0,T.Nachtab-MAX(X13,T.Nachtbis))+(X13&gt;X14)*(1+T.Nachtbis-T.Nachtab)+X16-X15+MAX(0,T.Nachtab-MAX(T.Nachtbis,X16))-MAX(0,T.Nachtab-MAX(X15,T.Nachtbis))+(X15&gt;X16)*(1+T.Nachtbis-T.Nachtab)+X18-X17+MAX(0,T.Nachtab-MAX(T.Nachtbis,X18))-MAX(0,T.Nachtab-MAX(X17,T.Nachtbis))+(X17&gt;X18)*(1+T.Nachtbis-T.Nachtab)+X20-X19+MAX(0,T.Nachtab-MAX(T.Nachtbis,X20))-MAX(0,T.Nachtab-MAX(X19,T.Nachtbis))+(X19&gt;X20)*(1+T.Nachtbis-T.Nachtab)+X22-X21+MAX(0,T.Nachtab-MAX(T.Nachtbis,X22))-MAX(0,T.Nachtab-MAX(X21,T.Nachtbis))+(X21&gt;X22)*(1+T.Nachtbis-T.Nachtab),9), IF(AND(WEEKDAY(X$10,2)&lt;6,X$11&lt;&gt;0),ROUND(X36-X35+MAX(0,T.Nachtab-MAX(T.Nachtbis,X36))-MAX(0,T.Nachtab-MAX(X35,T.Nachtbis))+(X35&gt;X36)*(1+T.Nachtbis-T.Nachtab)+X38-X37+MAX(0,T.Nachtab-MAX(T.Nachtbis,X38))-MAX(0,T.Nachtab-MAX(X37,T.Nachtbis))+(X37&gt;X38)*(1+T.Nachtbis-T.Nachtab)+X40-X39+MAX(0,T.Nachtab-MAX(T.Nachtbis,X40))-MAX(0,T.Nachtab-MAX(X39,T.Nachtbis))+(X39&gt;X40)*(1+T.Nachtbis-T.Nachtab)+X42-X41+MAX(0,T.Nachtab-MAX(T.Nachtbis,X42))-MAX(0,T.Nachtab-MAX(X41,T.Nachtbis))+(X41&gt;X42)*(1+T.Nachtbis-T.Nachtab)+X44-X43+MAX(0,T.Nachtab-MAX(T.Nachtbis,X44))-MAX(0,T.Nachtab-MAX(X43,T.Nachtbis))+(X43&gt;X44)*(1+T.Nachtbis-T.Nachtab),9),0)))</f>
        <v>0</v>
      </c>
      <c r="Y73" s="256" t="n">
        <f aca="false">IF(Y$12=0,0,IF(OR(T.50_Vetsuisse,T.ServiceCenterIrchel),ROUND(Y14-Y13+MAX(0,T.Nachtab-MAX(T.Nachtbis,Y14))-MAX(0,T.Nachtab-MAX(Y13,T.Nachtbis))+(Y13&gt;Y14)*(1+T.Nachtbis-T.Nachtab)+Y16-Y15+MAX(0,T.Nachtab-MAX(T.Nachtbis,Y16))-MAX(0,T.Nachtab-MAX(Y15,T.Nachtbis))+(Y15&gt;Y16)*(1+T.Nachtbis-T.Nachtab)+Y18-Y17+MAX(0,T.Nachtab-MAX(T.Nachtbis,Y18))-MAX(0,T.Nachtab-MAX(Y17,T.Nachtbis))+(Y17&gt;Y18)*(1+T.Nachtbis-T.Nachtab)+Y20-Y19+MAX(0,T.Nachtab-MAX(T.Nachtbis,Y20))-MAX(0,T.Nachtab-MAX(Y19,T.Nachtbis))+(Y19&gt;Y20)*(1+T.Nachtbis-T.Nachtab)+Y22-Y21+MAX(0,T.Nachtab-MAX(T.Nachtbis,Y22))-MAX(0,T.Nachtab-MAX(Y21,T.Nachtbis))+(Y21&gt;Y22)*(1+T.Nachtbis-T.Nachtab),9), IF(AND(WEEKDAY(Y$10,2)&lt;6,Y$11&lt;&gt;0),ROUND(Y36-Y35+MAX(0,T.Nachtab-MAX(T.Nachtbis,Y36))-MAX(0,T.Nachtab-MAX(Y35,T.Nachtbis))+(Y35&gt;Y36)*(1+T.Nachtbis-T.Nachtab)+Y38-Y37+MAX(0,T.Nachtab-MAX(T.Nachtbis,Y38))-MAX(0,T.Nachtab-MAX(Y37,T.Nachtbis))+(Y37&gt;Y38)*(1+T.Nachtbis-T.Nachtab)+Y40-Y39+MAX(0,T.Nachtab-MAX(T.Nachtbis,Y40))-MAX(0,T.Nachtab-MAX(Y39,T.Nachtbis))+(Y39&gt;Y40)*(1+T.Nachtbis-T.Nachtab)+Y42-Y41+MAX(0,T.Nachtab-MAX(T.Nachtbis,Y42))-MAX(0,T.Nachtab-MAX(Y41,T.Nachtbis))+(Y41&gt;Y42)*(1+T.Nachtbis-T.Nachtab)+Y44-Y43+MAX(0,T.Nachtab-MAX(T.Nachtbis,Y44))-MAX(0,T.Nachtab-MAX(Y43,T.Nachtbis))+(Y43&gt;Y44)*(1+T.Nachtbis-T.Nachtab),9),0)))</f>
        <v>0</v>
      </c>
      <c r="Z73" s="256" t="n">
        <f aca="false">IF(Z$12=0,0,IF(OR(T.50_Vetsuisse,T.ServiceCenterIrchel),ROUND(Z14-Z13+MAX(0,T.Nachtab-MAX(T.Nachtbis,Z14))-MAX(0,T.Nachtab-MAX(Z13,T.Nachtbis))+(Z13&gt;Z14)*(1+T.Nachtbis-T.Nachtab)+Z16-Z15+MAX(0,T.Nachtab-MAX(T.Nachtbis,Z16))-MAX(0,T.Nachtab-MAX(Z15,T.Nachtbis))+(Z15&gt;Z16)*(1+T.Nachtbis-T.Nachtab)+Z18-Z17+MAX(0,T.Nachtab-MAX(T.Nachtbis,Z18))-MAX(0,T.Nachtab-MAX(Z17,T.Nachtbis))+(Z17&gt;Z18)*(1+T.Nachtbis-T.Nachtab)+Z20-Z19+MAX(0,T.Nachtab-MAX(T.Nachtbis,Z20))-MAX(0,T.Nachtab-MAX(Z19,T.Nachtbis))+(Z19&gt;Z20)*(1+T.Nachtbis-T.Nachtab)+Z22-Z21+MAX(0,T.Nachtab-MAX(T.Nachtbis,Z22))-MAX(0,T.Nachtab-MAX(Z21,T.Nachtbis))+(Z21&gt;Z22)*(1+T.Nachtbis-T.Nachtab),9), IF(AND(WEEKDAY(Z$10,2)&lt;6,Z$11&lt;&gt;0),ROUND(Z36-Z35+MAX(0,T.Nachtab-MAX(T.Nachtbis,Z36))-MAX(0,T.Nachtab-MAX(Z35,T.Nachtbis))+(Z35&gt;Z36)*(1+T.Nachtbis-T.Nachtab)+Z38-Z37+MAX(0,T.Nachtab-MAX(T.Nachtbis,Z38))-MAX(0,T.Nachtab-MAX(Z37,T.Nachtbis))+(Z37&gt;Z38)*(1+T.Nachtbis-T.Nachtab)+Z40-Z39+MAX(0,T.Nachtab-MAX(T.Nachtbis,Z40))-MAX(0,T.Nachtab-MAX(Z39,T.Nachtbis))+(Z39&gt;Z40)*(1+T.Nachtbis-T.Nachtab)+Z42-Z41+MAX(0,T.Nachtab-MAX(T.Nachtbis,Z42))-MAX(0,T.Nachtab-MAX(Z41,T.Nachtbis))+(Z41&gt;Z42)*(1+T.Nachtbis-T.Nachtab)+Z44-Z43+MAX(0,T.Nachtab-MAX(T.Nachtbis,Z44))-MAX(0,T.Nachtab-MAX(Z43,T.Nachtbis))+(Z43&gt;Z44)*(1+T.Nachtbis-T.Nachtab),9),0)))</f>
        <v>0</v>
      </c>
      <c r="AA73" s="256" t="n">
        <f aca="false">IF(AA$12=0,0,IF(OR(T.50_Vetsuisse,T.ServiceCenterIrchel),ROUND(AA14-AA13+MAX(0,T.Nachtab-MAX(T.Nachtbis,AA14))-MAX(0,T.Nachtab-MAX(AA13,T.Nachtbis))+(AA13&gt;AA14)*(1+T.Nachtbis-T.Nachtab)+AA16-AA15+MAX(0,T.Nachtab-MAX(T.Nachtbis,AA16))-MAX(0,T.Nachtab-MAX(AA15,T.Nachtbis))+(AA15&gt;AA16)*(1+T.Nachtbis-T.Nachtab)+AA18-AA17+MAX(0,T.Nachtab-MAX(T.Nachtbis,AA18))-MAX(0,T.Nachtab-MAX(AA17,T.Nachtbis))+(AA17&gt;AA18)*(1+T.Nachtbis-T.Nachtab)+AA20-AA19+MAX(0,T.Nachtab-MAX(T.Nachtbis,AA20))-MAX(0,T.Nachtab-MAX(AA19,T.Nachtbis))+(AA19&gt;AA20)*(1+T.Nachtbis-T.Nachtab)+AA22-AA21+MAX(0,T.Nachtab-MAX(T.Nachtbis,AA22))-MAX(0,T.Nachtab-MAX(AA21,T.Nachtbis))+(AA21&gt;AA22)*(1+T.Nachtbis-T.Nachtab),9), IF(AND(WEEKDAY(AA$10,2)&lt;6,AA$11&lt;&gt;0),ROUND(AA36-AA35+MAX(0,T.Nachtab-MAX(T.Nachtbis,AA36))-MAX(0,T.Nachtab-MAX(AA35,T.Nachtbis))+(AA35&gt;AA36)*(1+T.Nachtbis-T.Nachtab)+AA38-AA37+MAX(0,T.Nachtab-MAX(T.Nachtbis,AA38))-MAX(0,T.Nachtab-MAX(AA37,T.Nachtbis))+(AA37&gt;AA38)*(1+T.Nachtbis-T.Nachtab)+AA40-AA39+MAX(0,T.Nachtab-MAX(T.Nachtbis,AA40))-MAX(0,T.Nachtab-MAX(AA39,T.Nachtbis))+(AA39&gt;AA40)*(1+T.Nachtbis-T.Nachtab)+AA42-AA41+MAX(0,T.Nachtab-MAX(T.Nachtbis,AA42))-MAX(0,T.Nachtab-MAX(AA41,T.Nachtbis))+(AA41&gt;AA42)*(1+T.Nachtbis-T.Nachtab)+AA44-AA43+MAX(0,T.Nachtab-MAX(T.Nachtbis,AA44))-MAX(0,T.Nachtab-MAX(AA43,T.Nachtbis))+(AA43&gt;AA44)*(1+T.Nachtbis-T.Nachtab),9),0)))</f>
        <v>0</v>
      </c>
      <c r="AB73" s="256" t="n">
        <f aca="false">IF(AB$12=0,0,IF(OR(T.50_Vetsuisse,T.ServiceCenterIrchel),ROUND(AB14-AB13+MAX(0,T.Nachtab-MAX(T.Nachtbis,AB14))-MAX(0,T.Nachtab-MAX(AB13,T.Nachtbis))+(AB13&gt;AB14)*(1+T.Nachtbis-T.Nachtab)+AB16-AB15+MAX(0,T.Nachtab-MAX(T.Nachtbis,AB16))-MAX(0,T.Nachtab-MAX(AB15,T.Nachtbis))+(AB15&gt;AB16)*(1+T.Nachtbis-T.Nachtab)+AB18-AB17+MAX(0,T.Nachtab-MAX(T.Nachtbis,AB18))-MAX(0,T.Nachtab-MAX(AB17,T.Nachtbis))+(AB17&gt;AB18)*(1+T.Nachtbis-T.Nachtab)+AB20-AB19+MAX(0,T.Nachtab-MAX(T.Nachtbis,AB20))-MAX(0,T.Nachtab-MAX(AB19,T.Nachtbis))+(AB19&gt;AB20)*(1+T.Nachtbis-T.Nachtab)+AB22-AB21+MAX(0,T.Nachtab-MAX(T.Nachtbis,AB22))-MAX(0,T.Nachtab-MAX(AB21,T.Nachtbis))+(AB21&gt;AB22)*(1+T.Nachtbis-T.Nachtab),9), IF(AND(WEEKDAY(AB$10,2)&lt;6,AB$11&lt;&gt;0),ROUND(AB36-AB35+MAX(0,T.Nachtab-MAX(T.Nachtbis,AB36))-MAX(0,T.Nachtab-MAX(AB35,T.Nachtbis))+(AB35&gt;AB36)*(1+T.Nachtbis-T.Nachtab)+AB38-AB37+MAX(0,T.Nachtab-MAX(T.Nachtbis,AB38))-MAX(0,T.Nachtab-MAX(AB37,T.Nachtbis))+(AB37&gt;AB38)*(1+T.Nachtbis-T.Nachtab)+AB40-AB39+MAX(0,T.Nachtab-MAX(T.Nachtbis,AB40))-MAX(0,T.Nachtab-MAX(AB39,T.Nachtbis))+(AB39&gt;AB40)*(1+T.Nachtbis-T.Nachtab)+AB42-AB41+MAX(0,T.Nachtab-MAX(T.Nachtbis,AB42))-MAX(0,T.Nachtab-MAX(AB41,T.Nachtbis))+(AB41&gt;AB42)*(1+T.Nachtbis-T.Nachtab)+AB44-AB43+MAX(0,T.Nachtab-MAX(T.Nachtbis,AB44))-MAX(0,T.Nachtab-MAX(AB43,T.Nachtbis))+(AB43&gt;AB44)*(1+T.Nachtbis-T.Nachtab),9),0)))</f>
        <v>0</v>
      </c>
      <c r="AC73" s="256" t="n">
        <f aca="false">IF(AC$12=0,0,IF(OR(T.50_Vetsuisse,T.ServiceCenterIrchel),ROUND(AC14-AC13+MAX(0,T.Nachtab-MAX(T.Nachtbis,AC14))-MAX(0,T.Nachtab-MAX(AC13,T.Nachtbis))+(AC13&gt;AC14)*(1+T.Nachtbis-T.Nachtab)+AC16-AC15+MAX(0,T.Nachtab-MAX(T.Nachtbis,AC16))-MAX(0,T.Nachtab-MAX(AC15,T.Nachtbis))+(AC15&gt;AC16)*(1+T.Nachtbis-T.Nachtab)+AC18-AC17+MAX(0,T.Nachtab-MAX(T.Nachtbis,AC18))-MAX(0,T.Nachtab-MAX(AC17,T.Nachtbis))+(AC17&gt;AC18)*(1+T.Nachtbis-T.Nachtab)+AC20-AC19+MAX(0,T.Nachtab-MAX(T.Nachtbis,AC20))-MAX(0,T.Nachtab-MAX(AC19,T.Nachtbis))+(AC19&gt;AC20)*(1+T.Nachtbis-T.Nachtab)+AC22-AC21+MAX(0,T.Nachtab-MAX(T.Nachtbis,AC22))-MAX(0,T.Nachtab-MAX(AC21,T.Nachtbis))+(AC21&gt;AC22)*(1+T.Nachtbis-T.Nachtab),9), IF(AND(WEEKDAY(AC$10,2)&lt;6,AC$11&lt;&gt;0),ROUND(AC36-AC35+MAX(0,T.Nachtab-MAX(T.Nachtbis,AC36))-MAX(0,T.Nachtab-MAX(AC35,T.Nachtbis))+(AC35&gt;AC36)*(1+T.Nachtbis-T.Nachtab)+AC38-AC37+MAX(0,T.Nachtab-MAX(T.Nachtbis,AC38))-MAX(0,T.Nachtab-MAX(AC37,T.Nachtbis))+(AC37&gt;AC38)*(1+T.Nachtbis-T.Nachtab)+AC40-AC39+MAX(0,T.Nachtab-MAX(T.Nachtbis,AC40))-MAX(0,T.Nachtab-MAX(AC39,T.Nachtbis))+(AC39&gt;AC40)*(1+T.Nachtbis-T.Nachtab)+AC42-AC41+MAX(0,T.Nachtab-MAX(T.Nachtbis,AC42))-MAX(0,T.Nachtab-MAX(AC41,T.Nachtbis))+(AC41&gt;AC42)*(1+T.Nachtbis-T.Nachtab)+AC44-AC43+MAX(0,T.Nachtab-MAX(T.Nachtbis,AC44))-MAX(0,T.Nachtab-MAX(AC43,T.Nachtbis))+(AC43&gt;AC44)*(1+T.Nachtbis-T.Nachtab),9),0)))</f>
        <v>0</v>
      </c>
      <c r="AD73" s="256" t="n">
        <f aca="false">IF(AD$12=0,0,IF(OR(T.50_Vetsuisse,T.ServiceCenterIrchel),ROUND(AD14-AD13+MAX(0,T.Nachtab-MAX(T.Nachtbis,AD14))-MAX(0,T.Nachtab-MAX(AD13,T.Nachtbis))+(AD13&gt;AD14)*(1+T.Nachtbis-T.Nachtab)+AD16-AD15+MAX(0,T.Nachtab-MAX(T.Nachtbis,AD16))-MAX(0,T.Nachtab-MAX(AD15,T.Nachtbis))+(AD15&gt;AD16)*(1+T.Nachtbis-T.Nachtab)+AD18-AD17+MAX(0,T.Nachtab-MAX(T.Nachtbis,AD18))-MAX(0,T.Nachtab-MAX(AD17,T.Nachtbis))+(AD17&gt;AD18)*(1+T.Nachtbis-T.Nachtab)+AD20-AD19+MAX(0,T.Nachtab-MAX(T.Nachtbis,AD20))-MAX(0,T.Nachtab-MAX(AD19,T.Nachtbis))+(AD19&gt;AD20)*(1+T.Nachtbis-T.Nachtab)+AD22-AD21+MAX(0,T.Nachtab-MAX(T.Nachtbis,AD22))-MAX(0,T.Nachtab-MAX(AD21,T.Nachtbis))+(AD21&gt;AD22)*(1+T.Nachtbis-T.Nachtab),9), IF(AND(WEEKDAY(AD$10,2)&lt;6,AD$11&lt;&gt;0),ROUND(AD36-AD35+MAX(0,T.Nachtab-MAX(T.Nachtbis,AD36))-MAX(0,T.Nachtab-MAX(AD35,T.Nachtbis))+(AD35&gt;AD36)*(1+T.Nachtbis-T.Nachtab)+AD38-AD37+MAX(0,T.Nachtab-MAX(T.Nachtbis,AD38))-MAX(0,T.Nachtab-MAX(AD37,T.Nachtbis))+(AD37&gt;AD38)*(1+T.Nachtbis-T.Nachtab)+AD40-AD39+MAX(0,T.Nachtab-MAX(T.Nachtbis,AD40))-MAX(0,T.Nachtab-MAX(AD39,T.Nachtbis))+(AD39&gt;AD40)*(1+T.Nachtbis-T.Nachtab)+AD42-AD41+MAX(0,T.Nachtab-MAX(T.Nachtbis,AD42))-MAX(0,T.Nachtab-MAX(AD41,T.Nachtbis))+(AD41&gt;AD42)*(1+T.Nachtbis-T.Nachtab)+AD44-AD43+MAX(0,T.Nachtab-MAX(T.Nachtbis,AD44))-MAX(0,T.Nachtab-MAX(AD43,T.Nachtbis))+(AD43&gt;AD44)*(1+T.Nachtbis-T.Nachtab),9),0)))</f>
        <v>0</v>
      </c>
      <c r="AE73" s="256" t="n">
        <f aca="false">IF(AE$12=0,0,IF(OR(T.50_Vetsuisse,T.ServiceCenterIrchel),ROUND(AE14-AE13+MAX(0,T.Nachtab-MAX(T.Nachtbis,AE14))-MAX(0,T.Nachtab-MAX(AE13,T.Nachtbis))+(AE13&gt;AE14)*(1+T.Nachtbis-T.Nachtab)+AE16-AE15+MAX(0,T.Nachtab-MAX(T.Nachtbis,AE16))-MAX(0,T.Nachtab-MAX(AE15,T.Nachtbis))+(AE15&gt;AE16)*(1+T.Nachtbis-T.Nachtab)+AE18-AE17+MAX(0,T.Nachtab-MAX(T.Nachtbis,AE18))-MAX(0,T.Nachtab-MAX(AE17,T.Nachtbis))+(AE17&gt;AE18)*(1+T.Nachtbis-T.Nachtab)+AE20-AE19+MAX(0,T.Nachtab-MAX(T.Nachtbis,AE20))-MAX(0,T.Nachtab-MAX(AE19,T.Nachtbis))+(AE19&gt;AE20)*(1+T.Nachtbis-T.Nachtab)+AE22-AE21+MAX(0,T.Nachtab-MAX(T.Nachtbis,AE22))-MAX(0,T.Nachtab-MAX(AE21,T.Nachtbis))+(AE21&gt;AE22)*(1+T.Nachtbis-T.Nachtab),9), IF(AND(WEEKDAY(AE$10,2)&lt;6,AE$11&lt;&gt;0),ROUND(AE36-AE35+MAX(0,T.Nachtab-MAX(T.Nachtbis,AE36))-MAX(0,T.Nachtab-MAX(AE35,T.Nachtbis))+(AE35&gt;AE36)*(1+T.Nachtbis-T.Nachtab)+AE38-AE37+MAX(0,T.Nachtab-MAX(T.Nachtbis,AE38))-MAX(0,T.Nachtab-MAX(AE37,T.Nachtbis))+(AE37&gt;AE38)*(1+T.Nachtbis-T.Nachtab)+AE40-AE39+MAX(0,T.Nachtab-MAX(T.Nachtbis,AE40))-MAX(0,T.Nachtab-MAX(AE39,T.Nachtbis))+(AE39&gt;AE40)*(1+T.Nachtbis-T.Nachtab)+AE42-AE41+MAX(0,T.Nachtab-MAX(T.Nachtbis,AE42))-MAX(0,T.Nachtab-MAX(AE41,T.Nachtbis))+(AE41&gt;AE42)*(1+T.Nachtbis-T.Nachtab)+AE44-AE43+MAX(0,T.Nachtab-MAX(T.Nachtbis,AE44))-MAX(0,T.Nachtab-MAX(AE43,T.Nachtbis))+(AE43&gt;AE44)*(1+T.Nachtbis-T.Nachtab),9),0)))</f>
        <v>0</v>
      </c>
      <c r="AF73" s="256" t="n">
        <f aca="false">IF(AF$12=0,0,IF(OR(T.50_Vetsuisse,T.ServiceCenterIrchel),ROUND(AF14-AF13+MAX(0,T.Nachtab-MAX(T.Nachtbis,AF14))-MAX(0,T.Nachtab-MAX(AF13,T.Nachtbis))+(AF13&gt;AF14)*(1+T.Nachtbis-T.Nachtab)+AF16-AF15+MAX(0,T.Nachtab-MAX(T.Nachtbis,AF16))-MAX(0,T.Nachtab-MAX(AF15,T.Nachtbis))+(AF15&gt;AF16)*(1+T.Nachtbis-T.Nachtab)+AF18-AF17+MAX(0,T.Nachtab-MAX(T.Nachtbis,AF18))-MAX(0,T.Nachtab-MAX(AF17,T.Nachtbis))+(AF17&gt;AF18)*(1+T.Nachtbis-T.Nachtab)+AF20-AF19+MAX(0,T.Nachtab-MAX(T.Nachtbis,AF20))-MAX(0,T.Nachtab-MAX(AF19,T.Nachtbis))+(AF19&gt;AF20)*(1+T.Nachtbis-T.Nachtab)+AF22-AF21+MAX(0,T.Nachtab-MAX(T.Nachtbis,AF22))-MAX(0,T.Nachtab-MAX(AF21,T.Nachtbis))+(AF21&gt;AF22)*(1+T.Nachtbis-T.Nachtab),9), IF(AND(WEEKDAY(AF$10,2)&lt;6,AF$11&lt;&gt;0),ROUND(AF36-AF35+MAX(0,T.Nachtab-MAX(T.Nachtbis,AF36))-MAX(0,T.Nachtab-MAX(AF35,T.Nachtbis))+(AF35&gt;AF36)*(1+T.Nachtbis-T.Nachtab)+AF38-AF37+MAX(0,T.Nachtab-MAX(T.Nachtbis,AF38))-MAX(0,T.Nachtab-MAX(AF37,T.Nachtbis))+(AF37&gt;AF38)*(1+T.Nachtbis-T.Nachtab)+AF40-AF39+MAX(0,T.Nachtab-MAX(T.Nachtbis,AF40))-MAX(0,T.Nachtab-MAX(AF39,T.Nachtbis))+(AF39&gt;AF40)*(1+T.Nachtbis-T.Nachtab)+AF42-AF41+MAX(0,T.Nachtab-MAX(T.Nachtbis,AF42))-MAX(0,T.Nachtab-MAX(AF41,T.Nachtbis))+(AF41&gt;AF42)*(1+T.Nachtbis-T.Nachtab)+AF44-AF43+MAX(0,T.Nachtab-MAX(T.Nachtbis,AF44))-MAX(0,T.Nachtab-MAX(AF43,T.Nachtbis))+(AF43&gt;AF44)*(1+T.Nachtbis-T.Nachtab),9),0)))</f>
        <v>0</v>
      </c>
      <c r="AG73" s="168" t="str">
        <f aca="false">A73</f>
        <v>Night shift</v>
      </c>
      <c r="AH73" s="197"/>
      <c r="AI73" s="207" t="n">
        <f aca="false">SUM(B73:AF73)</f>
        <v>0</v>
      </c>
      <c r="AJ73" s="198" t="n">
        <f aca="false">IF(OR(T.50_Vetsuisse,T.ServiceCenterIrchel),AI69, IFERROR(SUMPRODUCT((B77:AF77&gt;0)*(B77:AF77&lt;&gt;"")),0))</f>
        <v>0</v>
      </c>
      <c r="AK73" s="192"/>
      <c r="AL73" s="216" t="n">
        <f aca="false">IF(EB.Anwendung&lt;&gt;"",IF(MONTH(Monat.Tag1)=1,0,IF(MONTH(Monat.Tag1)=2,January!Monat.NDUeVM,IF(MONTH(Monat.Tag1)=3,February!Monat.NDUeVM,IF(MONTH(Monat.Tag1)=4,March!Monat.NDUeVM,IF(MONTH(Monat.Tag1)=5,April!Monat.NDUeVM,IF(MONTH(Monat.Tag1)=6,May!Monat.NDUeVM,IF(MONTH(Monat.Tag1)=7,June!Monat.NDUeVM,IF(MONTH(Monat.Tag1)=8,July!Monat.NDUeVM,IF(MONTH(Monat.Tag1)=9,August!Monat.NDUeVM,IF(MONTH(Monat.Tag1)=10,September!Monat.NDUeVM,IF(MONTH(Monat.Tag1)=11,October!Monat.NDUeVM,IF(MONTH(Monat.Tag1)=12,November!Monat.NDUeVM,"")))))))))))),"")</f>
        <v>0</v>
      </c>
      <c r="AM73" s="172"/>
      <c r="AN73" s="217" t="n">
        <f aca="false">AI73+AL73</f>
        <v>0</v>
      </c>
      <c r="AO73" s="171"/>
      <c r="AP73" s="171"/>
      <c r="AQ73" s="39"/>
    </row>
    <row r="74" s="148" customFormat="true" ht="3.75" hidden="true" customHeight="true" outlineLevel="0" collapsed="false">
      <c r="A74" s="186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179"/>
      <c r="AG74" s="168"/>
      <c r="AH74" s="146"/>
      <c r="AI74" s="179"/>
      <c r="AJ74" s="180"/>
      <c r="AK74" s="172"/>
      <c r="AL74" s="172"/>
      <c r="AM74" s="172"/>
      <c r="AN74" s="171"/>
      <c r="AO74" s="172"/>
      <c r="AP74" s="172"/>
      <c r="AQ74" s="39"/>
    </row>
    <row r="75" s="148" customFormat="true" ht="16.5" hidden="true" customHeight="true" outlineLevel="1" collapsed="false">
      <c r="A75" s="181" t="s">
        <v>160</v>
      </c>
      <c r="B75" s="182" t="n">
        <f aca="false">IF(B73&gt;0,ROUND(B73- IF(B13&lt;T.Nachtbis,MIN(T.Nachtbis-B13,B14-B13)+IF(B15&lt;T.Nachtbis,MIN(T.Nachtbis-B15,B16-B15)+IF(B17&lt;T.Nachtbis,MIN(T.Nachtbis-B17,B18-B17)+IF(B19&lt;T.Nachtbis,MIN(T.Nachtbis-B19,B20-B19)+IF(B21&lt;T.Nachtbis,MIN(T.Nachtbis-B21,B22-B21),0),0),0),0),0),9),0)</f>
        <v>0</v>
      </c>
      <c r="C75" s="182" t="n">
        <f aca="false">IF(C73&gt;0,ROUND(C73- IF(C13&lt;T.Nachtbis,MIN(T.Nachtbis-C13,C14-C13)+IF(C15&lt;T.Nachtbis,MIN(T.Nachtbis-C15,C16-C15)+IF(C17&lt;T.Nachtbis,MIN(T.Nachtbis-C17,C18-C17)+IF(C19&lt;T.Nachtbis,MIN(T.Nachtbis-C19,C20-C19)+IF(C21&lt;T.Nachtbis,MIN(T.Nachtbis-C21,C22-C21),0),0),0),0),0),9),0)</f>
        <v>0</v>
      </c>
      <c r="D75" s="182" t="n">
        <f aca="false">IF(D73&gt;0,ROUND(D73- IF(D13&lt;T.Nachtbis,MIN(T.Nachtbis-D13,D14-D13)+IF(D15&lt;T.Nachtbis,MIN(T.Nachtbis-D15,D16-D15)+IF(D17&lt;T.Nachtbis,MIN(T.Nachtbis-D17,D18-D17)+IF(D19&lt;T.Nachtbis,MIN(T.Nachtbis-D19,D20-D19)+IF(D21&lt;T.Nachtbis,MIN(T.Nachtbis-D21,D22-D21),0),0),0),0),0),9),0)</f>
        <v>0</v>
      </c>
      <c r="E75" s="182" t="n">
        <f aca="false">IF(E73&gt;0,ROUND(E73- IF(E13&lt;T.Nachtbis,MIN(T.Nachtbis-E13,E14-E13)+IF(E15&lt;T.Nachtbis,MIN(T.Nachtbis-E15,E16-E15)+IF(E17&lt;T.Nachtbis,MIN(T.Nachtbis-E17,E18-E17)+IF(E19&lt;T.Nachtbis,MIN(T.Nachtbis-E19,E20-E19)+IF(E21&lt;T.Nachtbis,MIN(T.Nachtbis-E21,E22-E21),0),0),0),0),0),9),0)</f>
        <v>0</v>
      </c>
      <c r="F75" s="182" t="n">
        <f aca="false">IF(F73&gt;0,ROUND(F73- IF(F13&lt;T.Nachtbis,MIN(T.Nachtbis-F13,F14-F13)+IF(F15&lt;T.Nachtbis,MIN(T.Nachtbis-F15,F16-F15)+IF(F17&lt;T.Nachtbis,MIN(T.Nachtbis-F17,F18-F17)+IF(F19&lt;T.Nachtbis,MIN(T.Nachtbis-F19,F20-F19)+IF(F21&lt;T.Nachtbis,MIN(T.Nachtbis-F21,F22-F21),0),0),0),0),0),9),0)</f>
        <v>0</v>
      </c>
      <c r="G75" s="182" t="n">
        <f aca="false">IF(G73&gt;0,ROUND(G73- IF(G13&lt;T.Nachtbis,MIN(T.Nachtbis-G13,G14-G13)+IF(G15&lt;T.Nachtbis,MIN(T.Nachtbis-G15,G16-G15)+IF(G17&lt;T.Nachtbis,MIN(T.Nachtbis-G17,G18-G17)+IF(G19&lt;T.Nachtbis,MIN(T.Nachtbis-G19,G20-G19)+IF(G21&lt;T.Nachtbis,MIN(T.Nachtbis-G21,G22-G21),0),0),0),0),0),9),0)</f>
        <v>0</v>
      </c>
      <c r="H75" s="182" t="n">
        <f aca="false">IF(H73&gt;0,ROUND(H73- IF(H13&lt;T.Nachtbis,MIN(T.Nachtbis-H13,H14-H13)+IF(H15&lt;T.Nachtbis,MIN(T.Nachtbis-H15,H16-H15)+IF(H17&lt;T.Nachtbis,MIN(T.Nachtbis-H17,H18-H17)+IF(H19&lt;T.Nachtbis,MIN(T.Nachtbis-H19,H20-H19)+IF(H21&lt;T.Nachtbis,MIN(T.Nachtbis-H21,H22-H21),0),0),0),0),0),9),0)</f>
        <v>0</v>
      </c>
      <c r="I75" s="182" t="n">
        <f aca="false">IF(I73&gt;0,ROUND(I73- IF(I13&lt;T.Nachtbis,MIN(T.Nachtbis-I13,I14-I13)+IF(I15&lt;T.Nachtbis,MIN(T.Nachtbis-I15,I16-I15)+IF(I17&lt;T.Nachtbis,MIN(T.Nachtbis-I17,I18-I17)+IF(I19&lt;T.Nachtbis,MIN(T.Nachtbis-I19,I20-I19)+IF(I21&lt;T.Nachtbis,MIN(T.Nachtbis-I21,I22-I21),0),0),0),0),0),9),0)</f>
        <v>0</v>
      </c>
      <c r="J75" s="182" t="n">
        <f aca="false">IF(J73&gt;0,ROUND(J73- IF(J13&lt;T.Nachtbis,MIN(T.Nachtbis-J13,J14-J13)+IF(J15&lt;T.Nachtbis,MIN(T.Nachtbis-J15,J16-J15)+IF(J17&lt;T.Nachtbis,MIN(T.Nachtbis-J17,J18-J17)+IF(J19&lt;T.Nachtbis,MIN(T.Nachtbis-J19,J20-J19)+IF(J21&lt;T.Nachtbis,MIN(T.Nachtbis-J21,J22-J21),0),0),0),0),0),9),0)</f>
        <v>0</v>
      </c>
      <c r="K75" s="182" t="n">
        <f aca="false">IF(K73&gt;0,ROUND(K73- IF(K13&lt;T.Nachtbis,MIN(T.Nachtbis-K13,K14-K13)+IF(K15&lt;T.Nachtbis,MIN(T.Nachtbis-K15,K16-K15)+IF(K17&lt;T.Nachtbis,MIN(T.Nachtbis-K17,K18-K17)+IF(K19&lt;T.Nachtbis,MIN(T.Nachtbis-K19,K20-K19)+IF(K21&lt;T.Nachtbis,MIN(T.Nachtbis-K21,K22-K21),0),0),0),0),0),9),0)</f>
        <v>0</v>
      </c>
      <c r="L75" s="182" t="n">
        <f aca="false">IF(L73&gt;0,ROUND(L73- IF(L13&lt;T.Nachtbis,MIN(T.Nachtbis-L13,L14-L13)+IF(L15&lt;T.Nachtbis,MIN(T.Nachtbis-L15,L16-L15)+IF(L17&lt;T.Nachtbis,MIN(T.Nachtbis-L17,L18-L17)+IF(L19&lt;T.Nachtbis,MIN(T.Nachtbis-L19,L20-L19)+IF(L21&lt;T.Nachtbis,MIN(T.Nachtbis-L21,L22-L21),0),0),0),0),0),9),0)</f>
        <v>0</v>
      </c>
      <c r="M75" s="182" t="n">
        <f aca="false">IF(M73&gt;0,ROUND(M73- IF(M13&lt;T.Nachtbis,MIN(T.Nachtbis-M13,M14-M13)+IF(M15&lt;T.Nachtbis,MIN(T.Nachtbis-M15,M16-M15)+IF(M17&lt;T.Nachtbis,MIN(T.Nachtbis-M17,M18-M17)+IF(M19&lt;T.Nachtbis,MIN(T.Nachtbis-M19,M20-M19)+IF(M21&lt;T.Nachtbis,MIN(T.Nachtbis-M21,M22-M21),0),0),0),0),0),9),0)</f>
        <v>0</v>
      </c>
      <c r="N75" s="182" t="n">
        <f aca="false">IF(N73&gt;0,ROUND(N73- IF(N13&lt;T.Nachtbis,MIN(T.Nachtbis-N13,N14-N13)+IF(N15&lt;T.Nachtbis,MIN(T.Nachtbis-N15,N16-N15)+IF(N17&lt;T.Nachtbis,MIN(T.Nachtbis-N17,N18-N17)+IF(N19&lt;T.Nachtbis,MIN(T.Nachtbis-N19,N20-N19)+IF(N21&lt;T.Nachtbis,MIN(T.Nachtbis-N21,N22-N21),0),0),0),0),0),9),0)</f>
        <v>0</v>
      </c>
      <c r="O75" s="182" t="n">
        <f aca="false">IF(O73&gt;0,ROUND(O73- IF(O13&lt;T.Nachtbis,MIN(T.Nachtbis-O13,O14-O13)+IF(O15&lt;T.Nachtbis,MIN(T.Nachtbis-O15,O16-O15)+IF(O17&lt;T.Nachtbis,MIN(T.Nachtbis-O17,O18-O17)+IF(O19&lt;T.Nachtbis,MIN(T.Nachtbis-O19,O20-O19)+IF(O21&lt;T.Nachtbis,MIN(T.Nachtbis-O21,O22-O21),0),0),0),0),0),9),0)</f>
        <v>0</v>
      </c>
      <c r="P75" s="182" t="n">
        <f aca="false">IF(P73&gt;0,ROUND(P73- IF(P13&lt;T.Nachtbis,MIN(T.Nachtbis-P13,P14-P13)+IF(P15&lt;T.Nachtbis,MIN(T.Nachtbis-P15,P16-P15)+IF(P17&lt;T.Nachtbis,MIN(T.Nachtbis-P17,P18-P17)+IF(P19&lt;T.Nachtbis,MIN(T.Nachtbis-P19,P20-P19)+IF(P21&lt;T.Nachtbis,MIN(T.Nachtbis-P21,P22-P21),0),0),0),0),0),9),0)</f>
        <v>0</v>
      </c>
      <c r="Q75" s="182" t="n">
        <f aca="false">IF(Q73&gt;0,ROUND(Q73- IF(Q13&lt;T.Nachtbis,MIN(T.Nachtbis-Q13,Q14-Q13)+IF(Q15&lt;T.Nachtbis,MIN(T.Nachtbis-Q15,Q16-Q15)+IF(Q17&lt;T.Nachtbis,MIN(T.Nachtbis-Q17,Q18-Q17)+IF(Q19&lt;T.Nachtbis,MIN(T.Nachtbis-Q19,Q20-Q19)+IF(Q21&lt;T.Nachtbis,MIN(T.Nachtbis-Q21,Q22-Q21),0),0),0),0),0),9),0)</f>
        <v>0</v>
      </c>
      <c r="R75" s="182" t="n">
        <f aca="false">IF(R73&gt;0,ROUND(R73- IF(R13&lt;T.Nachtbis,MIN(T.Nachtbis-R13,R14-R13)+IF(R15&lt;T.Nachtbis,MIN(T.Nachtbis-R15,R16-R15)+IF(R17&lt;T.Nachtbis,MIN(T.Nachtbis-R17,R18-R17)+IF(R19&lt;T.Nachtbis,MIN(T.Nachtbis-R19,R20-R19)+IF(R21&lt;T.Nachtbis,MIN(T.Nachtbis-R21,R22-R21),0),0),0),0),0),9),0)</f>
        <v>0</v>
      </c>
      <c r="S75" s="182" t="n">
        <f aca="false">IF(S73&gt;0,ROUND(S73- IF(S13&lt;T.Nachtbis,MIN(T.Nachtbis-S13,S14-S13)+IF(S15&lt;T.Nachtbis,MIN(T.Nachtbis-S15,S16-S15)+IF(S17&lt;T.Nachtbis,MIN(T.Nachtbis-S17,S18-S17)+IF(S19&lt;T.Nachtbis,MIN(T.Nachtbis-S19,S20-S19)+IF(S21&lt;T.Nachtbis,MIN(T.Nachtbis-S21,S22-S21),0),0),0),0),0),9),0)</f>
        <v>0</v>
      </c>
      <c r="T75" s="182" t="n">
        <f aca="false">IF(T73&gt;0,ROUND(T73- IF(T13&lt;T.Nachtbis,MIN(T.Nachtbis-T13,T14-T13)+IF(T15&lt;T.Nachtbis,MIN(T.Nachtbis-T15,T16-T15)+IF(T17&lt;T.Nachtbis,MIN(T.Nachtbis-T17,T18-T17)+IF(T19&lt;T.Nachtbis,MIN(T.Nachtbis-T19,T20-T19)+IF(T21&lt;T.Nachtbis,MIN(T.Nachtbis-T21,T22-T21),0),0),0),0),0),9),0)</f>
        <v>0</v>
      </c>
      <c r="U75" s="182" t="n">
        <f aca="false">IF(U73&gt;0,ROUND(U73- IF(U13&lt;T.Nachtbis,MIN(T.Nachtbis-U13,U14-U13)+IF(U15&lt;T.Nachtbis,MIN(T.Nachtbis-U15,U16-U15)+IF(U17&lt;T.Nachtbis,MIN(T.Nachtbis-U17,U18-U17)+IF(U19&lt;T.Nachtbis,MIN(T.Nachtbis-U19,U20-U19)+IF(U21&lt;T.Nachtbis,MIN(T.Nachtbis-U21,U22-U21),0),0),0),0),0),9),0)</f>
        <v>0</v>
      </c>
      <c r="V75" s="182" t="n">
        <f aca="false">IF(V73&gt;0,ROUND(V73- IF(V13&lt;T.Nachtbis,MIN(T.Nachtbis-V13,V14-V13)+IF(V15&lt;T.Nachtbis,MIN(T.Nachtbis-V15,V16-V15)+IF(V17&lt;T.Nachtbis,MIN(T.Nachtbis-V17,V18-V17)+IF(V19&lt;T.Nachtbis,MIN(T.Nachtbis-V19,V20-V19)+IF(V21&lt;T.Nachtbis,MIN(T.Nachtbis-V21,V22-V21),0),0),0),0),0),9),0)</f>
        <v>0</v>
      </c>
      <c r="W75" s="182" t="n">
        <f aca="false">IF(W73&gt;0,ROUND(W73- IF(W13&lt;T.Nachtbis,MIN(T.Nachtbis-W13,W14-W13)+IF(W15&lt;T.Nachtbis,MIN(T.Nachtbis-W15,W16-W15)+IF(W17&lt;T.Nachtbis,MIN(T.Nachtbis-W17,W18-W17)+IF(W19&lt;T.Nachtbis,MIN(T.Nachtbis-W19,W20-W19)+IF(W21&lt;T.Nachtbis,MIN(T.Nachtbis-W21,W22-W21),0),0),0),0),0),9),0)</f>
        <v>0</v>
      </c>
      <c r="X75" s="182" t="n">
        <f aca="false">IF(X73&gt;0,ROUND(X73- IF(X13&lt;T.Nachtbis,MIN(T.Nachtbis-X13,X14-X13)+IF(X15&lt;T.Nachtbis,MIN(T.Nachtbis-X15,X16-X15)+IF(X17&lt;T.Nachtbis,MIN(T.Nachtbis-X17,X18-X17)+IF(X19&lt;T.Nachtbis,MIN(T.Nachtbis-X19,X20-X19)+IF(X21&lt;T.Nachtbis,MIN(T.Nachtbis-X21,X22-X21),0),0),0),0),0),9),0)</f>
        <v>0</v>
      </c>
      <c r="Y75" s="182" t="n">
        <f aca="false">IF(Y73&gt;0,ROUND(Y73- IF(Y13&lt;T.Nachtbis,MIN(T.Nachtbis-Y13,Y14-Y13)+IF(Y15&lt;T.Nachtbis,MIN(T.Nachtbis-Y15,Y16-Y15)+IF(Y17&lt;T.Nachtbis,MIN(T.Nachtbis-Y17,Y18-Y17)+IF(Y19&lt;T.Nachtbis,MIN(T.Nachtbis-Y19,Y20-Y19)+IF(Y21&lt;T.Nachtbis,MIN(T.Nachtbis-Y21,Y22-Y21),0),0),0),0),0),9),0)</f>
        <v>0</v>
      </c>
      <c r="Z75" s="182" t="n">
        <f aca="false">IF(Z73&gt;0,ROUND(Z73- IF(Z13&lt;T.Nachtbis,MIN(T.Nachtbis-Z13,Z14-Z13)+IF(Z15&lt;T.Nachtbis,MIN(T.Nachtbis-Z15,Z16-Z15)+IF(Z17&lt;T.Nachtbis,MIN(T.Nachtbis-Z17,Z18-Z17)+IF(Z19&lt;T.Nachtbis,MIN(T.Nachtbis-Z19,Z20-Z19)+IF(Z21&lt;T.Nachtbis,MIN(T.Nachtbis-Z21,Z22-Z21),0),0),0),0),0),9),0)</f>
        <v>0</v>
      </c>
      <c r="AA75" s="182" t="n">
        <f aca="false">IF(AA73&gt;0,ROUND(AA73- IF(AA13&lt;T.Nachtbis,MIN(T.Nachtbis-AA13,AA14-AA13)+IF(AA15&lt;T.Nachtbis,MIN(T.Nachtbis-AA15,AA16-AA15)+IF(AA17&lt;T.Nachtbis,MIN(T.Nachtbis-AA17,AA18-AA17)+IF(AA19&lt;T.Nachtbis,MIN(T.Nachtbis-AA19,AA20-AA19)+IF(AA21&lt;T.Nachtbis,MIN(T.Nachtbis-AA21,AA22-AA21),0),0),0),0),0),9),0)</f>
        <v>0</v>
      </c>
      <c r="AB75" s="182" t="n">
        <f aca="false">IF(AB73&gt;0,ROUND(AB73- IF(AB13&lt;T.Nachtbis,MIN(T.Nachtbis-AB13,AB14-AB13)+IF(AB15&lt;T.Nachtbis,MIN(T.Nachtbis-AB15,AB16-AB15)+IF(AB17&lt;T.Nachtbis,MIN(T.Nachtbis-AB17,AB18-AB17)+IF(AB19&lt;T.Nachtbis,MIN(T.Nachtbis-AB19,AB20-AB19)+IF(AB21&lt;T.Nachtbis,MIN(T.Nachtbis-AB21,AB22-AB21),0),0),0),0),0),9),0)</f>
        <v>0</v>
      </c>
      <c r="AC75" s="182" t="n">
        <f aca="false">IF(AC73&gt;0,ROUND(AC73- IF(AC13&lt;T.Nachtbis,MIN(T.Nachtbis-AC13,AC14-AC13)+IF(AC15&lt;T.Nachtbis,MIN(T.Nachtbis-AC15,AC16-AC15)+IF(AC17&lt;T.Nachtbis,MIN(T.Nachtbis-AC17,AC18-AC17)+IF(AC19&lt;T.Nachtbis,MIN(T.Nachtbis-AC19,AC20-AC19)+IF(AC21&lt;T.Nachtbis,MIN(T.Nachtbis-AC21,AC22-AC21),0),0),0),0),0),9),0)</f>
        <v>0</v>
      </c>
      <c r="AD75" s="182" t="n">
        <f aca="false">IF(AD73&gt;0,ROUND(AD73- IF(AD13&lt;T.Nachtbis,MIN(T.Nachtbis-AD13,AD14-AD13)+IF(AD15&lt;T.Nachtbis,MIN(T.Nachtbis-AD15,AD16-AD15)+IF(AD17&lt;T.Nachtbis,MIN(T.Nachtbis-AD17,AD18-AD17)+IF(AD19&lt;T.Nachtbis,MIN(T.Nachtbis-AD19,AD20-AD19)+IF(AD21&lt;T.Nachtbis,MIN(T.Nachtbis-AD21,AD22-AD21),0),0),0),0),0),9),0)</f>
        <v>0</v>
      </c>
      <c r="AE75" s="182" t="n">
        <f aca="false">IF(AE73&gt;0,ROUND(AE73- IF(AE13&lt;T.Nachtbis,MIN(T.Nachtbis-AE13,AE14-AE13)+IF(AE15&lt;T.Nachtbis,MIN(T.Nachtbis-AE15,AE16-AE15)+IF(AE17&lt;T.Nachtbis,MIN(T.Nachtbis-AE17,AE18-AE17)+IF(AE19&lt;T.Nachtbis,MIN(T.Nachtbis-AE19,AE20-AE19)+IF(AE21&lt;T.Nachtbis,MIN(T.Nachtbis-AE21,AE22-AE21),0),0),0),0),0),9),0)</f>
        <v>0</v>
      </c>
      <c r="AF75" s="182" t="n">
        <f aca="false">IF(AF73&gt;0,ROUND(AF73- IF(AF13&lt;T.Nachtbis,MIN(T.Nachtbis-AF13,AF14-AF13)+IF(AF15&lt;T.Nachtbis,MIN(T.Nachtbis-AF15,AF16-AF15)+IF(AF17&lt;T.Nachtbis,MIN(T.Nachtbis-AF17,AF18-AF17)+IF(AF19&lt;T.Nachtbis,MIN(T.Nachtbis-AF19,AF20-AF19)+IF(AF21&lt;T.Nachtbis,MIN(T.Nachtbis-AF21,AF22-AF21),0),0),0),0),0),9),0)</f>
        <v>0</v>
      </c>
      <c r="AG75" s="183" t="str">
        <f aca="false">A75</f>
        <v>Total NS hours today</v>
      </c>
      <c r="AH75" s="146"/>
      <c r="AI75" s="179"/>
      <c r="AJ75" s="180"/>
      <c r="AK75" s="172"/>
      <c r="AL75" s="172"/>
      <c r="AM75" s="172"/>
      <c r="AN75" s="171"/>
      <c r="AO75" s="172"/>
      <c r="AP75" s="172"/>
      <c r="AQ75" s="39"/>
    </row>
    <row r="76" s="148" customFormat="true" ht="16.5" hidden="true" customHeight="true" outlineLevel="1" collapsed="false">
      <c r="A76" s="181" t="s">
        <v>161</v>
      </c>
      <c r="B76" s="193" t="n">
        <f aca="false">B73-B75</f>
        <v>0</v>
      </c>
      <c r="C76" s="193" t="n">
        <f aca="false">C73-C75</f>
        <v>0</v>
      </c>
      <c r="D76" s="193" t="n">
        <f aca="false">D73-D75</f>
        <v>0</v>
      </c>
      <c r="E76" s="193" t="n">
        <f aca="false">E73-E75</f>
        <v>0</v>
      </c>
      <c r="F76" s="193" t="n">
        <f aca="false">F73-F75</f>
        <v>0</v>
      </c>
      <c r="G76" s="193" t="n">
        <f aca="false">G73-G75</f>
        <v>0</v>
      </c>
      <c r="H76" s="193" t="n">
        <f aca="false">H73-H75</f>
        <v>0</v>
      </c>
      <c r="I76" s="193" t="n">
        <f aca="false">I73-I75</f>
        <v>0</v>
      </c>
      <c r="J76" s="193" t="n">
        <f aca="false">J73-J75</f>
        <v>0</v>
      </c>
      <c r="K76" s="193" t="n">
        <f aca="false">K73-K75</f>
        <v>0</v>
      </c>
      <c r="L76" s="193" t="n">
        <f aca="false">L73-L75</f>
        <v>0</v>
      </c>
      <c r="M76" s="193" t="n">
        <f aca="false">M73-M75</f>
        <v>0</v>
      </c>
      <c r="N76" s="193" t="n">
        <f aca="false">N73-N75</f>
        <v>0</v>
      </c>
      <c r="O76" s="193" t="n">
        <f aca="false">O73-O75</f>
        <v>0</v>
      </c>
      <c r="P76" s="193" t="n">
        <f aca="false">P73-P75</f>
        <v>0</v>
      </c>
      <c r="Q76" s="193" t="n">
        <f aca="false">Q73-Q75</f>
        <v>0</v>
      </c>
      <c r="R76" s="193" t="n">
        <f aca="false">R73-R75</f>
        <v>0</v>
      </c>
      <c r="S76" s="193" t="n">
        <f aca="false">S73-S75</f>
        <v>0</v>
      </c>
      <c r="T76" s="193" t="n">
        <f aca="false">T73-T75</f>
        <v>0</v>
      </c>
      <c r="U76" s="193" t="n">
        <f aca="false">U73-U75</f>
        <v>0</v>
      </c>
      <c r="V76" s="193" t="n">
        <f aca="false">V73-V75</f>
        <v>0</v>
      </c>
      <c r="W76" s="193" t="n">
        <f aca="false">W73-W75</f>
        <v>0</v>
      </c>
      <c r="X76" s="193" t="n">
        <f aca="false">X73-X75</f>
        <v>0</v>
      </c>
      <c r="Y76" s="193" t="n">
        <f aca="false">Y73-Y75</f>
        <v>0</v>
      </c>
      <c r="Z76" s="193" t="n">
        <f aca="false">Z73-Z75</f>
        <v>0</v>
      </c>
      <c r="AA76" s="193" t="n">
        <f aca="false">AA73-AA75</f>
        <v>0</v>
      </c>
      <c r="AB76" s="193" t="n">
        <f aca="false">AB73-AB75</f>
        <v>0</v>
      </c>
      <c r="AC76" s="193" t="n">
        <f aca="false">AC73-AC75</f>
        <v>0</v>
      </c>
      <c r="AD76" s="193" t="n">
        <f aca="false">AD73-AD75</f>
        <v>0</v>
      </c>
      <c r="AE76" s="193" t="n">
        <f aca="false">AE73-AE75</f>
        <v>0</v>
      </c>
      <c r="AF76" s="193" t="n">
        <f aca="false">AF73-AF75</f>
        <v>0</v>
      </c>
      <c r="AG76" s="183" t="str">
        <f aca="false">A76</f>
        <v>Total NS hours yesterday</v>
      </c>
      <c r="AH76" s="146"/>
      <c r="AI76" s="179"/>
      <c r="AJ76" s="180"/>
      <c r="AK76" s="172"/>
      <c r="AL76" s="172"/>
      <c r="AM76" s="199" t="n">
        <f aca="false">IF(EB.Anwendung&lt;&gt;"",IF(MONTH(Monat.Tag1)=12,0,IF(MONTH(Monat.Tag1)=1,February!Monat.NDgesternTag1,IF(MONTH(Monat.Tag1)=2,March!Monat.NDgesternTag1,IF(MONTH(Monat.Tag1)=3,April!Monat.NDgesternTag1,IF(MONTH(Monat.Tag1)=4,May!Monat.NDgesternTag1,IF(MONTH(Monat.Tag1)=5,June!Monat.NDgesternTag1,IF(MONTH(Monat.Tag1)=6,July!Monat.NDgesternTag1,IF(MONTH(Monat.Tag1)=7,August!Monat.NDgesternTag1,IF(MONTH(Monat.Tag1)=8,September!Monat.NDgesternTag1,IF(MONTH(Monat.Tag1)=9,October!Monat.NDgesternTag1,IF(MONTH(Monat.Tag1)=10,November!Monat.NDgesternTag1,IF(MONTH(Monat.Tag1)=11,Monat.NDgesternTag1,"")))))))))))),"")</f>
        <v>0</v>
      </c>
      <c r="AN76" s="171"/>
      <c r="AO76" s="172"/>
      <c r="AP76" s="172"/>
      <c r="AQ76" s="39"/>
    </row>
    <row r="77" s="148" customFormat="true" ht="16.5" hidden="true" customHeight="true" outlineLevel="1" collapsed="false">
      <c r="A77" s="181" t="s">
        <v>162</v>
      </c>
      <c r="B77" s="182" t="n">
        <f aca="false">B75+IF(B$10=EOMONTH(B$10,0),$AM76,C76)</f>
        <v>0</v>
      </c>
      <c r="C77" s="182" t="n">
        <f aca="false">C75+IF(C$10=EOMONTH(C$10,0),$AM76,D76)</f>
        <v>0</v>
      </c>
      <c r="D77" s="182" t="n">
        <f aca="false">D75+IF(D$10=EOMONTH(D$10,0),$AM76,E76)</f>
        <v>0</v>
      </c>
      <c r="E77" s="182" t="n">
        <f aca="false">E75+IF(E$10=EOMONTH(E$10,0),$AM76,F76)</f>
        <v>0</v>
      </c>
      <c r="F77" s="182" t="n">
        <f aca="false">F75+IF(F$10=EOMONTH(F$10,0),$AM76,G76)</f>
        <v>0</v>
      </c>
      <c r="G77" s="182" t="n">
        <f aca="false">G75+IF(G$10=EOMONTH(G$10,0),$AM76,H76)</f>
        <v>0</v>
      </c>
      <c r="H77" s="182" t="n">
        <f aca="false">H75+IF(H$10=EOMONTH(H$10,0),$AM76,I76)</f>
        <v>0</v>
      </c>
      <c r="I77" s="182" t="n">
        <f aca="false">I75+IF(I$10=EOMONTH(I$10,0),$AM76,J76)</f>
        <v>0</v>
      </c>
      <c r="J77" s="182" t="n">
        <f aca="false">J75+IF(J$10=EOMONTH(J$10,0),$AM76,K76)</f>
        <v>0</v>
      </c>
      <c r="K77" s="182" t="n">
        <f aca="false">K75+IF(K$10=EOMONTH(K$10,0),$AM76,L76)</f>
        <v>0</v>
      </c>
      <c r="L77" s="182" t="n">
        <f aca="false">L75+IF(L$10=EOMONTH(L$10,0),$AM76,M76)</f>
        <v>0</v>
      </c>
      <c r="M77" s="182" t="n">
        <f aca="false">M75+IF(M$10=EOMONTH(M$10,0),$AM76,N76)</f>
        <v>0</v>
      </c>
      <c r="N77" s="182" t="n">
        <f aca="false">N75+IF(N$10=EOMONTH(N$10,0),$AM76,O76)</f>
        <v>0</v>
      </c>
      <c r="O77" s="182" t="n">
        <f aca="false">O75+IF(O$10=EOMONTH(O$10,0),$AM76,P76)</f>
        <v>0</v>
      </c>
      <c r="P77" s="182" t="n">
        <f aca="false">P75+IF(P$10=EOMONTH(P$10,0),$AM76,Q76)</f>
        <v>0</v>
      </c>
      <c r="Q77" s="182" t="n">
        <f aca="false">Q75+IF(Q$10=EOMONTH(Q$10,0),$AM76,R76)</f>
        <v>0</v>
      </c>
      <c r="R77" s="182" t="n">
        <f aca="false">R75+IF(R$10=EOMONTH(R$10,0),$AM76,S76)</f>
        <v>0</v>
      </c>
      <c r="S77" s="182" t="n">
        <f aca="false">S75+IF(S$10=EOMONTH(S$10,0),$AM76,T76)</f>
        <v>0</v>
      </c>
      <c r="T77" s="182" t="n">
        <f aca="false">T75+IF(T$10=EOMONTH(T$10,0),$AM76,U76)</f>
        <v>0</v>
      </c>
      <c r="U77" s="182" t="n">
        <f aca="false">U75+IF(U$10=EOMONTH(U$10,0),$AM76,V76)</f>
        <v>0</v>
      </c>
      <c r="V77" s="182" t="n">
        <f aca="false">V75+IF(V$10=EOMONTH(V$10,0),$AM76,W76)</f>
        <v>0</v>
      </c>
      <c r="W77" s="182" t="n">
        <f aca="false">W75+IF(W$10=EOMONTH(W$10,0),$AM76,X76)</f>
        <v>0</v>
      </c>
      <c r="X77" s="182" t="n">
        <f aca="false">X75+IF(X$10=EOMONTH(X$10,0),$AM76,Y76)</f>
        <v>0</v>
      </c>
      <c r="Y77" s="182" t="n">
        <f aca="false">Y75+IF(Y$10=EOMONTH(Y$10,0),$AM76,Z76)</f>
        <v>0</v>
      </c>
      <c r="Z77" s="182" t="n">
        <f aca="false">Z75+IF(Z$10=EOMONTH(Z$10,0),$AM76,AA76)</f>
        <v>0</v>
      </c>
      <c r="AA77" s="182" t="n">
        <f aca="false">AA75+IF(AA$10=EOMONTH(AA$10,0),$AM76,AB76)</f>
        <v>0</v>
      </c>
      <c r="AB77" s="182" t="n">
        <f aca="false">AB75+IF(AB$10=EOMONTH(AB$10,0),$AM76,AC76)</f>
        <v>0</v>
      </c>
      <c r="AC77" s="182" t="n">
        <f aca="false">AC75+IF(AC$10=EOMONTH(AC$10,0),$AM76,AD76)</f>
        <v>0</v>
      </c>
      <c r="AD77" s="182" t="n">
        <f aca="false">AD75+IF(AD$10=EOMONTH(AD$10,0),$AM76,AE76)</f>
        <v>0</v>
      </c>
      <c r="AE77" s="182" t="n">
        <f aca="false">AE75+IF(AE$10=EOMONTH(AE$10,0),$AM76,AF76)</f>
        <v>0</v>
      </c>
      <c r="AF77" s="182" t="n">
        <f aca="false">AF75+IF(AF$10=EOMONTH(AF$10,0),$AM76,AG76)</f>
        <v>0</v>
      </c>
      <c r="AG77" s="183" t="str">
        <f aca="false">A77</f>
        <v>Total NS hours</v>
      </c>
      <c r="AH77" s="184"/>
      <c r="AI77" s="185" t="n">
        <f aca="false">SUM(B77:AF77)</f>
        <v>0</v>
      </c>
      <c r="AJ77" s="180"/>
      <c r="AK77" s="172"/>
      <c r="AL77" s="172"/>
      <c r="AM77" s="172"/>
      <c r="AN77" s="171"/>
      <c r="AO77" s="172"/>
      <c r="AP77" s="172"/>
      <c r="AQ77" s="39"/>
    </row>
    <row r="78" s="148" customFormat="true" ht="3.75" hidden="true" customHeight="true" outlineLevel="0" collapsed="false">
      <c r="A78" s="186"/>
      <c r="B78" s="187"/>
      <c r="C78" s="187"/>
      <c r="D78" s="187"/>
      <c r="E78" s="187"/>
      <c r="F78" s="187"/>
      <c r="G78" s="187"/>
      <c r="H78" s="187"/>
      <c r="I78" s="187"/>
      <c r="J78" s="187"/>
      <c r="K78" s="187"/>
      <c r="L78" s="187"/>
      <c r="M78" s="187"/>
      <c r="N78" s="187"/>
      <c r="O78" s="187"/>
      <c r="P78" s="187"/>
      <c r="Q78" s="187"/>
      <c r="R78" s="187"/>
      <c r="S78" s="187"/>
      <c r="T78" s="187"/>
      <c r="U78" s="187"/>
      <c r="V78" s="187"/>
      <c r="W78" s="187"/>
      <c r="X78" s="187"/>
      <c r="Y78" s="187"/>
      <c r="Z78" s="187"/>
      <c r="AA78" s="187"/>
      <c r="AB78" s="187"/>
      <c r="AC78" s="187"/>
      <c r="AD78" s="187"/>
      <c r="AE78" s="187"/>
      <c r="AF78" s="188"/>
      <c r="AG78" s="168"/>
      <c r="AH78" s="202"/>
      <c r="AI78" s="188"/>
      <c r="AJ78" s="180"/>
      <c r="AK78" s="172"/>
      <c r="AL78" s="172"/>
      <c r="AM78" s="172"/>
      <c r="AN78" s="171"/>
      <c r="AO78" s="172"/>
      <c r="AP78" s="172"/>
      <c r="AQ78" s="39"/>
    </row>
    <row r="79" s="148" customFormat="true" ht="15" hidden="true" customHeight="true" outlineLevel="1" collapsed="false">
      <c r="A79" s="175" t="s">
        <v>84</v>
      </c>
      <c r="B79" s="256" t="n">
        <f aca="false">IF(AND(T.50_Vetsuisse,B70&gt;24),ROUND(B73*T.50_VetsuisseZZSND,9), IF(AND(T.ServiceCenterIrchel,B69&gt;0,B77&gt;=ROUND(1/24*8,9)),ROUND(B77*T.ServiceCenterIrchelZZSND,9),))</f>
        <v>0</v>
      </c>
      <c r="C79" s="256" t="n">
        <f aca="false">IF(AND(T.50_Vetsuisse,C70&gt;24),ROUND(C73*T.50_VetsuisseZZSND,9), IF(AND(T.ServiceCenterIrchel,C69&gt;0,C77&gt;=ROUND(1/24*8,9)),ROUND(C77*T.ServiceCenterIrchelZZSND,9),))</f>
        <v>0</v>
      </c>
      <c r="D79" s="256" t="n">
        <f aca="false">IF(AND(T.50_Vetsuisse,D70&gt;24),ROUND(D73*T.50_VetsuisseZZSND,9), IF(AND(T.ServiceCenterIrchel,D69&gt;0,D77&gt;=ROUND(1/24*8,9)),ROUND(D77*T.ServiceCenterIrchelZZSND,9),))</f>
        <v>0</v>
      </c>
      <c r="E79" s="256" t="n">
        <f aca="false">IF(AND(T.50_Vetsuisse,E70&gt;24),ROUND(E73*T.50_VetsuisseZZSND,9), IF(AND(T.ServiceCenterIrchel,E69&gt;0,E77&gt;=ROUND(1/24*8,9)),ROUND(E77*T.ServiceCenterIrchelZZSND,9),))</f>
        <v>0</v>
      </c>
      <c r="F79" s="256" t="n">
        <f aca="false">IF(AND(T.50_Vetsuisse,F70&gt;24),ROUND(F73*T.50_VetsuisseZZSND,9), IF(AND(T.ServiceCenterIrchel,F69&gt;0,F77&gt;=ROUND(1/24*8,9)),ROUND(F77*T.ServiceCenterIrchelZZSND,9),))</f>
        <v>0</v>
      </c>
      <c r="G79" s="256" t="n">
        <f aca="false">IF(AND(T.50_Vetsuisse,G70&gt;24),ROUND(G73*T.50_VetsuisseZZSND,9), IF(AND(T.ServiceCenterIrchel,G69&gt;0,G77&gt;=ROUND(1/24*8,9)),ROUND(G77*T.ServiceCenterIrchelZZSND,9),))</f>
        <v>0</v>
      </c>
      <c r="H79" s="256" t="n">
        <f aca="false">IF(AND(T.50_Vetsuisse,H70&gt;24),ROUND(H73*T.50_VetsuisseZZSND,9), IF(AND(T.ServiceCenterIrchel,H69&gt;0,H77&gt;=ROUND(1/24*8,9)),ROUND(H77*T.ServiceCenterIrchelZZSND,9),))</f>
        <v>0</v>
      </c>
      <c r="I79" s="256" t="n">
        <f aca="false">IF(AND(T.50_Vetsuisse,I70&gt;24),ROUND(I73*T.50_VetsuisseZZSND,9), IF(AND(T.ServiceCenterIrchel,I69&gt;0,I77&gt;=ROUND(1/24*8,9)),ROUND(I77*T.ServiceCenterIrchelZZSND,9),))</f>
        <v>0</v>
      </c>
      <c r="J79" s="256" t="n">
        <f aca="false">IF(AND(T.50_Vetsuisse,J70&gt;24),ROUND(J73*T.50_VetsuisseZZSND,9), IF(AND(T.ServiceCenterIrchel,J69&gt;0,J77&gt;=ROUND(1/24*8,9)),ROUND(J77*T.ServiceCenterIrchelZZSND,9),))</f>
        <v>0</v>
      </c>
      <c r="K79" s="256" t="n">
        <f aca="false">IF(AND(T.50_Vetsuisse,K70&gt;24),ROUND(K73*T.50_VetsuisseZZSND,9), IF(AND(T.ServiceCenterIrchel,K69&gt;0,K77&gt;=ROUND(1/24*8,9)),ROUND(K77*T.ServiceCenterIrchelZZSND,9),))</f>
        <v>0</v>
      </c>
      <c r="L79" s="256" t="n">
        <f aca="false">IF(AND(T.50_Vetsuisse,L70&gt;24),ROUND(L73*T.50_VetsuisseZZSND,9), IF(AND(T.ServiceCenterIrchel,L69&gt;0,L77&gt;=ROUND(1/24*8,9)),ROUND(L77*T.ServiceCenterIrchelZZSND,9),))</f>
        <v>0</v>
      </c>
      <c r="M79" s="256" t="n">
        <f aca="false">IF(AND(T.50_Vetsuisse,M70&gt;24),ROUND(M73*T.50_VetsuisseZZSND,9), IF(AND(T.ServiceCenterIrchel,M69&gt;0,M77&gt;=ROUND(1/24*8,9)),ROUND(M77*T.ServiceCenterIrchelZZSND,9),))</f>
        <v>0</v>
      </c>
      <c r="N79" s="256" t="n">
        <f aca="false">IF(AND(T.50_Vetsuisse,N70&gt;24),ROUND(N73*T.50_VetsuisseZZSND,9), IF(AND(T.ServiceCenterIrchel,N69&gt;0,N77&gt;=ROUND(1/24*8,9)),ROUND(N77*T.ServiceCenterIrchelZZSND,9),))</f>
        <v>0</v>
      </c>
      <c r="O79" s="256" t="n">
        <f aca="false">IF(AND(T.50_Vetsuisse,O70&gt;24),ROUND(O73*T.50_VetsuisseZZSND,9), IF(AND(T.ServiceCenterIrchel,O69&gt;0,O77&gt;=ROUND(1/24*8,9)),ROUND(O77*T.ServiceCenterIrchelZZSND,9),))</f>
        <v>0</v>
      </c>
      <c r="P79" s="256" t="n">
        <f aca="false">IF(AND(T.50_Vetsuisse,P70&gt;24),ROUND(P73*T.50_VetsuisseZZSND,9), IF(AND(T.ServiceCenterIrchel,P69&gt;0,P77&gt;=ROUND(1/24*8,9)),ROUND(P77*T.ServiceCenterIrchelZZSND,9),))</f>
        <v>0</v>
      </c>
      <c r="Q79" s="256" t="n">
        <f aca="false">IF(AND(T.50_Vetsuisse,Q70&gt;24),ROUND(Q73*T.50_VetsuisseZZSND,9), IF(AND(T.ServiceCenterIrchel,Q69&gt;0,Q77&gt;=ROUND(1/24*8,9)),ROUND(Q77*T.ServiceCenterIrchelZZSND,9),))</f>
        <v>0</v>
      </c>
      <c r="R79" s="256" t="n">
        <f aca="false">IF(AND(T.50_Vetsuisse,R70&gt;24),ROUND(R73*T.50_VetsuisseZZSND,9), IF(AND(T.ServiceCenterIrchel,R69&gt;0,R77&gt;=ROUND(1/24*8,9)),ROUND(R77*T.ServiceCenterIrchelZZSND,9),))</f>
        <v>0</v>
      </c>
      <c r="S79" s="256" t="n">
        <f aca="false">IF(AND(T.50_Vetsuisse,S70&gt;24),ROUND(S73*T.50_VetsuisseZZSND,9), IF(AND(T.ServiceCenterIrchel,S69&gt;0,S77&gt;=ROUND(1/24*8,9)),ROUND(S77*T.ServiceCenterIrchelZZSND,9),))</f>
        <v>0</v>
      </c>
      <c r="T79" s="256" t="n">
        <f aca="false">IF(AND(T.50_Vetsuisse,T70&gt;24),ROUND(T73*T.50_VetsuisseZZSND,9), IF(AND(T.ServiceCenterIrchel,T69&gt;0,T77&gt;=ROUND(1/24*8,9)),ROUND(T77*T.ServiceCenterIrchelZZSND,9),))</f>
        <v>0</v>
      </c>
      <c r="U79" s="256" t="n">
        <f aca="false">IF(AND(T.50_Vetsuisse,U70&gt;24),ROUND(U73*T.50_VetsuisseZZSND,9), IF(AND(T.ServiceCenterIrchel,U69&gt;0,U77&gt;=ROUND(1/24*8,9)),ROUND(U77*T.ServiceCenterIrchelZZSND,9),))</f>
        <v>0</v>
      </c>
      <c r="V79" s="256" t="n">
        <f aca="false">IF(AND(T.50_Vetsuisse,V70&gt;24),ROUND(V73*T.50_VetsuisseZZSND,9), IF(AND(T.ServiceCenterIrchel,V69&gt;0,V77&gt;=ROUND(1/24*8,9)),ROUND(V77*T.ServiceCenterIrchelZZSND,9),))</f>
        <v>0</v>
      </c>
      <c r="W79" s="256" t="n">
        <f aca="false">IF(AND(T.50_Vetsuisse,W70&gt;24),ROUND(W73*T.50_VetsuisseZZSND,9), IF(AND(T.ServiceCenterIrchel,W69&gt;0,W77&gt;=ROUND(1/24*8,9)),ROUND(W77*T.ServiceCenterIrchelZZSND,9),))</f>
        <v>0</v>
      </c>
      <c r="X79" s="256" t="n">
        <f aca="false">IF(AND(T.50_Vetsuisse,X70&gt;24),ROUND(X73*T.50_VetsuisseZZSND,9), IF(AND(T.ServiceCenterIrchel,X69&gt;0,X77&gt;=ROUND(1/24*8,9)),ROUND(X77*T.ServiceCenterIrchelZZSND,9),))</f>
        <v>0</v>
      </c>
      <c r="Y79" s="256" t="n">
        <f aca="false">IF(AND(T.50_Vetsuisse,Y70&gt;24),ROUND(Y73*T.50_VetsuisseZZSND,9), IF(AND(T.ServiceCenterIrchel,Y69&gt;0,Y77&gt;=ROUND(1/24*8,9)),ROUND(Y77*T.ServiceCenterIrchelZZSND,9),))</f>
        <v>0</v>
      </c>
      <c r="Z79" s="256" t="n">
        <f aca="false">IF(AND(T.50_Vetsuisse,Z70&gt;24),ROUND(Z73*T.50_VetsuisseZZSND,9), IF(AND(T.ServiceCenterIrchel,Z69&gt;0,Z77&gt;=ROUND(1/24*8,9)),ROUND(Z77*T.ServiceCenterIrchelZZSND,9),))</f>
        <v>0</v>
      </c>
      <c r="AA79" s="256" t="n">
        <f aca="false">IF(AND(T.50_Vetsuisse,AA70&gt;24),ROUND(AA73*T.50_VetsuisseZZSND,9), IF(AND(T.ServiceCenterIrchel,AA69&gt;0,AA77&gt;=ROUND(1/24*8,9)),ROUND(AA77*T.ServiceCenterIrchelZZSND,9),))</f>
        <v>0</v>
      </c>
      <c r="AB79" s="256" t="n">
        <f aca="false">IF(AND(T.50_Vetsuisse,AB70&gt;24),ROUND(AB73*T.50_VetsuisseZZSND,9), IF(AND(T.ServiceCenterIrchel,AB69&gt;0,AB77&gt;=ROUND(1/24*8,9)),ROUND(AB77*T.ServiceCenterIrchelZZSND,9),))</f>
        <v>0</v>
      </c>
      <c r="AC79" s="256" t="n">
        <f aca="false">IF(AND(T.50_Vetsuisse,AC70&gt;24),ROUND(AC73*T.50_VetsuisseZZSND,9), IF(AND(T.ServiceCenterIrchel,AC69&gt;0,AC77&gt;=ROUND(1/24*8,9)),ROUND(AC77*T.ServiceCenterIrchelZZSND,9),))</f>
        <v>0</v>
      </c>
      <c r="AD79" s="256" t="n">
        <f aca="false">IF(AND(T.50_Vetsuisse,AD70&gt;24),ROUND(AD73*T.50_VetsuisseZZSND,9), IF(AND(T.ServiceCenterIrchel,AD69&gt;0,AD77&gt;=ROUND(1/24*8,9)),ROUND(AD77*T.ServiceCenterIrchelZZSND,9),))</f>
        <v>0</v>
      </c>
      <c r="AE79" s="256" t="n">
        <f aca="false">IF(AND(T.50_Vetsuisse,AE70&gt;24),ROUND(AE73*T.50_VetsuisseZZSND,9), IF(AND(T.ServiceCenterIrchel,AE69&gt;0,AE77&gt;=ROUND(1/24*8,9)),ROUND(AE77*T.ServiceCenterIrchelZZSND,9),))</f>
        <v>0</v>
      </c>
      <c r="AF79" s="256" t="n">
        <f aca="false">IF(AND(T.50_Vetsuisse,AF70&gt;24),ROUND(AF73*T.50_VetsuisseZZSND,9), IF(AND(T.ServiceCenterIrchel,AF69&gt;0,AF77&gt;=ROUND(1/24*8,9)),ROUND(AF77*T.ServiceCenterIrchelZZSND,9),))</f>
        <v>0</v>
      </c>
      <c r="AG79" s="168" t="str">
        <f aca="false">A79</f>
        <v>Time supplement night shift</v>
      </c>
      <c r="AH79" s="250"/>
      <c r="AI79" s="207" t="n">
        <f aca="false">SUM(B79:AF79)</f>
        <v>0</v>
      </c>
      <c r="AJ79" s="33"/>
      <c r="AK79" s="192"/>
      <c r="AL79" s="216" t="n">
        <f aca="false">IF(EB.Anwendung&lt;&gt;"",IF(MONTH(Monat.Tag1)=1,EB.ZZNd,IF(MONTH(Monat.Tag1)=2,January!Monat.ZZNdUe,IF(MONTH(Monat.Tag1)=3,February!Monat.ZZNdUe,IF(MONTH(Monat.Tag1)=4,March!Monat.ZZNdUe,IF(MONTH(Monat.Tag1)=5,April!Monat.ZZNdUe,IF(MONTH(Monat.Tag1)=6,May!Monat.ZZNdUe,IF(MONTH(Monat.Tag1)=7,June!Monat.ZZNdUe,IF(MONTH(Monat.Tag1)=8,July!Monat.ZZNdUe,IF(MONTH(Monat.Tag1)=9,August!Monat.ZZNdUe,IF(MONTH(Monat.Tag1)=10,September!Monat.ZZNdUe,IF(MONTH(Monat.Tag1)=11,October!Monat.ZZNdUe,IF(MONTH(Monat.Tag1)=12,November!Monat.ZZNdUe,"")))))))))))),"")</f>
        <v>0</v>
      </c>
      <c r="AM79" s="172"/>
      <c r="AN79" s="217" t="n">
        <f aca="false">AI79+AL79-AI71</f>
        <v>0</v>
      </c>
      <c r="AO79" s="217" t="n">
        <f aca="true">OFFSET(Jahr.ZZSNDSaldo,-13+MONTH(Monat.Tag1),0,1,1)</f>
        <v>0</v>
      </c>
      <c r="AP79" s="217" t="n">
        <f aca="false">Jahr.ZZSNDSaldo</f>
        <v>0</v>
      </c>
      <c r="AQ79" s="39"/>
    </row>
    <row r="80" s="148" customFormat="true" ht="15" hidden="true" customHeight="true" outlineLevel="1" collapsed="false">
      <c r="A80" s="175" t="s">
        <v>163</v>
      </c>
      <c r="B80" s="256" t="str">
        <f aca="false">IF(T.50_Vetsuisse,IF(OR(B$12=0,B$11=0,WEEKDAY(B$10,2)&gt;5),0,ROUND(MAX(0,T.Abendbis-MAX(B13,T.Abendab))-MAX(0,T.Abendbis-MAX(T.Abendab,B14))+(B13&gt;B14)*(1+T.Abendab-T.Abendbis)+MAX(0,T.Abendbis-MAX(B15,T.Abendab))-MAX(0,T.Abendbis-MAX(T.Abendab,B16))+(B15&gt;B16)*(1+T.Abendab-T.Abendbis)+MAX(0,T.Abendbis-MAX(B17,T.Abendab))-MAX(0,T.Abendbis-MAX(T.Abendab,B18))+(B17&gt;B18)*(1+T.Abendab-T.Abendbis)+MAX(0,T.Abendbis-MAX(B19,T.Abendab))-MAX(0,T.Abendbis-MAX(T.Abendab,B20))+(B19&gt;B20)*(1+T.Abendab-T.Abendbis)+MAX(0,T.Abendbis-MAX(B21,T.Abendab))-MAX(0,T.Abendbis-MAX(T.Abendab,B22))+(B21&gt;B22)*(1+T.Abendab-T.Abendbis),9)),"")</f>
        <v/>
      </c>
      <c r="C80" s="256" t="str">
        <f aca="false">IF(T.50_Vetsuisse,IF(OR(C$12=0,C$11=0,WEEKDAY(C$10,2)&gt;5),0,ROUND(MAX(0,T.Abendbis-MAX(C13,T.Abendab))-MAX(0,T.Abendbis-MAX(T.Abendab,C14))+(C13&gt;C14)*(1+T.Abendab-T.Abendbis)+MAX(0,T.Abendbis-MAX(C15,T.Abendab))-MAX(0,T.Abendbis-MAX(T.Abendab,C16))+(C15&gt;C16)*(1+T.Abendab-T.Abendbis)+MAX(0,T.Abendbis-MAX(C17,T.Abendab))-MAX(0,T.Abendbis-MAX(T.Abendab,C18))+(C17&gt;C18)*(1+T.Abendab-T.Abendbis)+MAX(0,T.Abendbis-MAX(C19,T.Abendab))-MAX(0,T.Abendbis-MAX(T.Abendab,C20))+(C19&gt;C20)*(1+T.Abendab-T.Abendbis)+MAX(0,T.Abendbis-MAX(C21,T.Abendab))-MAX(0,T.Abendbis-MAX(T.Abendab,C22))+(C21&gt;C22)*(1+T.Abendab-T.Abendbis),9)),"")</f>
        <v/>
      </c>
      <c r="D80" s="256" t="str">
        <f aca="false">IF(T.50_Vetsuisse,IF(OR(D$12=0,D$11=0,WEEKDAY(D$10,2)&gt;5),0,ROUND(MAX(0,T.Abendbis-MAX(D13,T.Abendab))-MAX(0,T.Abendbis-MAX(T.Abendab,D14))+(D13&gt;D14)*(1+T.Abendab-T.Abendbis)+MAX(0,T.Abendbis-MAX(D15,T.Abendab))-MAX(0,T.Abendbis-MAX(T.Abendab,D16))+(D15&gt;D16)*(1+T.Abendab-T.Abendbis)+MAX(0,T.Abendbis-MAX(D17,T.Abendab))-MAX(0,T.Abendbis-MAX(T.Abendab,D18))+(D17&gt;D18)*(1+T.Abendab-T.Abendbis)+MAX(0,T.Abendbis-MAX(D19,T.Abendab))-MAX(0,T.Abendbis-MAX(T.Abendab,D20))+(D19&gt;D20)*(1+T.Abendab-T.Abendbis)+MAX(0,T.Abendbis-MAX(D21,T.Abendab))-MAX(0,T.Abendbis-MAX(T.Abendab,D22))+(D21&gt;D22)*(1+T.Abendab-T.Abendbis),9)),"")</f>
        <v/>
      </c>
      <c r="E80" s="256" t="str">
        <f aca="false">IF(T.50_Vetsuisse,IF(OR(E$12=0,E$11=0,WEEKDAY(E$10,2)&gt;5),0,ROUND(MAX(0,T.Abendbis-MAX(E13,T.Abendab))-MAX(0,T.Abendbis-MAX(T.Abendab,E14))+(E13&gt;E14)*(1+T.Abendab-T.Abendbis)+MAX(0,T.Abendbis-MAX(E15,T.Abendab))-MAX(0,T.Abendbis-MAX(T.Abendab,E16))+(E15&gt;E16)*(1+T.Abendab-T.Abendbis)+MAX(0,T.Abendbis-MAX(E17,T.Abendab))-MAX(0,T.Abendbis-MAX(T.Abendab,E18))+(E17&gt;E18)*(1+T.Abendab-T.Abendbis)+MAX(0,T.Abendbis-MAX(E19,T.Abendab))-MAX(0,T.Abendbis-MAX(T.Abendab,E20))+(E19&gt;E20)*(1+T.Abendab-T.Abendbis)+MAX(0,T.Abendbis-MAX(E21,T.Abendab))-MAX(0,T.Abendbis-MAX(T.Abendab,E22))+(E21&gt;E22)*(1+T.Abendab-T.Abendbis),9)),"")</f>
        <v/>
      </c>
      <c r="F80" s="256" t="str">
        <f aca="false">IF(T.50_Vetsuisse,IF(OR(F$12=0,F$11=0,WEEKDAY(F$10,2)&gt;5),0,ROUND(MAX(0,T.Abendbis-MAX(F13,T.Abendab))-MAX(0,T.Abendbis-MAX(T.Abendab,F14))+(F13&gt;F14)*(1+T.Abendab-T.Abendbis)+MAX(0,T.Abendbis-MAX(F15,T.Abendab))-MAX(0,T.Abendbis-MAX(T.Abendab,F16))+(F15&gt;F16)*(1+T.Abendab-T.Abendbis)+MAX(0,T.Abendbis-MAX(F17,T.Abendab))-MAX(0,T.Abendbis-MAX(T.Abendab,F18))+(F17&gt;F18)*(1+T.Abendab-T.Abendbis)+MAX(0,T.Abendbis-MAX(F19,T.Abendab))-MAX(0,T.Abendbis-MAX(T.Abendab,F20))+(F19&gt;F20)*(1+T.Abendab-T.Abendbis)+MAX(0,T.Abendbis-MAX(F21,T.Abendab))-MAX(0,T.Abendbis-MAX(T.Abendab,F22))+(F21&gt;F22)*(1+T.Abendab-T.Abendbis),9)),"")</f>
        <v/>
      </c>
      <c r="G80" s="256" t="str">
        <f aca="false">IF(T.50_Vetsuisse,IF(OR(G$12=0,G$11=0,WEEKDAY(G$10,2)&gt;5),0,ROUND(MAX(0,T.Abendbis-MAX(G13,T.Abendab))-MAX(0,T.Abendbis-MAX(T.Abendab,G14))+(G13&gt;G14)*(1+T.Abendab-T.Abendbis)+MAX(0,T.Abendbis-MAX(G15,T.Abendab))-MAX(0,T.Abendbis-MAX(T.Abendab,G16))+(G15&gt;G16)*(1+T.Abendab-T.Abendbis)+MAX(0,T.Abendbis-MAX(G17,T.Abendab))-MAX(0,T.Abendbis-MAX(T.Abendab,G18))+(G17&gt;G18)*(1+T.Abendab-T.Abendbis)+MAX(0,T.Abendbis-MAX(G19,T.Abendab))-MAX(0,T.Abendbis-MAX(T.Abendab,G20))+(G19&gt;G20)*(1+T.Abendab-T.Abendbis)+MAX(0,T.Abendbis-MAX(G21,T.Abendab))-MAX(0,T.Abendbis-MAX(T.Abendab,G22))+(G21&gt;G22)*(1+T.Abendab-T.Abendbis),9)),"")</f>
        <v/>
      </c>
      <c r="H80" s="256" t="str">
        <f aca="false">IF(T.50_Vetsuisse,IF(OR(H$12=0,H$11=0,WEEKDAY(H$10,2)&gt;5),0,ROUND(MAX(0,T.Abendbis-MAX(H13,T.Abendab))-MAX(0,T.Abendbis-MAX(T.Abendab,H14))+(H13&gt;H14)*(1+T.Abendab-T.Abendbis)+MAX(0,T.Abendbis-MAX(H15,T.Abendab))-MAX(0,T.Abendbis-MAX(T.Abendab,H16))+(H15&gt;H16)*(1+T.Abendab-T.Abendbis)+MAX(0,T.Abendbis-MAX(H17,T.Abendab))-MAX(0,T.Abendbis-MAX(T.Abendab,H18))+(H17&gt;H18)*(1+T.Abendab-T.Abendbis)+MAX(0,T.Abendbis-MAX(H19,T.Abendab))-MAX(0,T.Abendbis-MAX(T.Abendab,H20))+(H19&gt;H20)*(1+T.Abendab-T.Abendbis)+MAX(0,T.Abendbis-MAX(H21,T.Abendab))-MAX(0,T.Abendbis-MAX(T.Abendab,H22))+(H21&gt;H22)*(1+T.Abendab-T.Abendbis),9)),"")</f>
        <v/>
      </c>
      <c r="I80" s="256" t="str">
        <f aca="false">IF(T.50_Vetsuisse,IF(OR(I$12=0,I$11=0,WEEKDAY(I$10,2)&gt;5),0,ROUND(MAX(0,T.Abendbis-MAX(I13,T.Abendab))-MAX(0,T.Abendbis-MAX(T.Abendab,I14))+(I13&gt;I14)*(1+T.Abendab-T.Abendbis)+MAX(0,T.Abendbis-MAX(I15,T.Abendab))-MAX(0,T.Abendbis-MAX(T.Abendab,I16))+(I15&gt;I16)*(1+T.Abendab-T.Abendbis)+MAX(0,T.Abendbis-MAX(I17,T.Abendab))-MAX(0,T.Abendbis-MAX(T.Abendab,I18))+(I17&gt;I18)*(1+T.Abendab-T.Abendbis)+MAX(0,T.Abendbis-MAX(I19,T.Abendab))-MAX(0,T.Abendbis-MAX(T.Abendab,I20))+(I19&gt;I20)*(1+T.Abendab-T.Abendbis)+MAX(0,T.Abendbis-MAX(I21,T.Abendab))-MAX(0,T.Abendbis-MAX(T.Abendab,I22))+(I21&gt;I22)*(1+T.Abendab-T.Abendbis),9)),"")</f>
        <v/>
      </c>
      <c r="J80" s="256" t="str">
        <f aca="false">IF(T.50_Vetsuisse,IF(OR(J$12=0,J$11=0,WEEKDAY(J$10,2)&gt;5),0,ROUND(MAX(0,T.Abendbis-MAX(J13,T.Abendab))-MAX(0,T.Abendbis-MAX(T.Abendab,J14))+(J13&gt;J14)*(1+T.Abendab-T.Abendbis)+MAX(0,T.Abendbis-MAX(J15,T.Abendab))-MAX(0,T.Abendbis-MAX(T.Abendab,J16))+(J15&gt;J16)*(1+T.Abendab-T.Abendbis)+MAX(0,T.Abendbis-MAX(J17,T.Abendab))-MAX(0,T.Abendbis-MAX(T.Abendab,J18))+(J17&gt;J18)*(1+T.Abendab-T.Abendbis)+MAX(0,T.Abendbis-MAX(J19,T.Abendab))-MAX(0,T.Abendbis-MAX(T.Abendab,J20))+(J19&gt;J20)*(1+T.Abendab-T.Abendbis)+MAX(0,T.Abendbis-MAX(J21,T.Abendab))-MAX(0,T.Abendbis-MAX(T.Abendab,J22))+(J21&gt;J22)*(1+T.Abendab-T.Abendbis),9)),"")</f>
        <v/>
      </c>
      <c r="K80" s="256" t="str">
        <f aca="false">IF(T.50_Vetsuisse,IF(OR(K$12=0,K$11=0,WEEKDAY(K$10,2)&gt;5),0,ROUND(MAX(0,T.Abendbis-MAX(K13,T.Abendab))-MAX(0,T.Abendbis-MAX(T.Abendab,K14))+(K13&gt;K14)*(1+T.Abendab-T.Abendbis)+MAX(0,T.Abendbis-MAX(K15,T.Abendab))-MAX(0,T.Abendbis-MAX(T.Abendab,K16))+(K15&gt;K16)*(1+T.Abendab-T.Abendbis)+MAX(0,T.Abendbis-MAX(K17,T.Abendab))-MAX(0,T.Abendbis-MAX(T.Abendab,K18))+(K17&gt;K18)*(1+T.Abendab-T.Abendbis)+MAX(0,T.Abendbis-MAX(K19,T.Abendab))-MAX(0,T.Abendbis-MAX(T.Abendab,K20))+(K19&gt;K20)*(1+T.Abendab-T.Abendbis)+MAX(0,T.Abendbis-MAX(K21,T.Abendab))-MAX(0,T.Abendbis-MAX(T.Abendab,K22))+(K21&gt;K22)*(1+T.Abendab-T.Abendbis),9)),"")</f>
        <v/>
      </c>
      <c r="L80" s="256" t="str">
        <f aca="false">IF(T.50_Vetsuisse,IF(OR(L$12=0,L$11=0,WEEKDAY(L$10,2)&gt;5),0,ROUND(MAX(0,T.Abendbis-MAX(L13,T.Abendab))-MAX(0,T.Abendbis-MAX(T.Abendab,L14))+(L13&gt;L14)*(1+T.Abendab-T.Abendbis)+MAX(0,T.Abendbis-MAX(L15,T.Abendab))-MAX(0,T.Abendbis-MAX(T.Abendab,L16))+(L15&gt;L16)*(1+T.Abendab-T.Abendbis)+MAX(0,T.Abendbis-MAX(L17,T.Abendab))-MAX(0,T.Abendbis-MAX(T.Abendab,L18))+(L17&gt;L18)*(1+T.Abendab-T.Abendbis)+MAX(0,T.Abendbis-MAX(L19,T.Abendab))-MAX(0,T.Abendbis-MAX(T.Abendab,L20))+(L19&gt;L20)*(1+T.Abendab-T.Abendbis)+MAX(0,T.Abendbis-MAX(L21,T.Abendab))-MAX(0,T.Abendbis-MAX(T.Abendab,L22))+(L21&gt;L22)*(1+T.Abendab-T.Abendbis),9)),"")</f>
        <v/>
      </c>
      <c r="M80" s="256" t="str">
        <f aca="false">IF(T.50_Vetsuisse,IF(OR(M$12=0,M$11=0,WEEKDAY(M$10,2)&gt;5),0,ROUND(MAX(0,T.Abendbis-MAX(M13,T.Abendab))-MAX(0,T.Abendbis-MAX(T.Abendab,M14))+(M13&gt;M14)*(1+T.Abendab-T.Abendbis)+MAX(0,T.Abendbis-MAX(M15,T.Abendab))-MAX(0,T.Abendbis-MAX(T.Abendab,M16))+(M15&gt;M16)*(1+T.Abendab-T.Abendbis)+MAX(0,T.Abendbis-MAX(M17,T.Abendab))-MAX(0,T.Abendbis-MAX(T.Abendab,M18))+(M17&gt;M18)*(1+T.Abendab-T.Abendbis)+MAX(0,T.Abendbis-MAX(M19,T.Abendab))-MAX(0,T.Abendbis-MAX(T.Abendab,M20))+(M19&gt;M20)*(1+T.Abendab-T.Abendbis)+MAX(0,T.Abendbis-MAX(M21,T.Abendab))-MAX(0,T.Abendbis-MAX(T.Abendab,M22))+(M21&gt;M22)*(1+T.Abendab-T.Abendbis),9)),"")</f>
        <v/>
      </c>
      <c r="N80" s="256" t="str">
        <f aca="false">IF(T.50_Vetsuisse,IF(OR(N$12=0,N$11=0,WEEKDAY(N$10,2)&gt;5),0,ROUND(MAX(0,T.Abendbis-MAX(N13,T.Abendab))-MAX(0,T.Abendbis-MAX(T.Abendab,N14))+(N13&gt;N14)*(1+T.Abendab-T.Abendbis)+MAX(0,T.Abendbis-MAX(N15,T.Abendab))-MAX(0,T.Abendbis-MAX(T.Abendab,N16))+(N15&gt;N16)*(1+T.Abendab-T.Abendbis)+MAX(0,T.Abendbis-MAX(N17,T.Abendab))-MAX(0,T.Abendbis-MAX(T.Abendab,N18))+(N17&gt;N18)*(1+T.Abendab-T.Abendbis)+MAX(0,T.Abendbis-MAX(N19,T.Abendab))-MAX(0,T.Abendbis-MAX(T.Abendab,N20))+(N19&gt;N20)*(1+T.Abendab-T.Abendbis)+MAX(0,T.Abendbis-MAX(N21,T.Abendab))-MAX(0,T.Abendbis-MAX(T.Abendab,N22))+(N21&gt;N22)*(1+T.Abendab-T.Abendbis),9)),"")</f>
        <v/>
      </c>
      <c r="O80" s="256" t="str">
        <f aca="false">IF(T.50_Vetsuisse,IF(OR(O$12=0,O$11=0,WEEKDAY(O$10,2)&gt;5),0,ROUND(MAX(0,T.Abendbis-MAX(O13,T.Abendab))-MAX(0,T.Abendbis-MAX(T.Abendab,O14))+(O13&gt;O14)*(1+T.Abendab-T.Abendbis)+MAX(0,T.Abendbis-MAX(O15,T.Abendab))-MAX(0,T.Abendbis-MAX(T.Abendab,O16))+(O15&gt;O16)*(1+T.Abendab-T.Abendbis)+MAX(0,T.Abendbis-MAX(O17,T.Abendab))-MAX(0,T.Abendbis-MAX(T.Abendab,O18))+(O17&gt;O18)*(1+T.Abendab-T.Abendbis)+MAX(0,T.Abendbis-MAX(O19,T.Abendab))-MAX(0,T.Abendbis-MAX(T.Abendab,O20))+(O19&gt;O20)*(1+T.Abendab-T.Abendbis)+MAX(0,T.Abendbis-MAX(O21,T.Abendab))-MAX(0,T.Abendbis-MAX(T.Abendab,O22))+(O21&gt;O22)*(1+T.Abendab-T.Abendbis),9)),"")</f>
        <v/>
      </c>
      <c r="P80" s="256" t="str">
        <f aca="false">IF(T.50_Vetsuisse,IF(OR(P$12=0,P$11=0,WEEKDAY(P$10,2)&gt;5),0,ROUND(MAX(0,T.Abendbis-MAX(P13,T.Abendab))-MAX(0,T.Abendbis-MAX(T.Abendab,P14))+(P13&gt;P14)*(1+T.Abendab-T.Abendbis)+MAX(0,T.Abendbis-MAX(P15,T.Abendab))-MAX(0,T.Abendbis-MAX(T.Abendab,P16))+(P15&gt;P16)*(1+T.Abendab-T.Abendbis)+MAX(0,T.Abendbis-MAX(P17,T.Abendab))-MAX(0,T.Abendbis-MAX(T.Abendab,P18))+(P17&gt;P18)*(1+T.Abendab-T.Abendbis)+MAX(0,T.Abendbis-MAX(P19,T.Abendab))-MAX(0,T.Abendbis-MAX(T.Abendab,P20))+(P19&gt;P20)*(1+T.Abendab-T.Abendbis)+MAX(0,T.Abendbis-MAX(P21,T.Abendab))-MAX(0,T.Abendbis-MAX(T.Abendab,P22))+(P21&gt;P22)*(1+T.Abendab-T.Abendbis),9)),"")</f>
        <v/>
      </c>
      <c r="Q80" s="256" t="str">
        <f aca="false">IF(T.50_Vetsuisse,IF(OR(Q$12=0,Q$11=0,WEEKDAY(Q$10,2)&gt;5),0,ROUND(MAX(0,T.Abendbis-MAX(Q13,T.Abendab))-MAX(0,T.Abendbis-MAX(T.Abendab,Q14))+(Q13&gt;Q14)*(1+T.Abendab-T.Abendbis)+MAX(0,T.Abendbis-MAX(Q15,T.Abendab))-MAX(0,T.Abendbis-MAX(T.Abendab,Q16))+(Q15&gt;Q16)*(1+T.Abendab-T.Abendbis)+MAX(0,T.Abendbis-MAX(Q17,T.Abendab))-MAX(0,T.Abendbis-MAX(T.Abendab,Q18))+(Q17&gt;Q18)*(1+T.Abendab-T.Abendbis)+MAX(0,T.Abendbis-MAX(Q19,T.Abendab))-MAX(0,T.Abendbis-MAX(T.Abendab,Q20))+(Q19&gt;Q20)*(1+T.Abendab-T.Abendbis)+MAX(0,T.Abendbis-MAX(Q21,T.Abendab))-MAX(0,T.Abendbis-MAX(T.Abendab,Q22))+(Q21&gt;Q22)*(1+T.Abendab-T.Abendbis),9)),"")</f>
        <v/>
      </c>
      <c r="R80" s="256" t="str">
        <f aca="false">IF(T.50_Vetsuisse,IF(OR(R$12=0,R$11=0,WEEKDAY(R$10,2)&gt;5),0,ROUND(MAX(0,T.Abendbis-MAX(R13,T.Abendab))-MAX(0,T.Abendbis-MAX(T.Abendab,R14))+(R13&gt;R14)*(1+T.Abendab-T.Abendbis)+MAX(0,T.Abendbis-MAX(R15,T.Abendab))-MAX(0,T.Abendbis-MAX(T.Abendab,R16))+(R15&gt;R16)*(1+T.Abendab-T.Abendbis)+MAX(0,T.Abendbis-MAX(R17,T.Abendab))-MAX(0,T.Abendbis-MAX(T.Abendab,R18))+(R17&gt;R18)*(1+T.Abendab-T.Abendbis)+MAX(0,T.Abendbis-MAX(R19,T.Abendab))-MAX(0,T.Abendbis-MAX(T.Abendab,R20))+(R19&gt;R20)*(1+T.Abendab-T.Abendbis)+MAX(0,T.Abendbis-MAX(R21,T.Abendab))-MAX(0,T.Abendbis-MAX(T.Abendab,R22))+(R21&gt;R22)*(1+T.Abendab-T.Abendbis),9)),"")</f>
        <v/>
      </c>
      <c r="S80" s="256" t="str">
        <f aca="false">IF(T.50_Vetsuisse,IF(OR(S$12=0,S$11=0,WEEKDAY(S$10,2)&gt;5),0,ROUND(MAX(0,T.Abendbis-MAX(S13,T.Abendab))-MAX(0,T.Abendbis-MAX(T.Abendab,S14))+(S13&gt;S14)*(1+T.Abendab-T.Abendbis)+MAX(0,T.Abendbis-MAX(S15,T.Abendab))-MAX(0,T.Abendbis-MAX(T.Abendab,S16))+(S15&gt;S16)*(1+T.Abendab-T.Abendbis)+MAX(0,T.Abendbis-MAX(S17,T.Abendab))-MAX(0,T.Abendbis-MAX(T.Abendab,S18))+(S17&gt;S18)*(1+T.Abendab-T.Abendbis)+MAX(0,T.Abendbis-MAX(S19,T.Abendab))-MAX(0,T.Abendbis-MAX(T.Abendab,S20))+(S19&gt;S20)*(1+T.Abendab-T.Abendbis)+MAX(0,T.Abendbis-MAX(S21,T.Abendab))-MAX(0,T.Abendbis-MAX(T.Abendab,S22))+(S21&gt;S22)*(1+T.Abendab-T.Abendbis),9)),"")</f>
        <v/>
      </c>
      <c r="T80" s="256" t="str">
        <f aca="false">IF(T.50_Vetsuisse,IF(OR(T$12=0,T$11=0,WEEKDAY(T$10,2)&gt;5),0,ROUND(MAX(0,T.Abendbis-MAX(T13,T.Abendab))-MAX(0,T.Abendbis-MAX(T.Abendab,T14))+(T13&gt;T14)*(1+T.Abendab-T.Abendbis)+MAX(0,T.Abendbis-MAX(T15,T.Abendab))-MAX(0,T.Abendbis-MAX(T.Abendab,T16))+(T15&gt;T16)*(1+T.Abendab-T.Abendbis)+MAX(0,T.Abendbis-MAX(T17,T.Abendab))-MAX(0,T.Abendbis-MAX(T.Abendab,T18))+(T17&gt;T18)*(1+T.Abendab-T.Abendbis)+MAX(0,T.Abendbis-MAX(T19,T.Abendab))-MAX(0,T.Abendbis-MAX(T.Abendab,T20))+(T19&gt;T20)*(1+T.Abendab-T.Abendbis)+MAX(0,T.Abendbis-MAX(T21,T.Abendab))-MAX(0,T.Abendbis-MAX(T.Abendab,T22))+(T21&gt;T22)*(1+T.Abendab-T.Abendbis),9)),"")</f>
        <v/>
      </c>
      <c r="U80" s="256" t="str">
        <f aca="false">IF(T.50_Vetsuisse,IF(OR(U$12=0,U$11=0,WEEKDAY(U$10,2)&gt;5),0,ROUND(MAX(0,T.Abendbis-MAX(U13,T.Abendab))-MAX(0,T.Abendbis-MAX(T.Abendab,U14))+(U13&gt;U14)*(1+T.Abendab-T.Abendbis)+MAX(0,T.Abendbis-MAX(U15,T.Abendab))-MAX(0,T.Abendbis-MAX(T.Abendab,U16))+(U15&gt;U16)*(1+T.Abendab-T.Abendbis)+MAX(0,T.Abendbis-MAX(U17,T.Abendab))-MAX(0,T.Abendbis-MAX(T.Abendab,U18))+(U17&gt;U18)*(1+T.Abendab-T.Abendbis)+MAX(0,T.Abendbis-MAX(U19,T.Abendab))-MAX(0,T.Abendbis-MAX(T.Abendab,U20))+(U19&gt;U20)*(1+T.Abendab-T.Abendbis)+MAX(0,T.Abendbis-MAX(U21,T.Abendab))-MAX(0,T.Abendbis-MAX(T.Abendab,U22))+(U21&gt;U22)*(1+T.Abendab-T.Abendbis),9)),"")</f>
        <v/>
      </c>
      <c r="V80" s="256" t="str">
        <f aca="false">IF(T.50_Vetsuisse,IF(OR(V$12=0,V$11=0,WEEKDAY(V$10,2)&gt;5),0,ROUND(MAX(0,T.Abendbis-MAX(V13,T.Abendab))-MAX(0,T.Abendbis-MAX(T.Abendab,V14))+(V13&gt;V14)*(1+T.Abendab-T.Abendbis)+MAX(0,T.Abendbis-MAX(V15,T.Abendab))-MAX(0,T.Abendbis-MAX(T.Abendab,V16))+(V15&gt;V16)*(1+T.Abendab-T.Abendbis)+MAX(0,T.Abendbis-MAX(V17,T.Abendab))-MAX(0,T.Abendbis-MAX(T.Abendab,V18))+(V17&gt;V18)*(1+T.Abendab-T.Abendbis)+MAX(0,T.Abendbis-MAX(V19,T.Abendab))-MAX(0,T.Abendbis-MAX(T.Abendab,V20))+(V19&gt;V20)*(1+T.Abendab-T.Abendbis)+MAX(0,T.Abendbis-MAX(V21,T.Abendab))-MAX(0,T.Abendbis-MAX(T.Abendab,V22))+(V21&gt;V22)*(1+T.Abendab-T.Abendbis),9)),"")</f>
        <v/>
      </c>
      <c r="W80" s="256" t="str">
        <f aca="false">IF(T.50_Vetsuisse,IF(OR(W$12=0,W$11=0,WEEKDAY(W$10,2)&gt;5),0,ROUND(MAX(0,T.Abendbis-MAX(W13,T.Abendab))-MAX(0,T.Abendbis-MAX(T.Abendab,W14))+(W13&gt;W14)*(1+T.Abendab-T.Abendbis)+MAX(0,T.Abendbis-MAX(W15,T.Abendab))-MAX(0,T.Abendbis-MAX(T.Abendab,W16))+(W15&gt;W16)*(1+T.Abendab-T.Abendbis)+MAX(0,T.Abendbis-MAX(W17,T.Abendab))-MAX(0,T.Abendbis-MAX(T.Abendab,W18))+(W17&gt;W18)*(1+T.Abendab-T.Abendbis)+MAX(0,T.Abendbis-MAX(W19,T.Abendab))-MAX(0,T.Abendbis-MAX(T.Abendab,W20))+(W19&gt;W20)*(1+T.Abendab-T.Abendbis)+MAX(0,T.Abendbis-MAX(W21,T.Abendab))-MAX(0,T.Abendbis-MAX(T.Abendab,W22))+(W21&gt;W22)*(1+T.Abendab-T.Abendbis),9)),"")</f>
        <v/>
      </c>
      <c r="X80" s="256" t="str">
        <f aca="false">IF(T.50_Vetsuisse,IF(OR(X$12=0,X$11=0,WEEKDAY(X$10,2)&gt;5),0,ROUND(MAX(0,T.Abendbis-MAX(X13,T.Abendab))-MAX(0,T.Abendbis-MAX(T.Abendab,X14))+(X13&gt;X14)*(1+T.Abendab-T.Abendbis)+MAX(0,T.Abendbis-MAX(X15,T.Abendab))-MAX(0,T.Abendbis-MAX(T.Abendab,X16))+(X15&gt;X16)*(1+T.Abendab-T.Abendbis)+MAX(0,T.Abendbis-MAX(X17,T.Abendab))-MAX(0,T.Abendbis-MAX(T.Abendab,X18))+(X17&gt;X18)*(1+T.Abendab-T.Abendbis)+MAX(0,T.Abendbis-MAX(X19,T.Abendab))-MAX(0,T.Abendbis-MAX(T.Abendab,X20))+(X19&gt;X20)*(1+T.Abendab-T.Abendbis)+MAX(0,T.Abendbis-MAX(X21,T.Abendab))-MAX(0,T.Abendbis-MAX(T.Abendab,X22))+(X21&gt;X22)*(1+T.Abendab-T.Abendbis),9)),"")</f>
        <v/>
      </c>
      <c r="Y80" s="256" t="str">
        <f aca="false">IF(T.50_Vetsuisse,IF(OR(Y$12=0,Y$11=0,WEEKDAY(Y$10,2)&gt;5),0,ROUND(MAX(0,T.Abendbis-MAX(Y13,T.Abendab))-MAX(0,T.Abendbis-MAX(T.Abendab,Y14))+(Y13&gt;Y14)*(1+T.Abendab-T.Abendbis)+MAX(0,T.Abendbis-MAX(Y15,T.Abendab))-MAX(0,T.Abendbis-MAX(T.Abendab,Y16))+(Y15&gt;Y16)*(1+T.Abendab-T.Abendbis)+MAX(0,T.Abendbis-MAX(Y17,T.Abendab))-MAX(0,T.Abendbis-MAX(T.Abendab,Y18))+(Y17&gt;Y18)*(1+T.Abendab-T.Abendbis)+MAX(0,T.Abendbis-MAX(Y19,T.Abendab))-MAX(0,T.Abendbis-MAX(T.Abendab,Y20))+(Y19&gt;Y20)*(1+T.Abendab-T.Abendbis)+MAX(0,T.Abendbis-MAX(Y21,T.Abendab))-MAX(0,T.Abendbis-MAX(T.Abendab,Y22))+(Y21&gt;Y22)*(1+T.Abendab-T.Abendbis),9)),"")</f>
        <v/>
      </c>
      <c r="Z80" s="256" t="str">
        <f aca="false">IF(T.50_Vetsuisse,IF(OR(Z$12=0,Z$11=0,WEEKDAY(Z$10,2)&gt;5),0,ROUND(MAX(0,T.Abendbis-MAX(Z13,T.Abendab))-MAX(0,T.Abendbis-MAX(T.Abendab,Z14))+(Z13&gt;Z14)*(1+T.Abendab-T.Abendbis)+MAX(0,T.Abendbis-MAX(Z15,T.Abendab))-MAX(0,T.Abendbis-MAX(T.Abendab,Z16))+(Z15&gt;Z16)*(1+T.Abendab-T.Abendbis)+MAX(0,T.Abendbis-MAX(Z17,T.Abendab))-MAX(0,T.Abendbis-MAX(T.Abendab,Z18))+(Z17&gt;Z18)*(1+T.Abendab-T.Abendbis)+MAX(0,T.Abendbis-MAX(Z19,T.Abendab))-MAX(0,T.Abendbis-MAX(T.Abendab,Z20))+(Z19&gt;Z20)*(1+T.Abendab-T.Abendbis)+MAX(0,T.Abendbis-MAX(Z21,T.Abendab))-MAX(0,T.Abendbis-MAX(T.Abendab,Z22))+(Z21&gt;Z22)*(1+T.Abendab-T.Abendbis),9)),"")</f>
        <v/>
      </c>
      <c r="AA80" s="256" t="str">
        <f aca="false">IF(T.50_Vetsuisse,IF(OR(AA$12=0,AA$11=0,WEEKDAY(AA$10,2)&gt;5),0,ROUND(MAX(0,T.Abendbis-MAX(AA13,T.Abendab))-MAX(0,T.Abendbis-MAX(T.Abendab,AA14))+(AA13&gt;AA14)*(1+T.Abendab-T.Abendbis)+MAX(0,T.Abendbis-MAX(AA15,T.Abendab))-MAX(0,T.Abendbis-MAX(T.Abendab,AA16))+(AA15&gt;AA16)*(1+T.Abendab-T.Abendbis)+MAX(0,T.Abendbis-MAX(AA17,T.Abendab))-MAX(0,T.Abendbis-MAX(T.Abendab,AA18))+(AA17&gt;AA18)*(1+T.Abendab-T.Abendbis)+MAX(0,T.Abendbis-MAX(AA19,T.Abendab))-MAX(0,T.Abendbis-MAX(T.Abendab,AA20))+(AA19&gt;AA20)*(1+T.Abendab-T.Abendbis)+MAX(0,T.Abendbis-MAX(AA21,T.Abendab))-MAX(0,T.Abendbis-MAX(T.Abendab,AA22))+(AA21&gt;AA22)*(1+T.Abendab-T.Abendbis),9)),"")</f>
        <v/>
      </c>
      <c r="AB80" s="256" t="str">
        <f aca="false">IF(T.50_Vetsuisse,IF(OR(AB$12=0,AB$11=0,WEEKDAY(AB$10,2)&gt;5),0,ROUND(MAX(0,T.Abendbis-MAX(AB13,T.Abendab))-MAX(0,T.Abendbis-MAX(T.Abendab,AB14))+(AB13&gt;AB14)*(1+T.Abendab-T.Abendbis)+MAX(0,T.Abendbis-MAX(AB15,T.Abendab))-MAX(0,T.Abendbis-MAX(T.Abendab,AB16))+(AB15&gt;AB16)*(1+T.Abendab-T.Abendbis)+MAX(0,T.Abendbis-MAX(AB17,T.Abendab))-MAX(0,T.Abendbis-MAX(T.Abendab,AB18))+(AB17&gt;AB18)*(1+T.Abendab-T.Abendbis)+MAX(0,T.Abendbis-MAX(AB19,T.Abendab))-MAX(0,T.Abendbis-MAX(T.Abendab,AB20))+(AB19&gt;AB20)*(1+T.Abendab-T.Abendbis)+MAX(0,T.Abendbis-MAX(AB21,T.Abendab))-MAX(0,T.Abendbis-MAX(T.Abendab,AB22))+(AB21&gt;AB22)*(1+T.Abendab-T.Abendbis),9)),"")</f>
        <v/>
      </c>
      <c r="AC80" s="256" t="str">
        <f aca="false">IF(T.50_Vetsuisse,IF(OR(AC$12=0,AC$11=0,WEEKDAY(AC$10,2)&gt;5),0,ROUND(MAX(0,T.Abendbis-MAX(AC13,T.Abendab))-MAX(0,T.Abendbis-MAX(T.Abendab,AC14))+(AC13&gt;AC14)*(1+T.Abendab-T.Abendbis)+MAX(0,T.Abendbis-MAX(AC15,T.Abendab))-MAX(0,T.Abendbis-MAX(T.Abendab,AC16))+(AC15&gt;AC16)*(1+T.Abendab-T.Abendbis)+MAX(0,T.Abendbis-MAX(AC17,T.Abendab))-MAX(0,T.Abendbis-MAX(T.Abendab,AC18))+(AC17&gt;AC18)*(1+T.Abendab-T.Abendbis)+MAX(0,T.Abendbis-MAX(AC19,T.Abendab))-MAX(0,T.Abendbis-MAX(T.Abendab,AC20))+(AC19&gt;AC20)*(1+T.Abendab-T.Abendbis)+MAX(0,T.Abendbis-MAX(AC21,T.Abendab))-MAX(0,T.Abendbis-MAX(T.Abendab,AC22))+(AC21&gt;AC22)*(1+T.Abendab-T.Abendbis),9)),"")</f>
        <v/>
      </c>
      <c r="AD80" s="256" t="str">
        <f aca="false">IF(T.50_Vetsuisse,IF(OR(AD$12=0,AD$11=0,WEEKDAY(AD$10,2)&gt;5),0,ROUND(MAX(0,T.Abendbis-MAX(AD13,T.Abendab))-MAX(0,T.Abendbis-MAX(T.Abendab,AD14))+(AD13&gt;AD14)*(1+T.Abendab-T.Abendbis)+MAX(0,T.Abendbis-MAX(AD15,T.Abendab))-MAX(0,T.Abendbis-MAX(T.Abendab,AD16))+(AD15&gt;AD16)*(1+T.Abendab-T.Abendbis)+MAX(0,T.Abendbis-MAX(AD17,T.Abendab))-MAX(0,T.Abendbis-MAX(T.Abendab,AD18))+(AD17&gt;AD18)*(1+T.Abendab-T.Abendbis)+MAX(0,T.Abendbis-MAX(AD19,T.Abendab))-MAX(0,T.Abendbis-MAX(T.Abendab,AD20))+(AD19&gt;AD20)*(1+T.Abendab-T.Abendbis)+MAX(0,T.Abendbis-MAX(AD21,T.Abendab))-MAX(0,T.Abendbis-MAX(T.Abendab,AD22))+(AD21&gt;AD22)*(1+T.Abendab-T.Abendbis),9)),"")</f>
        <v/>
      </c>
      <c r="AE80" s="256" t="str">
        <f aca="false">IF(T.50_Vetsuisse,IF(OR(AE$12=0,AE$11=0,WEEKDAY(AE$10,2)&gt;5),0,ROUND(MAX(0,T.Abendbis-MAX(AE13,T.Abendab))-MAX(0,T.Abendbis-MAX(T.Abendab,AE14))+(AE13&gt;AE14)*(1+T.Abendab-T.Abendbis)+MAX(0,T.Abendbis-MAX(AE15,T.Abendab))-MAX(0,T.Abendbis-MAX(T.Abendab,AE16))+(AE15&gt;AE16)*(1+T.Abendab-T.Abendbis)+MAX(0,T.Abendbis-MAX(AE17,T.Abendab))-MAX(0,T.Abendbis-MAX(T.Abendab,AE18))+(AE17&gt;AE18)*(1+T.Abendab-T.Abendbis)+MAX(0,T.Abendbis-MAX(AE19,T.Abendab))-MAX(0,T.Abendbis-MAX(T.Abendab,AE20))+(AE19&gt;AE20)*(1+T.Abendab-T.Abendbis)+MAX(0,T.Abendbis-MAX(AE21,T.Abendab))-MAX(0,T.Abendbis-MAX(T.Abendab,AE22))+(AE21&gt;AE22)*(1+T.Abendab-T.Abendbis),9)),"")</f>
        <v/>
      </c>
      <c r="AF80" s="256" t="str">
        <f aca="false">IF(T.50_Vetsuisse,IF(OR(AF$12=0,AF$11=0,WEEKDAY(AF$10,2)&gt;5),0,ROUND(MAX(0,T.Abendbis-MAX(AF13,T.Abendab))-MAX(0,T.Abendbis-MAX(T.Abendab,AF14))+(AF13&gt;AF14)*(1+T.Abendab-T.Abendbis)+MAX(0,T.Abendbis-MAX(AF15,T.Abendab))-MAX(0,T.Abendbis-MAX(T.Abendab,AF16))+(AF15&gt;AF16)*(1+T.Abendab-T.Abendbis)+MAX(0,T.Abendbis-MAX(AF17,T.Abendab))-MAX(0,T.Abendbis-MAX(T.Abendab,AF18))+(AF17&gt;AF18)*(1+T.Abendab-T.Abendbis)+MAX(0,T.Abendbis-MAX(AF19,T.Abendab))-MAX(0,T.Abendbis-MAX(T.Abendab,AF20))+(AF19&gt;AF20)*(1+T.Abendab-T.Abendbis)+MAX(0,T.Abendbis-MAX(AF21,T.Abendab))-MAX(0,T.Abendbis-MAX(T.Abendab,AF22))+(AF21&gt;AF22)*(1+T.Abendab-T.Abendbis),9)),"")</f>
        <v/>
      </c>
      <c r="AG80" s="168" t="str">
        <f aca="false">A80</f>
        <v>Evening work</v>
      </c>
      <c r="AH80" s="250"/>
      <c r="AI80" s="207" t="n">
        <f aca="false">SUM(B80:AF80)</f>
        <v>0</v>
      </c>
      <c r="AJ80" s="33"/>
      <c r="AK80" s="192"/>
      <c r="AL80" s="216" t="n">
        <f aca="false">IF(EB.Anwendung&lt;&gt;"",IF(MONTH(Monat.Tag1)=1,0,IF(MONTH(Monat.Tag1)=2,January!Monat.AAUeVM,IF(MONTH(Monat.Tag1)=3,February!Monat.AAUeVM,IF(MONTH(Monat.Tag1)=4,March!Monat.AAUeVM,IF(MONTH(Monat.Tag1)=5,April!Monat.AAUeVM,IF(MONTH(Monat.Tag1)=6,May!Monat.AAUeVM,IF(MONTH(Monat.Tag1)=7,June!Monat.AAUeVM,IF(MONTH(Monat.Tag1)=8,July!Monat.AAUeVM,IF(MONTH(Monat.Tag1)=9,August!Monat.AAUeVM,IF(MONTH(Monat.Tag1)=10,September!Monat.AAUeVM,IF(MONTH(Monat.Tag1)=11,October!Monat.AAUeVM,IF(MONTH(Monat.Tag1)=12,November!Monat.AAUeVM,"")))))))))))),"")</f>
        <v>0</v>
      </c>
      <c r="AM80" s="172"/>
      <c r="AN80" s="217" t="n">
        <f aca="false">AI80+AL80</f>
        <v>0</v>
      </c>
      <c r="AO80" s="171"/>
      <c r="AP80" s="171"/>
      <c r="AQ80" s="39"/>
    </row>
    <row r="81" s="148" customFormat="true" ht="15" hidden="false" customHeight="true" outlineLevel="1" collapsed="false">
      <c r="A81" s="175" t="s">
        <v>164</v>
      </c>
      <c r="B81" s="256" t="n">
        <f aca="true">IF(EB.Wochenarbeitszeit=50/24,"",IF(B$12=0,0,IF(OR(WEEKDAY(B$10,2)&gt;5,B$11=0),IF(NOT(B$34=INDEX(T.Pikett.Bereich,1)),1,0),IF(WEEKDAY(B$10,2)&lt;6,IF(AND(OR(B$34=INDEX(T.Pikett.Bereich,2),B$34=INDEX(T.Pikett.Bereich,3)),B$11=1),8/24,0))+IF(WEEKDAY(B$10,2)&lt;6,IF(AND(OR(B$34=INDEX(T.Pikett.Bereich,2),B$34=INDEX(T.Pikett.Bereich,3)),B$11=6/8.4),10/24,0)) +IF(WEEKDAY(B$10,2)&lt;6,IF(AND(OR(B$34=INDEX(T.Pikett.Bereich,2),B$34=INDEX(T.Pikett.Bereich,3)),B$11=0.5),0.5,0)) +IF(AND(B$34=INDEX(T.Pikett.Bereich,4),B$11=6/8.4),0.75,0)+IF(AND(B$34=INDEX(T.Pikett.Bereich,4),B$11=1),16/24,0) +IF(AND(B$34=INDEX(T.Pikett.Bereich,4),B$11=0.5),20/24,0))))</f>
        <v>0</v>
      </c>
      <c r="C81" s="256" t="n">
        <f aca="true">IF(EB.Wochenarbeitszeit=50/24,"",IF(C$12=0,0,IF(OR(WEEKDAY(C$10,2)&gt;5,C$11=0),IF(NOT(C$34=INDEX(T.Pikett.Bereich,1)),1,0),IF(WEEKDAY(C$10,2)&lt;6,IF(AND(OR(C$34=INDEX(T.Pikett.Bereich,2),C$34=INDEX(T.Pikett.Bereich,3)),C$11=1),8/24,0))+IF(WEEKDAY(C$10,2)&lt;6,IF(AND(OR(C$34=INDEX(T.Pikett.Bereich,2),C$34=INDEX(T.Pikett.Bereich,3)),C$11=6/8.4),10/24,0)) +IF(WEEKDAY(C$10,2)&lt;6,IF(AND(OR(C$34=INDEX(T.Pikett.Bereich,2),C$34=INDEX(T.Pikett.Bereich,3)),C$11=0.5),0.5,0)) +IF(AND(C$34=INDEX(T.Pikett.Bereich,4),C$11=6/8.4),0.75,0)+IF(AND(C$34=INDEX(T.Pikett.Bereich,4),C$11=1),16/24,0) +IF(AND(C$34=INDEX(T.Pikett.Bereich,4),C$11=0.5),20/24,0))))</f>
        <v>0</v>
      </c>
      <c r="D81" s="256" t="n">
        <f aca="true">IF(EB.Wochenarbeitszeit=50/24,"",IF(D$12=0,0,IF(OR(WEEKDAY(D$10,2)&gt;5,D$11=0),IF(NOT(D$34=INDEX(T.Pikett.Bereich,1)),1,0),IF(WEEKDAY(D$10,2)&lt;6,IF(AND(OR(D$34=INDEX(T.Pikett.Bereich,2),D$34=INDEX(T.Pikett.Bereich,3)),D$11=1),8/24,0))+IF(WEEKDAY(D$10,2)&lt;6,IF(AND(OR(D$34=INDEX(T.Pikett.Bereich,2),D$34=INDEX(T.Pikett.Bereich,3)),D$11=6/8.4),10/24,0)) +IF(WEEKDAY(D$10,2)&lt;6,IF(AND(OR(D$34=INDEX(T.Pikett.Bereich,2),D$34=INDEX(T.Pikett.Bereich,3)),D$11=0.5),0.5,0)) +IF(AND(D$34=INDEX(T.Pikett.Bereich,4),D$11=6/8.4),0.75,0)+IF(AND(D$34=INDEX(T.Pikett.Bereich,4),D$11=1),16/24,0) +IF(AND(D$34=INDEX(T.Pikett.Bereich,4),D$11=0.5),20/24,0))))</f>
        <v>0</v>
      </c>
      <c r="E81" s="256" t="n">
        <f aca="true">IF(EB.Wochenarbeitszeit=50/24,"",IF(E$12=0,0,IF(OR(WEEKDAY(E$10,2)&gt;5,E$11=0),IF(NOT(E$34=INDEX(T.Pikett.Bereich,1)),1,0),IF(WEEKDAY(E$10,2)&lt;6,IF(AND(OR(E$34=INDEX(T.Pikett.Bereich,2),E$34=INDEX(T.Pikett.Bereich,3)),E$11=1),8/24,0))+IF(WEEKDAY(E$10,2)&lt;6,IF(AND(OR(E$34=INDEX(T.Pikett.Bereich,2),E$34=INDEX(T.Pikett.Bereich,3)),E$11=6/8.4),10/24,0)) +IF(WEEKDAY(E$10,2)&lt;6,IF(AND(OR(E$34=INDEX(T.Pikett.Bereich,2),E$34=INDEX(T.Pikett.Bereich,3)),E$11=0.5),0.5,0)) +IF(AND(E$34=INDEX(T.Pikett.Bereich,4),E$11=6/8.4),0.75,0)+IF(AND(E$34=INDEX(T.Pikett.Bereich,4),E$11=1),16/24,0) +IF(AND(E$34=INDEX(T.Pikett.Bereich,4),E$11=0.5),20/24,0))))</f>
        <v>0</v>
      </c>
      <c r="F81" s="256" t="n">
        <f aca="true">IF(EB.Wochenarbeitszeit=50/24,"",IF(F$12=0,0,IF(OR(WEEKDAY(F$10,2)&gt;5,F$11=0),IF(NOT(F$34=INDEX(T.Pikett.Bereich,1)),1,0),IF(WEEKDAY(F$10,2)&lt;6,IF(AND(OR(F$34=INDEX(T.Pikett.Bereich,2),F$34=INDEX(T.Pikett.Bereich,3)),F$11=1),8/24,0))+IF(WEEKDAY(F$10,2)&lt;6,IF(AND(OR(F$34=INDEX(T.Pikett.Bereich,2),F$34=INDEX(T.Pikett.Bereich,3)),F$11=6/8.4),10/24,0)) +IF(WEEKDAY(F$10,2)&lt;6,IF(AND(OR(F$34=INDEX(T.Pikett.Bereich,2),F$34=INDEX(T.Pikett.Bereich,3)),F$11=0.5),0.5,0)) +IF(AND(F$34=INDEX(T.Pikett.Bereich,4),F$11=6/8.4),0.75,0)+IF(AND(F$34=INDEX(T.Pikett.Bereich,4),F$11=1),16/24,0) +IF(AND(F$34=INDEX(T.Pikett.Bereich,4),F$11=0.5),20/24,0))))</f>
        <v>0</v>
      </c>
      <c r="G81" s="256" t="n">
        <f aca="true">IF(EB.Wochenarbeitszeit=50/24,"",IF(G$12=0,0,IF(OR(WEEKDAY(G$10,2)&gt;5,G$11=0),IF(NOT(G$34=INDEX(T.Pikett.Bereich,1)),1,0),IF(WEEKDAY(G$10,2)&lt;6,IF(AND(OR(G$34=INDEX(T.Pikett.Bereich,2),G$34=INDEX(T.Pikett.Bereich,3)),G$11=1),8/24,0))+IF(WEEKDAY(G$10,2)&lt;6,IF(AND(OR(G$34=INDEX(T.Pikett.Bereich,2),G$34=INDEX(T.Pikett.Bereich,3)),G$11=6/8.4),10/24,0)) +IF(WEEKDAY(G$10,2)&lt;6,IF(AND(OR(G$34=INDEX(T.Pikett.Bereich,2),G$34=INDEX(T.Pikett.Bereich,3)),G$11=0.5),0.5,0)) +IF(AND(G$34=INDEX(T.Pikett.Bereich,4),G$11=6/8.4),0.75,0)+IF(AND(G$34=INDEX(T.Pikett.Bereich,4),G$11=1),16/24,0) +IF(AND(G$34=INDEX(T.Pikett.Bereich,4),G$11=0.5),20/24,0))))</f>
        <v>0</v>
      </c>
      <c r="H81" s="256" t="n">
        <f aca="true">IF(EB.Wochenarbeitszeit=50/24,"",IF(H$12=0,0,IF(OR(WEEKDAY(H$10,2)&gt;5,H$11=0),IF(NOT(H$34=INDEX(T.Pikett.Bereich,1)),1,0),IF(WEEKDAY(H$10,2)&lt;6,IF(AND(OR(H$34=INDEX(T.Pikett.Bereich,2),H$34=INDEX(T.Pikett.Bereich,3)),H$11=1),8/24,0))+IF(WEEKDAY(H$10,2)&lt;6,IF(AND(OR(H$34=INDEX(T.Pikett.Bereich,2),H$34=INDEX(T.Pikett.Bereich,3)),H$11=6/8.4),10/24,0)) +IF(WEEKDAY(H$10,2)&lt;6,IF(AND(OR(H$34=INDEX(T.Pikett.Bereich,2),H$34=INDEX(T.Pikett.Bereich,3)),H$11=0.5),0.5,0)) +IF(AND(H$34=INDEX(T.Pikett.Bereich,4),H$11=6/8.4),0.75,0)+IF(AND(H$34=INDEX(T.Pikett.Bereich,4),H$11=1),16/24,0) +IF(AND(H$34=INDEX(T.Pikett.Bereich,4),H$11=0.5),20/24,0))))</f>
        <v>0</v>
      </c>
      <c r="I81" s="256" t="n">
        <f aca="true">IF(EB.Wochenarbeitszeit=50/24,"",IF(I$12=0,0,IF(OR(WEEKDAY(I$10,2)&gt;5,I$11=0),IF(NOT(I$34=INDEX(T.Pikett.Bereich,1)),1,0),IF(WEEKDAY(I$10,2)&lt;6,IF(AND(OR(I$34=INDEX(T.Pikett.Bereich,2),I$34=INDEX(T.Pikett.Bereich,3)),I$11=1),8/24,0))+IF(WEEKDAY(I$10,2)&lt;6,IF(AND(OR(I$34=INDEX(T.Pikett.Bereich,2),I$34=INDEX(T.Pikett.Bereich,3)),I$11=6/8.4),10/24,0)) +IF(WEEKDAY(I$10,2)&lt;6,IF(AND(OR(I$34=INDEX(T.Pikett.Bereich,2),I$34=INDEX(T.Pikett.Bereich,3)),I$11=0.5),0.5,0)) +IF(AND(I$34=INDEX(T.Pikett.Bereich,4),I$11=6/8.4),0.75,0)+IF(AND(I$34=INDEX(T.Pikett.Bereich,4),I$11=1),16/24,0) +IF(AND(I$34=INDEX(T.Pikett.Bereich,4),I$11=0.5),20/24,0))))</f>
        <v>0</v>
      </c>
      <c r="J81" s="256" t="n">
        <f aca="true">IF(EB.Wochenarbeitszeit=50/24,"",IF(J$12=0,0,IF(OR(WEEKDAY(J$10,2)&gt;5,J$11=0),IF(NOT(J$34=INDEX(T.Pikett.Bereich,1)),1,0),IF(WEEKDAY(J$10,2)&lt;6,IF(AND(OR(J$34=INDEX(T.Pikett.Bereich,2),J$34=INDEX(T.Pikett.Bereich,3)),J$11=1),8/24,0))+IF(WEEKDAY(J$10,2)&lt;6,IF(AND(OR(J$34=INDEX(T.Pikett.Bereich,2),J$34=INDEX(T.Pikett.Bereich,3)),J$11=6/8.4),10/24,0)) +IF(WEEKDAY(J$10,2)&lt;6,IF(AND(OR(J$34=INDEX(T.Pikett.Bereich,2),J$34=INDEX(T.Pikett.Bereich,3)),J$11=0.5),0.5,0)) +IF(AND(J$34=INDEX(T.Pikett.Bereich,4),J$11=6/8.4),0.75,0)+IF(AND(J$34=INDEX(T.Pikett.Bereich,4),J$11=1),16/24,0) +IF(AND(J$34=INDEX(T.Pikett.Bereich,4),J$11=0.5),20/24,0))))</f>
        <v>0</v>
      </c>
      <c r="K81" s="256" t="n">
        <f aca="true">IF(EB.Wochenarbeitszeit=50/24,"",IF(K$12=0,0,IF(OR(WEEKDAY(K$10,2)&gt;5,K$11=0),IF(NOT(K$34=INDEX(T.Pikett.Bereich,1)),1,0),IF(WEEKDAY(K$10,2)&lt;6,IF(AND(OR(K$34=INDEX(T.Pikett.Bereich,2),K$34=INDEX(T.Pikett.Bereich,3)),K$11=1),8/24,0))+IF(WEEKDAY(K$10,2)&lt;6,IF(AND(OR(K$34=INDEX(T.Pikett.Bereich,2),K$34=INDEX(T.Pikett.Bereich,3)),K$11=6/8.4),10/24,0)) +IF(WEEKDAY(K$10,2)&lt;6,IF(AND(OR(K$34=INDEX(T.Pikett.Bereich,2),K$34=INDEX(T.Pikett.Bereich,3)),K$11=0.5),0.5,0)) +IF(AND(K$34=INDEX(T.Pikett.Bereich,4),K$11=6/8.4),0.75,0)+IF(AND(K$34=INDEX(T.Pikett.Bereich,4),K$11=1),16/24,0) +IF(AND(K$34=INDEX(T.Pikett.Bereich,4),K$11=0.5),20/24,0))))</f>
        <v>0</v>
      </c>
      <c r="L81" s="256" t="n">
        <f aca="true">IF(EB.Wochenarbeitszeit=50/24,"",IF(L$12=0,0,IF(OR(WEEKDAY(L$10,2)&gt;5,L$11=0),IF(NOT(L$34=INDEX(T.Pikett.Bereich,1)),1,0),IF(WEEKDAY(L$10,2)&lt;6,IF(AND(OR(L$34=INDEX(T.Pikett.Bereich,2),L$34=INDEX(T.Pikett.Bereich,3)),L$11=1),8/24,0))+IF(WEEKDAY(L$10,2)&lt;6,IF(AND(OR(L$34=INDEX(T.Pikett.Bereich,2),L$34=INDEX(T.Pikett.Bereich,3)),L$11=6/8.4),10/24,0)) +IF(WEEKDAY(L$10,2)&lt;6,IF(AND(OR(L$34=INDEX(T.Pikett.Bereich,2),L$34=INDEX(T.Pikett.Bereich,3)),L$11=0.5),0.5,0)) +IF(AND(L$34=INDEX(T.Pikett.Bereich,4),L$11=6/8.4),0.75,0)+IF(AND(L$34=INDEX(T.Pikett.Bereich,4),L$11=1),16/24,0) +IF(AND(L$34=INDEX(T.Pikett.Bereich,4),L$11=0.5),20/24,0))))</f>
        <v>0</v>
      </c>
      <c r="M81" s="256" t="n">
        <f aca="true">IF(EB.Wochenarbeitszeit=50/24,"",IF(M$12=0,0,IF(OR(WEEKDAY(M$10,2)&gt;5,M$11=0),IF(NOT(M$34=INDEX(T.Pikett.Bereich,1)),1,0),IF(WEEKDAY(M$10,2)&lt;6,IF(AND(OR(M$34=INDEX(T.Pikett.Bereich,2),M$34=INDEX(T.Pikett.Bereich,3)),M$11=1),8/24,0))+IF(WEEKDAY(M$10,2)&lt;6,IF(AND(OR(M$34=INDEX(T.Pikett.Bereich,2),M$34=INDEX(T.Pikett.Bereich,3)),M$11=6/8.4),10/24,0)) +IF(WEEKDAY(M$10,2)&lt;6,IF(AND(OR(M$34=INDEX(T.Pikett.Bereich,2),M$34=INDEX(T.Pikett.Bereich,3)),M$11=0.5),0.5,0)) +IF(AND(M$34=INDEX(T.Pikett.Bereich,4),M$11=6/8.4),0.75,0)+IF(AND(M$34=INDEX(T.Pikett.Bereich,4),M$11=1),16/24,0) +IF(AND(M$34=INDEX(T.Pikett.Bereich,4),M$11=0.5),20/24,0))))</f>
        <v>0</v>
      </c>
      <c r="N81" s="256" t="n">
        <f aca="true">IF(EB.Wochenarbeitszeit=50/24,"",IF(N$12=0,0,IF(OR(WEEKDAY(N$10,2)&gt;5,N$11=0),IF(NOT(N$34=INDEX(T.Pikett.Bereich,1)),1,0),IF(WEEKDAY(N$10,2)&lt;6,IF(AND(OR(N$34=INDEX(T.Pikett.Bereich,2),N$34=INDEX(T.Pikett.Bereich,3)),N$11=1),8/24,0))+IF(WEEKDAY(N$10,2)&lt;6,IF(AND(OR(N$34=INDEX(T.Pikett.Bereich,2),N$34=INDEX(T.Pikett.Bereich,3)),N$11=6/8.4),10/24,0)) +IF(WEEKDAY(N$10,2)&lt;6,IF(AND(OR(N$34=INDEX(T.Pikett.Bereich,2),N$34=INDEX(T.Pikett.Bereich,3)),N$11=0.5),0.5,0)) +IF(AND(N$34=INDEX(T.Pikett.Bereich,4),N$11=6/8.4),0.75,0)+IF(AND(N$34=INDEX(T.Pikett.Bereich,4),N$11=1),16/24,0) +IF(AND(N$34=INDEX(T.Pikett.Bereich,4),N$11=0.5),20/24,0))))</f>
        <v>0</v>
      </c>
      <c r="O81" s="256" t="n">
        <f aca="true">IF(EB.Wochenarbeitszeit=50/24,"",IF(O$12=0,0,IF(OR(WEEKDAY(O$10,2)&gt;5,O$11=0),IF(NOT(O$34=INDEX(T.Pikett.Bereich,1)),1,0),IF(WEEKDAY(O$10,2)&lt;6,IF(AND(OR(O$34=INDEX(T.Pikett.Bereich,2),O$34=INDEX(T.Pikett.Bereich,3)),O$11=1),8/24,0))+IF(WEEKDAY(O$10,2)&lt;6,IF(AND(OR(O$34=INDEX(T.Pikett.Bereich,2),O$34=INDEX(T.Pikett.Bereich,3)),O$11=6/8.4),10/24,0)) +IF(WEEKDAY(O$10,2)&lt;6,IF(AND(OR(O$34=INDEX(T.Pikett.Bereich,2),O$34=INDEX(T.Pikett.Bereich,3)),O$11=0.5),0.5,0)) +IF(AND(O$34=INDEX(T.Pikett.Bereich,4),O$11=6/8.4),0.75,0)+IF(AND(O$34=INDEX(T.Pikett.Bereich,4),O$11=1),16/24,0) +IF(AND(O$34=INDEX(T.Pikett.Bereich,4),O$11=0.5),20/24,0))))</f>
        <v>0</v>
      </c>
      <c r="P81" s="256" t="n">
        <f aca="true">IF(EB.Wochenarbeitszeit=50/24,"",IF(P$12=0,0,IF(OR(WEEKDAY(P$10,2)&gt;5,P$11=0),IF(NOT(P$34=INDEX(T.Pikett.Bereich,1)),1,0),IF(WEEKDAY(P$10,2)&lt;6,IF(AND(OR(P$34=INDEX(T.Pikett.Bereich,2),P$34=INDEX(T.Pikett.Bereich,3)),P$11=1),8/24,0))+IF(WEEKDAY(P$10,2)&lt;6,IF(AND(OR(P$34=INDEX(T.Pikett.Bereich,2),P$34=INDEX(T.Pikett.Bereich,3)),P$11=6/8.4),10/24,0)) +IF(WEEKDAY(P$10,2)&lt;6,IF(AND(OR(P$34=INDEX(T.Pikett.Bereich,2),P$34=INDEX(T.Pikett.Bereich,3)),P$11=0.5),0.5,0)) +IF(AND(P$34=INDEX(T.Pikett.Bereich,4),P$11=6/8.4),0.75,0)+IF(AND(P$34=INDEX(T.Pikett.Bereich,4),P$11=1),16/24,0) +IF(AND(P$34=INDEX(T.Pikett.Bereich,4),P$11=0.5),20/24,0))))</f>
        <v>0</v>
      </c>
      <c r="Q81" s="256" t="n">
        <f aca="true">IF(EB.Wochenarbeitszeit=50/24,"",IF(Q$12=0,0,IF(OR(WEEKDAY(Q$10,2)&gt;5,Q$11=0),IF(NOT(Q$34=INDEX(T.Pikett.Bereich,1)),1,0),IF(WEEKDAY(Q$10,2)&lt;6,IF(AND(OR(Q$34=INDEX(T.Pikett.Bereich,2),Q$34=INDEX(T.Pikett.Bereich,3)),Q$11=1),8/24,0))+IF(WEEKDAY(Q$10,2)&lt;6,IF(AND(OR(Q$34=INDEX(T.Pikett.Bereich,2),Q$34=INDEX(T.Pikett.Bereich,3)),Q$11=6/8.4),10/24,0)) +IF(WEEKDAY(Q$10,2)&lt;6,IF(AND(OR(Q$34=INDEX(T.Pikett.Bereich,2),Q$34=INDEX(T.Pikett.Bereich,3)),Q$11=0.5),0.5,0)) +IF(AND(Q$34=INDEX(T.Pikett.Bereich,4),Q$11=6/8.4),0.75,0)+IF(AND(Q$34=INDEX(T.Pikett.Bereich,4),Q$11=1),16/24,0) +IF(AND(Q$34=INDEX(T.Pikett.Bereich,4),Q$11=0.5),20/24,0))))</f>
        <v>0</v>
      </c>
      <c r="R81" s="256" t="n">
        <f aca="true">IF(EB.Wochenarbeitszeit=50/24,"",IF(R$12=0,0,IF(OR(WEEKDAY(R$10,2)&gt;5,R$11=0),IF(NOT(R$34=INDEX(T.Pikett.Bereich,1)),1,0),IF(WEEKDAY(R$10,2)&lt;6,IF(AND(OR(R$34=INDEX(T.Pikett.Bereich,2),R$34=INDEX(T.Pikett.Bereich,3)),R$11=1),8/24,0))+IF(WEEKDAY(R$10,2)&lt;6,IF(AND(OR(R$34=INDEX(T.Pikett.Bereich,2),R$34=INDEX(T.Pikett.Bereich,3)),R$11=6/8.4),10/24,0)) +IF(WEEKDAY(R$10,2)&lt;6,IF(AND(OR(R$34=INDEX(T.Pikett.Bereich,2),R$34=INDEX(T.Pikett.Bereich,3)),R$11=0.5),0.5,0)) +IF(AND(R$34=INDEX(T.Pikett.Bereich,4),R$11=6/8.4),0.75,0)+IF(AND(R$34=INDEX(T.Pikett.Bereich,4),R$11=1),16/24,0) +IF(AND(R$34=INDEX(T.Pikett.Bereich,4),R$11=0.5),20/24,0))))</f>
        <v>0</v>
      </c>
      <c r="S81" s="256" t="n">
        <f aca="true">IF(EB.Wochenarbeitszeit=50/24,"",IF(S$12=0,0,IF(OR(WEEKDAY(S$10,2)&gt;5,S$11=0),IF(NOT(S$34=INDEX(T.Pikett.Bereich,1)),1,0),IF(WEEKDAY(S$10,2)&lt;6,IF(AND(OR(S$34=INDEX(T.Pikett.Bereich,2),S$34=INDEX(T.Pikett.Bereich,3)),S$11=1),8/24,0))+IF(WEEKDAY(S$10,2)&lt;6,IF(AND(OR(S$34=INDEX(T.Pikett.Bereich,2),S$34=INDEX(T.Pikett.Bereich,3)),S$11=6/8.4),10/24,0)) +IF(WEEKDAY(S$10,2)&lt;6,IF(AND(OR(S$34=INDEX(T.Pikett.Bereich,2),S$34=INDEX(T.Pikett.Bereich,3)),S$11=0.5),0.5,0)) +IF(AND(S$34=INDEX(T.Pikett.Bereich,4),S$11=6/8.4),0.75,0)+IF(AND(S$34=INDEX(T.Pikett.Bereich,4),S$11=1),16/24,0) +IF(AND(S$34=INDEX(T.Pikett.Bereich,4),S$11=0.5),20/24,0))))</f>
        <v>0</v>
      </c>
      <c r="T81" s="256" t="n">
        <f aca="true">IF(EB.Wochenarbeitszeit=50/24,"",IF(T$12=0,0,IF(OR(WEEKDAY(T$10,2)&gt;5,T$11=0),IF(NOT(T$34=INDEX(T.Pikett.Bereich,1)),1,0),IF(WEEKDAY(T$10,2)&lt;6,IF(AND(OR(T$34=INDEX(T.Pikett.Bereich,2),T$34=INDEX(T.Pikett.Bereich,3)),T$11=1),8/24,0))+IF(WEEKDAY(T$10,2)&lt;6,IF(AND(OR(T$34=INDEX(T.Pikett.Bereich,2),T$34=INDEX(T.Pikett.Bereich,3)),T$11=6/8.4),10/24,0)) +IF(WEEKDAY(T$10,2)&lt;6,IF(AND(OR(T$34=INDEX(T.Pikett.Bereich,2),T$34=INDEX(T.Pikett.Bereich,3)),T$11=0.5),0.5,0)) +IF(AND(T$34=INDEX(T.Pikett.Bereich,4),T$11=6/8.4),0.75,0)+IF(AND(T$34=INDEX(T.Pikett.Bereich,4),T$11=1),16/24,0) +IF(AND(T$34=INDEX(T.Pikett.Bereich,4),T$11=0.5),20/24,0))))</f>
        <v>0</v>
      </c>
      <c r="U81" s="256" t="n">
        <f aca="true">IF(EB.Wochenarbeitszeit=50/24,"",IF(U$12=0,0,IF(OR(WEEKDAY(U$10,2)&gt;5,U$11=0),IF(NOT(U$34=INDEX(T.Pikett.Bereich,1)),1,0),IF(WEEKDAY(U$10,2)&lt;6,IF(AND(OR(U$34=INDEX(T.Pikett.Bereich,2),U$34=INDEX(T.Pikett.Bereich,3)),U$11=1),8/24,0))+IF(WEEKDAY(U$10,2)&lt;6,IF(AND(OR(U$34=INDEX(T.Pikett.Bereich,2),U$34=INDEX(T.Pikett.Bereich,3)),U$11=6/8.4),10/24,0)) +IF(WEEKDAY(U$10,2)&lt;6,IF(AND(OR(U$34=INDEX(T.Pikett.Bereich,2),U$34=INDEX(T.Pikett.Bereich,3)),U$11=0.5),0.5,0)) +IF(AND(U$34=INDEX(T.Pikett.Bereich,4),U$11=6/8.4),0.75,0)+IF(AND(U$34=INDEX(T.Pikett.Bereich,4),U$11=1),16/24,0) +IF(AND(U$34=INDEX(T.Pikett.Bereich,4),U$11=0.5),20/24,0))))</f>
        <v>0</v>
      </c>
      <c r="V81" s="256" t="n">
        <f aca="true">IF(EB.Wochenarbeitszeit=50/24,"",IF(V$12=0,0,IF(OR(WEEKDAY(V$10,2)&gt;5,V$11=0),IF(NOT(V$34=INDEX(T.Pikett.Bereich,1)),1,0),IF(WEEKDAY(V$10,2)&lt;6,IF(AND(OR(V$34=INDEX(T.Pikett.Bereich,2),V$34=INDEX(T.Pikett.Bereich,3)),V$11=1),8/24,0))+IF(WEEKDAY(V$10,2)&lt;6,IF(AND(OR(V$34=INDEX(T.Pikett.Bereich,2),V$34=INDEX(T.Pikett.Bereich,3)),V$11=6/8.4),10/24,0)) +IF(WEEKDAY(V$10,2)&lt;6,IF(AND(OR(V$34=INDEX(T.Pikett.Bereich,2),V$34=INDEX(T.Pikett.Bereich,3)),V$11=0.5),0.5,0)) +IF(AND(V$34=INDEX(T.Pikett.Bereich,4),V$11=6/8.4),0.75,0)+IF(AND(V$34=INDEX(T.Pikett.Bereich,4),V$11=1),16/24,0) +IF(AND(V$34=INDEX(T.Pikett.Bereich,4),V$11=0.5),20/24,0))))</f>
        <v>0</v>
      </c>
      <c r="W81" s="256" t="n">
        <f aca="true">IF(EB.Wochenarbeitszeit=50/24,"",IF(W$12=0,0,IF(OR(WEEKDAY(W$10,2)&gt;5,W$11=0),IF(NOT(W$34=INDEX(T.Pikett.Bereich,1)),1,0),IF(WEEKDAY(W$10,2)&lt;6,IF(AND(OR(W$34=INDEX(T.Pikett.Bereich,2),W$34=INDEX(T.Pikett.Bereich,3)),W$11=1),8/24,0))+IF(WEEKDAY(W$10,2)&lt;6,IF(AND(OR(W$34=INDEX(T.Pikett.Bereich,2),W$34=INDEX(T.Pikett.Bereich,3)),W$11=6/8.4),10/24,0)) +IF(WEEKDAY(W$10,2)&lt;6,IF(AND(OR(W$34=INDEX(T.Pikett.Bereich,2),W$34=INDEX(T.Pikett.Bereich,3)),W$11=0.5),0.5,0)) +IF(AND(W$34=INDEX(T.Pikett.Bereich,4),W$11=6/8.4),0.75,0)+IF(AND(W$34=INDEX(T.Pikett.Bereich,4),W$11=1),16/24,0) +IF(AND(W$34=INDEX(T.Pikett.Bereich,4),W$11=0.5),20/24,0))))</f>
        <v>0</v>
      </c>
      <c r="X81" s="256" t="n">
        <f aca="true">IF(EB.Wochenarbeitszeit=50/24,"",IF(X$12=0,0,IF(OR(WEEKDAY(X$10,2)&gt;5,X$11=0),IF(NOT(X$34=INDEX(T.Pikett.Bereich,1)),1,0),IF(WEEKDAY(X$10,2)&lt;6,IF(AND(OR(X$34=INDEX(T.Pikett.Bereich,2),X$34=INDEX(T.Pikett.Bereich,3)),X$11=1),8/24,0))+IF(WEEKDAY(X$10,2)&lt;6,IF(AND(OR(X$34=INDEX(T.Pikett.Bereich,2),X$34=INDEX(T.Pikett.Bereich,3)),X$11=6/8.4),10/24,0)) +IF(WEEKDAY(X$10,2)&lt;6,IF(AND(OR(X$34=INDEX(T.Pikett.Bereich,2),X$34=INDEX(T.Pikett.Bereich,3)),X$11=0.5),0.5,0)) +IF(AND(X$34=INDEX(T.Pikett.Bereich,4),X$11=6/8.4),0.75,0)+IF(AND(X$34=INDEX(T.Pikett.Bereich,4),X$11=1),16/24,0) +IF(AND(X$34=INDEX(T.Pikett.Bereich,4),X$11=0.5),20/24,0))))</f>
        <v>0</v>
      </c>
      <c r="Y81" s="256" t="n">
        <f aca="true">IF(EB.Wochenarbeitszeit=50/24,"",IF(Y$12=0,0,IF(OR(WEEKDAY(Y$10,2)&gt;5,Y$11=0),IF(NOT(Y$34=INDEX(T.Pikett.Bereich,1)),1,0),IF(WEEKDAY(Y$10,2)&lt;6,IF(AND(OR(Y$34=INDEX(T.Pikett.Bereich,2),Y$34=INDEX(T.Pikett.Bereich,3)),Y$11=1),8/24,0))+IF(WEEKDAY(Y$10,2)&lt;6,IF(AND(OR(Y$34=INDEX(T.Pikett.Bereich,2),Y$34=INDEX(T.Pikett.Bereich,3)),Y$11=6/8.4),10/24,0)) +IF(WEEKDAY(Y$10,2)&lt;6,IF(AND(OR(Y$34=INDEX(T.Pikett.Bereich,2),Y$34=INDEX(T.Pikett.Bereich,3)),Y$11=0.5),0.5,0)) +IF(AND(Y$34=INDEX(T.Pikett.Bereich,4),Y$11=6/8.4),0.75,0)+IF(AND(Y$34=INDEX(T.Pikett.Bereich,4),Y$11=1),16/24,0) +IF(AND(Y$34=INDEX(T.Pikett.Bereich,4),Y$11=0.5),20/24,0))))</f>
        <v>0</v>
      </c>
      <c r="Z81" s="256" t="n">
        <f aca="true">IF(EB.Wochenarbeitszeit=50/24,"",IF(Z$12=0,0,IF(OR(WEEKDAY(Z$10,2)&gt;5,Z$11=0),IF(NOT(Z$34=INDEX(T.Pikett.Bereich,1)),1,0),IF(WEEKDAY(Z$10,2)&lt;6,IF(AND(OR(Z$34=INDEX(T.Pikett.Bereich,2),Z$34=INDEX(T.Pikett.Bereich,3)),Z$11=1),8/24,0))+IF(WEEKDAY(Z$10,2)&lt;6,IF(AND(OR(Z$34=INDEX(T.Pikett.Bereich,2),Z$34=INDEX(T.Pikett.Bereich,3)),Z$11=6/8.4),10/24,0)) +IF(WEEKDAY(Z$10,2)&lt;6,IF(AND(OR(Z$34=INDEX(T.Pikett.Bereich,2),Z$34=INDEX(T.Pikett.Bereich,3)),Z$11=0.5),0.5,0)) +IF(AND(Z$34=INDEX(T.Pikett.Bereich,4),Z$11=6/8.4),0.75,0)+IF(AND(Z$34=INDEX(T.Pikett.Bereich,4),Z$11=1),16/24,0) +IF(AND(Z$34=INDEX(T.Pikett.Bereich,4),Z$11=0.5),20/24,0))))</f>
        <v>0</v>
      </c>
      <c r="AA81" s="256" t="n">
        <f aca="true">IF(EB.Wochenarbeitszeit=50/24,"",IF(AA$12=0,0,IF(OR(WEEKDAY(AA$10,2)&gt;5,AA$11=0),IF(NOT(AA$34=INDEX(T.Pikett.Bereich,1)),1,0),IF(WEEKDAY(AA$10,2)&lt;6,IF(AND(OR(AA$34=INDEX(T.Pikett.Bereich,2),AA$34=INDEX(T.Pikett.Bereich,3)),AA$11=1),8/24,0))+IF(WEEKDAY(AA$10,2)&lt;6,IF(AND(OR(AA$34=INDEX(T.Pikett.Bereich,2),AA$34=INDEX(T.Pikett.Bereich,3)),AA$11=6/8.4),10/24,0)) +IF(WEEKDAY(AA$10,2)&lt;6,IF(AND(OR(AA$34=INDEX(T.Pikett.Bereich,2),AA$34=INDEX(T.Pikett.Bereich,3)),AA$11=0.5),0.5,0)) +IF(AND(AA$34=INDEX(T.Pikett.Bereich,4),AA$11=6/8.4),0.75,0)+IF(AND(AA$34=INDEX(T.Pikett.Bereich,4),AA$11=1),16/24,0) +IF(AND(AA$34=INDEX(T.Pikett.Bereich,4),AA$11=0.5),20/24,0))))</f>
        <v>0</v>
      </c>
      <c r="AB81" s="256" t="n">
        <f aca="true">IF(EB.Wochenarbeitszeit=50/24,"",IF(AB$12=0,0,IF(OR(WEEKDAY(AB$10,2)&gt;5,AB$11=0),IF(NOT(AB$34=INDEX(T.Pikett.Bereich,1)),1,0),IF(WEEKDAY(AB$10,2)&lt;6,IF(AND(OR(AB$34=INDEX(T.Pikett.Bereich,2),AB$34=INDEX(T.Pikett.Bereich,3)),AB$11=1),8/24,0))+IF(WEEKDAY(AB$10,2)&lt;6,IF(AND(OR(AB$34=INDEX(T.Pikett.Bereich,2),AB$34=INDEX(T.Pikett.Bereich,3)),AB$11=6/8.4),10/24,0)) +IF(WEEKDAY(AB$10,2)&lt;6,IF(AND(OR(AB$34=INDEX(T.Pikett.Bereich,2),AB$34=INDEX(T.Pikett.Bereich,3)),AB$11=0.5),0.5,0)) +IF(AND(AB$34=INDEX(T.Pikett.Bereich,4),AB$11=6/8.4),0.75,0)+IF(AND(AB$34=INDEX(T.Pikett.Bereich,4),AB$11=1),16/24,0) +IF(AND(AB$34=INDEX(T.Pikett.Bereich,4),AB$11=0.5),20/24,0))))</f>
        <v>0</v>
      </c>
      <c r="AC81" s="256" t="n">
        <f aca="true">IF(EB.Wochenarbeitszeit=50/24,"",IF(AC$12=0,0,IF(OR(WEEKDAY(AC$10,2)&gt;5,AC$11=0),IF(NOT(AC$34=INDEX(T.Pikett.Bereich,1)),1,0),IF(WEEKDAY(AC$10,2)&lt;6,IF(AND(OR(AC$34=INDEX(T.Pikett.Bereich,2),AC$34=INDEX(T.Pikett.Bereich,3)),AC$11=1),8/24,0))+IF(WEEKDAY(AC$10,2)&lt;6,IF(AND(OR(AC$34=INDEX(T.Pikett.Bereich,2),AC$34=INDEX(T.Pikett.Bereich,3)),AC$11=6/8.4),10/24,0)) +IF(WEEKDAY(AC$10,2)&lt;6,IF(AND(OR(AC$34=INDEX(T.Pikett.Bereich,2),AC$34=INDEX(T.Pikett.Bereich,3)),AC$11=0.5),0.5,0)) +IF(AND(AC$34=INDEX(T.Pikett.Bereich,4),AC$11=6/8.4),0.75,0)+IF(AND(AC$34=INDEX(T.Pikett.Bereich,4),AC$11=1),16/24,0) +IF(AND(AC$34=INDEX(T.Pikett.Bereich,4),AC$11=0.5),20/24,0))))</f>
        <v>0</v>
      </c>
      <c r="AD81" s="256" t="n">
        <f aca="true">IF(EB.Wochenarbeitszeit=50/24,"",IF(AD$12=0,0,IF(OR(WEEKDAY(AD$10,2)&gt;5,AD$11=0),IF(NOT(AD$34=INDEX(T.Pikett.Bereich,1)),1,0),IF(WEEKDAY(AD$10,2)&lt;6,IF(AND(OR(AD$34=INDEX(T.Pikett.Bereich,2),AD$34=INDEX(T.Pikett.Bereich,3)),AD$11=1),8/24,0))+IF(WEEKDAY(AD$10,2)&lt;6,IF(AND(OR(AD$34=INDEX(T.Pikett.Bereich,2),AD$34=INDEX(T.Pikett.Bereich,3)),AD$11=6/8.4),10/24,0)) +IF(WEEKDAY(AD$10,2)&lt;6,IF(AND(OR(AD$34=INDEX(T.Pikett.Bereich,2),AD$34=INDEX(T.Pikett.Bereich,3)),AD$11=0.5),0.5,0)) +IF(AND(AD$34=INDEX(T.Pikett.Bereich,4),AD$11=6/8.4),0.75,0)+IF(AND(AD$34=INDEX(T.Pikett.Bereich,4),AD$11=1),16/24,0) +IF(AND(AD$34=INDEX(T.Pikett.Bereich,4),AD$11=0.5),20/24,0))))</f>
        <v>0</v>
      </c>
      <c r="AE81" s="256" t="n">
        <f aca="true">IF(EB.Wochenarbeitszeit=50/24,"",IF(AE$12=0,0,IF(OR(WEEKDAY(AE$10,2)&gt;5,AE$11=0),IF(NOT(AE$34=INDEX(T.Pikett.Bereich,1)),1,0),IF(WEEKDAY(AE$10,2)&lt;6,IF(AND(OR(AE$34=INDEX(T.Pikett.Bereich,2),AE$34=INDEX(T.Pikett.Bereich,3)),AE$11=1),8/24,0))+IF(WEEKDAY(AE$10,2)&lt;6,IF(AND(OR(AE$34=INDEX(T.Pikett.Bereich,2),AE$34=INDEX(T.Pikett.Bereich,3)),AE$11=6/8.4),10/24,0)) +IF(WEEKDAY(AE$10,2)&lt;6,IF(AND(OR(AE$34=INDEX(T.Pikett.Bereich,2),AE$34=INDEX(T.Pikett.Bereich,3)),AE$11=0.5),0.5,0)) +IF(AND(AE$34=INDEX(T.Pikett.Bereich,4),AE$11=6/8.4),0.75,0)+IF(AND(AE$34=INDEX(T.Pikett.Bereich,4),AE$11=1),16/24,0) +IF(AND(AE$34=INDEX(T.Pikett.Bereich,4),AE$11=0.5),20/24,0))))</f>
        <v>0</v>
      </c>
      <c r="AF81" s="256" t="n">
        <f aca="true">IF(EB.Wochenarbeitszeit=50/24,"",IF(AF$12=0,0,IF(OR(WEEKDAY(AF$10,2)&gt;5,AF$11=0),IF(NOT(AF$34=INDEX(T.Pikett.Bereich,1)),1,0),IF(WEEKDAY(AF$10,2)&lt;6,IF(AND(OR(AF$34=INDEX(T.Pikett.Bereich,2),AF$34=INDEX(T.Pikett.Bereich,3)),AF$11=1),8/24,0))+IF(WEEKDAY(AF$10,2)&lt;6,IF(AND(OR(AF$34=INDEX(T.Pikett.Bereich,2),AF$34=INDEX(T.Pikett.Bereich,3)),AF$11=6/8.4),10/24,0)) +IF(WEEKDAY(AF$10,2)&lt;6,IF(AND(OR(AF$34=INDEX(T.Pikett.Bereich,2),AF$34=INDEX(T.Pikett.Bereich,3)),AF$11=0.5),0.5,0)) +IF(AND(AF$34=INDEX(T.Pikett.Bereich,4),AF$11=6/8.4),0.75,0)+IF(AND(AF$34=INDEX(T.Pikett.Bereich,4),AF$11=1),16/24,0) +IF(AND(AF$34=INDEX(T.Pikett.Bereich,4),AF$11=0.5),20/24,0))))</f>
        <v>0</v>
      </c>
      <c r="AG81" s="168" t="str">
        <f aca="false">A81</f>
        <v>On-call duty</v>
      </c>
      <c r="AH81" s="250"/>
      <c r="AI81" s="207" t="n">
        <f aca="false">SUM(B81:AF81)</f>
        <v>0</v>
      </c>
      <c r="AJ81" s="33"/>
      <c r="AK81" s="192"/>
      <c r="AL81" s="216" t="n">
        <f aca="false">IF(EB.Anwendung&lt;&gt;"",IF(MONTH(Monat.Tag1)=1,0,IF(MONTH(Monat.Tag1)=2,January!Monat.BDUeVM,IF(MONTH(Monat.Tag1)=3,February!Monat.BDUeVM,IF(MONTH(Monat.Tag1)=4,March!Monat.BDUeVM,IF(MONTH(Monat.Tag1)=5,April!Monat.BDUeVM,IF(MONTH(Monat.Tag1)=6,May!Monat.BDUeVM,IF(MONTH(Monat.Tag1)=7,June!Monat.BDUeVM,IF(MONTH(Monat.Tag1)=8,July!Monat.BDUeVM,IF(MONTH(Monat.Tag1)=9,August!Monat.BDUeVM,IF(MONTH(Monat.Tag1)=10,September!Monat.BDUeVM,IF(MONTH(Monat.Tag1)=11,October!Monat.BDUeVM,IF(MONTH(Monat.Tag1)=12,November!Monat.BDUeVM,"")))))))))))),"")</f>
        <v>0</v>
      </c>
      <c r="AM81" s="172"/>
      <c r="AN81" s="217" t="n">
        <f aca="false">AI81+AL81</f>
        <v>0</v>
      </c>
      <c r="AO81" s="171"/>
      <c r="AP81" s="171"/>
      <c r="AQ81" s="39"/>
    </row>
    <row r="82" s="148" customFormat="true" ht="15" hidden="false" customHeight="true" outlineLevel="1" collapsed="false">
      <c r="A82" s="175" t="s">
        <v>165</v>
      </c>
      <c r="B82" s="256" t="str">
        <f aca="false">IF(B$12=0,"",IF(OR(WEEKDAY(B$10,2)&gt;5,B$11=0), IF(T.50_NoVetsuisse,B45, IF(T.50_Vetsuisse,IF(B23-B73=0,"",B23-B73), IF(T.ServiceCenterIrchel,B23, B60))),))</f>
        <v/>
      </c>
      <c r="C82" s="256" t="str">
        <f aca="false">IF(C$12=0,"",IF(OR(WEEKDAY(C$10,2)&gt;5,C$11=0), IF(T.50_NoVetsuisse,C45, IF(T.50_Vetsuisse,IF(C23-C73=0,"",C23-C73), IF(T.ServiceCenterIrchel,C23, C60))),))</f>
        <v/>
      </c>
      <c r="D82" s="257" t="n">
        <f aca="false">IF(D$12=0,"",IF(OR(WEEKDAY(D$10,2)&gt;5,D$11=0), IF(T.50_NoVetsuisse,D45, IF(T.50_Vetsuisse,IF(D23-D73=0,"",D23-D73), IF(T.ServiceCenterIrchel,D23, D60))),))</f>
        <v>0</v>
      </c>
      <c r="E82" s="256" t="n">
        <f aca="false">IF(E$12=0,"",IF(OR(WEEKDAY(E$10,2)&gt;5,E$11=0), IF(T.50_NoVetsuisse,E45, IF(T.50_Vetsuisse,IF(E23-E73=0,"",E23-E73), IF(T.ServiceCenterIrchel,E23, E60))),))</f>
        <v>0</v>
      </c>
      <c r="F82" s="257" t="n">
        <f aca="false">IF(F$12=0,"",IF(OR(WEEKDAY(F$10,2)&gt;5,F$11=0), IF(T.50_NoVetsuisse,F45, IF(T.50_Vetsuisse,IF(F23-F73=0,"",F23-F73), IF(T.ServiceCenterIrchel,F23, F60))),))</f>
        <v>0</v>
      </c>
      <c r="G82" s="257" t="n">
        <f aca="false">IF(G$12=0,"",IF(OR(WEEKDAY(G$10,2)&gt;5,G$11=0), IF(T.50_NoVetsuisse,G45, IF(T.50_Vetsuisse,IF(G23-G73=0,"",G23-G73), IF(T.ServiceCenterIrchel,G23, G60))),))</f>
        <v>0</v>
      </c>
      <c r="H82" s="257" t="n">
        <f aca="false">IF(H$12=0,"",IF(OR(WEEKDAY(H$10,2)&gt;5,H$11=0), IF(T.50_NoVetsuisse,H45, IF(T.50_Vetsuisse,IF(H23-H73=0,"",H23-H73), IF(T.ServiceCenterIrchel,H23, H60))),))</f>
        <v>0</v>
      </c>
      <c r="I82" s="257" t="str">
        <f aca="false">IF(I$12=0,"",IF(OR(WEEKDAY(I$10,2)&gt;5,I$11=0), IF(T.50_NoVetsuisse,I45, IF(T.50_Vetsuisse,IF(I23-I73=0,"",I23-I73), IF(T.ServiceCenterIrchel,I23, I60))),))</f>
        <v/>
      </c>
      <c r="J82" s="256" t="str">
        <f aca="false">IF(J$12=0,"",IF(OR(WEEKDAY(J$10,2)&gt;5,J$11=0), IF(T.50_NoVetsuisse,J45, IF(T.50_Vetsuisse,IF(J23-J73=0,"",J23-J73), IF(T.ServiceCenterIrchel,J23, J60))),))</f>
        <v/>
      </c>
      <c r="K82" s="257" t="n">
        <f aca="false">IF(K$12=0,"",IF(OR(WEEKDAY(K$10,2)&gt;5,K$11=0), IF(T.50_NoVetsuisse,K45, IF(T.50_Vetsuisse,IF(K23-K73=0,"",K23-K73), IF(T.ServiceCenterIrchel,K23, K60))),))</f>
        <v>0</v>
      </c>
      <c r="L82" s="256" t="n">
        <f aca="false">IF(L$12=0,"",IF(OR(WEEKDAY(L$10,2)&gt;5,L$11=0), IF(T.50_NoVetsuisse,L45, IF(T.50_Vetsuisse,IF(L23-L73=0,"",L23-L73), IF(T.ServiceCenterIrchel,L23, L60))),))</f>
        <v>0</v>
      </c>
      <c r="M82" s="257" t="n">
        <f aca="false">IF(M$12=0,"",IF(OR(WEEKDAY(M$10,2)&gt;5,M$11=0), IF(T.50_NoVetsuisse,M45, IF(T.50_Vetsuisse,IF(M23-M73=0,"",M23-M73), IF(T.ServiceCenterIrchel,M23, M60))),))</f>
        <v>0</v>
      </c>
      <c r="N82" s="257" t="n">
        <f aca="false">IF(N$12=0,"",IF(OR(WEEKDAY(N$10,2)&gt;5,N$11=0), IF(T.50_NoVetsuisse,N45, IF(T.50_Vetsuisse,IF(N23-N73=0,"",N23-N73), IF(T.ServiceCenterIrchel,N23, N60))),))</f>
        <v>0</v>
      </c>
      <c r="O82" s="257" t="n">
        <f aca="false">IF(O$12=0,"",IF(OR(WEEKDAY(O$10,2)&gt;5,O$11=0), IF(T.50_NoVetsuisse,O45, IF(T.50_Vetsuisse,IF(O23-O73=0,"",O23-O73), IF(T.ServiceCenterIrchel,O23, O60))),))</f>
        <v>0</v>
      </c>
      <c r="P82" s="257" t="str">
        <f aca="false">IF(P$12=0,"",IF(OR(WEEKDAY(P$10,2)&gt;5,P$11=0), IF(T.50_NoVetsuisse,P45, IF(T.50_Vetsuisse,IF(P23-P73=0,"",P23-P73), IF(T.ServiceCenterIrchel,P23, P60))),))</f>
        <v/>
      </c>
      <c r="Q82" s="256" t="str">
        <f aca="false">IF(Q$12=0,"",IF(OR(WEEKDAY(Q$10,2)&gt;5,Q$11=0), IF(T.50_NoVetsuisse,Q45, IF(T.50_Vetsuisse,IF(Q23-Q73=0,"",Q23-Q73), IF(T.ServiceCenterIrchel,Q23, Q60))),))</f>
        <v/>
      </c>
      <c r="R82" s="257" t="n">
        <f aca="false">IF(R$12=0,"",IF(OR(WEEKDAY(R$10,2)&gt;5,R$11=0), IF(T.50_NoVetsuisse,R45, IF(T.50_Vetsuisse,IF(R23-R73=0,"",R23-R73), IF(T.ServiceCenterIrchel,R23, R60))),))</f>
        <v>0</v>
      </c>
      <c r="S82" s="256" t="n">
        <f aca="false">IF(S$12=0,"",IF(OR(WEEKDAY(S$10,2)&gt;5,S$11=0), IF(T.50_NoVetsuisse,S45, IF(T.50_Vetsuisse,IF(S23-S73=0,"",S23-S73), IF(T.ServiceCenterIrchel,S23, S60))),))</f>
        <v>0</v>
      </c>
      <c r="T82" s="256" t="n">
        <f aca="false">IF(T$12=0,"",IF(OR(WEEKDAY(T$10,2)&gt;5,T$11=0), IF(T.50_NoVetsuisse,T45, IF(T.50_Vetsuisse,IF(T23-T73=0,"",T23-T73), IF(T.ServiceCenterIrchel,T23, T60))),))</f>
        <v>0</v>
      </c>
      <c r="U82" s="257" t="n">
        <f aca="false">IF(U$12=0,"",IF(OR(WEEKDAY(U$10,2)&gt;5,U$11=0), IF(T.50_NoVetsuisse,U45, IF(T.50_Vetsuisse,IF(U23-U73=0,"",U23-U73), IF(T.ServiceCenterIrchel,U23, U60))),))</f>
        <v>0</v>
      </c>
      <c r="V82" s="257" t="n">
        <f aca="false">IF(V$12=0,"",IF(OR(WEEKDAY(V$10,2)&gt;5,V$11=0), IF(T.50_NoVetsuisse,V45, IF(T.50_Vetsuisse,IF(V23-V73=0,"",V23-V73), IF(T.ServiceCenterIrchel,V23, V60))),))</f>
        <v>0</v>
      </c>
      <c r="W82" s="257" t="str">
        <f aca="false">IF(W$12=0,"",IF(OR(WEEKDAY(W$10,2)&gt;5,W$11=0), IF(T.50_NoVetsuisse,W45, IF(T.50_Vetsuisse,IF(W23-W73=0,"",W23-W73), IF(T.ServiceCenterIrchel,W23, W60))),))</f>
        <v/>
      </c>
      <c r="X82" s="256" t="str">
        <f aca="false">IF(X$12=0,"",IF(OR(WEEKDAY(X$10,2)&gt;5,X$11=0), IF(T.50_NoVetsuisse,X45, IF(T.50_Vetsuisse,IF(X23-X73=0,"",X23-X73), IF(T.ServiceCenterIrchel,X23, X60))),))</f>
        <v/>
      </c>
      <c r="Y82" s="257" t="n">
        <f aca="false">IF(Y$12=0,"",IF(OR(WEEKDAY(Y$10,2)&gt;5,Y$11=0), IF(T.50_NoVetsuisse,Y45, IF(T.50_Vetsuisse,IF(Y23-Y73=0,"",Y23-Y73), IF(T.ServiceCenterIrchel,Y23, Y60))),))</f>
        <v>0</v>
      </c>
      <c r="Z82" s="258" t="str">
        <f aca="false">IF(Z$12=0,"",IF(OR(WEEKDAY(Z$10,2)&gt;5,Z$11=0), IF(T.50_NoVetsuisse,Z45, IF(T.50_Vetsuisse,IF(Z23-Z73=0,"",Z23-Z73), IF(T.ServiceCenterIrchel,Z23, Z60))),))</f>
        <v/>
      </c>
      <c r="AA82" s="257" t="str">
        <f aca="false">IF(AA$12=0,"",IF(OR(WEEKDAY(AA$10,2)&gt;5,AA$11=0), IF(T.50_NoVetsuisse,AA45, IF(T.50_Vetsuisse,IF(AA23-AA73=0,"",AA23-AA73), IF(T.ServiceCenterIrchel,AA23, AA60))),))</f>
        <v/>
      </c>
      <c r="AB82" s="257" t="n">
        <f aca="false">IF(AB$12=0,"",IF(OR(WEEKDAY(AB$10,2)&gt;5,AB$11=0), IF(T.50_NoVetsuisse,AB45, IF(T.50_Vetsuisse,IF(AB23-AB73=0,"",AB23-AB73), IF(T.ServiceCenterIrchel,AB23, AB60))),))</f>
        <v>0</v>
      </c>
      <c r="AC82" s="257" t="n">
        <f aca="false">IF(AC$12=0,"",IF(OR(WEEKDAY(AC$10,2)&gt;5,AC$11=0), IF(T.50_NoVetsuisse,AC45, IF(T.50_Vetsuisse,IF(AC23-AC73=0,"",AC23-AC73), IF(T.ServiceCenterIrchel,AC23, AC60))),))</f>
        <v>0</v>
      </c>
      <c r="AD82" s="257" t="str">
        <f aca="false">IF(AD$12=0,"",IF(OR(WEEKDAY(AD$10,2)&gt;5,AD$11=0), IF(T.50_NoVetsuisse,AD45, IF(T.50_Vetsuisse,IF(AD23-AD73=0,"",AD23-AD73), IF(T.ServiceCenterIrchel,AD23, AD60))),))</f>
        <v/>
      </c>
      <c r="AE82" s="256" t="str">
        <f aca="false">IF(AE$12=0,"",IF(OR(WEEKDAY(AE$10,2)&gt;5,AE$11=0), IF(T.50_NoVetsuisse,AE45, IF(T.50_Vetsuisse,IF(AE23-AE73=0,"",AE23-AE73), IF(T.ServiceCenterIrchel,AE23, AE60))),))</f>
        <v/>
      </c>
      <c r="AF82" s="257" t="n">
        <f aca="false">IF(AF$12=0,"",IF(OR(WEEKDAY(AF$10,2)&gt;5,AF$11=0), IF(T.50_NoVetsuisse,AF45, IF(T.50_Vetsuisse,IF(AF23-AF73=0,"",AF23-AF73), IF(T.ServiceCenterIrchel,AF23, AF60))),))</f>
        <v>0</v>
      </c>
      <c r="AG82" s="168" t="str">
        <f aca="false">A82</f>
        <v>Saturday/Sunday shift</v>
      </c>
      <c r="AH82" s="197"/>
      <c r="AI82" s="207" t="n">
        <f aca="false">SUM(B82:AF82)</f>
        <v>0</v>
      </c>
      <c r="AJ82" s="198" t="n">
        <f aca="false">IFERROR(SUMPRODUCT((B82:AF82&gt;0)*(B82:AF82&lt;&gt;"")),0)</f>
        <v>0</v>
      </c>
      <c r="AK82" s="192"/>
      <c r="AL82" s="216" t="n">
        <f aca="false">IF(EB.Anwendung&lt;&gt;"",IF(MONTH(Monat.Tag1)=1,0,IF(MONTH(Monat.Tag1)=2,January!Monat.SDUeVM,IF(MONTH(Monat.Tag1)=3,February!Monat.SDUeVM,IF(MONTH(Monat.Tag1)=4,March!Monat.SDUeVM,IF(MONTH(Monat.Tag1)=5,April!Monat.SDUeVM,IF(MONTH(Monat.Tag1)=6,May!Monat.SDUeVM,IF(MONTH(Monat.Tag1)=7,June!Monat.SDUeVM,IF(MONTH(Monat.Tag1)=8,July!Monat.SDUeVM,IF(MONTH(Monat.Tag1)=9,August!Monat.SDUeVM,IF(MONTH(Monat.Tag1)=10,September!Monat.SDUeVM,IF(MONTH(Monat.Tag1)=11,October!Monat.SDUeVM,IF(MONTH(Monat.Tag1)=12,November!Monat.SDUeVM,"")))))))))))),"")</f>
        <v>0</v>
      </c>
      <c r="AM82" s="172"/>
      <c r="AN82" s="217" t="n">
        <f aca="false">AI82+AL82</f>
        <v>0</v>
      </c>
      <c r="AO82" s="171"/>
      <c r="AP82" s="171"/>
      <c r="AQ82" s="39"/>
    </row>
    <row r="83" s="148" customFormat="true" ht="11.25" hidden="false" customHeight="true" outlineLevel="1" collapsed="false">
      <c r="A83" s="186"/>
      <c r="B83" s="194"/>
      <c r="C83" s="194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4"/>
      <c r="O83" s="194"/>
      <c r="P83" s="194"/>
      <c r="Q83" s="194"/>
      <c r="R83" s="194"/>
      <c r="S83" s="194"/>
      <c r="T83" s="194"/>
      <c r="U83" s="194"/>
      <c r="V83" s="194"/>
      <c r="W83" s="194"/>
      <c r="X83" s="194"/>
      <c r="Y83" s="194"/>
      <c r="Z83" s="194"/>
      <c r="AA83" s="194"/>
      <c r="AB83" s="194"/>
      <c r="AC83" s="194"/>
      <c r="AD83" s="194"/>
      <c r="AE83" s="194"/>
      <c r="AF83" s="195"/>
      <c r="AG83" s="168"/>
      <c r="AH83" s="197"/>
      <c r="AI83" s="192"/>
      <c r="AJ83" s="27"/>
      <c r="AK83" s="235"/>
      <c r="AL83" s="235"/>
      <c r="AM83" s="172"/>
      <c r="AN83" s="254"/>
      <c r="AO83" s="259"/>
      <c r="AP83" s="259"/>
      <c r="AQ83" s="39"/>
    </row>
    <row r="84" s="148" customFormat="true" ht="15" hidden="false" customHeight="true" outlineLevel="0" collapsed="false">
      <c r="A84" s="175" t="s">
        <v>166</v>
      </c>
      <c r="B84" s="176"/>
      <c r="C84" s="176"/>
      <c r="D84" s="176"/>
      <c r="E84" s="176"/>
      <c r="F84" s="176"/>
      <c r="G84" s="176"/>
      <c r="H84" s="176"/>
      <c r="I84" s="176"/>
      <c r="J84" s="176"/>
      <c r="K84" s="176"/>
      <c r="L84" s="176"/>
      <c r="M84" s="176"/>
      <c r="N84" s="176"/>
      <c r="O84" s="176"/>
      <c r="P84" s="176"/>
      <c r="Q84" s="176"/>
      <c r="R84" s="176"/>
      <c r="S84" s="176"/>
      <c r="T84" s="176"/>
      <c r="U84" s="176"/>
      <c r="V84" s="176"/>
      <c r="W84" s="176"/>
      <c r="X84" s="176"/>
      <c r="Y84" s="176"/>
      <c r="Z84" s="190"/>
      <c r="AA84" s="176"/>
      <c r="AB84" s="176"/>
      <c r="AC84" s="176"/>
      <c r="AD84" s="176"/>
      <c r="AE84" s="176"/>
      <c r="AF84" s="176"/>
      <c r="AG84" s="168" t="str">
        <f aca="false">A84</f>
        <v>Vacation</v>
      </c>
      <c r="AH84" s="184"/>
      <c r="AI84" s="207" t="n">
        <f aca="false">SUM(B84:AF84)</f>
        <v>0</v>
      </c>
      <c r="AJ84" s="33"/>
      <c r="AK84" s="216" t="n">
        <f aca="true">OFFSET(EB.MFAStd.Knoten,MONTH(Monat.Tag1),0,1,1)</f>
        <v>0.583333333333333</v>
      </c>
      <c r="AL84" s="216" t="n">
        <f aca="false">IF(EB.Anwendung&lt;&gt;"",IF(MONTH(Monat.Tag1)=1,EB.FerienBer,IF(MONTH(Monat.Tag1)=2,January!Monat.FerienUeVM,IF(MONTH(Monat.Tag1)=3,February!Monat.FerienUeVM,IF(MONTH(Monat.Tag1)=4,March!Monat.FerienUeVM,IF(MONTH(Monat.Tag1)=5,April!Monat.FerienUeVM,IF(MONTH(Monat.Tag1)=6,May!Monat.FerienUeVM,IF(MONTH(Monat.Tag1)=7,June!Monat.FerienUeVM,IF(MONTH(Monat.Tag1)=8,July!Monat.FerienUeVM,IF(MONTH(Monat.Tag1)=9,August!Monat.FerienUeVM,IF(MONTH(Monat.Tag1)=10,September!Monat.FerienUeVM,IF(MONTH(Monat.Tag1)=11,October!Monat.FerienUeVM,IF(MONTH(Monat.Tag1)=12,November!Monat.FerienUeVM,"")))))))))))),"")</f>
        <v>4.66666666666667</v>
      </c>
      <c r="AM84" s="172"/>
      <c r="AN84" s="217" t="n">
        <f aca="false">IF(AH85="+",(AK84+AL84-Monat.Ferien.Total+AI85),(AK84+AL84-Monat.Ferien.Total-AI85))</f>
        <v>5.25</v>
      </c>
      <c r="AO84" s="217" t="n">
        <f aca="true">SUM(Jahresabrechnung!AC12:AC13)-SUM(OFFSET(Jahresabrechnung!AC15,0,0,MONTH(Monat.Tag1),1))</f>
        <v>5.25</v>
      </c>
      <c r="AP84" s="217" t="n">
        <f aca="false">J.FerienUE.Total</f>
        <v>5.25</v>
      </c>
      <c r="AQ84" s="39"/>
    </row>
    <row r="85" s="148" customFormat="true" ht="15" hidden="false" customHeight="true" outlineLevel="0" collapsed="false">
      <c r="A85" s="186"/>
      <c r="B85" s="191"/>
      <c r="C85" s="191"/>
      <c r="D85" s="191"/>
      <c r="E85" s="191"/>
      <c r="F85" s="191"/>
      <c r="G85" s="191"/>
      <c r="H85" s="191"/>
      <c r="I85" s="191"/>
      <c r="J85" s="191"/>
      <c r="K85" s="191"/>
      <c r="L85" s="191"/>
      <c r="M85" s="191"/>
      <c r="N85" s="191"/>
      <c r="O85" s="191"/>
      <c r="P85" s="191"/>
      <c r="Q85" s="191"/>
      <c r="R85" s="191"/>
      <c r="S85" s="191"/>
      <c r="T85" s="191"/>
      <c r="U85" s="191"/>
      <c r="V85" s="191"/>
      <c r="W85" s="191"/>
      <c r="X85" s="191"/>
      <c r="Y85" s="191"/>
      <c r="Z85" s="191"/>
      <c r="AA85" s="191"/>
      <c r="AB85" s="191"/>
      <c r="AC85" s="191"/>
      <c r="AD85" s="191"/>
      <c r="AE85" s="191"/>
      <c r="AF85" s="192"/>
      <c r="AG85" s="175" t="s">
        <v>167</v>
      </c>
      <c r="AH85" s="244" t="s">
        <v>146</v>
      </c>
      <c r="AI85" s="260"/>
      <c r="AJ85" s="246"/>
      <c r="AK85" s="172"/>
      <c r="AL85" s="172"/>
      <c r="AM85" s="172"/>
      <c r="AN85" s="171"/>
      <c r="AO85" s="261"/>
      <c r="AP85" s="261"/>
      <c r="AQ85" s="39"/>
    </row>
    <row r="86" s="148" customFormat="true" ht="15" hidden="false" customHeight="true" outlineLevel="0" collapsed="false">
      <c r="A86" s="175" t="s">
        <v>168</v>
      </c>
      <c r="B86" s="176"/>
      <c r="C86" s="176"/>
      <c r="D86" s="176"/>
      <c r="E86" s="177"/>
      <c r="F86" s="176"/>
      <c r="G86" s="176"/>
      <c r="H86" s="176"/>
      <c r="I86" s="176"/>
      <c r="J86" s="177"/>
      <c r="K86" s="176"/>
      <c r="L86" s="177"/>
      <c r="M86" s="176"/>
      <c r="N86" s="176"/>
      <c r="O86" s="176"/>
      <c r="P86" s="176"/>
      <c r="Q86" s="177"/>
      <c r="R86" s="176"/>
      <c r="S86" s="177"/>
      <c r="T86" s="177"/>
      <c r="U86" s="176"/>
      <c r="V86" s="176"/>
      <c r="W86" s="176"/>
      <c r="X86" s="177"/>
      <c r="Y86" s="176"/>
      <c r="Z86" s="178"/>
      <c r="AA86" s="176"/>
      <c r="AB86" s="176"/>
      <c r="AC86" s="176"/>
      <c r="AD86" s="176"/>
      <c r="AE86" s="177"/>
      <c r="AF86" s="176"/>
      <c r="AG86" s="168" t="str">
        <f aca="false">A86</f>
        <v>Consultation</v>
      </c>
      <c r="AH86" s="184"/>
      <c r="AI86" s="207" t="n">
        <f aca="false">SUM(B86:AF86)</f>
        <v>0</v>
      </c>
      <c r="AJ86" s="33"/>
      <c r="AK86" s="235"/>
      <c r="AL86" s="216" t="n">
        <f aca="false">IF(EB.Anwendung&lt;&gt;"",IF(MONTH(Monat.Tag1)=1,0,IF(MONTH(Monat.Tag1)=2,January!Monat.ArztUeVM,IF(MONTH(Monat.Tag1)=3,February!Monat.ArztUeVM,IF(MONTH(Monat.Tag1)=4,March!Monat.ArztUeVM,IF(MONTH(Monat.Tag1)=5,April!Monat.ArztUeVM,IF(MONTH(Monat.Tag1)=6,May!Monat.ArztUeVM,IF(MONTH(Monat.Tag1)=7,June!Monat.ArztUeVM,IF(MONTH(Monat.Tag1)=8,July!Monat.ArztUeVM,IF(MONTH(Monat.Tag1)=9,August!Monat.ArztUeVM,IF(MONTH(Monat.Tag1)=10,September!Monat.ArztUeVM,IF(MONTH(Monat.Tag1)=11,October!Monat.ArztUeVM,IF(MONTH(Monat.Tag1)=12,November!Monat.ArztUeVM,"")))))))))))),"")</f>
        <v>0</v>
      </c>
      <c r="AM86" s="172"/>
      <c r="AN86" s="217" t="n">
        <f aca="false">AI86+AL86</f>
        <v>0</v>
      </c>
      <c r="AO86" s="171"/>
      <c r="AP86" s="171"/>
      <c r="AQ86" s="39"/>
    </row>
    <row r="87" s="148" customFormat="true" ht="15" hidden="false" customHeight="true" outlineLevel="0" collapsed="false">
      <c r="A87" s="175" t="s">
        <v>169</v>
      </c>
      <c r="B87" s="176"/>
      <c r="C87" s="176"/>
      <c r="D87" s="176"/>
      <c r="E87" s="177"/>
      <c r="F87" s="176"/>
      <c r="G87" s="176"/>
      <c r="H87" s="176"/>
      <c r="I87" s="176"/>
      <c r="J87" s="177"/>
      <c r="K87" s="176"/>
      <c r="L87" s="177"/>
      <c r="M87" s="176"/>
      <c r="N87" s="176"/>
      <c r="O87" s="176"/>
      <c r="P87" s="176"/>
      <c r="Q87" s="177"/>
      <c r="R87" s="176"/>
      <c r="S87" s="177"/>
      <c r="T87" s="177"/>
      <c r="U87" s="176"/>
      <c r="V87" s="176"/>
      <c r="W87" s="176"/>
      <c r="X87" s="177"/>
      <c r="Y87" s="176"/>
      <c r="Z87" s="178"/>
      <c r="AA87" s="176"/>
      <c r="AB87" s="176"/>
      <c r="AC87" s="176"/>
      <c r="AD87" s="176"/>
      <c r="AE87" s="177"/>
      <c r="AF87" s="176"/>
      <c r="AG87" s="168" t="str">
        <f aca="false">A87</f>
        <v>Illness</v>
      </c>
      <c r="AH87" s="184"/>
      <c r="AI87" s="207" t="n">
        <f aca="false">SUM(B87:AF87)</f>
        <v>0</v>
      </c>
      <c r="AJ87" s="33"/>
      <c r="AK87" s="235"/>
      <c r="AL87" s="216" t="n">
        <f aca="false">IF(EB.Anwendung&lt;&gt;"",IF(MONTH(Monat.Tag1)=1,0,IF(MONTH(Monat.Tag1)=2,January!Monat.KrankUeVM,IF(MONTH(Monat.Tag1)=3,February!Monat.KrankUeVM,IF(MONTH(Monat.Tag1)=4,March!Monat.KrankUeVM,IF(MONTH(Monat.Tag1)=5,April!Monat.KrankUeVM,IF(MONTH(Monat.Tag1)=6,May!Monat.KrankUeVM,IF(MONTH(Monat.Tag1)=7,June!Monat.KrankUeVM,IF(MONTH(Monat.Tag1)=8,July!Monat.KrankUeVM,IF(MONTH(Monat.Tag1)=9,August!Monat.KrankUeVM,IF(MONTH(Monat.Tag1)=10,September!Monat.KrankUeVM,IF(MONTH(Monat.Tag1)=11,October!Monat.KrankUeVM,IF(MONTH(Monat.Tag1)=12,November!Monat.KrankUeVM,"")))))))))))),"")</f>
        <v>0</v>
      </c>
      <c r="AM87" s="172"/>
      <c r="AN87" s="217" t="n">
        <f aca="false">AI87+AL87</f>
        <v>0</v>
      </c>
      <c r="AO87" s="171"/>
      <c r="AP87" s="171"/>
      <c r="AQ87" s="39"/>
    </row>
    <row r="88" s="148" customFormat="true" ht="15" hidden="false" customHeight="true" outlineLevel="0" collapsed="false">
      <c r="A88" s="175" t="s">
        <v>170</v>
      </c>
      <c r="B88" s="176"/>
      <c r="C88" s="176"/>
      <c r="D88" s="176"/>
      <c r="E88" s="177"/>
      <c r="F88" s="176"/>
      <c r="G88" s="176"/>
      <c r="H88" s="176"/>
      <c r="I88" s="176"/>
      <c r="J88" s="177"/>
      <c r="K88" s="176"/>
      <c r="L88" s="177"/>
      <c r="M88" s="176"/>
      <c r="N88" s="176"/>
      <c r="O88" s="176"/>
      <c r="P88" s="176"/>
      <c r="Q88" s="177"/>
      <c r="R88" s="176"/>
      <c r="S88" s="177"/>
      <c r="T88" s="177"/>
      <c r="U88" s="176"/>
      <c r="V88" s="176"/>
      <c r="W88" s="176"/>
      <c r="X88" s="177"/>
      <c r="Y88" s="176"/>
      <c r="Z88" s="178"/>
      <c r="AA88" s="176"/>
      <c r="AB88" s="176"/>
      <c r="AC88" s="176"/>
      <c r="AD88" s="176"/>
      <c r="AE88" s="177"/>
      <c r="AF88" s="176"/>
      <c r="AG88" s="168" t="str">
        <f aca="false">A88</f>
        <v>Work-related accident</v>
      </c>
      <c r="AH88" s="184"/>
      <c r="AI88" s="207" t="n">
        <f aca="false">SUM(B88:AF88)</f>
        <v>0</v>
      </c>
      <c r="AJ88" s="33"/>
      <c r="AK88" s="235"/>
      <c r="AL88" s="216" t="n">
        <f aca="false">IF(EB.Anwendung&lt;&gt;"",IF(MONTH(Monat.Tag1)=1,0,IF(MONTH(Monat.Tag1)=2,January!Monat.BUUeVM,IF(MONTH(Monat.Tag1)=3,February!Monat.BUUeVM,IF(MONTH(Monat.Tag1)=4,March!Monat.BUUeVM,IF(MONTH(Monat.Tag1)=5,April!Monat.BUUeVM,IF(MONTH(Monat.Tag1)=6,May!Monat.BUUeVM,IF(MONTH(Monat.Tag1)=7,June!Monat.BUUeVM,IF(MONTH(Monat.Tag1)=8,July!Monat.BUUeVM,IF(MONTH(Monat.Tag1)=9,August!Monat.BUUeVM,IF(MONTH(Monat.Tag1)=10,September!Monat.BUUeVM,IF(MONTH(Monat.Tag1)=11,October!Monat.BUUeVM,IF(MONTH(Monat.Tag1)=12,November!Monat.BUUeVM,"")))))))))))),"")</f>
        <v>0</v>
      </c>
      <c r="AM88" s="172"/>
      <c r="AN88" s="217" t="n">
        <f aca="false">AI88+AL88</f>
        <v>0</v>
      </c>
      <c r="AO88" s="171"/>
      <c r="AP88" s="171"/>
      <c r="AQ88" s="39"/>
    </row>
    <row r="89" s="148" customFormat="true" ht="15" hidden="false" customHeight="true" outlineLevel="0" collapsed="false">
      <c r="A89" s="175" t="s">
        <v>171</v>
      </c>
      <c r="B89" s="176"/>
      <c r="C89" s="176"/>
      <c r="D89" s="176"/>
      <c r="E89" s="177"/>
      <c r="F89" s="176"/>
      <c r="G89" s="176"/>
      <c r="H89" s="176"/>
      <c r="I89" s="176"/>
      <c r="J89" s="177"/>
      <c r="K89" s="176"/>
      <c r="L89" s="177"/>
      <c r="M89" s="176"/>
      <c r="N89" s="176"/>
      <c r="O89" s="176"/>
      <c r="P89" s="176"/>
      <c r="Q89" s="177"/>
      <c r="R89" s="176"/>
      <c r="S89" s="177"/>
      <c r="T89" s="177"/>
      <c r="U89" s="176"/>
      <c r="V89" s="176"/>
      <c r="W89" s="176"/>
      <c r="X89" s="177"/>
      <c r="Y89" s="176"/>
      <c r="Z89" s="178"/>
      <c r="AA89" s="176"/>
      <c r="AB89" s="176"/>
      <c r="AC89" s="176"/>
      <c r="AD89" s="176"/>
      <c r="AE89" s="177"/>
      <c r="AF89" s="176"/>
      <c r="AG89" s="168" t="str">
        <f aca="false">A89</f>
        <v>Non-work-related accident</v>
      </c>
      <c r="AH89" s="184"/>
      <c r="AI89" s="207" t="n">
        <f aca="false">SUM(B89:AF89)</f>
        <v>0</v>
      </c>
      <c r="AJ89" s="33"/>
      <c r="AK89" s="235"/>
      <c r="AL89" s="216" t="n">
        <f aca="false">IF(EB.Anwendung&lt;&gt;"",IF(MONTH(Monat.Tag1)=1,0,IF(MONTH(Monat.Tag1)=2,January!Monat.NBUUeVM,IF(MONTH(Monat.Tag1)=3,February!Monat.NBUUeVM,IF(MONTH(Monat.Tag1)=4,March!Monat.NBUUeVM,IF(MONTH(Monat.Tag1)=5,April!Monat.NBUUeVM,IF(MONTH(Monat.Tag1)=6,May!Monat.NBUUeVM,IF(MONTH(Monat.Tag1)=7,June!Monat.NBUUeVM,IF(MONTH(Monat.Tag1)=8,July!Monat.NBUUeVM,IF(MONTH(Monat.Tag1)=9,August!Monat.NBUUeVM,IF(MONTH(Monat.Tag1)=10,September!Monat.NBUUeVM,IF(MONTH(Monat.Tag1)=11,October!Monat.NBUUeVM,IF(MONTH(Monat.Tag1)=12,November!Monat.NBUUeVM,"")))))))))))),"")</f>
        <v>0</v>
      </c>
      <c r="AM89" s="172"/>
      <c r="AN89" s="217" t="n">
        <f aca="false">AI89+AL89</f>
        <v>0</v>
      </c>
      <c r="AO89" s="171"/>
      <c r="AP89" s="171"/>
      <c r="AQ89" s="39"/>
    </row>
    <row r="90" s="148" customFormat="true" ht="15" hidden="false" customHeight="true" outlineLevel="0" collapsed="false">
      <c r="A90" s="175" t="s">
        <v>172</v>
      </c>
      <c r="B90" s="176"/>
      <c r="C90" s="176"/>
      <c r="D90" s="176"/>
      <c r="E90" s="177"/>
      <c r="F90" s="176"/>
      <c r="G90" s="176"/>
      <c r="H90" s="176"/>
      <c r="I90" s="176"/>
      <c r="J90" s="177"/>
      <c r="K90" s="176"/>
      <c r="L90" s="177"/>
      <c r="M90" s="176"/>
      <c r="N90" s="176"/>
      <c r="O90" s="176"/>
      <c r="P90" s="176"/>
      <c r="Q90" s="177"/>
      <c r="R90" s="176"/>
      <c r="S90" s="177"/>
      <c r="T90" s="177"/>
      <c r="U90" s="176"/>
      <c r="V90" s="176"/>
      <c r="W90" s="176"/>
      <c r="X90" s="177"/>
      <c r="Y90" s="176"/>
      <c r="Z90" s="178"/>
      <c r="AA90" s="176"/>
      <c r="AB90" s="176"/>
      <c r="AC90" s="176"/>
      <c r="AD90" s="176"/>
      <c r="AE90" s="177"/>
      <c r="AF90" s="176"/>
      <c r="AG90" s="168" t="str">
        <f aca="false">A90</f>
        <v>Military/civilian service</v>
      </c>
      <c r="AH90" s="184"/>
      <c r="AI90" s="207" t="n">
        <f aca="false">SUM(B90:AF90)</f>
        <v>0</v>
      </c>
      <c r="AJ90" s="33"/>
      <c r="AK90" s="235"/>
      <c r="AL90" s="216" t="n">
        <f aca="false">IF(EB.Anwendung&lt;&gt;"",IF(MONTH(Monat.Tag1)=1,0,IF(MONTH(Monat.Tag1)=2,January!Monat.MZSUeVM,IF(MONTH(Monat.Tag1)=3,February!Monat.MZSUeVM,IF(MONTH(Monat.Tag1)=4,March!Monat.MZSUeVM,IF(MONTH(Monat.Tag1)=5,April!Monat.MZSUeVM,IF(MONTH(Monat.Tag1)=6,May!Monat.MZSUeVM,IF(MONTH(Monat.Tag1)=7,June!Monat.MZSUeVM,IF(MONTH(Monat.Tag1)=8,July!Monat.MZSUeVM,IF(MONTH(Monat.Tag1)=9,August!Monat.MZSUeVM,IF(MONTH(Monat.Tag1)=10,September!Monat.MZSUeVM,IF(MONTH(Monat.Tag1)=11,October!Monat.MZSUeVM,IF(MONTH(Monat.Tag1)=12,November!Monat.MZSUeVM,"")))))))))))),"")</f>
        <v>0</v>
      </c>
      <c r="AM90" s="172"/>
      <c r="AN90" s="217" t="n">
        <f aca="false">AI90+AL90</f>
        <v>0</v>
      </c>
      <c r="AO90" s="171"/>
      <c r="AP90" s="171"/>
      <c r="AQ90" s="39"/>
    </row>
    <row r="91" s="148" customFormat="true" ht="15" hidden="false" customHeight="true" outlineLevel="0" collapsed="false">
      <c r="A91" s="175" t="s">
        <v>173</v>
      </c>
      <c r="B91" s="176"/>
      <c r="C91" s="176"/>
      <c r="D91" s="176"/>
      <c r="E91" s="177"/>
      <c r="F91" s="176"/>
      <c r="G91" s="176"/>
      <c r="H91" s="176"/>
      <c r="I91" s="176"/>
      <c r="J91" s="177"/>
      <c r="K91" s="176"/>
      <c r="L91" s="177"/>
      <c r="M91" s="176"/>
      <c r="N91" s="176"/>
      <c r="O91" s="176"/>
      <c r="P91" s="176"/>
      <c r="Q91" s="177"/>
      <c r="R91" s="176"/>
      <c r="S91" s="177"/>
      <c r="T91" s="177"/>
      <c r="U91" s="176"/>
      <c r="V91" s="176"/>
      <c r="W91" s="176"/>
      <c r="X91" s="177"/>
      <c r="Y91" s="176"/>
      <c r="Z91" s="178"/>
      <c r="AA91" s="176"/>
      <c r="AB91" s="176"/>
      <c r="AC91" s="176"/>
      <c r="AD91" s="176"/>
      <c r="AE91" s="177"/>
      <c r="AF91" s="176"/>
      <c r="AG91" s="168" t="str">
        <f aca="false">A91</f>
        <v>Continuing education</v>
      </c>
      <c r="AH91" s="184"/>
      <c r="AI91" s="207" t="n">
        <f aca="false">SUM(B91:AF91)</f>
        <v>0</v>
      </c>
      <c r="AJ91" s="33"/>
      <c r="AK91" s="235"/>
      <c r="AL91" s="216" t="n">
        <f aca="false">IF(EB.Anwendung&lt;&gt;"",IF(MONTH(Monat.Tag1)=1,0,IF(MONTH(Monat.Tag1)=2,January!Monat.WBUeVM,IF(MONTH(Monat.Tag1)=3,February!Monat.WBUeVM,IF(MONTH(Monat.Tag1)=4,March!Monat.WBUeVM,IF(MONTH(Monat.Tag1)=5,April!Monat.WBUeVM,IF(MONTH(Monat.Tag1)=6,May!Monat.WBUeVM,IF(MONTH(Monat.Tag1)=7,June!Monat.WBUeVM,IF(MONTH(Monat.Tag1)=8,July!Monat.WBUeVM,IF(MONTH(Monat.Tag1)=9,August!Monat.WBUeVM,IF(MONTH(Monat.Tag1)=10,September!Monat.WBUeVM,IF(MONTH(Monat.Tag1)=11,October!Monat.WBUeVM,IF(MONTH(Monat.Tag1)=12,November!Monat.WBUeVM,"")))))))))))),"")</f>
        <v>0</v>
      </c>
      <c r="AM91" s="172"/>
      <c r="AN91" s="217" t="n">
        <f aca="false">AI91+AL91</f>
        <v>0</v>
      </c>
      <c r="AO91" s="171"/>
      <c r="AP91" s="171"/>
      <c r="AQ91" s="39"/>
    </row>
    <row r="92" s="148" customFormat="true" ht="15" hidden="false" customHeight="true" outlineLevel="0" collapsed="false">
      <c r="A92" s="175" t="s">
        <v>174</v>
      </c>
      <c r="B92" s="176"/>
      <c r="C92" s="176"/>
      <c r="D92" s="176"/>
      <c r="E92" s="177"/>
      <c r="F92" s="176"/>
      <c r="G92" s="176"/>
      <c r="H92" s="176"/>
      <c r="I92" s="176"/>
      <c r="J92" s="177"/>
      <c r="K92" s="176"/>
      <c r="L92" s="177"/>
      <c r="M92" s="176"/>
      <c r="N92" s="176"/>
      <c r="O92" s="176"/>
      <c r="P92" s="176"/>
      <c r="Q92" s="177"/>
      <c r="R92" s="176"/>
      <c r="S92" s="177"/>
      <c r="T92" s="177"/>
      <c r="U92" s="176"/>
      <c r="V92" s="176"/>
      <c r="W92" s="176"/>
      <c r="X92" s="177"/>
      <c r="Y92" s="176"/>
      <c r="Z92" s="178"/>
      <c r="AA92" s="176"/>
      <c r="AB92" s="176"/>
      <c r="AC92" s="176"/>
      <c r="AD92" s="176"/>
      <c r="AE92" s="177"/>
      <c r="AF92" s="176"/>
      <c r="AG92" s="168" t="str">
        <f aca="false">A92</f>
        <v>Paid leave</v>
      </c>
      <c r="AH92" s="184"/>
      <c r="AI92" s="207" t="n">
        <f aca="false">SUM(B92:AF92)</f>
        <v>0</v>
      </c>
      <c r="AJ92" s="33"/>
      <c r="AK92" s="235"/>
      <c r="AL92" s="216" t="n">
        <f aca="false">IF(EB.Anwendung&lt;&gt;"",IF(MONTH(Monat.Tag1)=1,0,IF(MONTH(Monat.Tag1)=2,January!Monat.BesUrlaubUeVM,IF(MONTH(Monat.Tag1)=3,February!Monat.BesUrlaubUeVM,IF(MONTH(Monat.Tag1)=4,March!Monat.BesUrlaubUeVM,IF(MONTH(Monat.Tag1)=5,April!Monat.BesUrlaubUeVM,IF(MONTH(Monat.Tag1)=6,May!Monat.BesUrlaubUeVM,IF(MONTH(Monat.Tag1)=7,June!Monat.BesUrlaubUeVM,IF(MONTH(Monat.Tag1)=8,July!Monat.BesUrlaubUeVM,IF(MONTH(Monat.Tag1)=9,August!Monat.BesUrlaubUeVM,IF(MONTH(Monat.Tag1)=10,September!Monat.BesUrlaubUeVM,IF(MONTH(Monat.Tag1)=11,October!Monat.BesUrlaubUeVM,IF(MONTH(Monat.Tag1)=12,November!Monat.BesUrlaubUeVM,"")))))))))))),"")</f>
        <v>0</v>
      </c>
      <c r="AM92" s="172"/>
      <c r="AN92" s="217" t="n">
        <f aca="false">AI92+AL92</f>
        <v>0</v>
      </c>
      <c r="AO92" s="171"/>
      <c r="AP92" s="171"/>
      <c r="AQ92" s="39"/>
    </row>
    <row r="93" s="148" customFormat="true" ht="15" hidden="false" customHeight="true" outlineLevel="0" collapsed="false">
      <c r="A93" s="175" t="s">
        <v>175</v>
      </c>
      <c r="B93" s="176"/>
      <c r="C93" s="176"/>
      <c r="D93" s="176"/>
      <c r="E93" s="177"/>
      <c r="F93" s="176"/>
      <c r="G93" s="176"/>
      <c r="H93" s="176"/>
      <c r="I93" s="176"/>
      <c r="J93" s="177"/>
      <c r="K93" s="176"/>
      <c r="L93" s="177"/>
      <c r="M93" s="176"/>
      <c r="N93" s="176"/>
      <c r="O93" s="176"/>
      <c r="P93" s="176"/>
      <c r="Q93" s="177"/>
      <c r="R93" s="176"/>
      <c r="S93" s="177"/>
      <c r="T93" s="177"/>
      <c r="U93" s="176"/>
      <c r="V93" s="176"/>
      <c r="W93" s="176"/>
      <c r="X93" s="177"/>
      <c r="Y93" s="176"/>
      <c r="Z93" s="178"/>
      <c r="AA93" s="176"/>
      <c r="AB93" s="176"/>
      <c r="AC93" s="176"/>
      <c r="AD93" s="176"/>
      <c r="AE93" s="177"/>
      <c r="AF93" s="176"/>
      <c r="AG93" s="168" t="str">
        <f aca="false">A93</f>
        <v>Unpaid leave</v>
      </c>
      <c r="AH93" s="184"/>
      <c r="AI93" s="207" t="n">
        <f aca="false">SUM(B93:AF93)</f>
        <v>0</v>
      </c>
      <c r="AJ93" s="33"/>
      <c r="AK93" s="235"/>
      <c r="AL93" s="216" t="n">
        <f aca="false">IF(EB.Anwendung&lt;&gt;"",IF(MONTH(Monat.Tag1)=1,0,IF(MONTH(Monat.Tag1)=2,January!Monat.UnbesUrlaubUeVM,IF(MONTH(Monat.Tag1)=3,February!Monat.UnbesUrlaubUeVM,IF(MONTH(Monat.Tag1)=4,March!Monat.UnbesUrlaubUeVM,IF(MONTH(Monat.Tag1)=5,April!Monat.UnbesUrlaubUeVM,IF(MONTH(Monat.Tag1)=6,May!Monat.UnbesUrlaubUeVM,IF(MONTH(Monat.Tag1)=7,June!Monat.UnbesUrlaubUeVM,IF(MONTH(Monat.Tag1)=8,July!Monat.UnbesUrlaubUeVM,IF(MONTH(Monat.Tag1)=9,August!Monat.UnbesUrlaubUeVM,IF(MONTH(Monat.Tag1)=10,September!Monat.UnbesUrlaubUeVM,IF(MONTH(Monat.Tag1)=11,October!Monat.UnbesUrlaubUeVM,IF(MONTH(Monat.Tag1)=12,November!Monat.UnbesUrlaubUeVM,"")))))))))))),"")</f>
        <v>0</v>
      </c>
      <c r="AM93" s="172"/>
      <c r="AN93" s="217" t="n">
        <f aca="false">AI93+AL93</f>
        <v>0</v>
      </c>
      <c r="AO93" s="171"/>
      <c r="AP93" s="171"/>
      <c r="AQ93" s="39"/>
    </row>
    <row r="94" s="148" customFormat="true" ht="15" hidden="true" customHeight="true" outlineLevel="1" collapsed="false">
      <c r="A94" s="175" t="s">
        <v>176</v>
      </c>
      <c r="B94" s="176"/>
      <c r="C94" s="176"/>
      <c r="D94" s="176"/>
      <c r="E94" s="177"/>
      <c r="F94" s="176"/>
      <c r="G94" s="176"/>
      <c r="H94" s="176"/>
      <c r="I94" s="176"/>
      <c r="J94" s="177"/>
      <c r="K94" s="176"/>
      <c r="L94" s="177"/>
      <c r="M94" s="176"/>
      <c r="N94" s="176"/>
      <c r="O94" s="176"/>
      <c r="P94" s="176"/>
      <c r="Q94" s="177"/>
      <c r="R94" s="176"/>
      <c r="S94" s="177"/>
      <c r="T94" s="177"/>
      <c r="U94" s="176"/>
      <c r="V94" s="176"/>
      <c r="W94" s="176"/>
      <c r="X94" s="177"/>
      <c r="Y94" s="176"/>
      <c r="Z94" s="178"/>
      <c r="AA94" s="176"/>
      <c r="AB94" s="176"/>
      <c r="AC94" s="176"/>
      <c r="AD94" s="176"/>
      <c r="AE94" s="177"/>
      <c r="AF94" s="176"/>
      <c r="AG94" s="168" t="str">
        <f aca="false">A94</f>
        <v>Secondary employment</v>
      </c>
      <c r="AH94" s="184"/>
      <c r="AI94" s="207" t="n">
        <f aca="false">SUM(B94:AF94)</f>
        <v>0</v>
      </c>
      <c r="AJ94" s="33"/>
      <c r="AK94" s="235"/>
      <c r="AL94" s="216" t="n">
        <f aca="false">IF(EB.Anwendung&lt;&gt;"",IF(MONTH(Monat.Tag1)=1,0,IF(MONTH(Monat.Tag1)=2,January!Monat.NBUeVM,IF(MONTH(Monat.Tag1)=3,February!Monat.NBUeVM,IF(MONTH(Monat.Tag1)=4,March!Monat.NBUeVM,IF(MONTH(Monat.Tag1)=5,April!Monat.NBUeVM,IF(MONTH(Monat.Tag1)=6,May!Monat.NBUeVM,IF(MONTH(Monat.Tag1)=7,June!Monat.NBUeVM,IF(MONTH(Monat.Tag1)=8,July!Monat.NBUeVM,IF(MONTH(Monat.Tag1)=9,August!Monat.NBUeVM,IF(MONTH(Monat.Tag1)=10,September!Monat.NBUeVM,IF(MONTH(Monat.Tag1)=11,October!Monat.NBUeVM,IF(MONTH(Monat.Tag1)=12,November!Monat.NBUeVM,"")))))))))))),"")</f>
        <v>0</v>
      </c>
      <c r="AM94" s="172"/>
      <c r="AN94" s="217" t="n">
        <f aca="false">AI94+AL94</f>
        <v>0</v>
      </c>
      <c r="AO94" s="171"/>
      <c r="AP94" s="171"/>
      <c r="AQ94" s="39"/>
    </row>
    <row r="95" s="148" customFormat="true" ht="15" hidden="false" customHeight="true" outlineLevel="0" collapsed="false">
      <c r="A95" s="175" t="s">
        <v>86</v>
      </c>
      <c r="B95" s="176"/>
      <c r="C95" s="176"/>
      <c r="D95" s="176"/>
      <c r="E95" s="177"/>
      <c r="F95" s="176"/>
      <c r="G95" s="176"/>
      <c r="H95" s="176"/>
      <c r="I95" s="176"/>
      <c r="J95" s="177"/>
      <c r="K95" s="176"/>
      <c r="L95" s="177"/>
      <c r="M95" s="176"/>
      <c r="N95" s="176"/>
      <c r="O95" s="176"/>
      <c r="P95" s="176"/>
      <c r="Q95" s="177"/>
      <c r="R95" s="176"/>
      <c r="S95" s="177"/>
      <c r="T95" s="177"/>
      <c r="U95" s="176"/>
      <c r="V95" s="176"/>
      <c r="W95" s="176"/>
      <c r="X95" s="177"/>
      <c r="Y95" s="176"/>
      <c r="Z95" s="178"/>
      <c r="AA95" s="176"/>
      <c r="AB95" s="176"/>
      <c r="AC95" s="176"/>
      <c r="AD95" s="176"/>
      <c r="AE95" s="177"/>
      <c r="AF95" s="176"/>
      <c r="AG95" s="168" t="str">
        <f aca="false">A95</f>
        <v>Seniority allowance</v>
      </c>
      <c r="AH95" s="184"/>
      <c r="AI95" s="207" t="n">
        <f aca="false">SUM(B95:AF95)</f>
        <v>0</v>
      </c>
      <c r="AJ95" s="33"/>
      <c r="AK95" s="235"/>
      <c r="AL95" s="216" t="n">
        <f aca="false">IF(EB.Anwendung&lt;&gt;"",IF(MONTH(Monat.Tag1)=1,EB.DAG,IF(MONTH(Monat.Tag1)=2,January!Monat.DAGUeVM,IF(MONTH(Monat.Tag1)=3,February!Monat.DAGUeVM,IF(MONTH(Monat.Tag1)=4,March!Monat.DAGUeVM,IF(MONTH(Monat.Tag1)=5,April!Monat.DAGUeVM,IF(MONTH(Monat.Tag1)=6,May!Monat.DAGUeVM,IF(MONTH(Monat.Tag1)=7,June!Monat.DAGUeVM,IF(MONTH(Monat.Tag1)=8,July!Monat.DAGUeVM,IF(MONTH(Monat.Tag1)=9,August!Monat.DAGUeVM,IF(MONTH(Monat.Tag1)=10,September!Monat.DAGUeVM,IF(MONTH(Monat.Tag1)=11,October!Monat.DAGUeVM,IF(MONTH(Monat.Tag1)=12,November!Monat.DAGUeVM,"")))))))))))),"")</f>
        <v>0</v>
      </c>
      <c r="AM95" s="172"/>
      <c r="AN95" s="217" t="n">
        <f aca="false">AL95-AI95</f>
        <v>0</v>
      </c>
      <c r="AO95" s="171"/>
      <c r="AP95" s="171"/>
      <c r="AQ95" s="39"/>
    </row>
    <row r="96" s="148" customFormat="true" ht="11.25" hidden="false" customHeight="true" outlineLevel="0" collapsed="false">
      <c r="A96" s="186"/>
      <c r="B96" s="191"/>
      <c r="C96" s="191"/>
      <c r="D96" s="191"/>
      <c r="E96" s="191"/>
      <c r="F96" s="191"/>
      <c r="G96" s="191"/>
      <c r="H96" s="191"/>
      <c r="I96" s="191"/>
      <c r="J96" s="191"/>
      <c r="K96" s="191"/>
      <c r="L96" s="191"/>
      <c r="M96" s="191"/>
      <c r="N96" s="191"/>
      <c r="O96" s="191"/>
      <c r="P96" s="191"/>
      <c r="Q96" s="191"/>
      <c r="R96" s="191"/>
      <c r="S96" s="191"/>
      <c r="T96" s="191"/>
      <c r="U96" s="191"/>
      <c r="V96" s="191"/>
      <c r="W96" s="191"/>
      <c r="X96" s="191"/>
      <c r="Y96" s="191"/>
      <c r="Z96" s="191"/>
      <c r="AA96" s="191"/>
      <c r="AB96" s="191"/>
      <c r="AC96" s="191"/>
      <c r="AD96" s="191"/>
      <c r="AE96" s="191"/>
      <c r="AF96" s="192"/>
      <c r="AG96" s="168"/>
      <c r="AH96" s="197"/>
      <c r="AI96" s="192"/>
      <c r="AJ96" s="27"/>
      <c r="AK96" s="235"/>
      <c r="AL96" s="235"/>
      <c r="AM96" s="172"/>
      <c r="AN96" s="254"/>
      <c r="AO96" s="179"/>
      <c r="AP96" s="179"/>
      <c r="AQ96" s="39"/>
    </row>
    <row r="97" s="148" customFormat="true" ht="15" hidden="false" customHeight="true" outlineLevel="0" collapsed="false">
      <c r="A97" s="181" t="str">
        <f aca="true">IF(ROW(A97)-ROW(INDEX(Monat.Projekte.Zeilen,1))+1&gt;EB.AnzProjekte,"",OFFSET(EB.Projekte.Knoten,ROW(A97)-ROW(INDEX(Monat.Projekte.Zeilen,1))+1,0,1,1))</f>
        <v/>
      </c>
      <c r="B97" s="176"/>
      <c r="C97" s="176"/>
      <c r="D97" s="176"/>
      <c r="E97" s="177"/>
      <c r="F97" s="176"/>
      <c r="G97" s="176"/>
      <c r="H97" s="176"/>
      <c r="I97" s="176"/>
      <c r="J97" s="177"/>
      <c r="K97" s="176"/>
      <c r="L97" s="177"/>
      <c r="M97" s="176"/>
      <c r="N97" s="176"/>
      <c r="O97" s="176"/>
      <c r="P97" s="176"/>
      <c r="Q97" s="177"/>
      <c r="R97" s="176"/>
      <c r="S97" s="177"/>
      <c r="T97" s="177"/>
      <c r="U97" s="176"/>
      <c r="V97" s="176"/>
      <c r="W97" s="176"/>
      <c r="X97" s="177"/>
      <c r="Y97" s="176"/>
      <c r="Z97" s="178"/>
      <c r="AA97" s="176"/>
      <c r="AB97" s="176"/>
      <c r="AC97" s="176"/>
      <c r="AD97" s="176"/>
      <c r="AE97" s="177"/>
      <c r="AF97" s="176"/>
      <c r="AG97" s="168" t="str">
        <f aca="false">A97</f>
        <v/>
      </c>
      <c r="AH97" s="202"/>
      <c r="AI97" s="262" t="n">
        <f aca="false">SUM(B97:AF97)</f>
        <v>0</v>
      </c>
      <c r="AJ97" s="33"/>
      <c r="AK97" s="192"/>
      <c r="AL97" s="216" t="n">
        <f aca="false">IF(EB.Anwendung&lt;&gt;"",IF(MONTH(Monat.Tag1)=1,0,IF(MONTH(Monat.Tag1)=2,January!Monat.P1UeVM,IF(MONTH(Monat.Tag1)=3,February!Monat.P1UeVM,IF(MONTH(Monat.Tag1)=4,March!Monat.P1UeVM,IF(MONTH(Monat.Tag1)=5,April!Monat.P1UeVM,IF(MONTH(Monat.Tag1)=6,May!Monat.P1UeVM,IF(MONTH(Monat.Tag1)=7,June!Monat.P1UeVM,IF(MONTH(Monat.Tag1)=8,July!Monat.P1UeVM,IF(MONTH(Monat.Tag1)=9,August!Monat.P1UeVM,IF(MONTH(Monat.Tag1)=10,September!Monat.P1UeVM,IF(MONTH(Monat.Tag1)=11,October!Monat.P1UeVM,IF(MONTH(Monat.Tag1)=12,November!Monat.P1UeVM,"")))))))))))),"")</f>
        <v>0</v>
      </c>
      <c r="AM97" s="172"/>
      <c r="AN97" s="217" t="n">
        <f aca="false">AI97+AL97</f>
        <v>0</v>
      </c>
      <c r="AO97" s="171"/>
      <c r="AP97" s="171"/>
      <c r="AQ97" s="39"/>
    </row>
    <row r="98" s="148" customFormat="true" ht="15" hidden="false" customHeight="true" outlineLevel="0" collapsed="false">
      <c r="A98" s="181" t="str">
        <f aca="true">IF(ROW(A98)-ROW(INDEX(Monat.Projekte.Zeilen,1))+1&gt;EB.AnzProjekte,"",OFFSET(EB.Projekte.Knoten,ROW(A98)-ROW(INDEX(Monat.Projekte.Zeilen,1))+1,0,1,1))</f>
        <v/>
      </c>
      <c r="B98" s="176"/>
      <c r="C98" s="176"/>
      <c r="D98" s="176"/>
      <c r="E98" s="177"/>
      <c r="F98" s="176"/>
      <c r="G98" s="176"/>
      <c r="H98" s="176"/>
      <c r="I98" s="176"/>
      <c r="J98" s="177"/>
      <c r="K98" s="176"/>
      <c r="L98" s="177"/>
      <c r="M98" s="176"/>
      <c r="N98" s="176"/>
      <c r="O98" s="176"/>
      <c r="P98" s="176"/>
      <c r="Q98" s="177"/>
      <c r="R98" s="176"/>
      <c r="S98" s="177"/>
      <c r="T98" s="177"/>
      <c r="U98" s="176"/>
      <c r="V98" s="176"/>
      <c r="W98" s="176"/>
      <c r="X98" s="177"/>
      <c r="Y98" s="176"/>
      <c r="Z98" s="178"/>
      <c r="AA98" s="176"/>
      <c r="AB98" s="176"/>
      <c r="AC98" s="176"/>
      <c r="AD98" s="176"/>
      <c r="AE98" s="177"/>
      <c r="AF98" s="176"/>
      <c r="AG98" s="168" t="str">
        <f aca="false">A98</f>
        <v/>
      </c>
      <c r="AH98" s="184"/>
      <c r="AI98" s="207" t="n">
        <f aca="false">SUM(B98:AF98)</f>
        <v>0</v>
      </c>
      <c r="AJ98" s="33"/>
      <c r="AK98" s="192"/>
      <c r="AL98" s="216" t="n">
        <f aca="false">IF(EB.Anwendung&lt;&gt;"",IF(MONTH(Monat.Tag1)=1,0,IF(MONTH(Monat.Tag1)=2,January!Monat.P2UeVM,IF(MONTH(Monat.Tag1)=3,February!Monat.P2UeVM,IF(MONTH(Monat.Tag1)=4,March!Monat.P2UeVM,IF(MONTH(Monat.Tag1)=5,April!Monat.P2UeVM,IF(MONTH(Monat.Tag1)=6,May!Monat.P2UeVM,IF(MONTH(Monat.Tag1)=7,June!Monat.P2UeVM,IF(MONTH(Monat.Tag1)=8,July!Monat.P2UeVM,IF(MONTH(Monat.Tag1)=9,August!Monat.P2UeVM,IF(MONTH(Monat.Tag1)=10,September!Monat.P2UeVM,IF(MONTH(Monat.Tag1)=11,October!Monat.P2UeVM,IF(MONTH(Monat.Tag1)=12,November!Monat.P2UeVM,"")))))))))))),"")</f>
        <v>0</v>
      </c>
      <c r="AM98" s="172"/>
      <c r="AN98" s="217" t="n">
        <f aca="false">AI98+AL98</f>
        <v>0</v>
      </c>
      <c r="AO98" s="171"/>
      <c r="AP98" s="171"/>
      <c r="AQ98" s="39"/>
    </row>
    <row r="99" s="148" customFormat="true" ht="15" hidden="false" customHeight="true" outlineLevel="0" collapsed="false">
      <c r="A99" s="181" t="str">
        <f aca="true">IF(ROW(A99)-ROW(INDEX(Monat.Projekte.Zeilen,1))+1&gt;EB.AnzProjekte,"",OFFSET(EB.Projekte.Knoten,ROW(A99)-ROW(INDEX(Monat.Projekte.Zeilen,1))+1,0,1,1))</f>
        <v/>
      </c>
      <c r="B99" s="176"/>
      <c r="C99" s="176"/>
      <c r="D99" s="176"/>
      <c r="E99" s="177"/>
      <c r="F99" s="176"/>
      <c r="G99" s="176"/>
      <c r="H99" s="176"/>
      <c r="I99" s="176"/>
      <c r="J99" s="177"/>
      <c r="K99" s="176"/>
      <c r="L99" s="177"/>
      <c r="M99" s="176"/>
      <c r="N99" s="176"/>
      <c r="O99" s="176"/>
      <c r="P99" s="176"/>
      <c r="Q99" s="177"/>
      <c r="R99" s="176"/>
      <c r="S99" s="177"/>
      <c r="T99" s="177"/>
      <c r="U99" s="176"/>
      <c r="V99" s="176"/>
      <c r="W99" s="176"/>
      <c r="X99" s="177"/>
      <c r="Y99" s="176"/>
      <c r="Z99" s="178"/>
      <c r="AA99" s="176"/>
      <c r="AB99" s="176"/>
      <c r="AC99" s="176"/>
      <c r="AD99" s="176"/>
      <c r="AE99" s="177"/>
      <c r="AF99" s="176"/>
      <c r="AG99" s="168" t="str">
        <f aca="false">A99</f>
        <v/>
      </c>
      <c r="AH99" s="263"/>
      <c r="AI99" s="207" t="n">
        <f aca="false">SUM(B99:AF99)</f>
        <v>0</v>
      </c>
      <c r="AJ99" s="33"/>
      <c r="AK99" s="192"/>
      <c r="AL99" s="216" t="n">
        <f aca="false">IF(EB.Anwendung&lt;&gt;"",IF(MONTH(Monat.Tag1)=1,0,IF(MONTH(Monat.Tag1)=2,January!Monat.P3UeVM,IF(MONTH(Monat.Tag1)=3,February!Monat.P3UeVM,IF(MONTH(Monat.Tag1)=4,March!Monat.P3UeVM,IF(MONTH(Monat.Tag1)=5,April!Monat.P3UeVM,IF(MONTH(Monat.Tag1)=6,May!Monat.P3UeVM,IF(MONTH(Monat.Tag1)=7,June!Monat.P3UeVM,IF(MONTH(Monat.Tag1)=8,July!Monat.P3UeVM,IF(MONTH(Monat.Tag1)=9,August!Monat.P3UeVM,IF(MONTH(Monat.Tag1)=10,September!Monat.P3UeVM,IF(MONTH(Monat.Tag1)=11,October!Monat.P3UeVM,IF(MONTH(Monat.Tag1)=12,November!Monat.P3UeVM,"")))))))))))),"")</f>
        <v>0</v>
      </c>
      <c r="AM99" s="172"/>
      <c r="AN99" s="217" t="n">
        <f aca="false">AI99+AL99</f>
        <v>0</v>
      </c>
      <c r="AO99" s="171"/>
      <c r="AP99" s="171"/>
      <c r="AQ99" s="39"/>
    </row>
    <row r="100" s="148" customFormat="true" ht="15" hidden="false" customHeight="true" outlineLevel="0" collapsed="false">
      <c r="A100" s="181" t="str">
        <f aca="true">IF(ROW(A100)-ROW(INDEX(Monat.Projekte.Zeilen,1))+1&gt;EB.AnzProjekte,"",OFFSET(EB.Projekte.Knoten,ROW(A100)-ROW(INDEX(Monat.Projekte.Zeilen,1))+1,0,1,1))</f>
        <v/>
      </c>
      <c r="B100" s="176"/>
      <c r="C100" s="176"/>
      <c r="D100" s="176"/>
      <c r="E100" s="177"/>
      <c r="F100" s="176"/>
      <c r="G100" s="176"/>
      <c r="H100" s="176"/>
      <c r="I100" s="176"/>
      <c r="J100" s="177"/>
      <c r="K100" s="176"/>
      <c r="L100" s="177"/>
      <c r="M100" s="176"/>
      <c r="N100" s="176"/>
      <c r="O100" s="176"/>
      <c r="P100" s="176"/>
      <c r="Q100" s="177"/>
      <c r="R100" s="176"/>
      <c r="S100" s="177"/>
      <c r="T100" s="177"/>
      <c r="U100" s="176"/>
      <c r="V100" s="176"/>
      <c r="W100" s="176"/>
      <c r="X100" s="177"/>
      <c r="Y100" s="176"/>
      <c r="Z100" s="178"/>
      <c r="AA100" s="176"/>
      <c r="AB100" s="176"/>
      <c r="AC100" s="176"/>
      <c r="AD100" s="176"/>
      <c r="AE100" s="177"/>
      <c r="AF100" s="176"/>
      <c r="AG100" s="168" t="str">
        <f aca="false">A100</f>
        <v/>
      </c>
      <c r="AH100" s="197"/>
      <c r="AI100" s="207" t="n">
        <f aca="false">SUM(B100:AF100)</f>
        <v>0</v>
      </c>
      <c r="AJ100" s="33"/>
      <c r="AK100" s="192"/>
      <c r="AL100" s="216" t="n">
        <f aca="false">IF(EB.Anwendung&lt;&gt;"",IF(MONTH(Monat.Tag1)=1,0,IF(MONTH(Monat.Tag1)=2,January!Monat.P4UeVM,IF(MONTH(Monat.Tag1)=3,February!Monat.P4UeVM,IF(MONTH(Monat.Tag1)=4,March!Monat.P4UeVM,IF(MONTH(Monat.Tag1)=5,April!Monat.P4UeVM,IF(MONTH(Monat.Tag1)=6,May!Monat.P4UeVM,IF(MONTH(Monat.Tag1)=7,June!Monat.P4UeVM,IF(MONTH(Monat.Tag1)=8,July!Monat.P4UeVM,IF(MONTH(Monat.Tag1)=9,August!Monat.P4UeVM,IF(MONTH(Monat.Tag1)=10,September!Monat.P4UeVM,IF(MONTH(Monat.Tag1)=11,October!Monat.P4UeVM,IF(MONTH(Monat.Tag1)=12,November!Monat.P4UeVM,"")))))))))))),"")</f>
        <v>0</v>
      </c>
      <c r="AM100" s="172"/>
      <c r="AN100" s="217" t="n">
        <f aca="false">AI100+AL100</f>
        <v>0</v>
      </c>
      <c r="AO100" s="171"/>
      <c r="AP100" s="171"/>
      <c r="AQ100" s="39"/>
    </row>
    <row r="101" s="148" customFormat="true" ht="15" hidden="false" customHeight="true" outlineLevel="0" collapsed="false">
      <c r="A101" s="181" t="str">
        <f aca="true">IF(ROW(A101)-ROW(INDEX(Monat.Projekte.Zeilen,1))+1&gt;EB.AnzProjekte,"",OFFSET(EB.Projekte.Knoten,ROW(A101)-ROW(INDEX(Monat.Projekte.Zeilen,1))+1,0,1,1))</f>
        <v/>
      </c>
      <c r="B101" s="176"/>
      <c r="C101" s="176"/>
      <c r="D101" s="176"/>
      <c r="E101" s="177"/>
      <c r="F101" s="176"/>
      <c r="G101" s="176"/>
      <c r="H101" s="176"/>
      <c r="I101" s="176"/>
      <c r="J101" s="177"/>
      <c r="K101" s="176"/>
      <c r="L101" s="177"/>
      <c r="M101" s="176"/>
      <c r="N101" s="176"/>
      <c r="O101" s="176"/>
      <c r="P101" s="176"/>
      <c r="Q101" s="177"/>
      <c r="R101" s="176"/>
      <c r="S101" s="177"/>
      <c r="T101" s="177"/>
      <c r="U101" s="176"/>
      <c r="V101" s="176"/>
      <c r="W101" s="176"/>
      <c r="X101" s="177"/>
      <c r="Y101" s="176"/>
      <c r="Z101" s="178"/>
      <c r="AA101" s="176"/>
      <c r="AB101" s="176"/>
      <c r="AC101" s="176"/>
      <c r="AD101" s="176"/>
      <c r="AE101" s="177"/>
      <c r="AF101" s="176"/>
      <c r="AG101" s="168" t="str">
        <f aca="false">A101</f>
        <v/>
      </c>
      <c r="AH101" s="184"/>
      <c r="AI101" s="207" t="n">
        <f aca="false">SUM(B101:AF101)</f>
        <v>0</v>
      </c>
      <c r="AJ101" s="33"/>
      <c r="AK101" s="192"/>
      <c r="AL101" s="216" t="n">
        <f aca="false">IF(EB.Anwendung&lt;&gt;"",IF(MONTH(Monat.Tag1)=1,0,IF(MONTH(Monat.Tag1)=2,January!Monat.P5UeVM,IF(MONTH(Monat.Tag1)=3,February!Monat.P5UeVM,IF(MONTH(Monat.Tag1)=4,March!Monat.P5UeVM,IF(MONTH(Monat.Tag1)=5,April!Monat.P5UeVM,IF(MONTH(Monat.Tag1)=6,May!Monat.P5UeVM,IF(MONTH(Monat.Tag1)=7,June!Monat.P5UeVM,IF(MONTH(Monat.Tag1)=8,July!Monat.P5UeVM,IF(MONTH(Monat.Tag1)=9,August!Monat.P5UeVM,IF(MONTH(Monat.Tag1)=10,September!Monat.P5UeVM,IF(MONTH(Monat.Tag1)=11,October!Monat.P5UeVM,IF(MONTH(Monat.Tag1)=12,November!Monat.P5UeVM,"")))))))))))),"")</f>
        <v>0</v>
      </c>
      <c r="AM101" s="172"/>
      <c r="AN101" s="217" t="n">
        <f aca="false">AI101+AL101</f>
        <v>0</v>
      </c>
      <c r="AO101" s="171"/>
      <c r="AP101" s="171"/>
      <c r="AQ101" s="39"/>
    </row>
    <row r="102" s="148" customFormat="true" ht="15" hidden="true" customHeight="true" outlineLevel="1" collapsed="false">
      <c r="A102" s="181" t="str">
        <f aca="true">IF(ROW(A102)-ROW(INDEX(Monat.Projekte.Zeilen,1))+1&gt;EB.AnzProjekte,"",OFFSET(EB.Projekte.Knoten,ROW(A102)-ROW(INDEX(Monat.Projekte.Zeilen,1))+1,0,1,1))</f>
        <v/>
      </c>
      <c r="B102" s="176"/>
      <c r="C102" s="176"/>
      <c r="D102" s="176"/>
      <c r="E102" s="177"/>
      <c r="F102" s="176"/>
      <c r="G102" s="176"/>
      <c r="H102" s="176"/>
      <c r="I102" s="176"/>
      <c r="J102" s="177"/>
      <c r="K102" s="176"/>
      <c r="L102" s="177"/>
      <c r="M102" s="176"/>
      <c r="N102" s="176"/>
      <c r="O102" s="176"/>
      <c r="P102" s="176"/>
      <c r="Q102" s="177"/>
      <c r="R102" s="176"/>
      <c r="S102" s="177"/>
      <c r="T102" s="177"/>
      <c r="U102" s="176"/>
      <c r="V102" s="176"/>
      <c r="W102" s="176"/>
      <c r="X102" s="177"/>
      <c r="Y102" s="176"/>
      <c r="Z102" s="178"/>
      <c r="AA102" s="176"/>
      <c r="AB102" s="176"/>
      <c r="AC102" s="176"/>
      <c r="AD102" s="176"/>
      <c r="AE102" s="177"/>
      <c r="AF102" s="176"/>
      <c r="AG102" s="168" t="str">
        <f aca="false">A102</f>
        <v/>
      </c>
      <c r="AH102" s="263"/>
      <c r="AI102" s="207" t="n">
        <f aca="false">SUM(B102:AF102)</f>
        <v>0</v>
      </c>
      <c r="AJ102" s="33"/>
      <c r="AK102" s="192"/>
      <c r="AL102" s="216" t="n">
        <f aca="false">IF(EB.Anwendung&lt;&gt;"",IF(MONTH(Monat.Tag1)=1,0,IF(MONTH(Monat.Tag1)=2,January!Monat.P6UeVM,IF(MONTH(Monat.Tag1)=3,February!Monat.P6UeVM,IF(MONTH(Monat.Tag1)=4,March!Monat.P6UeVM,IF(MONTH(Monat.Tag1)=5,April!Monat.P6UeVM,IF(MONTH(Monat.Tag1)=6,May!Monat.P6UeVM,IF(MONTH(Monat.Tag1)=7,June!Monat.P6UeVM,IF(MONTH(Monat.Tag1)=8,July!Monat.P6UeVM,IF(MONTH(Monat.Tag1)=9,August!Monat.P6UeVM,IF(MONTH(Monat.Tag1)=10,September!Monat.P6UeVM,IF(MONTH(Monat.Tag1)=11,October!Monat.P6UeVM,IF(MONTH(Monat.Tag1)=12,November!Monat.P6UeVM,"")))))))))))),"")</f>
        <v>0</v>
      </c>
      <c r="AM102" s="172"/>
      <c r="AN102" s="217" t="n">
        <f aca="false">AI102+AL102</f>
        <v>0</v>
      </c>
      <c r="AO102" s="171"/>
      <c r="AP102" s="171"/>
      <c r="AQ102" s="39"/>
    </row>
    <row r="103" s="148" customFormat="true" ht="15" hidden="true" customHeight="true" outlineLevel="1" collapsed="false">
      <c r="A103" s="181" t="str">
        <f aca="true">IF(ROW(A103)-ROW(INDEX(Monat.Projekte.Zeilen,1))+1&gt;EB.AnzProjekte,"",OFFSET(EB.Projekte.Knoten,ROW(A103)-ROW(INDEX(Monat.Projekte.Zeilen,1))+1,0,1,1))</f>
        <v/>
      </c>
      <c r="B103" s="176"/>
      <c r="C103" s="176"/>
      <c r="D103" s="176"/>
      <c r="E103" s="177"/>
      <c r="F103" s="176"/>
      <c r="G103" s="176"/>
      <c r="H103" s="176"/>
      <c r="I103" s="176"/>
      <c r="J103" s="177"/>
      <c r="K103" s="176"/>
      <c r="L103" s="177"/>
      <c r="M103" s="176"/>
      <c r="N103" s="176"/>
      <c r="O103" s="176"/>
      <c r="P103" s="176"/>
      <c r="Q103" s="177"/>
      <c r="R103" s="176"/>
      <c r="S103" s="177"/>
      <c r="T103" s="177"/>
      <c r="U103" s="176"/>
      <c r="V103" s="176"/>
      <c r="W103" s="176"/>
      <c r="X103" s="177"/>
      <c r="Y103" s="176"/>
      <c r="Z103" s="178"/>
      <c r="AA103" s="176"/>
      <c r="AB103" s="176"/>
      <c r="AC103" s="176"/>
      <c r="AD103" s="176"/>
      <c r="AE103" s="177"/>
      <c r="AF103" s="176"/>
      <c r="AG103" s="168" t="str">
        <f aca="false">A103</f>
        <v/>
      </c>
      <c r="AH103" s="197"/>
      <c r="AI103" s="207" t="n">
        <f aca="false">SUM(B103:AF103)</f>
        <v>0</v>
      </c>
      <c r="AJ103" s="33"/>
      <c r="AK103" s="192"/>
      <c r="AL103" s="216" t="n">
        <f aca="false">IF(EB.Anwendung&lt;&gt;"",IF(MONTH(Monat.Tag1)=1,0,IF(MONTH(Monat.Tag1)=2,January!Monat.P7UeVM,IF(MONTH(Monat.Tag1)=3,February!Monat.P7UeVM,IF(MONTH(Monat.Tag1)=4,March!Monat.P7UeVM,IF(MONTH(Monat.Tag1)=5,April!Monat.P7UeVM,IF(MONTH(Monat.Tag1)=6,May!Monat.P7UeVM,IF(MONTH(Monat.Tag1)=7,June!Monat.P7UeVM,IF(MONTH(Monat.Tag1)=8,July!Monat.P7UeVM,IF(MONTH(Monat.Tag1)=9,August!Monat.P7UeVM,IF(MONTH(Monat.Tag1)=10,September!Monat.P7UeVM,IF(MONTH(Monat.Tag1)=11,October!Monat.P7UeVM,IF(MONTH(Monat.Tag1)=12,November!Monat.P7UeVM,"")))))))))))),"")</f>
        <v>0</v>
      </c>
      <c r="AM103" s="172"/>
      <c r="AN103" s="217" t="n">
        <f aca="false">AI103+AL103</f>
        <v>0</v>
      </c>
      <c r="AO103" s="171"/>
      <c r="AP103" s="171"/>
      <c r="AQ103" s="39"/>
    </row>
    <row r="104" s="148" customFormat="true" ht="15" hidden="true" customHeight="true" outlineLevel="1" collapsed="false">
      <c r="A104" s="181" t="str">
        <f aca="true">IF(ROW(A104)-ROW(INDEX(Monat.Projekte.Zeilen,1))+1&gt;EB.AnzProjekte,"",OFFSET(EB.Projekte.Knoten,ROW(A104)-ROW(INDEX(Monat.Projekte.Zeilen,1))+1,0,1,1))</f>
        <v/>
      </c>
      <c r="B104" s="176"/>
      <c r="C104" s="176"/>
      <c r="D104" s="176"/>
      <c r="E104" s="177"/>
      <c r="F104" s="176"/>
      <c r="G104" s="176"/>
      <c r="H104" s="176"/>
      <c r="I104" s="176"/>
      <c r="J104" s="177"/>
      <c r="K104" s="176"/>
      <c r="L104" s="177"/>
      <c r="M104" s="176"/>
      <c r="N104" s="176"/>
      <c r="O104" s="176"/>
      <c r="P104" s="176"/>
      <c r="Q104" s="177"/>
      <c r="R104" s="176"/>
      <c r="S104" s="177"/>
      <c r="T104" s="177"/>
      <c r="U104" s="176"/>
      <c r="V104" s="176"/>
      <c r="W104" s="176"/>
      <c r="X104" s="177"/>
      <c r="Y104" s="176"/>
      <c r="Z104" s="178"/>
      <c r="AA104" s="176"/>
      <c r="AB104" s="176"/>
      <c r="AC104" s="176"/>
      <c r="AD104" s="176"/>
      <c r="AE104" s="177"/>
      <c r="AF104" s="176"/>
      <c r="AG104" s="168" t="str">
        <f aca="false">A104</f>
        <v/>
      </c>
      <c r="AH104" s="202"/>
      <c r="AI104" s="207" t="n">
        <f aca="false">SUM(B104:AF104)</f>
        <v>0</v>
      </c>
      <c r="AJ104" s="33"/>
      <c r="AK104" s="192"/>
      <c r="AL104" s="216" t="n">
        <f aca="false">IF(EB.Anwendung&lt;&gt;"",IF(MONTH(Monat.Tag1)=1,0,IF(MONTH(Monat.Tag1)=2,January!Monat.P8UeVM,IF(MONTH(Monat.Tag1)=3,February!Monat.P8UeVM,IF(MONTH(Monat.Tag1)=4,March!Monat.P8UeVM,IF(MONTH(Monat.Tag1)=5,April!Monat.P8UeVM,IF(MONTH(Monat.Tag1)=6,May!Monat.P8UeVM,IF(MONTH(Monat.Tag1)=7,June!Monat.P8UeVM,IF(MONTH(Monat.Tag1)=8,July!Monat.P8UeVM,IF(MONTH(Monat.Tag1)=9,August!Monat.P8UeVM,IF(MONTH(Monat.Tag1)=10,September!Monat.P8UeVM,IF(MONTH(Monat.Tag1)=11,October!Monat.P8UeVM,IF(MONTH(Monat.Tag1)=12,November!Monat.P8UeVM,"")))))))))))),"")</f>
        <v>0</v>
      </c>
      <c r="AM104" s="172"/>
      <c r="AN104" s="217" t="n">
        <f aca="false">AI104+AL104</f>
        <v>0</v>
      </c>
      <c r="AO104" s="171"/>
      <c r="AP104" s="171"/>
      <c r="AQ104" s="39"/>
    </row>
    <row r="105" s="148" customFormat="true" ht="15" hidden="true" customHeight="true" outlineLevel="1" collapsed="false">
      <c r="A105" s="181" t="str">
        <f aca="true">IF(ROW(A105)-ROW(INDEX(Monat.Projekte.Zeilen,1))+1&gt;EB.AnzProjekte,"",OFFSET(EB.Projekte.Knoten,ROW(A105)-ROW(INDEX(Monat.Projekte.Zeilen,1))+1,0,1,1))</f>
        <v/>
      </c>
      <c r="B105" s="176"/>
      <c r="C105" s="176"/>
      <c r="D105" s="176"/>
      <c r="E105" s="177"/>
      <c r="F105" s="176"/>
      <c r="G105" s="176"/>
      <c r="H105" s="176"/>
      <c r="I105" s="176"/>
      <c r="J105" s="177"/>
      <c r="K105" s="176"/>
      <c r="L105" s="177"/>
      <c r="M105" s="176"/>
      <c r="N105" s="176"/>
      <c r="O105" s="176"/>
      <c r="P105" s="176"/>
      <c r="Q105" s="177"/>
      <c r="R105" s="176"/>
      <c r="S105" s="177"/>
      <c r="T105" s="177"/>
      <c r="U105" s="176"/>
      <c r="V105" s="176"/>
      <c r="W105" s="176"/>
      <c r="X105" s="177"/>
      <c r="Y105" s="176"/>
      <c r="Z105" s="178"/>
      <c r="AA105" s="176"/>
      <c r="AB105" s="176"/>
      <c r="AC105" s="176"/>
      <c r="AD105" s="176"/>
      <c r="AE105" s="177"/>
      <c r="AF105" s="176"/>
      <c r="AG105" s="168" t="str">
        <f aca="false">A105</f>
        <v/>
      </c>
      <c r="AH105" s="184"/>
      <c r="AI105" s="207" t="n">
        <f aca="false">SUM(B105:AF105)</f>
        <v>0</v>
      </c>
      <c r="AJ105" s="33"/>
      <c r="AK105" s="192"/>
      <c r="AL105" s="216" t="n">
        <f aca="false">IF(EB.Anwendung&lt;&gt;"",IF(MONTH(Monat.Tag1)=1,0,IF(MONTH(Monat.Tag1)=2,January!Monat.P9UeVM,IF(MONTH(Monat.Tag1)=3,February!Monat.P9UeVM,IF(MONTH(Monat.Tag1)=4,March!Monat.P9UeVM,IF(MONTH(Monat.Tag1)=5,April!Monat.P9UeVM,IF(MONTH(Monat.Tag1)=6,May!Monat.P9UeVM,IF(MONTH(Monat.Tag1)=7,June!Monat.P9UeVM,IF(MONTH(Monat.Tag1)=8,July!Monat.P9UeVM,IF(MONTH(Monat.Tag1)=9,August!Monat.P9UeVM,IF(MONTH(Monat.Tag1)=10,September!Monat.P9UeVM,IF(MONTH(Monat.Tag1)=11,October!Monat.P9UeVM,IF(MONTH(Monat.Tag1)=12,November!Monat.P9UeVM,"")))))))))))),"")</f>
        <v>0</v>
      </c>
      <c r="AM105" s="172"/>
      <c r="AN105" s="217" t="n">
        <f aca="false">AI105+AL105</f>
        <v>0</v>
      </c>
      <c r="AO105" s="171"/>
      <c r="AP105" s="171"/>
      <c r="AQ105" s="39"/>
    </row>
    <row r="106" s="148" customFormat="true" ht="15" hidden="true" customHeight="true" outlineLevel="1" collapsed="false">
      <c r="A106" s="181" t="str">
        <f aca="true">IF(ROW(A106)-ROW(INDEX(Monat.Projekte.Zeilen,1))+1&gt;EB.AnzProjekte,"",OFFSET(EB.Projekte.Knoten,ROW(A106)-ROW(INDEX(Monat.Projekte.Zeilen,1))+1,0,1,1))</f>
        <v/>
      </c>
      <c r="B106" s="176"/>
      <c r="C106" s="176"/>
      <c r="D106" s="176"/>
      <c r="E106" s="177"/>
      <c r="F106" s="176"/>
      <c r="G106" s="176"/>
      <c r="H106" s="176"/>
      <c r="I106" s="176"/>
      <c r="J106" s="177"/>
      <c r="K106" s="176"/>
      <c r="L106" s="177"/>
      <c r="M106" s="176"/>
      <c r="N106" s="176"/>
      <c r="O106" s="176"/>
      <c r="P106" s="176"/>
      <c r="Q106" s="177"/>
      <c r="R106" s="176"/>
      <c r="S106" s="177"/>
      <c r="T106" s="177"/>
      <c r="U106" s="176"/>
      <c r="V106" s="176"/>
      <c r="W106" s="176"/>
      <c r="X106" s="177"/>
      <c r="Y106" s="176"/>
      <c r="Z106" s="178"/>
      <c r="AA106" s="176"/>
      <c r="AB106" s="176"/>
      <c r="AC106" s="176"/>
      <c r="AD106" s="176"/>
      <c r="AE106" s="177"/>
      <c r="AF106" s="176"/>
      <c r="AG106" s="168" t="str">
        <f aca="false">A106</f>
        <v/>
      </c>
      <c r="AH106" s="184"/>
      <c r="AI106" s="207" t="n">
        <f aca="false">SUM(B106:AF106)</f>
        <v>0</v>
      </c>
      <c r="AJ106" s="33"/>
      <c r="AK106" s="192"/>
      <c r="AL106" s="216" t="n">
        <f aca="false">IF(EB.Anwendung&lt;&gt;"",IF(MONTH(Monat.Tag1)=1,0,IF(MONTH(Monat.Tag1)=2,January!Monat.P10UeVM,IF(MONTH(Monat.Tag1)=3,February!Monat.P10UeVM,IF(MONTH(Monat.Tag1)=4,March!Monat.P10UeVM,IF(MONTH(Monat.Tag1)=5,April!Monat.P10UeVM,IF(MONTH(Monat.Tag1)=6,May!Monat.P10UeVM,IF(MONTH(Monat.Tag1)=7,June!Monat.P10UeVM,IF(MONTH(Monat.Tag1)=8,July!Monat.P10UeVM,IF(MONTH(Monat.Tag1)=9,August!Monat.P10UeVM,IF(MONTH(Monat.Tag1)=10,September!Monat.P10UeVM,IF(MONTH(Monat.Tag1)=11,October!Monat.P10UeVM,IF(MONTH(Monat.Tag1)=12,November!Monat.P10UeVM,"")))))))))))),"")</f>
        <v>0</v>
      </c>
      <c r="AM106" s="172"/>
      <c r="AN106" s="217" t="n">
        <f aca="false">AI106+AL106</f>
        <v>0</v>
      </c>
      <c r="AO106" s="171"/>
      <c r="AP106" s="171"/>
      <c r="AQ106" s="39"/>
    </row>
    <row r="107" s="148" customFormat="true" ht="15" hidden="true" customHeight="true" outlineLevel="1" collapsed="false">
      <c r="A107" s="181" t="str">
        <f aca="true">IF(ROW(A107)-ROW(INDEX(Monat.Projekte.Zeilen,1))+1&gt;EB.AnzProjekte,"",OFFSET(EB.Projekte.Knoten,ROW(A107)-ROW(INDEX(Monat.Projekte.Zeilen,1))+1,0,1,1))</f>
        <v/>
      </c>
      <c r="B107" s="176"/>
      <c r="C107" s="176"/>
      <c r="D107" s="176"/>
      <c r="E107" s="177"/>
      <c r="F107" s="176"/>
      <c r="G107" s="176"/>
      <c r="H107" s="176"/>
      <c r="I107" s="176"/>
      <c r="J107" s="177"/>
      <c r="K107" s="176"/>
      <c r="L107" s="177"/>
      <c r="M107" s="176"/>
      <c r="N107" s="176"/>
      <c r="O107" s="176"/>
      <c r="P107" s="176"/>
      <c r="Q107" s="177"/>
      <c r="R107" s="176"/>
      <c r="S107" s="177"/>
      <c r="T107" s="177"/>
      <c r="U107" s="176"/>
      <c r="V107" s="176"/>
      <c r="W107" s="176"/>
      <c r="X107" s="177"/>
      <c r="Y107" s="176"/>
      <c r="Z107" s="178"/>
      <c r="AA107" s="176"/>
      <c r="AB107" s="176"/>
      <c r="AC107" s="176"/>
      <c r="AD107" s="176"/>
      <c r="AE107" s="177"/>
      <c r="AF107" s="176"/>
      <c r="AG107" s="168" t="str">
        <f aca="false">A107</f>
        <v/>
      </c>
      <c r="AH107" s="202"/>
      <c r="AI107" s="207" t="n">
        <f aca="false">SUM(B107:AF107)</f>
        <v>0</v>
      </c>
      <c r="AJ107" s="33"/>
      <c r="AK107" s="192"/>
      <c r="AL107" s="216" t="n">
        <f aca="false">IF(EB.Anwendung&lt;&gt;"",IF(MONTH(Monat.Tag1)=1,0,IF(MONTH(Monat.Tag1)=2,January!Monat.P11UeVM,IF(MONTH(Monat.Tag1)=3,February!Monat.P11UeVM,IF(MONTH(Monat.Tag1)=4,March!Monat.P11UeVM,IF(MONTH(Monat.Tag1)=5,April!Monat.P11UeVM,IF(MONTH(Monat.Tag1)=6,May!Monat.P11UeVM,IF(MONTH(Monat.Tag1)=7,June!Monat.P11UeVM,IF(MONTH(Monat.Tag1)=8,July!Monat.P11UeVM,IF(MONTH(Monat.Tag1)=9,August!Monat.P11UeVM,IF(MONTH(Monat.Tag1)=10,September!Monat.P11UeVM,IF(MONTH(Monat.Tag1)=11,October!Monat.P11UeVM,IF(MONTH(Monat.Tag1)=12,November!Monat.P11UeVM,"")))))))))))),"")</f>
        <v>0</v>
      </c>
      <c r="AM107" s="172"/>
      <c r="AN107" s="217" t="n">
        <f aca="false">AI107+AL107</f>
        <v>0</v>
      </c>
      <c r="AO107" s="264"/>
      <c r="AP107" s="264"/>
      <c r="AQ107" s="39"/>
    </row>
    <row r="108" s="266" customFormat="true" ht="15" hidden="true" customHeight="true" outlineLevel="1" collapsed="false">
      <c r="A108" s="181" t="str">
        <f aca="true">IF(ROW(A108)-ROW(INDEX(Monat.Projekte.Zeilen,1))+1&gt;EB.AnzProjekte,"",OFFSET(EB.Projekte.Knoten,ROW(A108)-ROW(INDEX(Monat.Projekte.Zeilen,1))+1,0,1,1))</f>
        <v/>
      </c>
      <c r="B108" s="176"/>
      <c r="C108" s="176"/>
      <c r="D108" s="176"/>
      <c r="E108" s="177"/>
      <c r="F108" s="176"/>
      <c r="G108" s="176"/>
      <c r="H108" s="176"/>
      <c r="I108" s="176"/>
      <c r="J108" s="177"/>
      <c r="K108" s="176"/>
      <c r="L108" s="177"/>
      <c r="M108" s="176"/>
      <c r="N108" s="176"/>
      <c r="O108" s="176"/>
      <c r="P108" s="176"/>
      <c r="Q108" s="177"/>
      <c r="R108" s="176"/>
      <c r="S108" s="177"/>
      <c r="T108" s="177"/>
      <c r="U108" s="176"/>
      <c r="V108" s="176"/>
      <c r="W108" s="176"/>
      <c r="X108" s="177"/>
      <c r="Y108" s="176"/>
      <c r="Z108" s="178"/>
      <c r="AA108" s="176"/>
      <c r="AB108" s="176"/>
      <c r="AC108" s="176"/>
      <c r="AD108" s="176"/>
      <c r="AE108" s="177"/>
      <c r="AF108" s="176"/>
      <c r="AG108" s="168" t="str">
        <f aca="false">A108</f>
        <v/>
      </c>
      <c r="AH108" s="202"/>
      <c r="AI108" s="207" t="n">
        <f aca="false">SUM(B108:AF108)</f>
        <v>0</v>
      </c>
      <c r="AJ108" s="33"/>
      <c r="AK108" s="192"/>
      <c r="AL108" s="216" t="n">
        <f aca="false">IF(EB.Anwendung&lt;&gt;"",IF(MONTH(Monat.Tag1)=1,0,IF(MONTH(Monat.Tag1)=2,January!Monat.P12UeVM,IF(MONTH(Monat.Tag1)=3,February!Monat.P12UeVM,IF(MONTH(Monat.Tag1)=4,March!Monat.P12UeVM,IF(MONTH(Monat.Tag1)=5,April!Monat.P12UeVM,IF(MONTH(Monat.Tag1)=6,May!Monat.P12UeVM,IF(MONTH(Monat.Tag1)=7,June!Monat.P12UeVM,IF(MONTH(Monat.Tag1)=8,July!Monat.P12UeVM,IF(MONTH(Monat.Tag1)=9,August!Monat.P12UeVM,IF(MONTH(Monat.Tag1)=10,September!Monat.P12UeVM,IF(MONTH(Monat.Tag1)=11,October!Monat.P12UeVM,IF(MONTH(Monat.Tag1)=12,November!Monat.P12UeVM,"")))))))))))),"")</f>
        <v>0</v>
      </c>
      <c r="AM108" s="172"/>
      <c r="AN108" s="217" t="n">
        <f aca="false">AI108+AL108</f>
        <v>0</v>
      </c>
      <c r="AO108" s="264"/>
      <c r="AP108" s="264"/>
      <c r="AQ108" s="265"/>
    </row>
    <row r="109" s="266" customFormat="true" ht="15" hidden="true" customHeight="true" outlineLevel="1" collapsed="false">
      <c r="A109" s="181" t="str">
        <f aca="true">IF(ROW(A109)-ROW(INDEX(Monat.Projekte.Zeilen,1))+1&gt;EB.AnzProjekte,"",OFFSET(EB.Projekte.Knoten,ROW(A109)-ROW(INDEX(Monat.Projekte.Zeilen,1))+1,0,1,1))</f>
        <v/>
      </c>
      <c r="B109" s="176"/>
      <c r="C109" s="176"/>
      <c r="D109" s="176"/>
      <c r="E109" s="177"/>
      <c r="F109" s="176"/>
      <c r="G109" s="176"/>
      <c r="H109" s="176"/>
      <c r="I109" s="176"/>
      <c r="J109" s="177"/>
      <c r="K109" s="176"/>
      <c r="L109" s="177"/>
      <c r="M109" s="176"/>
      <c r="N109" s="176"/>
      <c r="O109" s="176"/>
      <c r="P109" s="176"/>
      <c r="Q109" s="177"/>
      <c r="R109" s="176"/>
      <c r="S109" s="177"/>
      <c r="T109" s="177"/>
      <c r="U109" s="176"/>
      <c r="V109" s="176"/>
      <c r="W109" s="176"/>
      <c r="X109" s="177"/>
      <c r="Y109" s="176"/>
      <c r="Z109" s="178"/>
      <c r="AA109" s="176"/>
      <c r="AB109" s="176"/>
      <c r="AC109" s="176"/>
      <c r="AD109" s="176"/>
      <c r="AE109" s="177"/>
      <c r="AF109" s="176"/>
      <c r="AG109" s="168" t="str">
        <f aca="false">A109</f>
        <v/>
      </c>
      <c r="AH109" s="184"/>
      <c r="AI109" s="207" t="n">
        <f aca="false">SUM(B109:AF109)</f>
        <v>0</v>
      </c>
      <c r="AJ109" s="33"/>
      <c r="AK109" s="192"/>
      <c r="AL109" s="216" t="n">
        <f aca="false">IF(EB.Anwendung&lt;&gt;"",IF(MONTH(Monat.Tag1)=1,0,IF(MONTH(Monat.Tag1)=2,January!Monat.P13UeVM,IF(MONTH(Monat.Tag1)=3,February!Monat.P13UeVM,IF(MONTH(Monat.Tag1)=4,March!Monat.P13UeVM,IF(MONTH(Monat.Tag1)=5,April!Monat.P13UeVM,IF(MONTH(Monat.Tag1)=6,May!Monat.P13UeVM,IF(MONTH(Monat.Tag1)=7,June!Monat.P13UeVM,IF(MONTH(Monat.Tag1)=8,July!Monat.P13UeVM,IF(MONTH(Monat.Tag1)=9,August!Monat.P13UeVM,IF(MONTH(Monat.Tag1)=10,September!Monat.P13UeVM,IF(MONTH(Monat.Tag1)=11,October!Monat.P13UeVM,IF(MONTH(Monat.Tag1)=12,November!Monat.P13UeVM,"")))))))))))),"")</f>
        <v>0</v>
      </c>
      <c r="AM109" s="172"/>
      <c r="AN109" s="217" t="n">
        <f aca="false">AI109+AL109</f>
        <v>0</v>
      </c>
      <c r="AO109" s="264"/>
      <c r="AP109" s="264"/>
      <c r="AQ109" s="265"/>
    </row>
    <row r="110" customFormat="false" ht="15" hidden="true" customHeight="true" outlineLevel="1" collapsed="false">
      <c r="A110" s="181" t="str">
        <f aca="true">IF(ROW(A110)-ROW(INDEX(Monat.Projekte.Zeilen,1))+1&gt;EB.AnzProjekte,"",OFFSET(EB.Projekte.Knoten,ROW(A110)-ROW(INDEX(Monat.Projekte.Zeilen,1))+1,0,1,1))</f>
        <v/>
      </c>
      <c r="B110" s="176"/>
      <c r="C110" s="176"/>
      <c r="D110" s="176"/>
      <c r="E110" s="177"/>
      <c r="F110" s="176"/>
      <c r="G110" s="176"/>
      <c r="H110" s="176"/>
      <c r="I110" s="176"/>
      <c r="J110" s="177"/>
      <c r="K110" s="176"/>
      <c r="L110" s="177"/>
      <c r="M110" s="176"/>
      <c r="N110" s="176"/>
      <c r="O110" s="176"/>
      <c r="P110" s="176"/>
      <c r="Q110" s="177"/>
      <c r="R110" s="176"/>
      <c r="S110" s="177"/>
      <c r="T110" s="177"/>
      <c r="U110" s="176"/>
      <c r="V110" s="176"/>
      <c r="W110" s="176"/>
      <c r="X110" s="177"/>
      <c r="Y110" s="176"/>
      <c r="Z110" s="178"/>
      <c r="AA110" s="176"/>
      <c r="AB110" s="176"/>
      <c r="AC110" s="176"/>
      <c r="AD110" s="176"/>
      <c r="AE110" s="177"/>
      <c r="AF110" s="176"/>
      <c r="AG110" s="168" t="str">
        <f aca="false">A110</f>
        <v/>
      </c>
      <c r="AH110" s="184"/>
      <c r="AI110" s="207" t="n">
        <f aca="false">SUM(B110:AF110)</f>
        <v>0</v>
      </c>
      <c r="AJ110" s="33"/>
      <c r="AK110" s="192"/>
      <c r="AL110" s="216" t="n">
        <f aca="false">IF(EB.Anwendung&lt;&gt;"",IF(MONTH(Monat.Tag1)=1,0,IF(MONTH(Monat.Tag1)=2,January!Monat.P14UeVM,IF(MONTH(Monat.Tag1)=3,February!Monat.P14UeVM,IF(MONTH(Monat.Tag1)=4,March!Monat.P14UeVM,IF(MONTH(Monat.Tag1)=5,April!Monat.P14UeVM,IF(MONTH(Monat.Tag1)=6,May!Monat.P14UeVM,IF(MONTH(Monat.Tag1)=7,June!Monat.P14UeVM,IF(MONTH(Monat.Tag1)=8,July!Monat.P14UeVM,IF(MONTH(Monat.Tag1)=9,August!Monat.P14UeVM,IF(MONTH(Monat.Tag1)=10,September!Monat.P14UeVM,IF(MONTH(Monat.Tag1)=11,October!Monat.P14UeVM,IF(MONTH(Monat.Tag1)=12,November!Monat.P14UeVM,"")))))))))))),"")</f>
        <v>0</v>
      </c>
      <c r="AM110" s="172"/>
      <c r="AN110" s="217" t="n">
        <f aca="false">AI110+AL110</f>
        <v>0</v>
      </c>
      <c r="AO110" s="264"/>
      <c r="AP110" s="264"/>
      <c r="AQ110" s="43"/>
    </row>
    <row r="111" customFormat="false" ht="15" hidden="true" customHeight="true" outlineLevel="1" collapsed="false">
      <c r="A111" s="181" t="str">
        <f aca="true">IF(ROW(A111)-ROW(INDEX(Monat.Projekte.Zeilen,1))+1&gt;EB.AnzProjekte,"",OFFSET(EB.Projekte.Knoten,ROW(A111)-ROW(INDEX(Monat.Projekte.Zeilen,1))+1,0,1,1))</f>
        <v/>
      </c>
      <c r="B111" s="176"/>
      <c r="C111" s="176"/>
      <c r="D111" s="176"/>
      <c r="E111" s="176"/>
      <c r="F111" s="176"/>
      <c r="G111" s="176"/>
      <c r="H111" s="176"/>
      <c r="I111" s="176"/>
      <c r="J111" s="176"/>
      <c r="K111" s="176"/>
      <c r="L111" s="176"/>
      <c r="M111" s="176"/>
      <c r="N111" s="176"/>
      <c r="O111" s="176"/>
      <c r="P111" s="176"/>
      <c r="Q111" s="176"/>
      <c r="R111" s="176"/>
      <c r="S111" s="176"/>
      <c r="T111" s="176"/>
      <c r="U111" s="176"/>
      <c r="V111" s="176"/>
      <c r="W111" s="176"/>
      <c r="X111" s="176"/>
      <c r="Y111" s="176"/>
      <c r="Z111" s="190"/>
      <c r="AA111" s="176"/>
      <c r="AB111" s="176"/>
      <c r="AC111" s="176"/>
      <c r="AD111" s="176"/>
      <c r="AE111" s="176"/>
      <c r="AF111" s="176"/>
      <c r="AG111" s="168" t="str">
        <f aca="false">A111</f>
        <v/>
      </c>
      <c r="AH111" s="184"/>
      <c r="AI111" s="207" t="n">
        <f aca="false">SUM(B111:AF111)</f>
        <v>0</v>
      </c>
      <c r="AJ111" s="33"/>
      <c r="AK111" s="192"/>
      <c r="AL111" s="216" t="n">
        <f aca="false">IF(EB.Anwendung&lt;&gt;"",IF(MONTH(Monat.Tag1)=1,0,IF(MONTH(Monat.Tag1)=2,January!Monat.P15UeVM,IF(MONTH(Monat.Tag1)=3,February!Monat.P15UeVM,IF(MONTH(Monat.Tag1)=4,March!Monat.P15UeVM,IF(MONTH(Monat.Tag1)=5,April!Monat.P15UeVM,IF(MONTH(Monat.Tag1)=6,May!Monat.P15UeVM,IF(MONTH(Monat.Tag1)=7,June!Monat.P15UeVM,IF(MONTH(Monat.Tag1)=8,July!Monat.P15UeVM,IF(MONTH(Monat.Tag1)=9,August!Monat.P15UeVM,IF(MONTH(Monat.Tag1)=10,September!Monat.P15UeVM,IF(MONTH(Monat.Tag1)=11,October!Monat.P15UeVM,IF(MONTH(Monat.Tag1)=12,November!Monat.P15UeVM,"")))))))))))),"")</f>
        <v>0</v>
      </c>
      <c r="AM111" s="172"/>
      <c r="AN111" s="217" t="n">
        <f aca="false">AI111+AL111</f>
        <v>0</v>
      </c>
      <c r="AO111" s="264"/>
      <c r="AP111" s="264"/>
      <c r="AQ111" s="43"/>
    </row>
    <row r="112" customFormat="false" ht="15" hidden="false" customHeight="true" outlineLevel="0" collapsed="false">
      <c r="A112" s="181" t="s">
        <v>177</v>
      </c>
      <c r="B112" s="205" t="n">
        <f aca="false">SUM(B97:B111)</f>
        <v>0</v>
      </c>
      <c r="C112" s="205" t="n">
        <f aca="false">SUM(C97:C111)</f>
        <v>0</v>
      </c>
      <c r="D112" s="205" t="n">
        <f aca="false">SUM(D97:D111)</f>
        <v>0</v>
      </c>
      <c r="E112" s="205" t="n">
        <f aca="false">SUM(E97:E111)</f>
        <v>0</v>
      </c>
      <c r="F112" s="205" t="n">
        <f aca="false">SUM(F97:F111)</f>
        <v>0</v>
      </c>
      <c r="G112" s="205" t="n">
        <f aca="false">SUM(G97:G111)</f>
        <v>0</v>
      </c>
      <c r="H112" s="205" t="n">
        <f aca="false">SUM(H97:H111)</f>
        <v>0</v>
      </c>
      <c r="I112" s="205" t="n">
        <f aca="false">SUM(I97:I111)</f>
        <v>0</v>
      </c>
      <c r="J112" s="205" t="n">
        <f aca="false">SUM(J97:J111)</f>
        <v>0</v>
      </c>
      <c r="K112" s="205" t="n">
        <f aca="false">SUM(K97:K111)</f>
        <v>0</v>
      </c>
      <c r="L112" s="205" t="n">
        <f aca="false">SUM(L97:L111)</f>
        <v>0</v>
      </c>
      <c r="M112" s="205" t="n">
        <f aca="false">SUM(M97:M111)</f>
        <v>0</v>
      </c>
      <c r="N112" s="205" t="n">
        <f aca="false">SUM(N97:N111)</f>
        <v>0</v>
      </c>
      <c r="O112" s="205" t="n">
        <f aca="false">SUM(O97:O111)</f>
        <v>0</v>
      </c>
      <c r="P112" s="205" t="n">
        <f aca="false">SUM(P97:P111)</f>
        <v>0</v>
      </c>
      <c r="Q112" s="205" t="n">
        <f aca="false">SUM(Q97:Q111)</f>
        <v>0</v>
      </c>
      <c r="R112" s="205" t="n">
        <f aca="false">SUM(R97:R111)</f>
        <v>0</v>
      </c>
      <c r="S112" s="205" t="n">
        <f aca="false">SUM(S97:S111)</f>
        <v>0</v>
      </c>
      <c r="T112" s="205" t="n">
        <f aca="false">SUM(T97:T111)</f>
        <v>0</v>
      </c>
      <c r="U112" s="205" t="n">
        <f aca="false">SUM(U97:U111)</f>
        <v>0</v>
      </c>
      <c r="V112" s="205" t="n">
        <f aca="false">SUM(V97:V111)</f>
        <v>0</v>
      </c>
      <c r="W112" s="205" t="n">
        <f aca="false">SUM(W97:W111)</f>
        <v>0</v>
      </c>
      <c r="X112" s="205" t="n">
        <f aca="false">SUM(X97:X111)</f>
        <v>0</v>
      </c>
      <c r="Y112" s="205" t="n">
        <f aca="false">SUM(Y97:Y111)</f>
        <v>0</v>
      </c>
      <c r="Z112" s="205" t="n">
        <f aca="false">SUM(Z97:Z111)</f>
        <v>0</v>
      </c>
      <c r="AA112" s="205" t="n">
        <f aca="false">SUM(AA97:AA111)</f>
        <v>0</v>
      </c>
      <c r="AB112" s="205" t="n">
        <f aca="false">SUM(AB97:AB111)</f>
        <v>0</v>
      </c>
      <c r="AC112" s="205" t="n">
        <f aca="false">SUM(AC97:AC111)</f>
        <v>0</v>
      </c>
      <c r="AD112" s="205" t="n">
        <f aca="false">SUM(AD97:AD111)</f>
        <v>0</v>
      </c>
      <c r="AE112" s="205" t="n">
        <f aca="false">SUM(AE97:AE111)</f>
        <v>0</v>
      </c>
      <c r="AF112" s="205" t="n">
        <f aca="false">SUM(AF97:AF111)</f>
        <v>0</v>
      </c>
      <c r="AG112" s="183" t="str">
        <f aca="false">A112</f>
        <v>Hours worked for projects</v>
      </c>
      <c r="AH112" s="184"/>
      <c r="AI112" s="207" t="n">
        <f aca="false">SUM(B112:AF112)</f>
        <v>0</v>
      </c>
      <c r="AJ112" s="33"/>
      <c r="AK112" s="192"/>
      <c r="AL112" s="216" t="n">
        <f aca="false">IF(EB.Anwendung&lt;&gt;"",IF(MONTH(Monat.Tag1)=1,0,IF(MONTH(Monat.Tag1)=2,January!Monat.PTotalUeVM,IF(MONTH(Monat.Tag1)=3,February!Monat.PTotalUeVM,IF(MONTH(Monat.Tag1)=4,March!Monat.PTotalUeVM,IF(MONTH(Monat.Tag1)=5,April!Monat.PTotalUeVM,IF(MONTH(Monat.Tag1)=6,May!Monat.PTotalUeVM,IF(MONTH(Monat.Tag1)=7,June!Monat.PTotalUeVM,IF(MONTH(Monat.Tag1)=8,July!Monat.PTotalUeVM,IF(MONTH(Monat.Tag1)=9,August!Monat.PTotalUeVM,IF(MONTH(Monat.Tag1)=10,September!Monat.PTotalUeVM,IF(MONTH(Monat.Tag1)=11,October!Monat.PTotalUeVM,IF(MONTH(Monat.Tag1)=12,November!Monat.PTotalUeVM,"")))))))))))),"")</f>
        <v>0</v>
      </c>
      <c r="AM112" s="172"/>
      <c r="AN112" s="217" t="n">
        <f aca="false">AI112+AL112</f>
        <v>0</v>
      </c>
      <c r="AO112" s="267"/>
      <c r="AP112" s="267"/>
      <c r="AQ112" s="43"/>
    </row>
    <row r="113" s="148" customFormat="true" ht="11.25" hidden="false" customHeight="true" outlineLevel="0" collapsed="false">
      <c r="A113" s="268"/>
      <c r="B113" s="194"/>
      <c r="C113" s="194"/>
      <c r="D113" s="194"/>
      <c r="E113" s="194"/>
      <c r="F113" s="194"/>
      <c r="G113" s="194"/>
      <c r="H113" s="194"/>
      <c r="I113" s="194"/>
      <c r="J113" s="194"/>
      <c r="K113" s="194"/>
      <c r="L113" s="194"/>
      <c r="M113" s="194"/>
      <c r="N113" s="194"/>
      <c r="O113" s="194"/>
      <c r="P113" s="194"/>
      <c r="Q113" s="194"/>
      <c r="R113" s="194"/>
      <c r="S113" s="194"/>
      <c r="T113" s="194"/>
      <c r="U113" s="194"/>
      <c r="V113" s="194"/>
      <c r="W113" s="194"/>
      <c r="X113" s="194"/>
      <c r="Y113" s="194"/>
      <c r="Z113" s="194"/>
      <c r="AA113" s="194"/>
      <c r="AB113" s="194"/>
      <c r="AC113" s="194"/>
      <c r="AD113" s="194"/>
      <c r="AE113" s="194"/>
      <c r="AF113" s="194"/>
      <c r="AG113" s="269"/>
      <c r="AH113" s="263"/>
      <c r="AI113" s="194"/>
      <c r="AJ113" s="16"/>
      <c r="AK113" s="194"/>
      <c r="AL113" s="194"/>
      <c r="AM113" s="194"/>
      <c r="AN113" s="50"/>
      <c r="AO113" s="194"/>
      <c r="AP113" s="194"/>
      <c r="AQ113" s="39"/>
    </row>
    <row r="114" s="148" customFormat="true" ht="15" hidden="true" customHeight="true" outlineLevel="1" collapsed="false">
      <c r="A114" s="181" t="s">
        <v>178</v>
      </c>
      <c r="B114" s="213" t="n">
        <f aca="false">ROUND((B23+B45+B91)-SUMPRODUCT((B97:B111)*(EB.Projektart.Bereich=6)),9)</f>
        <v>0</v>
      </c>
      <c r="C114" s="213" t="n">
        <f aca="false">ROUND((C23+C45+C91)-SUMPRODUCT((C97:C111)*(EB.Projektart.Bereich=6)),9)</f>
        <v>0</v>
      </c>
      <c r="D114" s="213" t="n">
        <f aca="false">ROUND((D23+D45+D91)-SUMPRODUCT((D97:D111)*(EB.Projektart.Bereich=6)),9)</f>
        <v>0</v>
      </c>
      <c r="E114" s="213" t="n">
        <f aca="false">ROUND((E23+E45+E91)-SUMPRODUCT((E97:E111)*(EB.Projektart.Bereich=6)),9)</f>
        <v>0</v>
      </c>
      <c r="F114" s="213" t="n">
        <f aca="false">ROUND((F23+F45+F91)-SUMPRODUCT((F97:F111)*(EB.Projektart.Bereich=6)),9)</f>
        <v>0</v>
      </c>
      <c r="G114" s="213" t="n">
        <f aca="false">ROUND((G23+G45+G91)-SUMPRODUCT((G97:G111)*(EB.Projektart.Bereich=6)),9)</f>
        <v>0</v>
      </c>
      <c r="H114" s="213" t="n">
        <f aca="false">ROUND((H23+H45+H91)-SUMPRODUCT((H97:H111)*(EB.Projektart.Bereich=6)),9)</f>
        <v>0</v>
      </c>
      <c r="I114" s="213" t="n">
        <f aca="false">ROUND((I23+I45+I91)-SUMPRODUCT((I97:I111)*(EB.Projektart.Bereich=6)),9)</f>
        <v>0</v>
      </c>
      <c r="J114" s="213" t="n">
        <f aca="false">ROUND((J23+J45+J91)-SUMPRODUCT((J97:J111)*(EB.Projektart.Bereich=6)),9)</f>
        <v>0</v>
      </c>
      <c r="K114" s="213" t="n">
        <f aca="false">ROUND((K23+K45+K91)-SUMPRODUCT((K97:K111)*(EB.Projektart.Bereich=6)),9)</f>
        <v>0</v>
      </c>
      <c r="L114" s="213" t="n">
        <f aca="false">ROUND((L23+L45+L91)-SUMPRODUCT((L97:L111)*(EB.Projektart.Bereich=6)),9)</f>
        <v>0</v>
      </c>
      <c r="M114" s="213" t="n">
        <f aca="false">ROUND((M23+M45+M91)-SUMPRODUCT((M97:M111)*(EB.Projektart.Bereich=6)),9)</f>
        <v>0</v>
      </c>
      <c r="N114" s="213" t="n">
        <f aca="false">ROUND((N23+N45+N91)-SUMPRODUCT((N97:N111)*(EB.Projektart.Bereich=6)),9)</f>
        <v>0</v>
      </c>
      <c r="O114" s="213" t="n">
        <f aca="false">ROUND((O23+O45+O91)-SUMPRODUCT((O97:O111)*(EB.Projektart.Bereich=6)),9)</f>
        <v>0</v>
      </c>
      <c r="P114" s="213" t="n">
        <f aca="false">ROUND((P23+P45+P91)-SUMPRODUCT((P97:P111)*(EB.Projektart.Bereich=6)),9)</f>
        <v>0</v>
      </c>
      <c r="Q114" s="213" t="n">
        <f aca="false">ROUND((Q23+Q45+Q91)-SUMPRODUCT((Q97:Q111)*(EB.Projektart.Bereich=6)),9)</f>
        <v>0</v>
      </c>
      <c r="R114" s="213" t="n">
        <f aca="false">ROUND((R23+R45+R91)-SUMPRODUCT((R97:R111)*(EB.Projektart.Bereich=6)),9)</f>
        <v>0</v>
      </c>
      <c r="S114" s="213" t="n">
        <f aca="false">ROUND((S23+S45+S91)-SUMPRODUCT((S97:S111)*(EB.Projektart.Bereich=6)),9)</f>
        <v>0</v>
      </c>
      <c r="T114" s="213" t="n">
        <f aca="false">ROUND((T23+T45+T91)-SUMPRODUCT((T97:T111)*(EB.Projektart.Bereich=6)),9)</f>
        <v>0</v>
      </c>
      <c r="U114" s="213" t="n">
        <f aca="false">ROUND((U23+U45+U91)-SUMPRODUCT((U97:U111)*(EB.Projektart.Bereich=6)),9)</f>
        <v>0</v>
      </c>
      <c r="V114" s="213" t="n">
        <f aca="false">ROUND((V23+V45+V91)-SUMPRODUCT((V97:V111)*(EB.Projektart.Bereich=6)),9)</f>
        <v>0</v>
      </c>
      <c r="W114" s="213" t="n">
        <f aca="false">ROUND((W23+W45+W91)-SUMPRODUCT((W97:W111)*(EB.Projektart.Bereich=6)),9)</f>
        <v>0</v>
      </c>
      <c r="X114" s="213" t="n">
        <f aca="false">ROUND((X23+X45+X91)-SUMPRODUCT((X97:X111)*(EB.Projektart.Bereich=6)),9)</f>
        <v>0</v>
      </c>
      <c r="Y114" s="213" t="n">
        <f aca="false">ROUND((Y23+Y45+Y91)-SUMPRODUCT((Y97:Y111)*(EB.Projektart.Bereich=6)),9)</f>
        <v>0</v>
      </c>
      <c r="Z114" s="213" t="n">
        <f aca="false">ROUND((Z23+Z45+Z91)-SUMPRODUCT((Z97:Z111)*(EB.Projektart.Bereich=6)),9)</f>
        <v>0</v>
      </c>
      <c r="AA114" s="213" t="n">
        <f aca="false">ROUND((AA23+AA45+AA91)-SUMPRODUCT((AA97:AA111)*(EB.Projektart.Bereich=6)),9)</f>
        <v>0</v>
      </c>
      <c r="AB114" s="213" t="n">
        <f aca="false">ROUND((AB23+AB45+AB91)-SUMPRODUCT((AB97:AB111)*(EB.Projektart.Bereich=6)),9)</f>
        <v>0</v>
      </c>
      <c r="AC114" s="213" t="n">
        <f aca="false">ROUND((AC23+AC45+AC91)-SUMPRODUCT((AC97:AC111)*(EB.Projektart.Bereich=6)),9)</f>
        <v>0</v>
      </c>
      <c r="AD114" s="213" t="n">
        <f aca="false">ROUND((AD23+AD45+AD91)-SUMPRODUCT((AD97:AD111)*(EB.Projektart.Bereich=6)),9)</f>
        <v>0</v>
      </c>
      <c r="AE114" s="213" t="n">
        <f aca="false">ROUND((AE23+AE45+AE91)-SUMPRODUCT((AE97:AE111)*(EB.Projektart.Bereich=6)),9)</f>
        <v>0</v>
      </c>
      <c r="AF114" s="213" t="n">
        <f aca="false">ROUND((AF23+AF45+AF91)-SUMPRODUCT((AF97:AF111)*(EB.Projektart.Bereich=6)),9)</f>
        <v>0</v>
      </c>
      <c r="AG114" s="183" t="str">
        <f aca="false">A114</f>
        <v>Difference WH-Project type 6</v>
      </c>
      <c r="AH114" s="197"/>
      <c r="AI114" s="207" t="n">
        <f aca="false">SUM(B114:AF114)</f>
        <v>0</v>
      </c>
      <c r="AJ114" s="33"/>
      <c r="AK114" s="235"/>
      <c r="AL114" s="216" t="n">
        <f aca="false">IF(EB.Anwendung&lt;&gt;"",IF(MONTH(Monat.Tag1)=1,0,IF(MONTH(Monat.Tag1)=2,January!Monat.PDiffUeVM,IF(MONTH(Monat.Tag1)=3,February!Monat.PDiffUeVM,IF(MONTH(Monat.Tag1)=4,March!Monat.PDiffUeVM,IF(MONTH(Monat.Tag1)=5,April!Monat.PDiffUeVM,IF(MONTH(Monat.Tag1)=6,May!Monat.PDiffUeVM,IF(MONTH(Monat.Tag1)=7,June!Monat.PDiffUeVM,IF(MONTH(Monat.Tag1)=8,July!Monat.PDiffUeVM,IF(MONTH(Monat.Tag1)=9,August!Monat.PDiffUeVM,IF(MONTH(Monat.Tag1)=10,September!Monat.PDiffUeVM,IF(MONTH(Monat.Tag1)=11,October!Monat.PDiffUeVM,IF(MONTH(Monat.Tag1)=12,November!Monat.PDiffUeVM,"")))))))))))),"")</f>
        <v>10.506944445</v>
      </c>
      <c r="AM114" s="235"/>
      <c r="AN114" s="217" t="n">
        <f aca="false">AI114+AL114</f>
        <v>10.506944445</v>
      </c>
      <c r="AO114" s="235"/>
      <c r="AP114" s="235"/>
      <c r="AQ114" s="39"/>
    </row>
    <row r="115" customFormat="false" ht="11.25" hidden="true" customHeight="true" outlineLevel="1" collapsed="false">
      <c r="A115" s="43"/>
      <c r="B115" s="270"/>
      <c r="C115" s="270"/>
      <c r="D115" s="270"/>
      <c r="E115" s="270"/>
      <c r="F115" s="270"/>
      <c r="G115" s="270"/>
      <c r="H115" s="270"/>
      <c r="I115" s="270"/>
      <c r="J115" s="271"/>
      <c r="K115" s="270"/>
      <c r="L115" s="270"/>
      <c r="M115" s="270"/>
      <c r="N115" s="270"/>
      <c r="O115" s="270"/>
      <c r="P115" s="270"/>
      <c r="Q115" s="270"/>
      <c r="R115" s="270"/>
      <c r="S115" s="270"/>
      <c r="T115" s="270"/>
      <c r="U115" s="270"/>
      <c r="V115" s="270"/>
      <c r="W115" s="270"/>
      <c r="X115" s="270"/>
      <c r="Y115" s="270"/>
      <c r="Z115" s="270"/>
      <c r="AA115" s="270"/>
      <c r="AB115" s="270"/>
      <c r="AC115" s="270"/>
      <c r="AD115" s="270"/>
      <c r="AE115" s="270"/>
      <c r="AF115" s="270"/>
      <c r="AG115" s="272"/>
      <c r="AH115" s="273"/>
      <c r="AI115" s="43"/>
      <c r="AJ115" s="43"/>
      <c r="AK115" s="43"/>
      <c r="AL115" s="43"/>
      <c r="AM115" s="43"/>
      <c r="AN115" s="274"/>
      <c r="AO115" s="43"/>
      <c r="AP115" s="43"/>
      <c r="AQ115" s="43"/>
    </row>
    <row r="116" customFormat="false" ht="11.25" hidden="false" customHeight="true" outlineLevel="0" collapsed="false">
      <c r="A116" s="43"/>
      <c r="B116" s="270"/>
      <c r="C116" s="270"/>
      <c r="D116" s="270"/>
      <c r="E116" s="270"/>
      <c r="F116" s="270"/>
      <c r="G116" s="270"/>
      <c r="H116" s="270"/>
      <c r="I116" s="270"/>
      <c r="J116" s="270"/>
      <c r="K116" s="270"/>
      <c r="L116" s="270"/>
      <c r="M116" s="270"/>
      <c r="N116" s="270"/>
      <c r="O116" s="270"/>
      <c r="P116" s="270"/>
      <c r="Q116" s="270"/>
      <c r="R116" s="270"/>
      <c r="S116" s="270"/>
      <c r="T116" s="270"/>
      <c r="U116" s="270"/>
      <c r="V116" s="270"/>
      <c r="W116" s="270"/>
      <c r="X116" s="270"/>
      <c r="Y116" s="270"/>
      <c r="Z116" s="270"/>
      <c r="AA116" s="270"/>
      <c r="AB116" s="270"/>
      <c r="AC116" s="270"/>
      <c r="AD116" s="270"/>
      <c r="AE116" s="270"/>
      <c r="AF116" s="270"/>
      <c r="AG116" s="272"/>
      <c r="AH116" s="273"/>
      <c r="AI116" s="43"/>
      <c r="AJ116" s="43"/>
      <c r="AK116" s="43"/>
      <c r="AL116" s="43"/>
      <c r="AM116" s="43"/>
      <c r="AN116" s="274"/>
      <c r="AO116" s="43"/>
      <c r="AP116" s="43"/>
      <c r="AQ116" s="43"/>
    </row>
    <row r="117" customFormat="false" ht="12" hidden="false" customHeight="true" outlineLevel="0" collapsed="false">
      <c r="A117" s="43"/>
      <c r="B117" s="275" t="s">
        <v>179</v>
      </c>
      <c r="C117" s="275"/>
      <c r="D117" s="275"/>
      <c r="E117" s="275"/>
      <c r="F117" s="275"/>
      <c r="G117" s="275"/>
      <c r="H117" s="275"/>
      <c r="I117" s="275"/>
      <c r="J117" s="275"/>
      <c r="K117" s="275"/>
      <c r="L117" s="275"/>
      <c r="M117" s="275"/>
      <c r="N117" s="275"/>
      <c r="O117" s="275"/>
      <c r="P117" s="275"/>
      <c r="Q117" s="275"/>
      <c r="R117" s="276"/>
      <c r="S117" s="276"/>
      <c r="T117" s="276"/>
      <c r="U117" s="276"/>
      <c r="V117" s="276"/>
      <c r="W117" s="276"/>
      <c r="X117" s="276"/>
      <c r="Y117" s="276"/>
      <c r="Z117" s="276"/>
      <c r="AA117" s="276"/>
      <c r="AB117" s="276"/>
      <c r="AC117" s="276"/>
      <c r="AD117" s="276"/>
      <c r="AE117" s="276"/>
      <c r="AF117" s="276"/>
      <c r="AG117" s="277"/>
      <c r="AH117" s="278"/>
      <c r="AI117" s="276"/>
      <c r="AJ117" s="276"/>
      <c r="AK117" s="276"/>
      <c r="AL117" s="276"/>
      <c r="AM117" s="276"/>
      <c r="AN117" s="279"/>
      <c r="AO117" s="265"/>
      <c r="AP117" s="265"/>
      <c r="AQ117" s="43"/>
    </row>
    <row r="118" customFormat="false" ht="11.25" hidden="false" customHeight="true" outlineLevel="0" collapsed="false">
      <c r="A118" s="280"/>
      <c r="B118" s="280"/>
      <c r="C118" s="280"/>
      <c r="D118" s="280"/>
      <c r="E118" s="280"/>
      <c r="F118" s="280"/>
      <c r="G118" s="280"/>
      <c r="H118" s="280"/>
      <c r="I118" s="280"/>
      <c r="J118" s="280"/>
      <c r="K118" s="280"/>
      <c r="L118" s="280"/>
      <c r="M118" s="276"/>
      <c r="N118" s="276"/>
      <c r="O118" s="276"/>
      <c r="P118" s="276"/>
      <c r="Q118" s="276"/>
      <c r="R118" s="276"/>
      <c r="S118" s="276"/>
      <c r="T118" s="276"/>
      <c r="U118" s="276"/>
      <c r="V118" s="276"/>
      <c r="W118" s="276"/>
      <c r="X118" s="276"/>
      <c r="Y118" s="276"/>
      <c r="Z118" s="276"/>
      <c r="AA118" s="276"/>
      <c r="AB118" s="276"/>
      <c r="AC118" s="276"/>
      <c r="AD118" s="276"/>
      <c r="AE118" s="276"/>
      <c r="AF118" s="276"/>
      <c r="AG118" s="276"/>
      <c r="AH118" s="276"/>
      <c r="AI118" s="276"/>
      <c r="AJ118" s="276"/>
      <c r="AK118" s="276"/>
      <c r="AL118" s="276"/>
      <c r="AM118" s="276"/>
      <c r="AN118" s="276"/>
      <c r="AO118" s="276"/>
      <c r="AP118" s="276"/>
      <c r="AQ118" s="43"/>
    </row>
    <row r="119" customFormat="false" ht="39" hidden="false" customHeight="true" outlineLevel="0" collapsed="false">
      <c r="A119" s="55" t="s">
        <v>180</v>
      </c>
      <c r="B119" s="281"/>
      <c r="C119" s="281"/>
      <c r="D119" s="281"/>
      <c r="E119" s="281"/>
      <c r="F119" s="281"/>
      <c r="G119" s="281"/>
      <c r="H119" s="281"/>
      <c r="I119" s="281"/>
      <c r="J119" s="281"/>
      <c r="K119" s="281"/>
      <c r="L119" s="281"/>
      <c r="M119" s="281"/>
      <c r="N119" s="281"/>
      <c r="O119" s="281"/>
      <c r="P119" s="281"/>
      <c r="Q119" s="281"/>
      <c r="R119" s="276"/>
      <c r="S119" s="276"/>
      <c r="T119" s="276"/>
      <c r="U119" s="276"/>
      <c r="V119" s="276"/>
      <c r="W119" s="276"/>
      <c r="X119" s="276"/>
      <c r="Y119" s="282"/>
      <c r="Z119" s="282"/>
      <c r="AA119" s="282"/>
      <c r="AB119" s="282"/>
      <c r="AC119" s="282"/>
      <c r="AD119" s="282"/>
      <c r="AE119" s="282"/>
      <c r="AF119" s="282"/>
      <c r="AG119" s="283"/>
      <c r="AH119" s="283"/>
      <c r="AI119" s="283"/>
      <c r="AJ119" s="283"/>
      <c r="AK119" s="265"/>
      <c r="AL119" s="265"/>
      <c r="AM119" s="265"/>
      <c r="AN119" s="284"/>
      <c r="AO119" s="265"/>
      <c r="AP119" s="265"/>
      <c r="AQ119" s="43"/>
    </row>
    <row r="120" customFormat="false" ht="12" hidden="false" customHeight="true" outlineLevel="0" collapsed="false">
      <c r="A120" s="285" t="s">
        <v>181</v>
      </c>
      <c r="B120" s="286"/>
      <c r="C120" s="286"/>
      <c r="D120" s="286"/>
      <c r="E120" s="286"/>
      <c r="F120" s="286"/>
      <c r="G120" s="286"/>
      <c r="H120" s="286"/>
      <c r="I120" s="286"/>
      <c r="J120" s="286"/>
      <c r="K120" s="286"/>
      <c r="L120" s="286"/>
      <c r="M120" s="286"/>
      <c r="N120" s="286"/>
      <c r="O120" s="286"/>
      <c r="P120" s="286"/>
      <c r="Q120" s="286"/>
      <c r="R120" s="276"/>
      <c r="S120" s="276"/>
      <c r="T120" s="287" t="s">
        <v>182</v>
      </c>
      <c r="U120" s="287"/>
      <c r="V120" s="287"/>
      <c r="W120" s="287"/>
      <c r="X120" s="287"/>
      <c r="Y120" s="282"/>
      <c r="Z120" s="282"/>
      <c r="AA120" s="282"/>
      <c r="AB120" s="282"/>
      <c r="AC120" s="282"/>
      <c r="AD120" s="282"/>
      <c r="AE120" s="282"/>
      <c r="AF120" s="282"/>
      <c r="AG120" s="283"/>
      <c r="AH120" s="283"/>
      <c r="AI120" s="283"/>
      <c r="AJ120" s="283"/>
      <c r="AK120" s="43"/>
      <c r="AL120" s="43"/>
      <c r="AM120" s="43"/>
      <c r="AN120" s="274"/>
      <c r="AO120" s="43"/>
      <c r="AP120" s="43"/>
      <c r="AQ120" s="43"/>
    </row>
    <row r="121" customFormat="false" ht="11.25" hidden="false" customHeight="true" outlineLevel="0" collapsed="false">
      <c r="A121" s="288"/>
      <c r="B121" s="289"/>
      <c r="C121" s="289"/>
      <c r="D121" s="289"/>
      <c r="E121" s="289"/>
      <c r="F121" s="289"/>
      <c r="G121" s="289"/>
      <c r="H121" s="289"/>
      <c r="I121" s="289"/>
      <c r="J121" s="289"/>
      <c r="K121" s="289"/>
      <c r="L121" s="289"/>
      <c r="M121" s="270"/>
      <c r="N121" s="270"/>
      <c r="O121" s="270"/>
      <c r="P121" s="270"/>
      <c r="Q121" s="270"/>
      <c r="R121" s="270"/>
      <c r="S121" s="276"/>
      <c r="T121" s="270"/>
      <c r="U121" s="270"/>
      <c r="V121" s="270"/>
      <c r="W121" s="270"/>
      <c r="X121" s="270"/>
      <c r="Y121" s="270"/>
      <c r="Z121" s="270"/>
      <c r="AA121" s="270"/>
      <c r="AB121" s="270"/>
      <c r="AC121" s="270"/>
      <c r="AD121" s="270"/>
      <c r="AE121" s="270"/>
      <c r="AF121" s="270"/>
      <c r="AG121" s="272"/>
      <c r="AH121" s="273"/>
      <c r="AI121" s="43"/>
      <c r="AJ121" s="43"/>
      <c r="AK121" s="43"/>
      <c r="AL121" s="43"/>
      <c r="AM121" s="43"/>
      <c r="AN121" s="274"/>
      <c r="AO121" s="43"/>
      <c r="AP121" s="43"/>
      <c r="AQ121" s="43"/>
    </row>
    <row r="122" customFormat="false" ht="12" hidden="false" customHeight="true" outlineLevel="0" collapsed="false">
      <c r="A122" s="43"/>
      <c r="B122" s="290" t="s">
        <v>183</v>
      </c>
      <c r="C122" s="290"/>
      <c r="D122" s="290"/>
      <c r="E122" s="290"/>
      <c r="F122" s="290"/>
      <c r="G122" s="290"/>
      <c r="H122" s="290"/>
      <c r="I122" s="290"/>
      <c r="J122" s="290"/>
      <c r="K122" s="290"/>
      <c r="L122" s="290"/>
      <c r="M122" s="290"/>
      <c r="N122" s="290"/>
      <c r="O122" s="290"/>
      <c r="P122" s="290"/>
      <c r="Q122" s="290"/>
      <c r="R122" s="270"/>
      <c r="S122" s="270"/>
      <c r="T122" s="270"/>
      <c r="U122" s="270"/>
      <c r="V122" s="270"/>
      <c r="W122" s="270"/>
      <c r="X122" s="270"/>
      <c r="Y122" s="270"/>
      <c r="Z122" s="270"/>
      <c r="AA122" s="270"/>
      <c r="AB122" s="270"/>
      <c r="AC122" s="270"/>
      <c r="AD122" s="270"/>
      <c r="AE122" s="270"/>
      <c r="AF122" s="270"/>
      <c r="AG122" s="272"/>
      <c r="AH122" s="273"/>
      <c r="AI122" s="43"/>
      <c r="AJ122" s="43"/>
      <c r="AK122" s="43"/>
      <c r="AL122" s="43"/>
      <c r="AM122" s="43"/>
      <c r="AN122" s="274"/>
      <c r="AO122" s="43"/>
      <c r="AP122" s="43"/>
      <c r="AQ122" s="43"/>
    </row>
    <row r="123" customFormat="false" ht="11.25" hidden="false" customHeight="true" outlineLevel="0" collapsed="false">
      <c r="A123" s="43"/>
      <c r="B123" s="270"/>
      <c r="C123" s="270"/>
      <c r="D123" s="270"/>
      <c r="E123" s="270"/>
      <c r="F123" s="270"/>
      <c r="G123" s="270"/>
      <c r="H123" s="270"/>
      <c r="I123" s="270"/>
      <c r="J123" s="270"/>
      <c r="K123" s="270"/>
      <c r="L123" s="270"/>
      <c r="M123" s="270"/>
      <c r="N123" s="270"/>
      <c r="O123" s="270"/>
      <c r="P123" s="270"/>
      <c r="Q123" s="270"/>
      <c r="R123" s="270"/>
      <c r="S123" s="270"/>
      <c r="T123" s="270"/>
      <c r="U123" s="270"/>
      <c r="V123" s="270"/>
      <c r="W123" s="270"/>
      <c r="X123" s="270"/>
      <c r="Y123" s="270"/>
      <c r="Z123" s="270"/>
      <c r="AA123" s="270"/>
      <c r="AB123" s="270"/>
      <c r="AC123" s="270"/>
      <c r="AD123" s="270"/>
      <c r="AE123" s="270"/>
      <c r="AF123" s="270"/>
      <c r="AG123" s="272"/>
      <c r="AH123" s="273"/>
      <c r="AI123" s="43"/>
      <c r="AJ123" s="43"/>
      <c r="AK123" s="43"/>
      <c r="AL123" s="43"/>
      <c r="AM123" s="43"/>
      <c r="AN123" s="274"/>
      <c r="AO123" s="43"/>
      <c r="AP123" s="43"/>
      <c r="AQ123" s="43"/>
    </row>
    <row r="124" customFormat="false" ht="11.25" hidden="false" customHeight="true" outlineLevel="0" collapsed="false">
      <c r="A124" s="276"/>
      <c r="B124" s="276"/>
      <c r="C124" s="276"/>
      <c r="D124" s="276"/>
      <c r="E124" s="276"/>
      <c r="F124" s="276"/>
      <c r="G124" s="276"/>
      <c r="H124" s="276"/>
      <c r="I124" s="276"/>
      <c r="J124" s="276"/>
      <c r="K124" s="276"/>
      <c r="L124" s="276"/>
      <c r="M124" s="276"/>
      <c r="N124" s="276"/>
      <c r="O124" s="276"/>
      <c r="P124" s="276"/>
      <c r="Q124" s="276"/>
      <c r="R124" s="276"/>
      <c r="S124" s="276"/>
      <c r="T124" s="276"/>
      <c r="U124" s="276"/>
      <c r="V124" s="276"/>
      <c r="W124" s="276"/>
      <c r="X124" s="276"/>
      <c r="Y124" s="276"/>
      <c r="Z124" s="276"/>
      <c r="AA124" s="276"/>
      <c r="AB124" s="276"/>
      <c r="AC124" s="276"/>
      <c r="AD124" s="276"/>
      <c r="AE124" s="276"/>
      <c r="AF124" s="276"/>
      <c r="AG124" s="276"/>
      <c r="AH124" s="276"/>
      <c r="AI124" s="276"/>
      <c r="AJ124" s="276"/>
      <c r="AK124" s="276"/>
      <c r="AL124" s="276"/>
      <c r="AM124" s="276"/>
      <c r="AN124" s="276"/>
      <c r="AO124" s="276"/>
      <c r="AP124" s="276"/>
      <c r="AQ124" s="43"/>
    </row>
  </sheetData>
  <sheetProtection sheet="true" objects="true" scenarios="true"/>
  <mergeCells count="25">
    <mergeCell ref="B1:L1"/>
    <mergeCell ref="AO1:AP1"/>
    <mergeCell ref="B2:E2"/>
    <mergeCell ref="F2:N2"/>
    <mergeCell ref="P2:U2"/>
    <mergeCell ref="B3:E3"/>
    <mergeCell ref="F3:N3"/>
    <mergeCell ref="P3:U3"/>
    <mergeCell ref="B4:E4"/>
    <mergeCell ref="F4:N4"/>
    <mergeCell ref="P4:U4"/>
    <mergeCell ref="B5:E5"/>
    <mergeCell ref="F5:N5"/>
    <mergeCell ref="B6:E6"/>
    <mergeCell ref="F6:N6"/>
    <mergeCell ref="B7:E7"/>
    <mergeCell ref="F7:N7"/>
    <mergeCell ref="AH10:AI10"/>
    <mergeCell ref="AO10:AP10"/>
    <mergeCell ref="B117:Q117"/>
    <mergeCell ref="B119:Q119"/>
    <mergeCell ref="Y119:AF120"/>
    <mergeCell ref="B120:Q120"/>
    <mergeCell ref="T120:X120"/>
    <mergeCell ref="B122:Q122"/>
  </mergeCells>
  <conditionalFormatting sqref="B114:AF114 AI114">
    <cfRule type="expression" priority="2" aboveAverage="0" equalAverage="0" bottom="0" percent="0" rank="0" text="" dxfId="0">
      <formula>ABS(B$114)&gt;=ROUND(1/24/60,9)</formula>
    </cfRule>
  </conditionalFormatting>
  <conditionalFormatting sqref="B13:AF22 B34:AF44 B25:AF30 B60:AF61 B67:AF67 B71:AF72 B84:AF84 B86:AF95 B97:AF111">
    <cfRule type="expression" priority="3" aboveAverage="0" equalAverage="0" bottom="0" percent="0" rank="0" text="" dxfId="1">
      <formula>WEEKDAY(B$10,2)&gt;5</formula>
    </cfRule>
    <cfRule type="expression" priority="4" aboveAverage="0" equalAverage="0" bottom="0" percent="0" rank="0" text="" dxfId="2">
      <formula>AND(NOT(ISERROR(MATCH(B$10,T.Feiertage.Bereich,0))),OFFSET(T.Feiertage.Bereich,MATCH(B$10,T.Feiertage.Bereich,0)-1,1,1,1)&gt;0)</formula>
    </cfRule>
    <cfRule type="expression" priority="5" aboveAverage="0" equalAverage="0" bottom="0" percent="0" rank="0" text="" dxfId="3">
      <formula>B$11=0</formula>
    </cfRule>
  </conditionalFormatting>
  <conditionalFormatting sqref="AN60:AO60">
    <cfRule type="expression" priority="6" aboveAverage="0" equalAverage="0" bottom="0" percent="0" rank="0" text="" dxfId="4">
      <formula>AND(T.50_Vetsuisse,AN60&gt;=T.GrenzeAngÜZ50_Vetsuisse)</formula>
    </cfRule>
    <cfRule type="expression" priority="7" aboveAverage="0" equalAverage="0" bottom="0" percent="0" rank="0" text="" dxfId="5">
      <formula>AND(T.50_Vetsuisse,AN60&gt;T.GrenzeAngÜZ50_Vetsuisse*T.AngÜZ50_Vetsuisse_orange)</formula>
    </cfRule>
  </conditionalFormatting>
  <conditionalFormatting sqref="B56:AF56">
    <cfRule type="expression" priority="8" aboveAverage="0" equalAverage="0" bottom="0" percent="0" rank="0" text="" dxfId="6">
      <formula>B$10&gt;TODAY()</formula>
    </cfRule>
    <cfRule type="expression" priority="9" aboveAverage="0" equalAverage="0" bottom="0" percent="0" rank="0" text="" dxfId="7">
      <formula>B$56&gt;99.99/24</formula>
    </cfRule>
    <cfRule type="expression" priority="10" aboveAverage="0" equalAverage="0" bottom="0" percent="0" rank="0" text="" dxfId="0">
      <formula>B$56&lt;99.99/24*-1</formula>
    </cfRule>
  </conditionalFormatting>
  <conditionalFormatting sqref="AO55:AP55">
    <cfRule type="cellIs" priority="11" operator="greaterThan" aboveAverage="0" equalAverage="0" bottom="0" percent="0" rank="0" text="" dxfId="1">
      <formula>1/24/60</formula>
    </cfRule>
    <cfRule type="expression" priority="12" aboveAverage="0" equalAverage="0" bottom="0" percent="0" rank="0" text="" dxfId="2">
      <formula>AND(AO55&lt;=1/24/60*-1,TODAY()&gt;=DATE(EB.Jahr,MONTH(12),DAY(31)))</formula>
    </cfRule>
  </conditionalFormatting>
  <conditionalFormatting sqref="B56:AF56 AI58">
    <cfRule type="expression" priority="13" aboveAverage="0" equalAverage="0" bottom="0" percent="0" rank="0" text="" dxfId="3">
      <formula>B$56&gt;1/24/60</formula>
    </cfRule>
    <cfRule type="expression" priority="14" aboveAverage="0" equalAverage="0" bottom="0" percent="0" rank="0" text="" dxfId="4">
      <formula>AND(B$56&lt;=1/24/60*-1,B$56)</formula>
    </cfRule>
  </conditionalFormatting>
  <conditionalFormatting sqref="B14:AF22 B36:AF44 B26:AF30">
    <cfRule type="expression" priority="15" aboveAverage="0" equalAverage="0" bottom="0" percent="0" rank="0" text="" dxfId="5">
      <formula>AND(B14&lt;B13,B14&lt;&gt;"")</formula>
    </cfRule>
  </conditionalFormatting>
  <conditionalFormatting sqref="B72:AF73">
    <cfRule type="expression" priority="16" aboveAverage="0" equalAverage="0" bottom="0" percent="0" rank="0" text="" dxfId="6">
      <formula>AND(T.50_Vetsuisse,OR(AND(B$72&lt;&gt;INDEX(T.JaNein.Bereich,1,1),B$72&lt;&gt;INDEX(T.JaNein.Bereich,2,1),B$73&lt;&gt;0,MOD(IFERROR(MATCH(1,B$13:B$22,0),1),2)=0),AND(B$72=INDEX(T.JaNein.Bereich,1,1),OR(B$73=0,MOD(IFERROR(MATCH(1,B$13:B$22,0),1),2)&lt;&gt;0))))</formula>
    </cfRule>
  </conditionalFormatting>
  <conditionalFormatting sqref="P4:U4">
    <cfRule type="expression" priority="17" aboveAverage="0" equalAverage="0" bottom="0" percent="0" rank="0" text="" dxfId="7">
      <formula>$P$4&lt;&gt;""</formula>
    </cfRule>
  </conditionalFormatting>
  <conditionalFormatting sqref="V4">
    <cfRule type="expression" priority="18" aboveAverage="0" equalAverage="0" bottom="0" percent="0" rank="0" text="" dxfId="8">
      <formula>$V$4&lt;&gt;""</formula>
    </cfRule>
  </conditionalFormatting>
  <conditionalFormatting sqref="AP60">
    <cfRule type="expression" priority="19" aboveAverage="0" equalAverage="0" bottom="0" percent="0" rank="0" text="" dxfId="9">
      <formula>AND(T.50_Vetsuisse,AP60&gt;=T.GrenzeAngÜZ50_Vetsuisse)</formula>
    </cfRule>
    <cfRule type="expression" priority="20" aboveAverage="0" equalAverage="0" bottom="0" percent="0" rank="0" text="" dxfId="10">
      <formula>AND(T.50_Vetsuisse,AP60&gt;T.GrenzeAngÜZ50_Vetsuisse*T.AngÜZ50_Vetsuisse_orange)</formula>
    </cfRule>
  </conditionalFormatting>
  <conditionalFormatting sqref="AJ72:AJ73">
    <cfRule type="expression" priority="21" aboveAverage="0" equalAverage="0" bottom="0" percent="0" rank="0" text="" dxfId="11">
      <formula>AND(T.50_Vetsuisse,$AJ$72&lt;&gt;$AJ$73)</formula>
    </cfRule>
    <cfRule type="expression" priority="22" aboveAverage="0" equalAverage="0" bottom="0" percent="0" rank="0" text="" dxfId="12">
      <formula>$AJ$72&gt;$AJ$73</formula>
    </cfRule>
  </conditionalFormatting>
  <dataValidations count="2">
    <dataValidation allowBlank="true" error="Please choose a value from the drop-down list." errorTitle="Start pl. night shift" operator="between" showDropDown="false" showErrorMessage="true" showInputMessage="true" sqref="B72:AF72" type="list">
      <formula1>T.JaNein.Bereich</formula1>
      <formula2>0</formula2>
    </dataValidation>
    <dataValidation allowBlank="true" error="Bitte wählen Sie einen Wert aus der Liste." errorTitle="Pikett Bereitschaft" operator="between" showDropDown="false" showErrorMessage="true" showInputMessage="true" sqref="B34:AF34" type="list">
      <formula1>T.Pikett.Bereich</formula1>
      <formula2>0</formula2>
    </dataValidation>
  </dataValidations>
  <printOptions headings="false" gridLines="false" gridLinesSet="true" horizontalCentered="true" verticalCentered="false"/>
  <pageMargins left="0.196527777777778" right="0.196527777777778" top="0.39375" bottom="0.393055555555556" header="0.511805555555555" footer="0.196527777777778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&amp;L&amp;"Arial,Regular"&amp;11Monatsabrechnung &amp;A&amp;C&amp;"Arial,Regular"&amp;11&amp;D&amp;R&amp;"Arial,Regular"&amp;11&amp;P / &amp;N</oddFooter>
  </headerFooter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S36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3" zeroHeight="false" outlineLevelRow="0" outlineLevelCol="1"/>
  <cols>
    <col collapsed="false" customWidth="true" hidden="false" outlineLevel="0" max="1" min="1" style="132" width="24.83"/>
    <col collapsed="false" customWidth="true" hidden="false" outlineLevel="0" max="2" min="2" style="132" width="3.5"/>
    <col collapsed="false" customWidth="true" hidden="false" outlineLevel="0" max="3" min="3" style="132" width="7.83"/>
    <col collapsed="false" customWidth="true" hidden="false" outlineLevel="0" max="4" min="4" style="132" width="8.5"/>
    <col collapsed="false" customWidth="true" hidden="false" outlineLevel="0" max="7" min="5" style="132" width="7.83"/>
    <col collapsed="false" customWidth="true" hidden="false" outlineLevel="1" max="8" min="8" style="132" width="3.5"/>
    <col collapsed="false" customWidth="true" hidden="false" outlineLevel="1" max="13" min="9" style="132" width="6.17"/>
    <col collapsed="false" customWidth="true" hidden="false" outlineLevel="0" max="14" min="14" style="132" width="3.5"/>
    <col collapsed="false" customWidth="true" hidden="false" outlineLevel="1" max="15" min="15" style="132" width="7.83"/>
    <col collapsed="false" customWidth="true" hidden="false" outlineLevel="1" max="16" min="16" style="132" width="6.17"/>
    <col collapsed="false" customWidth="true" hidden="false" outlineLevel="0" max="17" min="17" style="132" width="3.5"/>
    <col collapsed="false" customWidth="true" hidden="false" outlineLevel="1" max="18" min="18" style="132" width="10"/>
    <col collapsed="false" customWidth="true" hidden="true" outlineLevel="1" max="19" min="19" style="132" width="6.17"/>
    <col collapsed="false" customWidth="true" hidden="false" outlineLevel="1" max="20" min="20" style="132" width="6.17"/>
    <col collapsed="false" customWidth="true" hidden="true" outlineLevel="1" max="25" min="21" style="132" width="6.17"/>
    <col collapsed="false" customWidth="true" hidden="false" outlineLevel="1" max="27" min="26" style="132" width="6.17"/>
    <col collapsed="false" customWidth="true" hidden="false" outlineLevel="1" max="28" min="28" style="132" width="3.5"/>
    <col collapsed="false" customWidth="true" hidden="false" outlineLevel="0" max="37" min="29" style="132" width="6.17"/>
    <col collapsed="false" customWidth="true" hidden="true" outlineLevel="1" max="38" min="38" style="132" width="6.17"/>
    <col collapsed="false" customWidth="true" hidden="false" outlineLevel="0" max="39" min="39" style="134" width="6.17"/>
    <col collapsed="false" customWidth="true" hidden="false" outlineLevel="0" max="40" min="40" style="132" width="3.5"/>
    <col collapsed="false" customWidth="true" hidden="true" outlineLevel="0" max="41" min="41" style="132" width="7.83"/>
    <col collapsed="false" customWidth="true" hidden="false" outlineLevel="0" max="43" min="42" style="132" width="10.66"/>
    <col collapsed="false" customWidth="true" hidden="false" outlineLevel="0" max="44" min="44" style="135" width="10.66"/>
    <col collapsed="false" customWidth="true" hidden="false" outlineLevel="0" max="45" min="45" style="132" width="10.66"/>
    <col collapsed="false" customWidth="true" hidden="false" outlineLevel="0" max="1025" min="46" style="0" width="10.66"/>
  </cols>
  <sheetData>
    <row r="1" s="148" customFormat="true" ht="23.25" hidden="false" customHeight="true" outlineLevel="0" collapsed="false">
      <c r="A1" s="292" t="s">
        <v>184</v>
      </c>
      <c r="B1" s="293"/>
      <c r="C1" s="137" t="n">
        <f aca="false">EB.Jahr</f>
        <v>2018</v>
      </c>
      <c r="D1" s="137"/>
      <c r="E1" s="137"/>
      <c r="F1" s="137"/>
      <c r="G1" s="137"/>
      <c r="H1" s="137"/>
      <c r="I1" s="137" t="str">
        <f aca="false">Eingabeblatt!B1</f>
        <v>Employee Time Sheet</v>
      </c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  <c r="AI1" s="137"/>
      <c r="AJ1" s="137"/>
      <c r="AK1" s="7"/>
      <c r="AL1" s="7"/>
      <c r="AM1" s="7" t="str">
        <f aca="false">EB.Version</f>
        <v>Version 01.18</v>
      </c>
      <c r="AN1" s="8" t="str">
        <f aca="false">EB.Sprache</f>
        <v>EN</v>
      </c>
      <c r="AO1" s="294"/>
      <c r="AR1" s="142"/>
    </row>
    <row r="2" s="148" customFormat="true" ht="15" hidden="false" customHeight="true" outlineLevel="0" collapsed="false">
      <c r="A2" s="11" t="str">
        <f aca="false">Eingabeblatt!A3</f>
        <v>Name</v>
      </c>
      <c r="B2" s="39"/>
      <c r="C2" s="143" t="str">
        <f aca="false">IF(EB.Name="","?",EB.Name)</f>
        <v>Christopher Gwilliams</v>
      </c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295"/>
      <c r="R2" s="39"/>
      <c r="S2" s="39"/>
      <c r="T2" s="39"/>
      <c r="U2" s="39"/>
      <c r="V2" s="39"/>
      <c r="W2" s="39"/>
      <c r="X2" s="39"/>
      <c r="Y2" s="39"/>
      <c r="Z2" s="39"/>
      <c r="AA2" s="39"/>
      <c r="AB2" s="19"/>
      <c r="AC2" s="11" t="str">
        <f aca="false">Eingabeblatt!C5</f>
        <v>Wage Group &gt; 16</v>
      </c>
      <c r="AD2" s="11"/>
      <c r="AE2" s="11"/>
      <c r="AF2" s="11"/>
      <c r="AG2" s="11"/>
      <c r="AH2" s="296" t="str">
        <f aca="false">EB.LKgr16</f>
        <v>Yes / No</v>
      </c>
      <c r="AI2" s="296"/>
      <c r="AJ2" s="297" t="str">
        <f aca="true">IF(Eingabeblatt!E5=INDEX(T.JaNein.Bereich,1,1),IF(Eingabeblatt!F5&gt;January!Monat.Tag1,Eingabeblatt!F5,""),"")</f>
        <v/>
      </c>
      <c r="AK2" s="297"/>
      <c r="AL2" s="297"/>
      <c r="AM2" s="297"/>
      <c r="AN2" s="39"/>
      <c r="AO2" s="39"/>
      <c r="AR2" s="142"/>
    </row>
    <row r="3" s="148" customFormat="true" ht="15" hidden="false" customHeight="true" outlineLevel="0" collapsed="false">
      <c r="A3" s="11" t="str">
        <f aca="false">Eingabeblatt!H2</f>
        <v>Function</v>
      </c>
      <c r="B3" s="39"/>
      <c r="C3" s="150" t="str">
        <f aca="false">EB.Funktion</f>
        <v>Description of Function</v>
      </c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298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11" t="str">
        <f aca="false">Eingabeblatt!J6</f>
        <v>Supplement on Overtime entitled</v>
      </c>
      <c r="AD3" s="11"/>
      <c r="AE3" s="11"/>
      <c r="AF3" s="11"/>
      <c r="AG3" s="11"/>
      <c r="AH3" s="150" t="str">
        <f aca="false">EB.ÜZZSBerechtigt</f>
        <v>No</v>
      </c>
      <c r="AI3" s="150"/>
      <c r="AJ3" s="150"/>
      <c r="AK3" s="150"/>
      <c r="AL3" s="150"/>
      <c r="AM3" s="150"/>
      <c r="AN3" s="39"/>
      <c r="AO3" s="39"/>
      <c r="AR3" s="142"/>
    </row>
    <row r="4" s="148" customFormat="true" ht="15" hidden="false" customHeight="true" outlineLevel="0" collapsed="false">
      <c r="A4" s="11" t="str">
        <f aca="false">Eingabeblatt!H3</f>
        <v>Institute/Department</v>
      </c>
      <c r="B4" s="39"/>
      <c r="C4" s="150" t="str">
        <f aca="false">EB.Institut</f>
        <v>Institute/Department Name</v>
      </c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298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11" t="str">
        <f aca="false">Eingabeblatt!C7</f>
        <v>More Information</v>
      </c>
      <c r="AD4" s="11"/>
      <c r="AE4" s="11"/>
      <c r="AF4" s="11"/>
      <c r="AG4" s="11"/>
      <c r="AH4" s="150" t="str">
        <f aca="false">IF(EB.WeitereAngaben="","",EB.WeitereAngaben)</f>
        <v/>
      </c>
      <c r="AI4" s="150"/>
      <c r="AJ4" s="150"/>
      <c r="AK4" s="150"/>
      <c r="AL4" s="150"/>
      <c r="AM4" s="150"/>
      <c r="AN4" s="39"/>
      <c r="AO4" s="39"/>
      <c r="AR4" s="142"/>
    </row>
    <row r="5" s="148" customFormat="true" ht="15" hidden="false" customHeight="true" outlineLevel="0" collapsed="false">
      <c r="A5" s="11" t="str">
        <f aca="false">Eingabeblatt!A5</f>
        <v>Employee Number</v>
      </c>
      <c r="B5" s="39"/>
      <c r="C5" s="150" t="str">
        <f aca="false">IF(EB.Personalnummer="","?",EB.Personalnummer)</f>
        <v>?</v>
      </c>
      <c r="D5" s="150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298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147"/>
      <c r="AK5" s="39"/>
      <c r="AL5" s="39"/>
      <c r="AM5" s="299"/>
      <c r="AN5" s="39"/>
      <c r="AO5" s="39"/>
      <c r="AR5" s="142"/>
    </row>
    <row r="6" s="148" customFormat="true" ht="15" hidden="false" customHeight="true" outlineLevel="0" collapsed="false">
      <c r="A6" s="11" t="str">
        <f aca="false">Eingabeblatt!H4</f>
        <v>Faculty</v>
      </c>
      <c r="B6" s="39"/>
      <c r="C6" s="150" t="str">
        <f aca="false">EB.Fakultaet</f>
        <v>Select Faculty</v>
      </c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298"/>
      <c r="R6" s="39"/>
      <c r="S6" s="39"/>
      <c r="T6" s="39"/>
      <c r="U6" s="39"/>
      <c r="V6" s="13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147"/>
      <c r="AK6" s="39"/>
      <c r="AL6" s="39"/>
      <c r="AM6" s="299"/>
      <c r="AN6" s="39"/>
      <c r="AO6" s="39"/>
      <c r="AR6" s="142"/>
    </row>
    <row r="7" s="148" customFormat="true" ht="15" hidden="false" customHeight="true" outlineLevel="0" collapsed="false">
      <c r="A7" s="11" t="str">
        <f aca="false">Eingabeblatt!H5</f>
        <v>Employee Category</v>
      </c>
      <c r="B7" s="39"/>
      <c r="C7" s="150" t="str">
        <f aca="false">EB.Personalkategorie</f>
        <v>Select Employee Category</v>
      </c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298"/>
      <c r="R7" s="39"/>
      <c r="S7" s="39"/>
      <c r="T7" s="39"/>
      <c r="U7" s="39"/>
      <c r="V7" s="13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147"/>
      <c r="AK7" s="39"/>
      <c r="AL7" s="39"/>
      <c r="AM7" s="299"/>
      <c r="AN7" s="39"/>
      <c r="AO7" s="39"/>
      <c r="AR7" s="142"/>
    </row>
    <row r="8" s="148" customFormat="true" ht="12" hidden="false" customHeight="true" outlineLevel="0" collapsed="false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146"/>
      <c r="AN8" s="39"/>
      <c r="AO8" s="39"/>
      <c r="AR8" s="142"/>
    </row>
    <row r="9" s="148" customFormat="true" ht="12" hidden="false" customHeight="true" outlineLevel="0" collapsed="false">
      <c r="A9" s="39"/>
      <c r="B9" s="39"/>
      <c r="C9" s="300" t="s">
        <v>50</v>
      </c>
      <c r="D9" s="300"/>
      <c r="E9" s="300"/>
      <c r="F9" s="300"/>
      <c r="G9" s="300"/>
      <c r="H9" s="39"/>
      <c r="I9" s="300" t="s">
        <v>185</v>
      </c>
      <c r="J9" s="300"/>
      <c r="K9" s="300"/>
      <c r="L9" s="300"/>
      <c r="M9" s="300"/>
      <c r="N9" s="39"/>
      <c r="O9" s="300" t="s">
        <v>186</v>
      </c>
      <c r="P9" s="300"/>
      <c r="Q9" s="39"/>
      <c r="R9" s="300" t="s">
        <v>187</v>
      </c>
      <c r="S9" s="300"/>
      <c r="T9" s="300"/>
      <c r="U9" s="300"/>
      <c r="V9" s="300"/>
      <c r="W9" s="300"/>
      <c r="X9" s="300"/>
      <c r="Y9" s="300"/>
      <c r="Z9" s="300"/>
      <c r="AA9" s="300"/>
      <c r="AB9" s="39"/>
      <c r="AC9" s="300" t="s">
        <v>188</v>
      </c>
      <c r="AD9" s="300"/>
      <c r="AE9" s="300"/>
      <c r="AF9" s="300"/>
      <c r="AG9" s="300"/>
      <c r="AH9" s="300"/>
      <c r="AI9" s="300"/>
      <c r="AJ9" s="300"/>
      <c r="AK9" s="300"/>
      <c r="AL9" s="300"/>
      <c r="AM9" s="300"/>
      <c r="AN9" s="39"/>
      <c r="AO9" s="39"/>
      <c r="AR9" s="142"/>
    </row>
    <row r="10" s="305" customFormat="true" ht="165" hidden="false" customHeight="true" outlineLevel="0" collapsed="false">
      <c r="A10" s="301"/>
      <c r="B10" s="302"/>
      <c r="C10" s="303" t="s">
        <v>189</v>
      </c>
      <c r="D10" s="303" t="s">
        <v>190</v>
      </c>
      <c r="E10" s="303" t="s">
        <v>191</v>
      </c>
      <c r="F10" s="303" t="s">
        <v>192</v>
      </c>
      <c r="G10" s="303" t="s">
        <v>193</v>
      </c>
      <c r="H10" s="302"/>
      <c r="I10" s="303" t="str">
        <f aca="false">IF(EB.Anwendung&lt;&gt;"",January!Monat.AnUeZText,"")</f>
        <v>Ordered overtime</v>
      </c>
      <c r="J10" s="303" t="str">
        <f aca="false">IF(EB.Anwendung&lt;&gt;"",January!Monat.KomUeZText,"")</f>
        <v>Compensation overtime</v>
      </c>
      <c r="K10" s="303" t="str">
        <f aca="false">IF(EB.Anwendung&lt;&gt;"",January!Monat.UeZSaldoText,"")</f>
        <v>Actual/compensated overtime</v>
      </c>
      <c r="L10" s="303" t="str">
        <f aca="false">IF(EB.Anwendung&lt;&gt;"",January!Monat.ZSText,"")</f>
        <v>Supplement 25%</v>
      </c>
      <c r="M10" s="303" t="str">
        <f aca="false">IF(EB.Anwendung&lt;&gt;"",January!Monat.UeziZSText,"")</f>
        <v>Total overtime incl. suppl.</v>
      </c>
      <c r="N10" s="302"/>
      <c r="O10" s="303" t="s">
        <v>194</v>
      </c>
      <c r="P10" s="303" t="str">
        <f aca="false">IF(EB.Anwendung&lt;&gt;"",January!Monat.KomAZText,"")</f>
        <v>Compensation working hours</v>
      </c>
      <c r="Q10" s="302"/>
      <c r="R10" s="304" t="s">
        <v>195</v>
      </c>
      <c r="S10" s="303" t="str">
        <f aca="false">IF(EB.Anwendung&lt;&gt;"",January!Monat.ein_aus_PikettText,"")</f>
        <v>Total on call standby in/out</v>
      </c>
      <c r="T10" s="303" t="str">
        <f aca="false">IF(EB.Anwendung&lt;&gt;"",January!Monat.NDText,"")</f>
        <v>Night shift</v>
      </c>
      <c r="U10" s="303" t="str">
        <f aca="false">IF(EB.Anwendung&lt;&gt;"",January!Monat.ZählerNDText,"")</f>
        <v>Counter night shift</v>
      </c>
      <c r="V10" s="303" t="str">
        <f aca="false">IF(EB.Anwendung&lt;&gt;"",January!Monat.ZZSNDText,"")</f>
        <v>Time supplement night shift</v>
      </c>
      <c r="W10" s="303" t="str">
        <f aca="false">IF(EB.Anwendung&lt;&gt;"",January!Monat.KompZZSNDText,"")</f>
        <v>Compensation TS night shift</v>
      </c>
      <c r="X10" s="303" t="str">
        <f aca="false">IF(EB.Anwendung&lt;&gt;"",January!Monat.ZZSNDText &amp; " Saldo","")</f>
        <v>Time supplement night shift Saldo</v>
      </c>
      <c r="Y10" s="303" t="str">
        <f aca="false">IF(EB.Anwendung&lt;&gt;"",January!Monat.AbendarbeitText,"")</f>
        <v>Evening work</v>
      </c>
      <c r="Z10" s="303" t="str">
        <f aca="false">IF(EB.Anwendung&lt;&gt;"",January!Monat.BDText,"")</f>
        <v>On-call duty</v>
      </c>
      <c r="AA10" s="303" t="str">
        <f aca="false">IF(EB.Anwendung&lt;&gt;"",January!Monat.SDText,"")</f>
        <v>Saturday/Sunday shift</v>
      </c>
      <c r="AB10" s="302"/>
      <c r="AC10" s="303" t="str">
        <f aca="false">IF(EB.Anwendung&lt;&gt;"",January!Monat.FerienText,"")</f>
        <v>Vacation</v>
      </c>
      <c r="AD10" s="303" t="str">
        <f aca="false">IF(EB.Anwendung&lt;&gt;"",January!Monat.ArztText,"")</f>
        <v>Consultation</v>
      </c>
      <c r="AE10" s="303" t="str">
        <f aca="false">IF(EB.Anwendung&lt;&gt;"",January!Monat.KrankText,"")</f>
        <v>Illness</v>
      </c>
      <c r="AF10" s="303" t="str">
        <f aca="false">IF(EB.Anwendung&lt;&gt;"",January!Monat.BUText,"")</f>
        <v>Work-related accident</v>
      </c>
      <c r="AG10" s="303" t="str">
        <f aca="false">IF(EB.Anwendung&lt;&gt;"",January!Monat.NBUText,"")</f>
        <v>Non-work-related accident</v>
      </c>
      <c r="AH10" s="303" t="str">
        <f aca="false">IF(EB.Anwendung&lt;&gt;"",January!Monat.MZSText,"")</f>
        <v>Military/civilian service</v>
      </c>
      <c r="AI10" s="303" t="str">
        <f aca="false">IF(EB.Anwendung&lt;&gt;"",January!Monat.WBText,"")</f>
        <v>Continuing education</v>
      </c>
      <c r="AJ10" s="303" t="str">
        <f aca="false">IF(EB.Anwendung&lt;&gt;"",January!Monat.BesUrlaubText,"")</f>
        <v>Paid leave</v>
      </c>
      <c r="AK10" s="303" t="str">
        <f aca="false">IF(EB.Anwendung&lt;&gt;"",January!Monat.UnbesUrlaubText,"")</f>
        <v>Unpaid leave</v>
      </c>
      <c r="AL10" s="303" t="str">
        <f aca="false">IF(EB.Anwendung&lt;&gt;"",January!Monat.NBText,"")</f>
        <v>Secondary employment</v>
      </c>
      <c r="AM10" s="303" t="str">
        <f aca="false">IF(EB.Anwendung&lt;&gt;"",January!Monat.DAGText,"")</f>
        <v>Seniority allowance</v>
      </c>
      <c r="AN10" s="302"/>
      <c r="AO10" s="303" t="str">
        <f aca="false">IF(EB.Anwendung&lt;&gt;"",January!Monat.ein_ausText,"")</f>
        <v>Total in/out</v>
      </c>
    </row>
    <row r="11" s="305" customFormat="true" ht="12" hidden="false" customHeight="true" outlineLevel="0" collapsed="false">
      <c r="A11" s="306"/>
      <c r="B11" s="302"/>
      <c r="C11" s="307"/>
      <c r="D11" s="307"/>
      <c r="E11" s="307"/>
      <c r="F11" s="307"/>
      <c r="G11" s="308"/>
      <c r="H11" s="302"/>
      <c r="I11" s="307"/>
      <c r="J11" s="307"/>
      <c r="K11" s="307"/>
      <c r="L11" s="307"/>
      <c r="M11" s="307"/>
      <c r="N11" s="302"/>
      <c r="O11" s="307"/>
      <c r="P11" s="308"/>
      <c r="Q11" s="302"/>
      <c r="R11" s="302"/>
      <c r="S11" s="307"/>
      <c r="T11" s="307"/>
      <c r="U11" s="307"/>
      <c r="V11" s="307"/>
      <c r="W11" s="307"/>
      <c r="X11" s="307"/>
      <c r="Y11" s="307"/>
      <c r="Z11" s="307"/>
      <c r="AA11" s="307"/>
      <c r="AB11" s="302"/>
      <c r="AC11" s="308"/>
      <c r="AD11" s="307"/>
      <c r="AE11" s="307"/>
      <c r="AF11" s="307"/>
      <c r="AG11" s="307"/>
      <c r="AH11" s="307"/>
      <c r="AI11" s="307"/>
      <c r="AJ11" s="307"/>
      <c r="AK11" s="307"/>
      <c r="AL11" s="307"/>
      <c r="AM11" s="308"/>
      <c r="AN11" s="302"/>
      <c r="AO11" s="307"/>
    </row>
    <row r="12" s="148" customFormat="true" ht="15" hidden="false" customHeight="true" outlineLevel="0" collapsed="false">
      <c r="A12" s="309" t="s">
        <v>196</v>
      </c>
      <c r="B12" s="310"/>
      <c r="C12" s="152"/>
      <c r="D12" s="57"/>
      <c r="E12" s="152"/>
      <c r="F12" s="152"/>
      <c r="G12" s="151" t="n">
        <f aca="false">EB.AZS</f>
        <v>65.425</v>
      </c>
      <c r="H12" s="57"/>
      <c r="I12" s="311"/>
      <c r="J12" s="311"/>
      <c r="K12" s="311"/>
      <c r="L12" s="311"/>
      <c r="M12" s="312"/>
      <c r="N12" s="57"/>
      <c r="O12" s="313"/>
      <c r="P12" s="66" t="n">
        <f aca="false">Eingabeblatt!L25</f>
        <v>3.9375</v>
      </c>
      <c r="Q12" s="57"/>
      <c r="R12" s="153"/>
      <c r="S12" s="311"/>
      <c r="T12" s="311"/>
      <c r="U12" s="314"/>
      <c r="V12" s="311"/>
      <c r="W12" s="311"/>
      <c r="X12" s="312"/>
      <c r="Y12" s="311"/>
      <c r="Z12" s="311"/>
      <c r="AA12" s="311"/>
      <c r="AB12" s="57"/>
      <c r="AC12" s="315" t="n">
        <f aca="false">Eingabeblatt!B33</f>
        <v>5.25</v>
      </c>
      <c r="AD12" s="316"/>
      <c r="AE12" s="311"/>
      <c r="AF12" s="311"/>
      <c r="AG12" s="311"/>
      <c r="AH12" s="311"/>
      <c r="AI12" s="311"/>
      <c r="AJ12" s="311"/>
      <c r="AK12" s="311"/>
      <c r="AL12" s="317"/>
      <c r="AM12" s="315" t="n">
        <f aca="false">Eingabeblatt!B32</f>
        <v>0</v>
      </c>
      <c r="AN12" s="57"/>
      <c r="AO12" s="152"/>
    </row>
    <row r="13" s="148" customFormat="true" ht="15" hidden="false" customHeight="true" outlineLevel="0" collapsed="false">
      <c r="A13" s="20" t="s">
        <v>197</v>
      </c>
      <c r="B13" s="310"/>
      <c r="C13" s="152"/>
      <c r="D13" s="57"/>
      <c r="E13" s="152"/>
      <c r="F13" s="57"/>
      <c r="G13" s="222"/>
      <c r="H13" s="57"/>
      <c r="I13" s="311"/>
      <c r="J13" s="311"/>
      <c r="K13" s="311"/>
      <c r="L13" s="317"/>
      <c r="M13" s="66" t="n">
        <f aca="false">EB.UeZ</f>
        <v>0</v>
      </c>
      <c r="N13" s="57"/>
      <c r="O13" s="77" t="n">
        <f aca="false">EB.MMS</f>
        <v>0</v>
      </c>
      <c r="P13" s="318"/>
      <c r="Q13" s="57"/>
      <c r="R13" s="153"/>
      <c r="S13" s="311"/>
      <c r="T13" s="311"/>
      <c r="U13" s="314"/>
      <c r="V13" s="311"/>
      <c r="W13" s="317"/>
      <c r="X13" s="66" t="n">
        <f aca="false">EB.ZZNd</f>
        <v>0</v>
      </c>
      <c r="Y13" s="316"/>
      <c r="Z13" s="311"/>
      <c r="AA13" s="311"/>
      <c r="AB13" s="57"/>
      <c r="AC13" s="66" t="n">
        <f aca="false">EB.FerienBer</f>
        <v>0</v>
      </c>
      <c r="AD13" s="316"/>
      <c r="AE13" s="311"/>
      <c r="AF13" s="311"/>
      <c r="AG13" s="311"/>
      <c r="AH13" s="311"/>
      <c r="AI13" s="311"/>
      <c r="AJ13" s="311"/>
      <c r="AK13" s="311"/>
      <c r="AL13" s="317"/>
      <c r="AM13" s="66" t="n">
        <f aca="false">EB.DAGber</f>
        <v>0</v>
      </c>
      <c r="AN13" s="57"/>
      <c r="AO13" s="152"/>
    </row>
    <row r="14" s="148" customFormat="true" ht="12" hidden="false" customHeight="true" outlineLevel="0" collapsed="false">
      <c r="A14" s="319"/>
      <c r="B14" s="57"/>
      <c r="C14" s="313"/>
      <c r="D14" s="187"/>
      <c r="E14" s="313"/>
      <c r="F14" s="313"/>
      <c r="G14" s="313"/>
      <c r="H14" s="57"/>
      <c r="I14" s="313"/>
      <c r="J14" s="313"/>
      <c r="K14" s="313"/>
      <c r="L14" s="313"/>
      <c r="M14" s="320"/>
      <c r="N14" s="57"/>
      <c r="O14" s="320"/>
      <c r="P14" s="313"/>
      <c r="Q14" s="57"/>
      <c r="R14" s="60"/>
      <c r="S14" s="313"/>
      <c r="T14" s="313"/>
      <c r="U14" s="321"/>
      <c r="V14" s="313"/>
      <c r="W14" s="313"/>
      <c r="X14" s="320"/>
      <c r="Y14" s="313"/>
      <c r="Z14" s="313"/>
      <c r="AA14" s="313"/>
      <c r="AB14" s="57"/>
      <c r="AC14" s="320"/>
      <c r="AD14" s="313"/>
      <c r="AE14" s="313"/>
      <c r="AF14" s="313"/>
      <c r="AG14" s="313"/>
      <c r="AH14" s="313"/>
      <c r="AI14" s="313"/>
      <c r="AJ14" s="313"/>
      <c r="AK14" s="313"/>
      <c r="AL14" s="313"/>
      <c r="AM14" s="320"/>
      <c r="AN14" s="57"/>
      <c r="AO14" s="313"/>
    </row>
    <row r="15" s="148" customFormat="true" ht="15" hidden="false" customHeight="true" outlineLevel="0" collapsed="false">
      <c r="A15" s="322" t="str">
        <f aca="false">INDEX(EB.Monate.Bereich,1,0)</f>
        <v>January</v>
      </c>
      <c r="B15" s="172"/>
      <c r="C15" s="77" t="n">
        <f aca="false">F15+E15</f>
        <v>0</v>
      </c>
      <c r="D15" s="323" t="n">
        <f aca="false">IF(Eingabeblatt!H13="","-     ",Eingabeblatt!H13)</f>
        <v>0</v>
      </c>
      <c r="E15" s="77" t="n">
        <f aca="false">Eingabeblatt!I13</f>
        <v>0</v>
      </c>
      <c r="F15" s="77" t="n">
        <f aca="false">IF(EB.Anwendung&lt;&gt;"",January!Monat.Soll_Ist_UeVM,"")</f>
        <v>0</v>
      </c>
      <c r="G15" s="77" t="n">
        <f aca="true">IF(AND(EB.UJEintritt&lt;&gt;"",MONTH(EB.UJEintritt)&gt;ROW(C15)-ROW($C$15)+1),0,($G$12-SUM(OFFSET($C$15,0,0,ROW(C15)-ROW($C$15)+1))))</f>
        <v>0</v>
      </c>
      <c r="H15" s="310"/>
      <c r="I15" s="66" t="n">
        <f aca="false">IF(EB.Anwendung&lt;&gt;"",January!Monat.AnUeZ.Total,"")</f>
        <v>0</v>
      </c>
      <c r="J15" s="66" t="n">
        <f aca="false">IF(EB.Anwendung&lt;&gt;"",January!Monat.KomUeZ.Total,"")</f>
        <v>0</v>
      </c>
      <c r="K15" s="66" t="str">
        <f aca="false">IF(IF(EB.Anwendung&lt;&gt;"",January!Monat.UeZ.Saldo,"")&lt;=0,"-     ",IF(EB.Anwendung&lt;&gt;"",January!Monat.UeZ.Saldo,""))</f>
        <v>-     </v>
      </c>
      <c r="L15" s="66" t="str">
        <f aca="false">IF(IF(EB.Anwendung&lt;&gt;"",January!Monat.ZS.Total,"")&lt;=0,"-     ",IF(EB.Anwendung&lt;&gt;"",January!Monat.ZS.Total,""))</f>
        <v>-     </v>
      </c>
      <c r="M15" s="66" t="n">
        <f aca="false">IF(EB.Anwendung&lt;&gt;"",January!Monat.UeZ.Total,"")</f>
        <v>0</v>
      </c>
      <c r="N15" s="57"/>
      <c r="O15" s="77" t="n">
        <f aca="false">IF(EB.Anwendung&lt;&gt;"",January!Monat.Soll_Ist_UeVM-January!Monat.AnUeZ.Total,"")</f>
        <v>0</v>
      </c>
      <c r="P15" s="66" t="n">
        <f aca="false">IF(EB.Anwendung&lt;&gt;"",January!Monat.KomAZ.Total,"")</f>
        <v>0</v>
      </c>
      <c r="Q15" s="179"/>
      <c r="R15" s="324" t="str">
        <f aca="false">IF(EB.Anwendung&lt;&gt;"",January!Monat.Pikett.Zähler,"")</f>
        <v>0 / 0 / 0</v>
      </c>
      <c r="S15" s="66" t="n">
        <f aca="false">IF(EB.Anwendung&lt;&gt;"",January!Monat.ein_aus_Pikett.Total,"")</f>
        <v>0</v>
      </c>
      <c r="T15" s="66" t="n">
        <f aca="false">IF(EB.Anwendung&lt;&gt;"",January!Monat.ND.Total,"")</f>
        <v>0</v>
      </c>
      <c r="U15" s="324" t="n">
        <f aca="false">IF(EB.Anwendung&lt;&gt;"",January!Monat.ZählerND.Total,"")</f>
        <v>0</v>
      </c>
      <c r="V15" s="66" t="n">
        <f aca="false">IF(EB.Anwendung&lt;&gt;"",January!Monat.ZZSND.Total,"")</f>
        <v>0</v>
      </c>
      <c r="W15" s="66" t="n">
        <f aca="false">IF(EB.Anwendung&lt;&gt;"",January!Monat.KompZZSND.Total,"")</f>
        <v>0</v>
      </c>
      <c r="X15" s="66" t="n">
        <f aca="false">IF(EB.Anwendung&lt;&gt;"",January!Monat.ZZNdUe,"")</f>
        <v>0</v>
      </c>
      <c r="Y15" s="66" t="n">
        <f aca="false">IF(EB.Anwendung&lt;&gt;"",January!Monat.Abendarbeit.Total,"")</f>
        <v>0</v>
      </c>
      <c r="Z15" s="66" t="n">
        <f aca="false">IF(EB.Anwendung&lt;&gt;"",January!Monat.BD.Total,"")</f>
        <v>0</v>
      </c>
      <c r="AA15" s="66" t="n">
        <f aca="false">IF(EB.Anwendung&lt;&gt;"",January!Monat.SD.Total,"")</f>
        <v>0</v>
      </c>
      <c r="AB15" s="172"/>
      <c r="AC15" s="66" t="n">
        <f aca="false">IF(IF(EB.Anwendung&lt;&gt;"",January!Monat.FerienKor.Total,"")="+",IF(EB.Anwendung&lt;&gt;"",January!Monat.Ferien.Total,"")-IF(EB.Anwendung&lt;&gt;"",January!Monat.FerienKor.Total,""),IF(EB.Anwendung&lt;&gt;"",January!Monat.Ferien.Total,"")+IF(EB.Anwendung&lt;&gt;"",January!Monat.FerienKor.Total,""))</f>
        <v>0</v>
      </c>
      <c r="AD15" s="66" t="n">
        <f aca="false">IF(EB.Anwendung&lt;&gt;"",January!Monat.AB.Total,"")</f>
        <v>0</v>
      </c>
      <c r="AE15" s="66" t="n">
        <f aca="false">IF(EB.Anwendung&lt;&gt;"",January!Monat.Krank.Total,"")</f>
        <v>0</v>
      </c>
      <c r="AF15" s="66" t="n">
        <f aca="false">IF(EB.Anwendung&lt;&gt;"",January!Monat.BU.Total,"")</f>
        <v>0</v>
      </c>
      <c r="AG15" s="66" t="n">
        <f aca="false">IF(EB.Anwendung&lt;&gt;"",January!Monat.NBU.Total,"")</f>
        <v>0</v>
      </c>
      <c r="AH15" s="66" t="n">
        <f aca="false">IF(EB.Anwendung&lt;&gt;"",January!Monat.Militaer.Total,"")</f>
        <v>0</v>
      </c>
      <c r="AI15" s="66" t="n">
        <f aca="false">IF(EB.Anwendung&lt;&gt;"",January!Monat.WB.Total,"")</f>
        <v>0</v>
      </c>
      <c r="AJ15" s="66" t="n">
        <f aca="false">IF(EB.Anwendung&lt;&gt;"",January!Monat.BesU.Total,"")</f>
        <v>0</v>
      </c>
      <c r="AK15" s="66" t="n">
        <f aca="false">IF(EB.Anwendung&lt;&gt;"",January!Monat.UnbesU.Total,"")</f>
        <v>0</v>
      </c>
      <c r="AL15" s="66" t="n">
        <f aca="false">IF(EB.Anwendung&lt;&gt;"",January!Monat.NB.Total,"")</f>
        <v>0</v>
      </c>
      <c r="AM15" s="66" t="n">
        <f aca="false">IF(EB.Anwendung&lt;&gt;"",January!Monat.DAG.Total,"")</f>
        <v>0</v>
      </c>
      <c r="AN15" s="310"/>
      <c r="AO15" s="66" t="n">
        <f aca="false">IF(EB.Anwendung&lt;&gt;"",January!Monat.ein_aus.Total,"")</f>
        <v>0</v>
      </c>
    </row>
    <row r="16" s="148" customFormat="true" ht="15" hidden="false" customHeight="true" outlineLevel="0" collapsed="false">
      <c r="A16" s="322" t="str">
        <f aca="false">INDEX(EB.Monate.Bereich,2,0)</f>
        <v>February</v>
      </c>
      <c r="B16" s="172"/>
      <c r="C16" s="77" t="n">
        <f aca="false">F16+E16</f>
        <v>0</v>
      </c>
      <c r="D16" s="323" t="n">
        <f aca="false">IF(Eingabeblatt!H14="","-     ",Eingabeblatt!H14)</f>
        <v>0</v>
      </c>
      <c r="E16" s="77" t="n">
        <f aca="false">Eingabeblatt!I14</f>
        <v>0</v>
      </c>
      <c r="F16" s="77" t="n">
        <f aca="false">IF(EB.Anwendung&lt;&gt;"",February!Monat.Soll_Ist_UeVM,"")</f>
        <v>0</v>
      </c>
      <c r="G16" s="77" t="n">
        <f aca="true">IF(AND(EB.UJEintritt&lt;&gt;"",MONTH(EB.UJEintritt)&gt;ROW(C16)-ROW($C$15)+1),0,($G$12-SUM(OFFSET($C$15,0,0,ROW(C16)-ROW($C$15)+1))))</f>
        <v>0</v>
      </c>
      <c r="H16" s="310"/>
      <c r="I16" s="66" t="n">
        <f aca="false">IF(EB.Anwendung&lt;&gt;"",February!Monat.AnUeZ.Total,"")</f>
        <v>0</v>
      </c>
      <c r="J16" s="66" t="n">
        <f aca="false">IF(EB.Anwendung&lt;&gt;"",February!Monat.KomUeZ.Total,"")</f>
        <v>0</v>
      </c>
      <c r="K16" s="66" t="str">
        <f aca="false">IF(IF(EB.Anwendung&lt;&gt;"",February!Monat.UeZ.Saldo,"")&lt;=0,"-     ",IF(EB.Anwendung&lt;&gt;"",February!Monat.UeZ.Saldo,""))</f>
        <v>-     </v>
      </c>
      <c r="L16" s="66" t="str">
        <f aca="false">IF(IF(EB.Anwendung&lt;&gt;"",February!Monat.ZS.Total,"")&lt;=0,"-     ",IF(EB.Anwendung&lt;&gt;"",February!Monat.ZS.Total,""))</f>
        <v>-     </v>
      </c>
      <c r="M16" s="66" t="n">
        <f aca="false">IF(EB.Anwendung&lt;&gt;"",February!Monat.UeZ.Total,"")</f>
        <v>0</v>
      </c>
      <c r="N16" s="57"/>
      <c r="O16" s="77" t="n">
        <f aca="false">IF(EB.Anwendung&lt;&gt;"",February!Monat.Soll_Ist_UeVM-February!Monat.AnUeZ.Total,"")</f>
        <v>0</v>
      </c>
      <c r="P16" s="66" t="n">
        <f aca="false">IF(EB.Anwendung&lt;&gt;"",February!Monat.KomAZ.Total,"")</f>
        <v>0</v>
      </c>
      <c r="Q16" s="179"/>
      <c r="R16" s="324" t="str">
        <f aca="false">IF(EB.Anwendung&lt;&gt;"",February!Monat.Pikett.Zähler,"")</f>
        <v>0 / 0 / 0</v>
      </c>
      <c r="S16" s="66" t="n">
        <f aca="false">IF(EB.Anwendung&lt;&gt;"",February!Monat.ein_aus_Pikett.Total,"")</f>
        <v>0</v>
      </c>
      <c r="T16" s="66" t="n">
        <f aca="false">IF(EB.Anwendung&lt;&gt;"",February!Monat.ND.Total,"")</f>
        <v>0</v>
      </c>
      <c r="U16" s="324" t="n">
        <f aca="false">IF(EB.Anwendung&lt;&gt;"",February!Monat.ZählerND.Total,"")</f>
        <v>0</v>
      </c>
      <c r="V16" s="66" t="n">
        <f aca="false">IF(EB.Anwendung&lt;&gt;"",February!Monat.ZZSND.Total,"")</f>
        <v>0</v>
      </c>
      <c r="W16" s="66" t="n">
        <f aca="false">IF(EB.Anwendung&lt;&gt;"",February!Monat.KompZZSND.Total,"")</f>
        <v>0</v>
      </c>
      <c r="X16" s="66" t="n">
        <f aca="false">IF(EB.Anwendung&lt;&gt;"",February!Monat.ZZNdUe,"")</f>
        <v>0</v>
      </c>
      <c r="Y16" s="66" t="n">
        <f aca="false">IF(EB.Anwendung&lt;&gt;"",February!Monat.Abendarbeit.Total,"")</f>
        <v>0</v>
      </c>
      <c r="Z16" s="66" t="n">
        <f aca="false">IF(EB.Anwendung&lt;&gt;"",February!Monat.BD.Total,"")</f>
        <v>0</v>
      </c>
      <c r="AA16" s="66" t="n">
        <f aca="false">IF(EB.Anwendung&lt;&gt;"",February!Monat.SD.Total,"")</f>
        <v>0</v>
      </c>
      <c r="AB16" s="172"/>
      <c r="AC16" s="66" t="n">
        <f aca="false">IF(IF(EB.Anwendung&lt;&gt;"",February!Monat.FerienKor.Total,"")="+",IF(EB.Anwendung&lt;&gt;"",February!Monat.Ferien.Total,"")-IF(EB.Anwendung&lt;&gt;"",February!Monat.FerienKor.Total,""),IF(EB.Anwendung&lt;&gt;"",February!Monat.Ferien.Total,"")+IF(EB.Anwendung&lt;&gt;"",February!Monat.FerienKor.Total,""))</f>
        <v>0</v>
      </c>
      <c r="AD16" s="66" t="n">
        <f aca="false">IF(EB.Anwendung&lt;&gt;"",February!Monat.AB.Total,"")</f>
        <v>0</v>
      </c>
      <c r="AE16" s="66" t="n">
        <f aca="false">IF(EB.Anwendung&lt;&gt;"",February!Monat.Krank.Total,"")</f>
        <v>0</v>
      </c>
      <c r="AF16" s="66" t="n">
        <f aca="false">IF(EB.Anwendung&lt;&gt;"",February!Monat.BU.Total,"")</f>
        <v>0</v>
      </c>
      <c r="AG16" s="66" t="n">
        <f aca="false">IF(EB.Anwendung&lt;&gt;"",February!Monat.NBU.Total,"")</f>
        <v>0</v>
      </c>
      <c r="AH16" s="66" t="n">
        <f aca="false">IF(EB.Anwendung&lt;&gt;"",February!Monat.Militaer.Total,"")</f>
        <v>0</v>
      </c>
      <c r="AI16" s="66" t="n">
        <f aca="false">IF(EB.Anwendung&lt;&gt;"",February!Monat.WB.Total,"")</f>
        <v>0</v>
      </c>
      <c r="AJ16" s="66" t="n">
        <f aca="false">IF(EB.Anwendung&lt;&gt;"",February!Monat.BesU.Total,"")</f>
        <v>0</v>
      </c>
      <c r="AK16" s="66" t="n">
        <f aca="false">IF(EB.Anwendung&lt;&gt;"",February!Monat.UnbesU.Total,"")</f>
        <v>0</v>
      </c>
      <c r="AL16" s="66" t="n">
        <f aca="false">IF(EB.Anwendung&lt;&gt;"",February!Monat.NB.Total,"")</f>
        <v>0</v>
      </c>
      <c r="AM16" s="66" t="n">
        <f aca="false">IF(EB.Anwendung&lt;&gt;"",February!Monat.DAG.Total,"")</f>
        <v>0</v>
      </c>
      <c r="AN16" s="310"/>
      <c r="AO16" s="66" t="n">
        <f aca="false">IF(EB.Anwendung&lt;&gt;"",February!Monat.ein_aus.Total,"")</f>
        <v>0</v>
      </c>
    </row>
    <row r="17" s="148" customFormat="true" ht="15" hidden="false" customHeight="true" outlineLevel="0" collapsed="false">
      <c r="A17" s="322" t="str">
        <f aca="false">INDEX(EB.Monate.Bereich,3,0)</f>
        <v>March</v>
      </c>
      <c r="B17" s="172"/>
      <c r="C17" s="77" t="n">
        <f aca="false">F17+E17</f>
        <v>0</v>
      </c>
      <c r="D17" s="323" t="n">
        <f aca="false">IF(Eingabeblatt!H15="","-     ",Eingabeblatt!H15)</f>
        <v>0</v>
      </c>
      <c r="E17" s="77" t="n">
        <f aca="false">Eingabeblatt!I15</f>
        <v>0</v>
      </c>
      <c r="F17" s="77" t="n">
        <f aca="false">IF(EB.Anwendung&lt;&gt;"",March!Monat.Soll_Ist_UeVM,"")</f>
        <v>0</v>
      </c>
      <c r="G17" s="77" t="n">
        <f aca="true">IF(AND(EB.UJEintritt&lt;&gt;"",MONTH(EB.UJEintritt)&gt;ROW(C17)-ROW($C$15)+1),0,($G$12-SUM(OFFSET($C$15,0,0,ROW(C17)-ROW($C$15)+1))))</f>
        <v>0</v>
      </c>
      <c r="H17" s="310"/>
      <c r="I17" s="66" t="n">
        <f aca="false">IF(EB.Anwendung&lt;&gt;"",March!Monat.AnUeZ.Total,"")</f>
        <v>0</v>
      </c>
      <c r="J17" s="66" t="n">
        <f aca="false">IF(EB.Anwendung&lt;&gt;"",March!Monat.KomUeZ.Total,"")</f>
        <v>0</v>
      </c>
      <c r="K17" s="66" t="str">
        <f aca="false">IF(IF(EB.Anwendung&lt;&gt;"",March!Monat.UeZ.Saldo,"")&lt;=0,"-     ",IF(EB.Anwendung&lt;&gt;"",March!Monat.UeZ.Saldo,""))</f>
        <v>-     </v>
      </c>
      <c r="L17" s="66" t="str">
        <f aca="false">IF(IF(EB.Anwendung&lt;&gt;"",March!Monat.ZS.Total,"")&lt;=0,"-     ",IF(EB.Anwendung&lt;&gt;"",March!Monat.ZS.Total,""))</f>
        <v>-     </v>
      </c>
      <c r="M17" s="66" t="n">
        <f aca="false">IF(EB.Anwendung&lt;&gt;"",March!Monat.UeZ.Total,"")</f>
        <v>0</v>
      </c>
      <c r="N17" s="57"/>
      <c r="O17" s="77" t="n">
        <f aca="false">IF(EB.Anwendung&lt;&gt;"",March!Monat.Soll_Ist_UeVM-March!Monat.AnUeZ.Total,"")</f>
        <v>0</v>
      </c>
      <c r="P17" s="66" t="n">
        <f aca="false">IF(EB.Anwendung&lt;&gt;"",March!Monat.KomAZ.Total,"")</f>
        <v>0</v>
      </c>
      <c r="Q17" s="179"/>
      <c r="R17" s="324" t="str">
        <f aca="false">IF(EB.Anwendung&lt;&gt;"",March!Monat.Pikett.Zähler,"")</f>
        <v>0 / 0 / 0</v>
      </c>
      <c r="S17" s="66" t="n">
        <f aca="false">IF(EB.Anwendung&lt;&gt;"",March!Monat.ein_aus_Pikett.Total,"")</f>
        <v>0</v>
      </c>
      <c r="T17" s="66" t="n">
        <f aca="false">IF(EB.Anwendung&lt;&gt;"",March!Monat.ND.Total,"")</f>
        <v>0</v>
      </c>
      <c r="U17" s="324" t="n">
        <f aca="false">IF(EB.Anwendung&lt;&gt;"",March!Monat.ZählerND.Total,"")</f>
        <v>0</v>
      </c>
      <c r="V17" s="66" t="n">
        <f aca="false">IF(EB.Anwendung&lt;&gt;"",March!Monat.ZZSND.Total,"")</f>
        <v>0</v>
      </c>
      <c r="W17" s="66" t="n">
        <f aca="false">IF(EB.Anwendung&lt;&gt;"",March!Monat.KompZZSND.Total,"")</f>
        <v>0</v>
      </c>
      <c r="X17" s="66" t="n">
        <f aca="false">IF(EB.Anwendung&lt;&gt;"",March!Monat.ZZNdUe,"")</f>
        <v>0</v>
      </c>
      <c r="Y17" s="66" t="n">
        <f aca="false">IF(EB.Anwendung&lt;&gt;"",March!Monat.Abendarbeit.Total,"")</f>
        <v>0</v>
      </c>
      <c r="Z17" s="66" t="n">
        <f aca="false">IF(EB.Anwendung&lt;&gt;"",March!Monat.BD.Total,"")</f>
        <v>0</v>
      </c>
      <c r="AA17" s="66" t="n">
        <f aca="false">IF(EB.Anwendung&lt;&gt;"",March!Monat.SD.Total,"")</f>
        <v>0</v>
      </c>
      <c r="AB17" s="172"/>
      <c r="AC17" s="66" t="n">
        <f aca="false">IF(IF(EB.Anwendung&lt;&gt;"",March!Monat.FerienKor.Total,"")="+",IF(EB.Anwendung&lt;&gt;"",March!Monat.Ferien.Total,"")-IF(EB.Anwendung&lt;&gt;"",March!Monat.FerienKor.Total,""),IF(EB.Anwendung&lt;&gt;"",March!Monat.Ferien.Total,"")+IF(EB.Anwendung&lt;&gt;"",March!Monat.FerienKor.Total,""))</f>
        <v>0</v>
      </c>
      <c r="AD17" s="66" t="n">
        <f aca="false">IF(EB.Anwendung&lt;&gt;"",March!Monat.AB.Total,"")</f>
        <v>0</v>
      </c>
      <c r="AE17" s="66" t="n">
        <f aca="false">IF(EB.Anwendung&lt;&gt;"",March!Monat.Krank.Total,"")</f>
        <v>0</v>
      </c>
      <c r="AF17" s="66" t="n">
        <f aca="false">IF(EB.Anwendung&lt;&gt;"",March!Monat.BU.Total,"")</f>
        <v>0</v>
      </c>
      <c r="AG17" s="66" t="n">
        <f aca="false">IF(EB.Anwendung&lt;&gt;"",March!Monat.NBU.Total,"")</f>
        <v>0</v>
      </c>
      <c r="AH17" s="66" t="n">
        <f aca="false">IF(EB.Anwendung&lt;&gt;"",March!Monat.Militaer.Total,"")</f>
        <v>0</v>
      </c>
      <c r="AI17" s="66" t="n">
        <f aca="false">IF(EB.Anwendung&lt;&gt;"",March!Monat.WB.Total,"")</f>
        <v>0</v>
      </c>
      <c r="AJ17" s="66" t="n">
        <f aca="false">IF(EB.Anwendung&lt;&gt;"",March!Monat.BesU.Total,"")</f>
        <v>0</v>
      </c>
      <c r="AK17" s="66" t="n">
        <f aca="false">IF(EB.Anwendung&lt;&gt;"",March!Monat.UnbesU.Total,"")</f>
        <v>0</v>
      </c>
      <c r="AL17" s="66" t="n">
        <f aca="false">IF(EB.Anwendung&lt;&gt;"",March!Monat.NB.Total,"")</f>
        <v>0</v>
      </c>
      <c r="AM17" s="66" t="n">
        <f aca="false">IF(EB.Anwendung&lt;&gt;"",March!Monat.DAG.Total,"")</f>
        <v>0</v>
      </c>
      <c r="AN17" s="310"/>
      <c r="AO17" s="66" t="n">
        <f aca="false">IF(EB.Anwendung&lt;&gt;"",March!Monat.ein_aus.Total,"")</f>
        <v>0</v>
      </c>
    </row>
    <row r="18" s="148" customFormat="true" ht="15" hidden="false" customHeight="true" outlineLevel="0" collapsed="false">
      <c r="A18" s="322" t="str">
        <f aca="false">INDEX(EB.Monate.Bereich,4,0)</f>
        <v>April</v>
      </c>
      <c r="B18" s="172"/>
      <c r="C18" s="77" t="n">
        <f aca="false">F18+E18</f>
        <v>6.75</v>
      </c>
      <c r="D18" s="323" t="n">
        <f aca="false">IF(Eingabeblatt!H16="","-     ",Eingabeblatt!H16)</f>
        <v>100</v>
      </c>
      <c r="E18" s="77" t="n">
        <f aca="false">Eingabeblatt!I16</f>
        <v>6.825</v>
      </c>
      <c r="F18" s="77" t="n">
        <f aca="false">IF(EB.Anwendung&lt;&gt;"",April!Monat.Soll_Ist_UeVM,"")</f>
        <v>-0.075</v>
      </c>
      <c r="G18" s="77" t="n">
        <f aca="true">IF(AND(EB.UJEintritt&lt;&gt;"",MONTH(EB.UJEintritt)&gt;ROW(C18)-ROW($C$15)+1),0,($G$12-SUM(OFFSET($C$15,0,0,ROW(C18)-ROW($C$15)+1))))</f>
        <v>58.675</v>
      </c>
      <c r="H18" s="310"/>
      <c r="I18" s="66" t="n">
        <f aca="false">IF(EB.Anwendung&lt;&gt;"",April!Monat.AnUeZ.Total,"")</f>
        <v>0</v>
      </c>
      <c r="J18" s="66" t="n">
        <f aca="false">IF(EB.Anwendung&lt;&gt;"",April!Monat.KomUeZ.Total,"")</f>
        <v>0</v>
      </c>
      <c r="K18" s="66" t="str">
        <f aca="false">IF(IF(EB.Anwendung&lt;&gt;"",April!Monat.UeZ.Saldo,"")&lt;=0,"-     ",IF(EB.Anwendung&lt;&gt;"",April!Monat.UeZ.Saldo,""))</f>
        <v>-     </v>
      </c>
      <c r="L18" s="66" t="str">
        <f aca="false">IF(IF(EB.Anwendung&lt;&gt;"",April!Monat.ZS.Total,"")&lt;=0,"-     ",IF(EB.Anwendung&lt;&gt;"",April!Monat.ZS.Total,""))</f>
        <v>-     </v>
      </c>
      <c r="M18" s="66" t="n">
        <f aca="false">IF(EB.Anwendung&lt;&gt;"",April!Monat.UeZ.Total,"")</f>
        <v>0</v>
      </c>
      <c r="N18" s="57"/>
      <c r="O18" s="77" t="n">
        <f aca="false">IF(EB.Anwendung&lt;&gt;"",April!Monat.Soll_Ist_UeVM-April!Monat.AnUeZ.Total,"")</f>
        <v>-0.075</v>
      </c>
      <c r="P18" s="66" t="n">
        <f aca="false">IF(EB.Anwendung&lt;&gt;"",April!Monat.KomAZ.Total,"")</f>
        <v>0</v>
      </c>
      <c r="Q18" s="179"/>
      <c r="R18" s="324" t="str">
        <f aca="false">IF(EB.Anwendung&lt;&gt;"",April!Monat.Pikett.Zähler,"")</f>
        <v>0 / 0 / 0</v>
      </c>
      <c r="S18" s="66" t="n">
        <f aca="false">IF(EB.Anwendung&lt;&gt;"",April!Monat.ein_aus_Pikett.Total,"")</f>
        <v>0</v>
      </c>
      <c r="T18" s="66" t="n">
        <f aca="false">IF(EB.Anwendung&lt;&gt;"",April!Monat.ND.Total,"")</f>
        <v>0</v>
      </c>
      <c r="U18" s="324" t="n">
        <f aca="false">IF(EB.Anwendung&lt;&gt;"",April!Monat.ZählerND.Total,"")</f>
        <v>0</v>
      </c>
      <c r="V18" s="66" t="n">
        <f aca="false">IF(EB.Anwendung&lt;&gt;"",April!Monat.ZZSND.Total,"")</f>
        <v>0</v>
      </c>
      <c r="W18" s="66" t="n">
        <f aca="false">IF(EB.Anwendung&lt;&gt;"",April!Monat.KompZZSND.Total,"")</f>
        <v>0</v>
      </c>
      <c r="X18" s="66" t="n">
        <f aca="false">IF(EB.Anwendung&lt;&gt;"",April!Monat.ZZNdUe,"")</f>
        <v>0</v>
      </c>
      <c r="Y18" s="66" t="n">
        <f aca="false">IF(EB.Anwendung&lt;&gt;"",April!Monat.Abendarbeit.Total,"")</f>
        <v>0</v>
      </c>
      <c r="Z18" s="66" t="n">
        <f aca="false">IF(EB.Anwendung&lt;&gt;"",April!Monat.BD.Total,"")</f>
        <v>0</v>
      </c>
      <c r="AA18" s="66" t="n">
        <f aca="false">IF(EB.Anwendung&lt;&gt;"",April!Monat.SD.Total,"")</f>
        <v>0</v>
      </c>
      <c r="AB18" s="172"/>
      <c r="AC18" s="66" t="n">
        <f aca="false">IF(IF(EB.Anwendung&lt;&gt;"",April!Monat.FerienKor.Total,"")="+",IF(EB.Anwendung&lt;&gt;"",April!Monat.Ferien.Total,"")-IF(EB.Anwendung&lt;&gt;"",April!Monat.FerienKor.Total,""),IF(EB.Anwendung&lt;&gt;"",April!Monat.Ferien.Total,"")+IF(EB.Anwendung&lt;&gt;"",April!Monat.FerienKor.Total,""))</f>
        <v>0</v>
      </c>
      <c r="AD18" s="66" t="n">
        <f aca="false">IF(EB.Anwendung&lt;&gt;"",April!Monat.AB.Total,"")</f>
        <v>0</v>
      </c>
      <c r="AE18" s="66" t="n">
        <f aca="false">IF(EB.Anwendung&lt;&gt;"",April!Monat.Krank.Total,"")</f>
        <v>0</v>
      </c>
      <c r="AF18" s="66" t="n">
        <f aca="false">IF(EB.Anwendung&lt;&gt;"",April!Monat.BU.Total,"")</f>
        <v>0</v>
      </c>
      <c r="AG18" s="66" t="n">
        <f aca="false">IF(EB.Anwendung&lt;&gt;"",April!Monat.NBU.Total,"")</f>
        <v>0</v>
      </c>
      <c r="AH18" s="66" t="n">
        <f aca="false">IF(EB.Anwendung&lt;&gt;"",April!Monat.Militaer.Total,"")</f>
        <v>0</v>
      </c>
      <c r="AI18" s="66" t="n">
        <f aca="false">IF(EB.Anwendung&lt;&gt;"",April!Monat.WB.Total,"")</f>
        <v>0</v>
      </c>
      <c r="AJ18" s="66" t="n">
        <f aca="false">IF(EB.Anwendung&lt;&gt;"",April!Monat.BesU.Total,"")</f>
        <v>0</v>
      </c>
      <c r="AK18" s="66" t="n">
        <f aca="false">IF(EB.Anwendung&lt;&gt;"",April!Monat.UnbesU.Total,"")</f>
        <v>0</v>
      </c>
      <c r="AL18" s="66" t="n">
        <f aca="false">IF(EB.Anwendung&lt;&gt;"",April!Monat.NB.Total,"")</f>
        <v>0</v>
      </c>
      <c r="AM18" s="66" t="n">
        <f aca="false">IF(EB.Anwendung&lt;&gt;"",April!Monat.DAG.Total,"")</f>
        <v>0</v>
      </c>
      <c r="AN18" s="310"/>
      <c r="AO18" s="66" t="n">
        <f aca="false">IF(EB.Anwendung&lt;&gt;"",April!Monat.ein_aus.Total,"")</f>
        <v>6.75</v>
      </c>
    </row>
    <row r="19" s="148" customFormat="true" ht="15" hidden="false" customHeight="true" outlineLevel="0" collapsed="false">
      <c r="A19" s="322" t="str">
        <f aca="false">INDEX(EB.Monate.Bereich,5,0)</f>
        <v>May</v>
      </c>
      <c r="B19" s="172"/>
      <c r="C19" s="77" t="n">
        <f aca="false">F19+E19</f>
        <v>3.756944445</v>
      </c>
      <c r="D19" s="323" t="n">
        <f aca="false">IF(Eingabeblatt!H17="","-     ",Eingabeblatt!H17)</f>
        <v>100</v>
      </c>
      <c r="E19" s="77" t="n">
        <f aca="false">Eingabeblatt!I17</f>
        <v>6.9</v>
      </c>
      <c r="F19" s="77" t="n">
        <f aca="false">IF(EB.Anwendung&lt;&gt;"",May!Monat.Soll_Ist_UeVM,"")</f>
        <v>-3.143055555</v>
      </c>
      <c r="G19" s="77" t="n">
        <f aca="true">IF(AND(EB.UJEintritt&lt;&gt;"",MONTH(EB.UJEintritt)&gt;ROW(C19)-ROW($C$15)+1),0,($G$12-SUM(OFFSET($C$15,0,0,ROW(C19)-ROW($C$15)+1))))</f>
        <v>54.918055555</v>
      </c>
      <c r="H19" s="310"/>
      <c r="I19" s="66" t="n">
        <f aca="false">IF(EB.Anwendung&lt;&gt;"",May!Monat.AnUeZ.Total,"")</f>
        <v>0</v>
      </c>
      <c r="J19" s="66" t="n">
        <f aca="false">IF(EB.Anwendung&lt;&gt;"",May!Monat.KomUeZ.Total,"")</f>
        <v>0</v>
      </c>
      <c r="K19" s="66" t="str">
        <f aca="false">IF(IF(EB.Anwendung&lt;&gt;"",May!Monat.UeZ.Saldo,"")&lt;=0,"-     ",IF(EB.Anwendung&lt;&gt;"",May!Monat.UeZ.Saldo,""))</f>
        <v>-     </v>
      </c>
      <c r="L19" s="66" t="str">
        <f aca="false">IF(IF(EB.Anwendung&lt;&gt;"",May!Monat.ZS.Total,"")&lt;=0,"-     ",IF(EB.Anwendung&lt;&gt;"",May!Monat.ZS.Total,""))</f>
        <v>-     </v>
      </c>
      <c r="M19" s="66" t="n">
        <f aca="false">IF(EB.Anwendung&lt;&gt;"",May!Monat.UeZ.Total,"")</f>
        <v>0</v>
      </c>
      <c r="N19" s="57"/>
      <c r="O19" s="77" t="n">
        <f aca="false">IF(EB.Anwendung&lt;&gt;"",May!Monat.Soll_Ist_UeVM-May!Monat.AnUeZ.Total,"")</f>
        <v>-3.143055555</v>
      </c>
      <c r="P19" s="66" t="n">
        <f aca="false">IF(EB.Anwendung&lt;&gt;"",May!Monat.KomAZ.Total,"")</f>
        <v>0</v>
      </c>
      <c r="Q19" s="179"/>
      <c r="R19" s="324" t="str">
        <f aca="false">IF(EB.Anwendung&lt;&gt;"",May!Monat.Pikett.Zähler,"")</f>
        <v>0 / 0 / 0</v>
      </c>
      <c r="S19" s="66" t="n">
        <f aca="false">IF(EB.Anwendung&lt;&gt;"",May!Monat.ein_aus_Pikett.Total,"")</f>
        <v>0</v>
      </c>
      <c r="T19" s="66" t="n">
        <f aca="false">IF(EB.Anwendung&lt;&gt;"",May!Monat.ND.Total,"")</f>
        <v>0</v>
      </c>
      <c r="U19" s="324" t="n">
        <f aca="false">IF(EB.Anwendung&lt;&gt;"",May!Monat.ZählerND.Total,"")</f>
        <v>0</v>
      </c>
      <c r="V19" s="66" t="n">
        <f aca="false">IF(EB.Anwendung&lt;&gt;"",May!Monat.ZZSND.Total,"")</f>
        <v>0</v>
      </c>
      <c r="W19" s="66" t="n">
        <f aca="false">IF(EB.Anwendung&lt;&gt;"",May!Monat.KompZZSND.Total,"")</f>
        <v>0</v>
      </c>
      <c r="X19" s="66" t="n">
        <f aca="false">IF(EB.Anwendung&lt;&gt;"",May!Monat.ZZNdUe,"")</f>
        <v>0</v>
      </c>
      <c r="Y19" s="66" t="n">
        <f aca="false">IF(EB.Anwendung&lt;&gt;"",May!Monat.Abendarbeit.Total,"")</f>
        <v>0</v>
      </c>
      <c r="Z19" s="66" t="n">
        <f aca="false">IF(EB.Anwendung&lt;&gt;"",May!Monat.BD.Total,"")</f>
        <v>0</v>
      </c>
      <c r="AA19" s="66" t="n">
        <f aca="false">IF(EB.Anwendung&lt;&gt;"",May!Monat.SD.Total,"")</f>
        <v>0</v>
      </c>
      <c r="AB19" s="172"/>
      <c r="AC19" s="66" t="n">
        <f aca="false">IF(IF(EB.Anwendung&lt;&gt;"",May!Monat.FerienKor.Total,"")="+",IF(EB.Anwendung&lt;&gt;"",May!Monat.Ferien.Total,"")-IF(EB.Anwendung&lt;&gt;"",May!Monat.FerienKor.Total,""),IF(EB.Anwendung&lt;&gt;"",May!Monat.Ferien.Total,"")+IF(EB.Anwendung&lt;&gt;"",May!Monat.FerienKor.Total,""))</f>
        <v>0</v>
      </c>
      <c r="AD19" s="66" t="n">
        <f aca="false">IF(EB.Anwendung&lt;&gt;"",May!Monat.AB.Total,"")</f>
        <v>0</v>
      </c>
      <c r="AE19" s="66" t="n">
        <f aca="false">IF(EB.Anwendung&lt;&gt;"",May!Monat.Krank.Total,"")</f>
        <v>0</v>
      </c>
      <c r="AF19" s="66" t="n">
        <f aca="false">IF(EB.Anwendung&lt;&gt;"",May!Monat.BU.Total,"")</f>
        <v>0</v>
      </c>
      <c r="AG19" s="66" t="n">
        <f aca="false">IF(EB.Anwendung&lt;&gt;"",May!Monat.NBU.Total,"")</f>
        <v>0</v>
      </c>
      <c r="AH19" s="66" t="n">
        <f aca="false">IF(EB.Anwendung&lt;&gt;"",May!Monat.Militaer.Total,"")</f>
        <v>0</v>
      </c>
      <c r="AI19" s="66" t="n">
        <f aca="false">IF(EB.Anwendung&lt;&gt;"",May!Monat.WB.Total,"")</f>
        <v>0</v>
      </c>
      <c r="AJ19" s="66" t="n">
        <f aca="false">IF(EB.Anwendung&lt;&gt;"",May!Monat.BesU.Total,"")</f>
        <v>0</v>
      </c>
      <c r="AK19" s="66" t="n">
        <f aca="false">IF(EB.Anwendung&lt;&gt;"",May!Monat.UnbesU.Total,"")</f>
        <v>0</v>
      </c>
      <c r="AL19" s="66" t="n">
        <f aca="false">IF(EB.Anwendung&lt;&gt;"",May!Monat.NB.Total,"")</f>
        <v>0</v>
      </c>
      <c r="AM19" s="66" t="n">
        <f aca="false">IF(EB.Anwendung&lt;&gt;"",May!Monat.DAG.Total,"")</f>
        <v>0</v>
      </c>
      <c r="AN19" s="310"/>
      <c r="AO19" s="66" t="n">
        <f aca="false">IF(EB.Anwendung&lt;&gt;"",May!Monat.ein_aus.Total,"")</f>
        <v>3.756944445</v>
      </c>
    </row>
    <row r="20" s="148" customFormat="true" ht="15" hidden="false" customHeight="true" outlineLevel="0" collapsed="false">
      <c r="A20" s="322" t="str">
        <f aca="false">INDEX(EB.Monate.Bereich,6,0)</f>
        <v>June</v>
      </c>
      <c r="B20" s="172"/>
      <c r="C20" s="77" t="n">
        <f aca="false">F20+E20</f>
        <v>0</v>
      </c>
      <c r="D20" s="323" t="n">
        <f aca="false">IF(Eingabeblatt!H18="","-     ",Eingabeblatt!H18)</f>
        <v>100</v>
      </c>
      <c r="E20" s="77" t="n">
        <f aca="false">Eingabeblatt!I18</f>
        <v>7.35</v>
      </c>
      <c r="F20" s="77" t="n">
        <f aca="false">IF(EB.Anwendung&lt;&gt;"",June!Monat.Soll_Ist_UeVM,"")</f>
        <v>-7.35</v>
      </c>
      <c r="G20" s="77" t="n">
        <f aca="true">IF(AND(EB.UJEintritt&lt;&gt;"",MONTH(EB.UJEintritt)&gt;ROW(C20)-ROW($C$15)+1),0,($G$12-SUM(OFFSET($C$15,0,0,ROW(C20)-ROW($C$15)+1))))</f>
        <v>54.918055555</v>
      </c>
      <c r="H20" s="310"/>
      <c r="I20" s="66" t="n">
        <f aca="false">IF(EB.Anwendung&lt;&gt;"",June!Monat.AnUeZ.Total,"")</f>
        <v>0</v>
      </c>
      <c r="J20" s="66" t="n">
        <f aca="false">IF(EB.Anwendung&lt;&gt;"",June!Monat.KomUeZ.Total,"")</f>
        <v>0</v>
      </c>
      <c r="K20" s="66" t="str">
        <f aca="false">IF(IF(EB.Anwendung&lt;&gt;"",June!Monat.UeZ.Saldo,"")&lt;=0,"-     ",IF(EB.Anwendung&lt;&gt;"",June!Monat.UeZ.Saldo,""))</f>
        <v>-     </v>
      </c>
      <c r="L20" s="66" t="str">
        <f aca="false">IF(IF(EB.Anwendung&lt;&gt;"",June!Monat.ZS.Total,"")&lt;=0,"-     ",IF(EB.Anwendung&lt;&gt;"",June!Monat.ZS.Total,""))</f>
        <v>-     </v>
      </c>
      <c r="M20" s="66" t="n">
        <f aca="false">IF(EB.Anwendung&lt;&gt;"",June!Monat.UeZ.Total,"")</f>
        <v>0</v>
      </c>
      <c r="N20" s="57"/>
      <c r="O20" s="77" t="n">
        <f aca="false">IF(EB.Anwendung&lt;&gt;"",June!Monat.Soll_Ist_UeVM-June!Monat.AnUeZ.Total,"")</f>
        <v>-7.35</v>
      </c>
      <c r="P20" s="66" t="n">
        <f aca="false">IF(EB.Anwendung&lt;&gt;"",June!Monat.KomAZ.Total,"")</f>
        <v>0</v>
      </c>
      <c r="Q20" s="179"/>
      <c r="R20" s="324" t="str">
        <f aca="false">IF(EB.Anwendung&lt;&gt;"",June!Monat.Pikett.Zähler,"")</f>
        <v>0 / 0 / 0</v>
      </c>
      <c r="S20" s="66" t="n">
        <f aca="false">IF(EB.Anwendung&lt;&gt;"",June!Monat.ein_aus_Pikett.Total,"")</f>
        <v>0</v>
      </c>
      <c r="T20" s="66" t="n">
        <f aca="false">IF(EB.Anwendung&lt;&gt;"",June!Monat.ND.Total,"")</f>
        <v>0</v>
      </c>
      <c r="U20" s="324" t="n">
        <f aca="false">IF(EB.Anwendung&lt;&gt;"",June!Monat.ZählerND.Total,"")</f>
        <v>0</v>
      </c>
      <c r="V20" s="66" t="n">
        <f aca="false">IF(EB.Anwendung&lt;&gt;"",June!Monat.ZZSND.Total,"")</f>
        <v>0</v>
      </c>
      <c r="W20" s="66" t="n">
        <f aca="false">IF(EB.Anwendung&lt;&gt;"",June!Monat.KompZZSND.Total,"")</f>
        <v>0</v>
      </c>
      <c r="X20" s="66" t="n">
        <f aca="false">IF(EB.Anwendung&lt;&gt;"",June!Monat.ZZNdUe,"")</f>
        <v>0</v>
      </c>
      <c r="Y20" s="66" t="n">
        <f aca="false">IF(EB.Anwendung&lt;&gt;"",June!Monat.Abendarbeit.Total,"")</f>
        <v>0</v>
      </c>
      <c r="Z20" s="66" t="n">
        <f aca="false">IF(EB.Anwendung&lt;&gt;"",June!Monat.BD.Total,"")</f>
        <v>0</v>
      </c>
      <c r="AA20" s="66" t="n">
        <f aca="false">IF(EB.Anwendung&lt;&gt;"",June!Monat.SD.Total,"")</f>
        <v>0</v>
      </c>
      <c r="AB20" s="172"/>
      <c r="AC20" s="66" t="n">
        <f aca="false">IF(IF(EB.Anwendung&lt;&gt;"",June!Monat.FerienKor.Total,"")="+",IF(EB.Anwendung&lt;&gt;"",June!Monat.Ferien.Total,"")-IF(EB.Anwendung&lt;&gt;"",June!Monat.FerienKor.Total,""),IF(EB.Anwendung&lt;&gt;"",June!Monat.Ferien.Total,"")+IF(EB.Anwendung&lt;&gt;"",June!Monat.FerienKor.Total,""))</f>
        <v>0</v>
      </c>
      <c r="AD20" s="66" t="n">
        <f aca="false">IF(EB.Anwendung&lt;&gt;"",June!Monat.AB.Total,"")</f>
        <v>0</v>
      </c>
      <c r="AE20" s="66" t="n">
        <f aca="false">IF(EB.Anwendung&lt;&gt;"",June!Monat.Krank.Total,"")</f>
        <v>0</v>
      </c>
      <c r="AF20" s="66" t="n">
        <f aca="false">IF(EB.Anwendung&lt;&gt;"",June!Monat.BU.Total,"")</f>
        <v>0</v>
      </c>
      <c r="AG20" s="66" t="n">
        <f aca="false">IF(EB.Anwendung&lt;&gt;"",June!Monat.NBU.Total,"")</f>
        <v>0</v>
      </c>
      <c r="AH20" s="66" t="n">
        <f aca="false">IF(EB.Anwendung&lt;&gt;"",June!Monat.Militaer.Total,"")</f>
        <v>0</v>
      </c>
      <c r="AI20" s="66" t="n">
        <f aca="false">IF(EB.Anwendung&lt;&gt;"",June!Monat.WB.Total,"")</f>
        <v>0</v>
      </c>
      <c r="AJ20" s="66" t="n">
        <f aca="false">IF(EB.Anwendung&lt;&gt;"",June!Monat.BesU.Total,"")</f>
        <v>0</v>
      </c>
      <c r="AK20" s="66" t="n">
        <f aca="false">IF(EB.Anwendung&lt;&gt;"",June!Monat.UnbesU.Total,"")</f>
        <v>0</v>
      </c>
      <c r="AL20" s="66" t="n">
        <f aca="false">IF(EB.Anwendung&lt;&gt;"",June!Monat.NB.Total,"")</f>
        <v>0</v>
      </c>
      <c r="AM20" s="66" t="n">
        <f aca="false">IF(EB.Anwendung&lt;&gt;"",June!Monat.DAG.Total,"")</f>
        <v>0</v>
      </c>
      <c r="AN20" s="310"/>
      <c r="AO20" s="66" t="n">
        <f aca="false">IF(EB.Anwendung&lt;&gt;"",June!Monat.ein_aus.Total,"")</f>
        <v>0</v>
      </c>
    </row>
    <row r="21" s="148" customFormat="true" ht="15" hidden="false" customHeight="true" outlineLevel="0" collapsed="false">
      <c r="A21" s="322" t="str">
        <f aca="false">INDEX(EB.Monate.Bereich,7,0)</f>
        <v>July</v>
      </c>
      <c r="B21" s="172"/>
      <c r="C21" s="77" t="n">
        <f aca="false">F21+E21</f>
        <v>0</v>
      </c>
      <c r="D21" s="323" t="n">
        <f aca="false">IF(Eingabeblatt!H19="","-     ",Eingabeblatt!H19)</f>
        <v>100</v>
      </c>
      <c r="E21" s="77" t="n">
        <f aca="false">Eingabeblatt!I19</f>
        <v>7.7</v>
      </c>
      <c r="F21" s="77" t="n">
        <f aca="false">IF(EB.Anwendung&lt;&gt;"",July!Monat.Soll_Ist_UeVM,"")</f>
        <v>-7.7</v>
      </c>
      <c r="G21" s="77" t="n">
        <f aca="true">IF(AND(EB.UJEintritt&lt;&gt;"",MONTH(EB.UJEintritt)&gt;ROW(C21)-ROW($C$15)+1),0,($G$12-SUM(OFFSET($C$15,0,0,ROW(C21)-ROW($C$15)+1))))</f>
        <v>54.918055555</v>
      </c>
      <c r="H21" s="310"/>
      <c r="I21" s="66" t="n">
        <f aca="false">IF(EB.Anwendung&lt;&gt;"",July!Monat.AnUeZ.Total,"")</f>
        <v>0</v>
      </c>
      <c r="J21" s="66" t="n">
        <f aca="false">IF(EB.Anwendung&lt;&gt;"",July!Monat.KomUeZ.Total,"")</f>
        <v>0</v>
      </c>
      <c r="K21" s="66" t="str">
        <f aca="false">IF(IF(EB.Anwendung&lt;&gt;"",July!Monat.UeZ.Saldo,"")&lt;=0,"-     ",IF(EB.Anwendung&lt;&gt;"",July!Monat.UeZ.Saldo,""))</f>
        <v>-     </v>
      </c>
      <c r="L21" s="66" t="str">
        <f aca="false">IF(IF(EB.Anwendung&lt;&gt;"",July!Monat.ZS.Total,"")&lt;=0,"-     ",IF(EB.Anwendung&lt;&gt;"",July!Monat.ZS.Total,""))</f>
        <v>-     </v>
      </c>
      <c r="M21" s="66" t="n">
        <f aca="false">IF(EB.Anwendung&lt;&gt;"",July!Monat.UeZ.Total,"")</f>
        <v>0</v>
      </c>
      <c r="N21" s="57"/>
      <c r="O21" s="77" t="n">
        <f aca="false">IF(EB.Anwendung&lt;&gt;"",July!Monat.Soll_Ist_UeVM-July!Monat.AnUeZ.Total,"")</f>
        <v>-7.7</v>
      </c>
      <c r="P21" s="66" t="n">
        <f aca="false">IF(EB.Anwendung&lt;&gt;"",July!Monat.KomAZ.Total,"")</f>
        <v>0</v>
      </c>
      <c r="Q21" s="179"/>
      <c r="R21" s="324" t="str">
        <f aca="false">IF(EB.Anwendung&lt;&gt;"",July!Monat.Pikett.Zähler,"")</f>
        <v>0 / 0 / 0</v>
      </c>
      <c r="S21" s="66" t="n">
        <f aca="false">IF(EB.Anwendung&lt;&gt;"",July!Monat.ein_aus_Pikett.Total,"")</f>
        <v>0</v>
      </c>
      <c r="T21" s="66" t="n">
        <f aca="false">IF(EB.Anwendung&lt;&gt;"",July!Monat.ND.Total,"")</f>
        <v>0</v>
      </c>
      <c r="U21" s="324" t="n">
        <f aca="false">IF(EB.Anwendung&lt;&gt;"",July!Monat.ZählerND.Total,"")</f>
        <v>0</v>
      </c>
      <c r="V21" s="66" t="n">
        <f aca="false">IF(EB.Anwendung&lt;&gt;"",July!Monat.ZZSND.Total,"")</f>
        <v>0</v>
      </c>
      <c r="W21" s="66" t="n">
        <f aca="false">IF(EB.Anwendung&lt;&gt;"",July!Monat.KompZZSND.Total,"")</f>
        <v>0</v>
      </c>
      <c r="X21" s="66" t="n">
        <f aca="false">IF(EB.Anwendung&lt;&gt;"",July!Monat.ZZNdUe,"")</f>
        <v>0</v>
      </c>
      <c r="Y21" s="66" t="n">
        <f aca="false">IF(EB.Anwendung&lt;&gt;"",July!Monat.Abendarbeit.Total,"")</f>
        <v>0</v>
      </c>
      <c r="Z21" s="66" t="n">
        <f aca="false">IF(EB.Anwendung&lt;&gt;"",July!Monat.BD.Total,"")</f>
        <v>0</v>
      </c>
      <c r="AA21" s="66" t="n">
        <f aca="false">IF(EB.Anwendung&lt;&gt;"",July!Monat.SD.Total,"")</f>
        <v>0</v>
      </c>
      <c r="AB21" s="172"/>
      <c r="AC21" s="66" t="n">
        <f aca="false">IF(IF(EB.Anwendung&lt;&gt;"",July!Monat.FerienKor.Total,"")="+",IF(EB.Anwendung&lt;&gt;"",July!Monat.Ferien.Total,"")-IF(EB.Anwendung&lt;&gt;"",July!Monat.FerienKor.Total,""),IF(EB.Anwendung&lt;&gt;"",July!Monat.Ferien.Total,"")+IF(EB.Anwendung&lt;&gt;"",July!Monat.FerienKor.Total,""))</f>
        <v>0</v>
      </c>
      <c r="AD21" s="66" t="n">
        <f aca="false">IF(EB.Anwendung&lt;&gt;"",July!Monat.AB.Total,"")</f>
        <v>0</v>
      </c>
      <c r="AE21" s="66" t="n">
        <f aca="false">IF(EB.Anwendung&lt;&gt;"",July!Monat.Krank.Total,"")</f>
        <v>0</v>
      </c>
      <c r="AF21" s="66" t="n">
        <f aca="false">IF(EB.Anwendung&lt;&gt;"",July!Monat.BU.Total,"")</f>
        <v>0</v>
      </c>
      <c r="AG21" s="66" t="n">
        <f aca="false">IF(EB.Anwendung&lt;&gt;"",July!Monat.NBU.Total,"")</f>
        <v>0</v>
      </c>
      <c r="AH21" s="66" t="n">
        <f aca="false">IF(EB.Anwendung&lt;&gt;"",July!Monat.Militaer.Total,"")</f>
        <v>0</v>
      </c>
      <c r="AI21" s="66" t="n">
        <f aca="false">IF(EB.Anwendung&lt;&gt;"",July!Monat.WB.Total,"")</f>
        <v>0</v>
      </c>
      <c r="AJ21" s="66" t="n">
        <f aca="false">IF(EB.Anwendung&lt;&gt;"",July!Monat.BesU.Total,"")</f>
        <v>0</v>
      </c>
      <c r="AK21" s="66" t="n">
        <f aca="false">IF(EB.Anwendung&lt;&gt;"",July!Monat.UnbesU.Total,"")</f>
        <v>0</v>
      </c>
      <c r="AL21" s="66" t="n">
        <f aca="false">IF(EB.Anwendung&lt;&gt;"",July!Monat.NB.Total,"")</f>
        <v>0</v>
      </c>
      <c r="AM21" s="66" t="n">
        <f aca="false">IF(EB.Anwendung&lt;&gt;"",July!Monat.DAG.Total,"")</f>
        <v>0</v>
      </c>
      <c r="AN21" s="310"/>
      <c r="AO21" s="66" t="n">
        <f aca="false">IF(EB.Anwendung&lt;&gt;"",July!Monat.ein_aus.Total,"")</f>
        <v>0</v>
      </c>
    </row>
    <row r="22" s="148" customFormat="true" ht="15" hidden="false" customHeight="true" outlineLevel="0" collapsed="false">
      <c r="A22" s="322" t="str">
        <f aca="false">INDEX(EB.Monate.Bereich,8,0)</f>
        <v>August</v>
      </c>
      <c r="B22" s="172"/>
      <c r="C22" s="77" t="n">
        <f aca="false">F22+E22</f>
        <v>0</v>
      </c>
      <c r="D22" s="323" t="n">
        <f aca="false">IF(Eingabeblatt!H20="","-     ",Eingabeblatt!H20)</f>
        <v>100</v>
      </c>
      <c r="E22" s="77" t="n">
        <f aca="false">Eingabeblatt!I20</f>
        <v>7.7</v>
      </c>
      <c r="F22" s="77" t="n">
        <f aca="false">IF(EB.Anwendung&lt;&gt;"",August!Monat.Soll_Ist_UeVM,"")</f>
        <v>-7.7</v>
      </c>
      <c r="G22" s="77" t="n">
        <f aca="true">IF(AND(EB.UJEintritt&lt;&gt;"",MONTH(EB.UJEintritt)&gt;ROW(C22)-ROW($C$15)+1),0,($G$12-SUM(OFFSET($C$15,0,0,ROW(C22)-ROW($C$15)+1))))</f>
        <v>54.918055555</v>
      </c>
      <c r="H22" s="310"/>
      <c r="I22" s="66" t="n">
        <f aca="false">IF(EB.Anwendung&lt;&gt;"",August!Monat.AnUeZ.Total,"")</f>
        <v>0</v>
      </c>
      <c r="J22" s="66" t="n">
        <f aca="false">IF(EB.Anwendung&lt;&gt;"",August!Monat.KomUeZ.Total,"")</f>
        <v>0</v>
      </c>
      <c r="K22" s="66" t="str">
        <f aca="false">IF(IF(EB.Anwendung&lt;&gt;"",August!Monat.UeZ.Saldo,"")&lt;=0,"-     ",IF(EB.Anwendung&lt;&gt;"",August!Monat.UeZ.Saldo,""))</f>
        <v>-     </v>
      </c>
      <c r="L22" s="66" t="str">
        <f aca="false">IF(IF(EB.Anwendung&lt;&gt;"",August!Monat.ZS.Total,"")&lt;=0,"-     ",IF(EB.Anwendung&lt;&gt;"",August!Monat.ZS.Total,""))</f>
        <v>-     </v>
      </c>
      <c r="M22" s="66" t="n">
        <f aca="false">IF(EB.Anwendung&lt;&gt;"",August!Monat.UeZ.Total,"")</f>
        <v>0</v>
      </c>
      <c r="N22" s="57"/>
      <c r="O22" s="77" t="n">
        <f aca="false">IF(EB.Anwendung&lt;&gt;"",August!Monat.Soll_Ist_UeVM-August!Monat.AnUeZ.Total,"")</f>
        <v>-7.7</v>
      </c>
      <c r="P22" s="66" t="n">
        <f aca="false">IF(EB.Anwendung&lt;&gt;"",August!Monat.KomAZ.Total,"")</f>
        <v>0</v>
      </c>
      <c r="Q22" s="179"/>
      <c r="R22" s="324" t="str">
        <f aca="false">IF(EB.Anwendung&lt;&gt;"",August!Monat.Pikett.Zähler,"")</f>
        <v>0 / 0 / 0</v>
      </c>
      <c r="S22" s="66" t="n">
        <f aca="false">IF(EB.Anwendung&lt;&gt;"",August!Monat.ein_aus_Pikett.Total,"")</f>
        <v>0</v>
      </c>
      <c r="T22" s="66" t="n">
        <f aca="false">IF(EB.Anwendung&lt;&gt;"",August!Monat.ND.Total,"")</f>
        <v>0</v>
      </c>
      <c r="U22" s="324" t="n">
        <f aca="false">IF(EB.Anwendung&lt;&gt;"",August!Monat.ZählerND.Total,"")</f>
        <v>0</v>
      </c>
      <c r="V22" s="66" t="n">
        <f aca="false">IF(EB.Anwendung&lt;&gt;"",August!Monat.ZZSND.Total,"")</f>
        <v>0</v>
      </c>
      <c r="W22" s="66" t="n">
        <f aca="false">IF(EB.Anwendung&lt;&gt;"",August!Monat.KompZZSND.Total,"")</f>
        <v>0</v>
      </c>
      <c r="X22" s="66" t="n">
        <f aca="false">IF(EB.Anwendung&lt;&gt;"",August!Monat.ZZNdUe,"")</f>
        <v>0</v>
      </c>
      <c r="Y22" s="66" t="n">
        <f aca="false">IF(EB.Anwendung&lt;&gt;"",August!Monat.Abendarbeit.Total,"")</f>
        <v>0</v>
      </c>
      <c r="Z22" s="66" t="n">
        <f aca="false">IF(EB.Anwendung&lt;&gt;"",August!Monat.BD.Total,"")</f>
        <v>0</v>
      </c>
      <c r="AA22" s="66" t="n">
        <f aca="false">IF(EB.Anwendung&lt;&gt;"",August!Monat.SD.Total,"")</f>
        <v>0</v>
      </c>
      <c r="AB22" s="172"/>
      <c r="AC22" s="66" t="n">
        <f aca="false">IF(IF(EB.Anwendung&lt;&gt;"",August!Monat.FerienKor.Total,"")="+",IF(EB.Anwendung&lt;&gt;"",August!Monat.Ferien.Total,"")-IF(EB.Anwendung&lt;&gt;"",August!Monat.FerienKor.Total,""),IF(EB.Anwendung&lt;&gt;"",August!Monat.Ferien.Total,"")+IF(EB.Anwendung&lt;&gt;"",August!Monat.FerienKor.Total,""))</f>
        <v>0</v>
      </c>
      <c r="AD22" s="66" t="n">
        <f aca="false">IF(EB.Anwendung&lt;&gt;"",August!Monat.AB.Total,"")</f>
        <v>0</v>
      </c>
      <c r="AE22" s="66" t="n">
        <f aca="false">IF(EB.Anwendung&lt;&gt;"",August!Monat.Krank.Total,"")</f>
        <v>0</v>
      </c>
      <c r="AF22" s="66" t="n">
        <f aca="false">IF(EB.Anwendung&lt;&gt;"",August!Monat.BU.Total,"")</f>
        <v>0</v>
      </c>
      <c r="AG22" s="66" t="n">
        <f aca="false">IF(EB.Anwendung&lt;&gt;"",August!Monat.NBU.Total,"")</f>
        <v>0</v>
      </c>
      <c r="AH22" s="66" t="n">
        <f aca="false">IF(EB.Anwendung&lt;&gt;"",August!Monat.Militaer.Total,"")</f>
        <v>0</v>
      </c>
      <c r="AI22" s="66" t="n">
        <f aca="false">IF(EB.Anwendung&lt;&gt;"",August!Monat.WB.Total,"")</f>
        <v>0</v>
      </c>
      <c r="AJ22" s="66" t="n">
        <f aca="false">IF(EB.Anwendung&lt;&gt;"",August!Monat.BesU.Total,"")</f>
        <v>0</v>
      </c>
      <c r="AK22" s="66" t="n">
        <f aca="false">IF(EB.Anwendung&lt;&gt;"",August!Monat.UnbesU.Total,"")</f>
        <v>0</v>
      </c>
      <c r="AL22" s="66" t="n">
        <f aca="false">IF(EB.Anwendung&lt;&gt;"",August!Monat.NB.Total,"")</f>
        <v>0</v>
      </c>
      <c r="AM22" s="66" t="n">
        <f aca="false">IF(EB.Anwendung&lt;&gt;"",August!Monat.DAG.Total,"")</f>
        <v>0</v>
      </c>
      <c r="AN22" s="310"/>
      <c r="AO22" s="66" t="n">
        <f aca="false">IF(EB.Anwendung&lt;&gt;"",August!Monat.ein_aus.Total,"")</f>
        <v>0</v>
      </c>
    </row>
    <row r="23" s="148" customFormat="true" ht="15" hidden="false" customHeight="true" outlineLevel="0" collapsed="false">
      <c r="A23" s="322" t="str">
        <f aca="false">INDEX(EB.Monate.Bereich,9,0)</f>
        <v>September</v>
      </c>
      <c r="B23" s="172"/>
      <c r="C23" s="77" t="n">
        <f aca="false">F23+E23</f>
        <v>0</v>
      </c>
      <c r="D23" s="323" t="n">
        <f aca="false">IF(Eingabeblatt!H21="","-     ",Eingabeblatt!H21)</f>
        <v>100</v>
      </c>
      <c r="E23" s="77" t="n">
        <f aca="false">Eingabeblatt!I21</f>
        <v>6.825</v>
      </c>
      <c r="F23" s="77" t="n">
        <f aca="false">IF(EB.Anwendung&lt;&gt;"",September!Monat.Soll_Ist_UeVM,"")</f>
        <v>-6.825</v>
      </c>
      <c r="G23" s="77" t="n">
        <f aca="true">IF(AND(EB.UJEintritt&lt;&gt;"",MONTH(EB.UJEintritt)&gt;ROW(C23)-ROW($C$15)+1),0,($G$12-SUM(OFFSET($C$15,0,0,ROW(C23)-ROW($C$15)+1))))</f>
        <v>54.918055555</v>
      </c>
      <c r="H23" s="310"/>
      <c r="I23" s="66" t="n">
        <f aca="false">IF(EB.Anwendung&lt;&gt;"",September!Monat.AnUeZ.Total,"")</f>
        <v>0</v>
      </c>
      <c r="J23" s="66" t="n">
        <f aca="false">IF(EB.Anwendung&lt;&gt;"",September!Monat.KomUeZ.Total,"")</f>
        <v>0</v>
      </c>
      <c r="K23" s="66" t="str">
        <f aca="false">IF(IF(EB.Anwendung&lt;&gt;"",September!Monat.UeZ.Saldo,"")&lt;=0,"-     ",IF(EB.Anwendung&lt;&gt;"",September!Monat.UeZ.Saldo,""))</f>
        <v>-     </v>
      </c>
      <c r="L23" s="66" t="str">
        <f aca="false">IF(IF(EB.Anwendung&lt;&gt;"",September!Monat.ZS.Total,"")&lt;=0,"-     ",IF(EB.Anwendung&lt;&gt;"",September!Monat.ZS.Total,""))</f>
        <v>-     </v>
      </c>
      <c r="M23" s="66" t="n">
        <f aca="false">IF(EB.Anwendung&lt;&gt;"",September!Monat.UeZ.Total,"")</f>
        <v>0</v>
      </c>
      <c r="N23" s="57"/>
      <c r="O23" s="77" t="n">
        <f aca="false">IF(EB.Anwendung&lt;&gt;"",September!Monat.Soll_Ist_UeVM-September!Monat.AnUeZ.Total,"")</f>
        <v>-6.825</v>
      </c>
      <c r="P23" s="66" t="n">
        <f aca="false">IF(EB.Anwendung&lt;&gt;"",September!Monat.KomAZ.Total,"")</f>
        <v>0</v>
      </c>
      <c r="Q23" s="179"/>
      <c r="R23" s="324" t="str">
        <f aca="false">IF(EB.Anwendung&lt;&gt;"",September!Monat.Pikett.Zähler,"")</f>
        <v>0 / 0 / 0</v>
      </c>
      <c r="S23" s="66" t="n">
        <f aca="false">IF(EB.Anwendung&lt;&gt;"",September!Monat.ein_aus_Pikett.Total,"")</f>
        <v>0</v>
      </c>
      <c r="T23" s="66" t="n">
        <f aca="false">IF(EB.Anwendung&lt;&gt;"",September!Monat.ND.Total,"")</f>
        <v>0</v>
      </c>
      <c r="U23" s="324" t="n">
        <f aca="false">IF(EB.Anwendung&lt;&gt;"",September!Monat.ZählerND.Total,"")</f>
        <v>0</v>
      </c>
      <c r="V23" s="66" t="n">
        <f aca="false">IF(EB.Anwendung&lt;&gt;"",September!Monat.ZZSND.Total,"")</f>
        <v>0</v>
      </c>
      <c r="W23" s="66" t="n">
        <f aca="false">IF(EB.Anwendung&lt;&gt;"",September!Monat.KompZZSND.Total,"")</f>
        <v>0</v>
      </c>
      <c r="X23" s="66" t="n">
        <f aca="false">IF(EB.Anwendung&lt;&gt;"",September!Monat.ZZNdUe,"")</f>
        <v>0</v>
      </c>
      <c r="Y23" s="66" t="n">
        <f aca="false">IF(EB.Anwendung&lt;&gt;"",September!Monat.Abendarbeit.Total,"")</f>
        <v>0</v>
      </c>
      <c r="Z23" s="66" t="n">
        <f aca="false">IF(EB.Anwendung&lt;&gt;"",September!Monat.BD.Total,"")</f>
        <v>0</v>
      </c>
      <c r="AA23" s="66" t="n">
        <f aca="false">IF(EB.Anwendung&lt;&gt;"",September!Monat.SD.Total,"")</f>
        <v>0</v>
      </c>
      <c r="AB23" s="172"/>
      <c r="AC23" s="66" t="n">
        <f aca="false">IF(IF(EB.Anwendung&lt;&gt;"",September!Monat.FerienKor.Total,"")="+",IF(EB.Anwendung&lt;&gt;"",September!Monat.Ferien.Total,"")-IF(EB.Anwendung&lt;&gt;"",September!Monat.FerienKor.Total,""),IF(EB.Anwendung&lt;&gt;"",September!Monat.Ferien.Total,"")+IF(EB.Anwendung&lt;&gt;"",September!Monat.FerienKor.Total,""))</f>
        <v>0</v>
      </c>
      <c r="AD23" s="66" t="n">
        <f aca="false">IF(EB.Anwendung&lt;&gt;"",September!Monat.AB.Total,"")</f>
        <v>0</v>
      </c>
      <c r="AE23" s="66" t="n">
        <f aca="false">IF(EB.Anwendung&lt;&gt;"",September!Monat.Krank.Total,"")</f>
        <v>0</v>
      </c>
      <c r="AF23" s="66" t="n">
        <f aca="false">IF(EB.Anwendung&lt;&gt;"",September!Monat.BU.Total,"")</f>
        <v>0</v>
      </c>
      <c r="AG23" s="66" t="n">
        <f aca="false">IF(EB.Anwendung&lt;&gt;"",September!Monat.NBU.Total,"")</f>
        <v>0</v>
      </c>
      <c r="AH23" s="66" t="n">
        <f aca="false">IF(EB.Anwendung&lt;&gt;"",September!Monat.Militaer.Total,"")</f>
        <v>0</v>
      </c>
      <c r="AI23" s="66" t="n">
        <f aca="false">IF(EB.Anwendung&lt;&gt;"",September!Monat.WB.Total,"")</f>
        <v>0</v>
      </c>
      <c r="AJ23" s="66" t="n">
        <f aca="false">IF(EB.Anwendung&lt;&gt;"",September!Monat.BesU.Total,"")</f>
        <v>0</v>
      </c>
      <c r="AK23" s="66" t="n">
        <f aca="false">IF(EB.Anwendung&lt;&gt;"",September!Monat.UnbesU.Total,"")</f>
        <v>0</v>
      </c>
      <c r="AL23" s="66" t="n">
        <f aca="false">IF(EB.Anwendung&lt;&gt;"",September!Monat.NB.Total,"")</f>
        <v>0</v>
      </c>
      <c r="AM23" s="66" t="n">
        <f aca="false">IF(EB.Anwendung&lt;&gt;"",September!Monat.DAG.Total,"")</f>
        <v>0</v>
      </c>
      <c r="AN23" s="310"/>
      <c r="AO23" s="66" t="n">
        <f aca="false">IF(EB.Anwendung&lt;&gt;"",September!Monat.ein_aus.Total,"")</f>
        <v>0</v>
      </c>
    </row>
    <row r="24" s="148" customFormat="true" ht="15" hidden="false" customHeight="true" outlineLevel="0" collapsed="false">
      <c r="A24" s="322" t="str">
        <f aca="false">INDEX(EB.Monate.Bereich,10,0)</f>
        <v>October</v>
      </c>
      <c r="B24" s="172"/>
      <c r="C24" s="77" t="n">
        <f aca="false">F24+E24</f>
        <v>0</v>
      </c>
      <c r="D24" s="323" t="n">
        <f aca="false">IF(Eingabeblatt!H22="","-     ",Eingabeblatt!H22)</f>
        <v>100</v>
      </c>
      <c r="E24" s="77" t="n">
        <f aca="false">Eingabeblatt!I22</f>
        <v>8.05</v>
      </c>
      <c r="F24" s="77" t="n">
        <f aca="false">IF(EB.Anwendung&lt;&gt;"",October!Monat.Soll_Ist_UeVM,"")</f>
        <v>-8.05</v>
      </c>
      <c r="G24" s="77" t="n">
        <f aca="true">IF(AND(EB.UJEintritt&lt;&gt;"",MONTH(EB.UJEintritt)&gt;ROW(C24)-ROW($C$15)+1),0,($G$12-SUM(OFFSET($C$15,0,0,ROW(C24)-ROW($C$15)+1))))</f>
        <v>54.918055555</v>
      </c>
      <c r="H24" s="310"/>
      <c r="I24" s="66" t="n">
        <f aca="false">IF(EB.Anwendung&lt;&gt;"",October!Monat.AnUeZ.Total,"")</f>
        <v>0</v>
      </c>
      <c r="J24" s="66" t="n">
        <f aca="false">IF(EB.Anwendung&lt;&gt;"",October!Monat.KomUeZ.Total,"")</f>
        <v>0</v>
      </c>
      <c r="K24" s="66" t="str">
        <f aca="false">IF(IF(EB.Anwendung&lt;&gt;"",October!Monat.UeZ.Saldo,"")&lt;=0,"-     ",IF(EB.Anwendung&lt;&gt;"",October!Monat.UeZ.Saldo,""))</f>
        <v>-     </v>
      </c>
      <c r="L24" s="66" t="str">
        <f aca="false">IF(IF(EB.Anwendung&lt;&gt;"",October!Monat.ZS.Total,"")&lt;=0,"-     ",IF(EB.Anwendung&lt;&gt;"",October!Monat.ZS.Total,""))</f>
        <v>-     </v>
      </c>
      <c r="M24" s="66" t="n">
        <f aca="false">IF(EB.Anwendung&lt;&gt;"",October!Monat.UeZ.Total,"")</f>
        <v>0</v>
      </c>
      <c r="N24" s="57"/>
      <c r="O24" s="77" t="n">
        <f aca="false">IF(EB.Anwendung&lt;&gt;"",October!Monat.Soll_Ist_UeVM-October!Monat.AnUeZ.Total,"")</f>
        <v>-8.05</v>
      </c>
      <c r="P24" s="66" t="n">
        <f aca="false">IF(EB.Anwendung&lt;&gt;"",October!Monat.KomAZ.Total,"")</f>
        <v>0</v>
      </c>
      <c r="Q24" s="179"/>
      <c r="R24" s="324" t="str">
        <f aca="false">IF(EB.Anwendung&lt;&gt;"",October!Monat.Pikett.Zähler,"")</f>
        <v>0 / 0 / 0</v>
      </c>
      <c r="S24" s="66" t="n">
        <f aca="false">IF(EB.Anwendung&lt;&gt;"",October!Monat.ein_aus_Pikett.Total,"")</f>
        <v>0</v>
      </c>
      <c r="T24" s="66" t="n">
        <f aca="false">IF(EB.Anwendung&lt;&gt;"",October!Monat.ND.Total,"")</f>
        <v>0</v>
      </c>
      <c r="U24" s="324" t="n">
        <f aca="false">IF(EB.Anwendung&lt;&gt;"",October!Monat.ZählerND.Total,"")</f>
        <v>0</v>
      </c>
      <c r="V24" s="66" t="n">
        <f aca="false">IF(EB.Anwendung&lt;&gt;"",October!Monat.ZZSND.Total,"")</f>
        <v>0</v>
      </c>
      <c r="W24" s="66" t="n">
        <f aca="false">IF(EB.Anwendung&lt;&gt;"",October!Monat.KompZZSND.Total,"")</f>
        <v>0</v>
      </c>
      <c r="X24" s="66" t="n">
        <f aca="false">IF(EB.Anwendung&lt;&gt;"",October!Monat.ZZNdUe,"")</f>
        <v>0</v>
      </c>
      <c r="Y24" s="66" t="n">
        <f aca="false">IF(EB.Anwendung&lt;&gt;"",October!Monat.Abendarbeit.Total,"")</f>
        <v>0</v>
      </c>
      <c r="Z24" s="66" t="n">
        <f aca="false">IF(EB.Anwendung&lt;&gt;"",October!Monat.BD.Total,"")</f>
        <v>0</v>
      </c>
      <c r="AA24" s="66" t="n">
        <f aca="false">IF(EB.Anwendung&lt;&gt;"",October!Monat.SD.Total,"")</f>
        <v>0</v>
      </c>
      <c r="AB24" s="172"/>
      <c r="AC24" s="66" t="n">
        <f aca="false">IF(IF(EB.Anwendung&lt;&gt;"",October!Monat.FerienKor.Total,"")="+",IF(EB.Anwendung&lt;&gt;"",October!Monat.Ferien.Total,"")-IF(EB.Anwendung&lt;&gt;"",October!Monat.FerienKor.Total,""),IF(EB.Anwendung&lt;&gt;"",October!Monat.Ferien.Total,"")+IF(EB.Anwendung&lt;&gt;"",October!Monat.FerienKor.Total,""))</f>
        <v>0</v>
      </c>
      <c r="AD24" s="66" t="n">
        <f aca="false">IF(EB.Anwendung&lt;&gt;"",October!Monat.AB.Total,"")</f>
        <v>0</v>
      </c>
      <c r="AE24" s="66" t="n">
        <f aca="false">IF(EB.Anwendung&lt;&gt;"",October!Monat.Krank.Total,"")</f>
        <v>0</v>
      </c>
      <c r="AF24" s="66" t="n">
        <f aca="false">IF(EB.Anwendung&lt;&gt;"",October!Monat.BU.Total,"")</f>
        <v>0</v>
      </c>
      <c r="AG24" s="66" t="n">
        <f aca="false">IF(EB.Anwendung&lt;&gt;"",October!Monat.NBU.Total,"")</f>
        <v>0</v>
      </c>
      <c r="AH24" s="66" t="n">
        <f aca="false">IF(EB.Anwendung&lt;&gt;"",October!Monat.Militaer.Total,"")</f>
        <v>0</v>
      </c>
      <c r="AI24" s="66" t="n">
        <f aca="false">IF(EB.Anwendung&lt;&gt;"",October!Monat.WB.Total,"")</f>
        <v>0</v>
      </c>
      <c r="AJ24" s="66" t="n">
        <f aca="false">IF(EB.Anwendung&lt;&gt;"",October!Monat.BesU.Total,"")</f>
        <v>0</v>
      </c>
      <c r="AK24" s="66" t="n">
        <f aca="false">IF(EB.Anwendung&lt;&gt;"",October!Monat.UnbesU.Total,"")</f>
        <v>0</v>
      </c>
      <c r="AL24" s="66" t="n">
        <f aca="false">IF(EB.Anwendung&lt;&gt;"",October!Monat.NB.Total,"")</f>
        <v>0</v>
      </c>
      <c r="AM24" s="66" t="n">
        <f aca="false">IF(EB.Anwendung&lt;&gt;"",October!Monat.DAG.Total,"")</f>
        <v>0</v>
      </c>
      <c r="AN24" s="310"/>
      <c r="AO24" s="66" t="n">
        <f aca="false">IF(EB.Anwendung&lt;&gt;"",October!Monat.ein_aus.Total,"")</f>
        <v>0</v>
      </c>
    </row>
    <row r="25" s="148" customFormat="true" ht="15" hidden="false" customHeight="true" outlineLevel="0" collapsed="false">
      <c r="A25" s="322" t="str">
        <f aca="false">INDEX(EB.Monate.Bereich,11,0)</f>
        <v>November</v>
      </c>
      <c r="B25" s="172"/>
      <c r="C25" s="77" t="n">
        <f aca="false">F25+E25</f>
        <v>0</v>
      </c>
      <c r="D25" s="323" t="n">
        <f aca="false">IF(Eingabeblatt!H23="","-     ",Eingabeblatt!H23)</f>
        <v>100</v>
      </c>
      <c r="E25" s="77" t="n">
        <f aca="false">Eingabeblatt!I23</f>
        <v>7.7</v>
      </c>
      <c r="F25" s="77" t="n">
        <f aca="false">IF(EB.Anwendung&lt;&gt;"",November!Monat.Soll_Ist_UeVM,"")</f>
        <v>-7.7</v>
      </c>
      <c r="G25" s="77" t="n">
        <f aca="true">IF(AND(EB.UJEintritt&lt;&gt;"",MONTH(EB.UJEintritt)&gt;ROW(C25)-ROW($C$15)+1),0,($G$12-SUM(OFFSET($C$15,0,0,ROW(C25)-ROW($C$15)+1))))</f>
        <v>54.918055555</v>
      </c>
      <c r="H25" s="310"/>
      <c r="I25" s="66" t="n">
        <f aca="false">IF(EB.Anwendung&lt;&gt;"",November!Monat.AnUeZ.Total,"")</f>
        <v>0</v>
      </c>
      <c r="J25" s="66" t="n">
        <f aca="false">IF(EB.Anwendung&lt;&gt;"",November!Monat.KomUeZ.Total,"")</f>
        <v>0</v>
      </c>
      <c r="K25" s="66" t="str">
        <f aca="false">IF(IF(EB.Anwendung&lt;&gt;"",November!Monat.UeZ.Saldo,"")&lt;=0,"-     ",IF(EB.Anwendung&lt;&gt;"",November!Monat.UeZ.Saldo,""))</f>
        <v>-     </v>
      </c>
      <c r="L25" s="66" t="str">
        <f aca="false">IF(IF(EB.Anwendung&lt;&gt;"",November!Monat.ZS.Total,"")&lt;=0,"-     ",IF(EB.Anwendung&lt;&gt;"",November!Monat.ZS.Total,""))</f>
        <v>-     </v>
      </c>
      <c r="M25" s="66" t="n">
        <f aca="false">IF(EB.Anwendung&lt;&gt;"",November!Monat.UeZ.Total,"")</f>
        <v>0</v>
      </c>
      <c r="N25" s="57"/>
      <c r="O25" s="77" t="n">
        <f aca="false">IF(EB.Anwendung&lt;&gt;"",November!Monat.Soll_Ist_UeVM-November!Monat.AnUeZ.Total,"")</f>
        <v>-7.7</v>
      </c>
      <c r="P25" s="66" t="n">
        <f aca="false">IF(EB.Anwendung&lt;&gt;"",November!Monat.KomAZ.Total,"")</f>
        <v>0</v>
      </c>
      <c r="Q25" s="179"/>
      <c r="R25" s="324" t="str">
        <f aca="false">IF(EB.Anwendung&lt;&gt;"",November!Monat.Pikett.Zähler,"")</f>
        <v>0 / 0 / 0</v>
      </c>
      <c r="S25" s="66" t="n">
        <f aca="false">IF(EB.Anwendung&lt;&gt;"",November!Monat.ein_aus_Pikett.Total,"")</f>
        <v>0</v>
      </c>
      <c r="T25" s="66" t="n">
        <f aca="false">IF(EB.Anwendung&lt;&gt;"",November!Monat.ND.Total,"")</f>
        <v>0</v>
      </c>
      <c r="U25" s="324" t="n">
        <f aca="false">IF(EB.Anwendung&lt;&gt;"",November!Monat.ZählerND.Total,"")</f>
        <v>0</v>
      </c>
      <c r="V25" s="66" t="n">
        <f aca="false">IF(EB.Anwendung&lt;&gt;"",November!Monat.ZZSND.Total,"")</f>
        <v>0</v>
      </c>
      <c r="W25" s="66" t="n">
        <f aca="false">IF(EB.Anwendung&lt;&gt;"",November!Monat.KompZZSND.Total,"")</f>
        <v>0</v>
      </c>
      <c r="X25" s="66" t="n">
        <f aca="false">IF(EB.Anwendung&lt;&gt;"",November!Monat.ZZNdUe,"")</f>
        <v>0</v>
      </c>
      <c r="Y25" s="66" t="n">
        <f aca="false">IF(EB.Anwendung&lt;&gt;"",November!Monat.Abendarbeit.Total,"")</f>
        <v>0</v>
      </c>
      <c r="Z25" s="66" t="n">
        <f aca="false">IF(EB.Anwendung&lt;&gt;"",November!Monat.BD.Total,"")</f>
        <v>0</v>
      </c>
      <c r="AA25" s="66" t="n">
        <f aca="false">IF(EB.Anwendung&lt;&gt;"",November!Monat.SD.Total,"")</f>
        <v>0</v>
      </c>
      <c r="AB25" s="172"/>
      <c r="AC25" s="66" t="n">
        <f aca="false">IF(IF(EB.Anwendung&lt;&gt;"",November!Monat.FerienKor.Total,"")="+",IF(EB.Anwendung&lt;&gt;"",November!Monat.Ferien.Total,"")-IF(EB.Anwendung&lt;&gt;"",November!Monat.FerienKor.Total,""),IF(EB.Anwendung&lt;&gt;"",November!Monat.Ferien.Total,"")+IF(EB.Anwendung&lt;&gt;"",November!Monat.FerienKor.Total,""))</f>
        <v>0</v>
      </c>
      <c r="AD25" s="66" t="n">
        <f aca="false">IF(EB.Anwendung&lt;&gt;"",November!Monat.AB.Total,"")</f>
        <v>0</v>
      </c>
      <c r="AE25" s="66" t="n">
        <f aca="false">IF(EB.Anwendung&lt;&gt;"",November!Monat.Krank.Total,"")</f>
        <v>0</v>
      </c>
      <c r="AF25" s="66" t="n">
        <f aca="false">IF(EB.Anwendung&lt;&gt;"",November!Monat.BU.Total,"")</f>
        <v>0</v>
      </c>
      <c r="AG25" s="66" t="n">
        <f aca="false">IF(EB.Anwendung&lt;&gt;"",November!Monat.NBU.Total,"")</f>
        <v>0</v>
      </c>
      <c r="AH25" s="66" t="n">
        <f aca="false">IF(EB.Anwendung&lt;&gt;"",November!Monat.Militaer.Total,"")</f>
        <v>0</v>
      </c>
      <c r="AI25" s="66" t="n">
        <f aca="false">IF(EB.Anwendung&lt;&gt;"",November!Monat.WB.Total,"")</f>
        <v>0</v>
      </c>
      <c r="AJ25" s="66" t="n">
        <f aca="false">IF(EB.Anwendung&lt;&gt;"",November!Monat.BesU.Total,"")</f>
        <v>0</v>
      </c>
      <c r="AK25" s="66" t="n">
        <f aca="false">IF(EB.Anwendung&lt;&gt;"",November!Monat.UnbesU.Total,"")</f>
        <v>0</v>
      </c>
      <c r="AL25" s="66" t="n">
        <f aca="false">IF(EB.Anwendung&lt;&gt;"",November!Monat.NB.Total,"")</f>
        <v>0</v>
      </c>
      <c r="AM25" s="66" t="n">
        <f aca="false">IF(EB.Anwendung&lt;&gt;"",November!Monat.DAG.Total,"")</f>
        <v>0</v>
      </c>
      <c r="AN25" s="310"/>
      <c r="AO25" s="66" t="n">
        <f aca="false">IF(EB.Anwendung&lt;&gt;"",November!Monat.ein_aus.Total,"")</f>
        <v>0</v>
      </c>
    </row>
    <row r="26" s="148" customFormat="true" ht="15" hidden="false" customHeight="true" outlineLevel="0" collapsed="false">
      <c r="A26" s="322" t="str">
        <f aca="false">INDEX(EB.Monate.Bereich,12,0)</f>
        <v>December</v>
      </c>
      <c r="B26" s="172"/>
      <c r="C26" s="77" t="n">
        <f aca="false">F26+E26</f>
        <v>0</v>
      </c>
      <c r="D26" s="323" t="n">
        <f aca="false">IF(Eingabeblatt!H24="","-     ",Eingabeblatt!H24)</f>
        <v>100</v>
      </c>
      <c r="E26" s="77" t="n">
        <f aca="false">Eingabeblatt!I24</f>
        <v>6.375</v>
      </c>
      <c r="F26" s="77" t="n">
        <f aca="false">IF(EB.Anwendung&lt;&gt;"",December!Monat.Soll_Ist_UeVM,"")</f>
        <v>-6.375</v>
      </c>
      <c r="G26" s="77" t="n">
        <f aca="true">IF(AND(EB.UJEintritt&lt;&gt;"",MONTH(EB.UJEintritt)&gt;ROW(C26)-ROW($C$15)+1),0,($G$12-SUM(OFFSET($C$15,0,0,ROW(C26)-ROW($C$15)+1))))</f>
        <v>54.918055555</v>
      </c>
      <c r="H26" s="310"/>
      <c r="I26" s="66" t="n">
        <f aca="false">IF(EB.Anwendung&lt;&gt;"",December!Monat.AnUeZ.Total,"")</f>
        <v>0</v>
      </c>
      <c r="J26" s="66" t="n">
        <f aca="false">IF(EB.Anwendung&lt;&gt;"",December!Monat.KomUeZ.Total,"")</f>
        <v>0</v>
      </c>
      <c r="K26" s="66" t="str">
        <f aca="false">IF(IF(EB.Anwendung&lt;&gt;"",December!Monat.UeZ.Saldo,"")&lt;=0,"-     ",IF(EB.Anwendung&lt;&gt;"",December!Monat.UeZ.Saldo,""))</f>
        <v>-     </v>
      </c>
      <c r="L26" s="66" t="str">
        <f aca="false">IF(IF(EB.Anwendung&lt;&gt;"",December!Monat.ZS.Total,"")&lt;=0,"-     ",IF(EB.Anwendung&lt;&gt;"",December!Monat.ZS.Total,""))</f>
        <v>-     </v>
      </c>
      <c r="M26" s="66" t="n">
        <f aca="false">IF(EB.Anwendung&lt;&gt;"",December!Monat.UeZ.Total,"")</f>
        <v>0</v>
      </c>
      <c r="N26" s="57"/>
      <c r="O26" s="77" t="n">
        <f aca="false">IF(EB.Anwendung&lt;&gt;"",December!Monat.Soll_Ist_UeVM-December!Monat.AnUeZ.Total,"")</f>
        <v>-6.375</v>
      </c>
      <c r="P26" s="66" t="n">
        <f aca="false">IF(EB.Anwendung&lt;&gt;"",December!Monat.KomAZ.Total,"")</f>
        <v>0</v>
      </c>
      <c r="Q26" s="179"/>
      <c r="R26" s="324" t="str">
        <f aca="false">IF(EB.Anwendung&lt;&gt;"",December!Monat.Pikett.Zähler,"")</f>
        <v>0 / 0 / 0</v>
      </c>
      <c r="S26" s="66" t="n">
        <f aca="false">IF(EB.Anwendung&lt;&gt;"",December!Monat.ein_aus_Pikett.Total,"")</f>
        <v>0</v>
      </c>
      <c r="T26" s="66" t="n">
        <f aca="false">IF(EB.Anwendung&lt;&gt;"",December!Monat.ND.Total,"")</f>
        <v>0</v>
      </c>
      <c r="U26" s="324" t="n">
        <f aca="false">IF(EB.Anwendung&lt;&gt;"",December!Monat.ZählerND.Total,"")</f>
        <v>0</v>
      </c>
      <c r="V26" s="66" t="n">
        <f aca="false">IF(EB.Anwendung&lt;&gt;"",December!Monat.ZZSND.Total,"")</f>
        <v>0</v>
      </c>
      <c r="W26" s="66" t="n">
        <f aca="false">IF(EB.Anwendung&lt;&gt;"",December!Monat.KompZZSND.Total,"")</f>
        <v>0</v>
      </c>
      <c r="X26" s="66" t="n">
        <f aca="false">IF(EB.Anwendung&lt;&gt;"",December!Monat.ZZNdUe,"")</f>
        <v>0</v>
      </c>
      <c r="Y26" s="66" t="n">
        <f aca="false">IF(EB.Anwendung&lt;&gt;"",December!Monat.Abendarbeit.Total,"")</f>
        <v>0</v>
      </c>
      <c r="Z26" s="66" t="n">
        <f aca="false">IF(EB.Anwendung&lt;&gt;"",December!Monat.BD.Total,"")</f>
        <v>0</v>
      </c>
      <c r="AA26" s="66" t="n">
        <f aca="false">IF(EB.Anwendung&lt;&gt;"",December!Monat.SD.Total,"")</f>
        <v>0</v>
      </c>
      <c r="AB26" s="172"/>
      <c r="AC26" s="66" t="n">
        <f aca="false">IF(IF(EB.Anwendung&lt;&gt;"",December!Monat.FerienKor.Total,"")="+",IF(EB.Anwendung&lt;&gt;"",December!Monat.Ferien.Total,"")-IF(EB.Anwendung&lt;&gt;"",December!Monat.FerienKor.Total,""),IF(EB.Anwendung&lt;&gt;"",December!Monat.Ferien.Total,"")+IF(EB.Anwendung&lt;&gt;"",December!Monat.FerienKor.Total,""))</f>
        <v>0</v>
      </c>
      <c r="AD26" s="66" t="n">
        <f aca="false">IF(EB.Anwendung&lt;&gt;"",December!Monat.AB.Total,"")</f>
        <v>0</v>
      </c>
      <c r="AE26" s="66" t="n">
        <f aca="false">IF(EB.Anwendung&lt;&gt;"",December!Monat.Krank.Total,"")</f>
        <v>0</v>
      </c>
      <c r="AF26" s="66" t="n">
        <f aca="false">IF(EB.Anwendung&lt;&gt;"",December!Monat.BU.Total,"")</f>
        <v>0</v>
      </c>
      <c r="AG26" s="66" t="n">
        <f aca="false">IF(EB.Anwendung&lt;&gt;"",December!Monat.NBU.Total,"")</f>
        <v>0</v>
      </c>
      <c r="AH26" s="66" t="n">
        <f aca="false">IF(EB.Anwendung&lt;&gt;"",December!Monat.Militaer.Total,"")</f>
        <v>0</v>
      </c>
      <c r="AI26" s="66" t="n">
        <f aca="false">IF(EB.Anwendung&lt;&gt;"",December!Monat.WB.Total,"")</f>
        <v>0</v>
      </c>
      <c r="AJ26" s="66" t="n">
        <f aca="false">IF(EB.Anwendung&lt;&gt;"",December!Monat.BesU.Total,"")</f>
        <v>0</v>
      </c>
      <c r="AK26" s="66" t="n">
        <f aca="false">IF(EB.Anwendung&lt;&gt;"",December!Monat.UnbesU.Total,"")</f>
        <v>0</v>
      </c>
      <c r="AL26" s="66" t="n">
        <f aca="false">IF(EB.Anwendung&lt;&gt;"",December!Monat.NB.Total,"")</f>
        <v>0</v>
      </c>
      <c r="AM26" s="66" t="n">
        <f aca="false">IF(EB.Anwendung&lt;&gt;"",December!Monat.DAG.Total,"")</f>
        <v>0</v>
      </c>
      <c r="AN26" s="310"/>
      <c r="AO26" s="66" t="n">
        <f aca="false">IF(EB.Anwendung&lt;&gt;"",December!Monat.ein_aus.Total,"")</f>
        <v>0</v>
      </c>
    </row>
    <row r="27" s="148" customFormat="true" ht="15" hidden="false" customHeight="true" outlineLevel="0" collapsed="false">
      <c r="A27" s="181" t="s">
        <v>66</v>
      </c>
      <c r="B27" s="57"/>
      <c r="C27" s="325" t="n">
        <f aca="false">SUM(C15:C26)</f>
        <v>10.506944445</v>
      </c>
      <c r="D27" s="326" t="n">
        <f aca="false">EB.BG_Total</f>
        <v>100</v>
      </c>
      <c r="E27" s="325" t="n">
        <f aca="false">SUM(E15:E26)</f>
        <v>65.425</v>
      </c>
      <c r="F27" s="325" t="n">
        <f aca="false">SUM(F15:F26)</f>
        <v>-54.918055555</v>
      </c>
      <c r="G27" s="152"/>
      <c r="H27" s="57"/>
      <c r="I27" s="325" t="n">
        <f aca="false">SUM(I15:I26)</f>
        <v>0</v>
      </c>
      <c r="J27" s="325" t="n">
        <f aca="false">SUM(J15:J26)</f>
        <v>0</v>
      </c>
      <c r="K27" s="325" t="n">
        <f aca="false">SUM(K15:K26)</f>
        <v>0</v>
      </c>
      <c r="L27" s="325" t="n">
        <f aca="false">SUM(L15:L26)</f>
        <v>0</v>
      </c>
      <c r="M27" s="325" t="n">
        <f aca="false">SUM(M15:M26)</f>
        <v>0</v>
      </c>
      <c r="N27" s="57"/>
      <c r="O27" s="325" t="n">
        <f aca="false">SUM(O15:O26)</f>
        <v>-54.918055555</v>
      </c>
      <c r="P27" s="325" t="n">
        <f aca="false">SUM(P15:P26)</f>
        <v>0</v>
      </c>
      <c r="Q27" s="57"/>
      <c r="R27" s="327" t="str">
        <f aca="false">LEFT(R15,2)+LEFT(R16,2)+LEFT(R17,2)+LEFT(R18,2)+LEFT(R19,2)+LEFT(R20,2)+LEFT(R21,2)+LEFT(R22,2)+LEFT(R23,2)+LEFT(R24,2)+LEFT(R25,2)+LEFT(R26,2)&amp; " / "&amp;MID(R15,FIND("/",R15)+2,2)+MID(R16,FIND("/",R16)+2,2)+MID(R17,FIND("/",R17)+2,2)+MID(R18,FIND("/",R18)+2,2)+MID(R19,FIND("/",R19)+2,2)+MID(R20,FIND("/",R20)+2,2)+MID(R21,FIND("/",R21)+2,2)+MID(R22,FIND("/",R22)+2,2)+MID(R23,FIND("/",R23)+2,2)+MID(R24,FIND("/",R24)+2,2)+MID(R25,FIND("/",R25)+2,2)+MID(R26,FIND("/",R26)+2,2)&amp; " / "&amp;RIGHT(R15,2)+RIGHT(R16,2)+RIGHT(R17,2)+RIGHT(R18,2)+RIGHT(R19,2)+RIGHT(R20,2)+RIGHT(R21,2)+RIGHT(R22,2)+RIGHT(R23,2)+RIGHT(R24,2)+RIGHT(R25,2)+RIGHT(R26,2)</f>
        <v>0 / 0 / 0</v>
      </c>
      <c r="S27" s="325" t="n">
        <f aca="false">SUM(S15:S26)</f>
        <v>0</v>
      </c>
      <c r="T27" s="325" t="n">
        <f aca="false">SUM(T15:T26)</f>
        <v>0</v>
      </c>
      <c r="U27" s="328" t="n">
        <f aca="false">SUM(U15:U26)</f>
        <v>0</v>
      </c>
      <c r="V27" s="325" t="n">
        <f aca="false">SUM(V15:V26)</f>
        <v>0</v>
      </c>
      <c r="W27" s="325" t="n">
        <f aca="false">SUM(W15:W26)</f>
        <v>0</v>
      </c>
      <c r="X27" s="325" t="n">
        <f aca="false">X26</f>
        <v>0</v>
      </c>
      <c r="Y27" s="325" t="n">
        <f aca="false">SUM(Y15:Y26)</f>
        <v>0</v>
      </c>
      <c r="Z27" s="325" t="n">
        <f aca="false">SUM(Z15:Z26)</f>
        <v>0</v>
      </c>
      <c r="AA27" s="325" t="n">
        <f aca="false">SUM(AA15:AA26)</f>
        <v>0</v>
      </c>
      <c r="AB27" s="57"/>
      <c r="AC27" s="325" t="n">
        <f aca="false">SUM(AC15:AC26)</f>
        <v>0</v>
      </c>
      <c r="AD27" s="325" t="n">
        <f aca="false">SUM(AD15:AD26)</f>
        <v>0</v>
      </c>
      <c r="AE27" s="325" t="n">
        <f aca="false">SUM(AE15:AE26)</f>
        <v>0</v>
      </c>
      <c r="AF27" s="325" t="n">
        <f aca="false">SUM(AF15:AF26)</f>
        <v>0</v>
      </c>
      <c r="AG27" s="325" t="n">
        <f aca="false">SUM(AG15:AG26)</f>
        <v>0</v>
      </c>
      <c r="AH27" s="325" t="n">
        <f aca="false">SUM(AH15:AH26)</f>
        <v>0</v>
      </c>
      <c r="AI27" s="325" t="n">
        <f aca="false">SUM(AI15:AI26)</f>
        <v>0</v>
      </c>
      <c r="AJ27" s="325" t="n">
        <f aca="false">SUM(AJ15:AJ26)</f>
        <v>0</v>
      </c>
      <c r="AK27" s="325" t="n">
        <f aca="false">SUM(AK15:AK26)</f>
        <v>0</v>
      </c>
      <c r="AL27" s="325" t="n">
        <f aca="false">SUM(AL15:AL26)</f>
        <v>0</v>
      </c>
      <c r="AM27" s="325" t="n">
        <f aca="false">SUM(AM15:AM26)</f>
        <v>0</v>
      </c>
      <c r="AN27" s="57"/>
      <c r="AO27" s="325" t="n">
        <f aca="false">SUM(AO15:AO26)</f>
        <v>10.506944445</v>
      </c>
    </row>
    <row r="28" s="148" customFormat="true" ht="15" hidden="false" customHeight="true" outlineLevel="0" collapsed="false">
      <c r="A28" s="181" t="s">
        <v>198</v>
      </c>
      <c r="B28" s="57"/>
      <c r="C28" s="194"/>
      <c r="D28" s="57"/>
      <c r="E28" s="194"/>
      <c r="F28" s="194"/>
      <c r="G28" s="152"/>
      <c r="H28" s="57"/>
      <c r="I28" s="222"/>
      <c r="J28" s="222"/>
      <c r="K28" s="222"/>
      <c r="L28" s="329"/>
      <c r="M28" s="325" t="n">
        <f aca="false">M13+J.UeZ.Total</f>
        <v>0</v>
      </c>
      <c r="N28" s="57"/>
      <c r="O28" s="325" t="n">
        <f aca="false">O13+O27</f>
        <v>-54.918055555</v>
      </c>
      <c r="P28" s="330" t="n">
        <f aca="false">P12-P27</f>
        <v>3.9375</v>
      </c>
      <c r="Q28" s="57"/>
      <c r="R28" s="222"/>
      <c r="S28" s="222"/>
      <c r="T28" s="222"/>
      <c r="U28" s="331"/>
      <c r="V28" s="222"/>
      <c r="W28" s="222"/>
      <c r="X28" s="222"/>
      <c r="Y28" s="222"/>
      <c r="Z28" s="222"/>
      <c r="AA28" s="222"/>
      <c r="AB28" s="57"/>
      <c r="AC28" s="330" t="n">
        <f aca="false">AC12+AC13-AC27</f>
        <v>5.25</v>
      </c>
      <c r="AD28" s="332"/>
      <c r="AE28" s="222"/>
      <c r="AF28" s="222"/>
      <c r="AG28" s="222"/>
      <c r="AH28" s="222"/>
      <c r="AI28" s="222"/>
      <c r="AJ28" s="222"/>
      <c r="AK28" s="222"/>
      <c r="AL28" s="329"/>
      <c r="AM28" s="330" t="n">
        <f aca="false">SUM(AM12:AM13)-AM27</f>
        <v>0</v>
      </c>
      <c r="AN28" s="57"/>
      <c r="AO28" s="194"/>
    </row>
    <row r="29" s="338" customFormat="true" ht="30" hidden="false" customHeight="true" outlineLevel="0" collapsed="false">
      <c r="A29" s="333" t="s">
        <v>199</v>
      </c>
      <c r="B29" s="334"/>
      <c r="C29" s="334"/>
      <c r="D29" s="334"/>
      <c r="E29" s="334"/>
      <c r="F29" s="334"/>
      <c r="G29" s="273"/>
      <c r="H29" s="334"/>
      <c r="I29" s="335"/>
      <c r="J29" s="335"/>
      <c r="K29" s="335"/>
      <c r="L29" s="335"/>
      <c r="M29" s="336" t="n">
        <f aca="false">M28</f>
        <v>0</v>
      </c>
      <c r="N29" s="334"/>
      <c r="O29" s="336" t="n">
        <f aca="false">O28</f>
        <v>-54.918055555</v>
      </c>
      <c r="P29" s="335"/>
      <c r="Q29" s="334"/>
      <c r="R29" s="335"/>
      <c r="S29" s="335"/>
      <c r="T29" s="335"/>
      <c r="U29" s="335"/>
      <c r="V29" s="335"/>
      <c r="W29" s="335"/>
      <c r="X29" s="337" t="n">
        <f aca="false">Jahr.ZZSNDSaldo</f>
        <v>0</v>
      </c>
      <c r="Y29" s="335"/>
      <c r="Z29" s="335"/>
      <c r="AA29" s="335"/>
      <c r="AB29" s="334"/>
      <c r="AC29" s="336" t="n">
        <f aca="false">AC28</f>
        <v>5.25</v>
      </c>
      <c r="AD29" s="335"/>
      <c r="AE29" s="335"/>
      <c r="AF29" s="335"/>
      <c r="AG29" s="335"/>
      <c r="AH29" s="335"/>
      <c r="AI29" s="335"/>
      <c r="AJ29" s="335"/>
      <c r="AK29" s="335"/>
      <c r="AL29" s="335"/>
      <c r="AM29" s="336" t="n">
        <f aca="false">AM28</f>
        <v>0</v>
      </c>
      <c r="AN29" s="334"/>
      <c r="AO29" s="334"/>
    </row>
    <row r="30" s="132" customFormat="true" ht="12" hidden="false" customHeight="true" outlineLevel="0" collapsed="false">
      <c r="A30" s="288"/>
      <c r="B30" s="43"/>
      <c r="C30" s="43"/>
      <c r="D30" s="334"/>
      <c r="E30" s="43"/>
      <c r="F30" s="43"/>
      <c r="G30" s="27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S30" s="135"/>
    </row>
    <row r="31" s="148" customFormat="true" ht="15" hidden="false" customHeight="true" outlineLevel="0" collapsed="false">
      <c r="A31" s="181" t="s">
        <v>200</v>
      </c>
      <c r="B31" s="57"/>
      <c r="C31" s="325" t="n">
        <f aca="false">SUM(C15:C20)</f>
        <v>10.506944445</v>
      </c>
      <c r="D31" s="334"/>
      <c r="E31" s="325" t="n">
        <f aca="false">SUM(E15:E20)</f>
        <v>21.075</v>
      </c>
      <c r="F31" s="325" t="n">
        <f aca="false">SUM(F15:F20)</f>
        <v>-10.568055555</v>
      </c>
      <c r="G31" s="152"/>
      <c r="H31" s="57"/>
      <c r="I31" s="325" t="n">
        <f aca="false">SUM(I15:I20)</f>
        <v>0</v>
      </c>
      <c r="J31" s="325" t="n">
        <f aca="false">SUM(J15:J20)</f>
        <v>0</v>
      </c>
      <c r="K31" s="325" t="n">
        <f aca="false">SUM(K15:K20)</f>
        <v>0</v>
      </c>
      <c r="L31" s="325" t="n">
        <f aca="false">SUM(L15:L20)</f>
        <v>0</v>
      </c>
      <c r="M31" s="325" t="n">
        <f aca="false">SUM(M15:M20)</f>
        <v>0</v>
      </c>
      <c r="N31" s="57"/>
      <c r="O31" s="325" t="n">
        <f aca="false">SUM(O15:O20)</f>
        <v>-10.568055555</v>
      </c>
      <c r="P31" s="325" t="n">
        <f aca="false">SUM(P15:P20)</f>
        <v>0</v>
      </c>
      <c r="Q31" s="57"/>
      <c r="R31" s="327" t="str">
        <f aca="false">LEFT(R15,2)+LEFT(R16,2)+LEFT(R17,2)+LEFT(R18,2)+LEFT(R19,2)+LEFT(R20,2)&amp; " / "&amp;MID(R15,FIND("/",R15)+2,2)+MID(R16,FIND("/",R16)+2,2)+MID(R17,FIND("/",R17)+2,2)+MID(R18,FIND("/",R18)+2,2)+MID(R19,FIND("/",R19)+2,2)+MID(R20,FIND("/",R20)+2,2)&amp; " / "&amp;RIGHT(R15,2)+RIGHT(R16,2)+RIGHT(R17,2)+RIGHT(R18,2)+RIGHT(R19,2)+RIGHT(R20,2)</f>
        <v>0 / 0 / 0</v>
      </c>
      <c r="S31" s="325" t="n">
        <f aca="false">SUM(S15:S20)</f>
        <v>0</v>
      </c>
      <c r="T31" s="325" t="n">
        <f aca="false">SUM(T15:T20)</f>
        <v>0</v>
      </c>
      <c r="U31" s="328" t="n">
        <f aca="false">SUM(U15:U20)</f>
        <v>0</v>
      </c>
      <c r="V31" s="325" t="n">
        <f aca="false">SUM(V15:V20)</f>
        <v>0</v>
      </c>
      <c r="W31" s="325" t="n">
        <f aca="false">SUM(W15:W20)</f>
        <v>0</v>
      </c>
      <c r="X31" s="325" t="n">
        <f aca="false">X20</f>
        <v>0</v>
      </c>
      <c r="Y31" s="325" t="n">
        <f aca="false">SUM(Y15:Y20)</f>
        <v>0</v>
      </c>
      <c r="Z31" s="325" t="n">
        <f aca="false">SUM(Z15:Z20)</f>
        <v>0</v>
      </c>
      <c r="AA31" s="325" t="n">
        <f aca="false">SUM(AA15:AA20)</f>
        <v>0</v>
      </c>
      <c r="AB31" s="57"/>
      <c r="AC31" s="325" t="n">
        <f aca="false">SUM(AC15:AC20)</f>
        <v>0</v>
      </c>
      <c r="AD31" s="325" t="n">
        <f aca="false">SUM(AD15:AD20)</f>
        <v>0</v>
      </c>
      <c r="AE31" s="325" t="n">
        <f aca="false">SUM(AE15:AE20)</f>
        <v>0</v>
      </c>
      <c r="AF31" s="325" t="n">
        <f aca="false">SUM(AF15:AF20)</f>
        <v>0</v>
      </c>
      <c r="AG31" s="325" t="n">
        <f aca="false">SUM(AG15:AG20)</f>
        <v>0</v>
      </c>
      <c r="AH31" s="325" t="n">
        <f aca="false">SUM(AH15:AH20)</f>
        <v>0</v>
      </c>
      <c r="AI31" s="325" t="n">
        <f aca="false">SUM(AI15:AI20)</f>
        <v>0</v>
      </c>
      <c r="AJ31" s="325" t="n">
        <f aca="false">SUM(AJ15:AJ20)</f>
        <v>0</v>
      </c>
      <c r="AK31" s="325" t="n">
        <f aca="false">SUM(AK15:AK20)</f>
        <v>0</v>
      </c>
      <c r="AL31" s="325" t="n">
        <f aca="false">SUM(AL15:AL20)</f>
        <v>0</v>
      </c>
      <c r="AM31" s="325" t="n">
        <f aca="false">SUM(AM15:AM20)</f>
        <v>0</v>
      </c>
      <c r="AN31" s="57"/>
      <c r="AO31" s="325" t="n">
        <f aca="false">SUM(AO15:AO20)</f>
        <v>10.506944445</v>
      </c>
    </row>
    <row r="32" s="148" customFormat="true" ht="15" hidden="false" customHeight="true" outlineLevel="0" collapsed="false">
      <c r="A32" s="181" t="s">
        <v>201</v>
      </c>
      <c r="B32" s="57"/>
      <c r="C32" s="325" t="n">
        <f aca="false">SUM(C21:C26)</f>
        <v>0</v>
      </c>
      <c r="D32" s="334"/>
      <c r="E32" s="325" t="n">
        <f aca="false">SUM(E21:E26)</f>
        <v>44.35</v>
      </c>
      <c r="F32" s="325" t="n">
        <f aca="false">SUM(F21:F26)</f>
        <v>-44.35</v>
      </c>
      <c r="G32" s="152"/>
      <c r="H32" s="57"/>
      <c r="I32" s="325" t="n">
        <f aca="false">SUM(I21:I26)</f>
        <v>0</v>
      </c>
      <c r="J32" s="325" t="n">
        <f aca="false">SUM(J21:J26)</f>
        <v>0</v>
      </c>
      <c r="K32" s="325" t="n">
        <f aca="false">SUM(K21:K26)</f>
        <v>0</v>
      </c>
      <c r="L32" s="325" t="n">
        <f aca="false">SUM(L21:L26)</f>
        <v>0</v>
      </c>
      <c r="M32" s="325" t="n">
        <f aca="false">SUM(M21:M26)</f>
        <v>0</v>
      </c>
      <c r="N32" s="57"/>
      <c r="O32" s="325" t="n">
        <f aca="false">SUM(O21:O26)</f>
        <v>-44.35</v>
      </c>
      <c r="P32" s="325" t="n">
        <f aca="false">SUM(P21:P26)</f>
        <v>0</v>
      </c>
      <c r="Q32" s="57"/>
      <c r="R32" s="327" t="str">
        <f aca="false">LEFT(R21,2)+LEFT(R22,2)+LEFT(R23,2)+LEFT(R24,2)+LEFT(R25,2)+LEFT(R26,2)&amp; " / "&amp;MID(R21,FIND("/",R21)+2,2)+MID(R22,FIND("/",R22)+2,2)+MID(R23,FIND("/",R23)+2,2)+MID(R24,FIND("/",R24)+2,2)+MID(R25,FIND("/",R25)+2,2)+MID(R26,FIND("/",R26)+2,2)&amp; " / "&amp; RIGHT(R21,2)+RIGHT(R22,2)+RIGHT(R23,2)+RIGHT(R24,2)+RIGHT(R25,2)+RIGHT(R26,2)</f>
        <v>0 / 0 / 0</v>
      </c>
      <c r="S32" s="325" t="n">
        <f aca="false">SUM(S21:S26)</f>
        <v>0</v>
      </c>
      <c r="T32" s="325" t="n">
        <f aca="false">SUM(T21:T26)</f>
        <v>0</v>
      </c>
      <c r="U32" s="328" t="n">
        <f aca="false">SUM(U21:U26)</f>
        <v>0</v>
      </c>
      <c r="V32" s="325" t="n">
        <f aca="false">SUM(V21:V26)</f>
        <v>0</v>
      </c>
      <c r="W32" s="325" t="n">
        <f aca="false">SUM(W21:W26)</f>
        <v>0</v>
      </c>
      <c r="X32" s="325" t="n">
        <f aca="false">X26</f>
        <v>0</v>
      </c>
      <c r="Y32" s="325" t="n">
        <f aca="false">SUM(Y21:Y26)</f>
        <v>0</v>
      </c>
      <c r="Z32" s="325" t="n">
        <f aca="false">SUM(Z21:Z26)</f>
        <v>0</v>
      </c>
      <c r="AA32" s="325" t="n">
        <f aca="false">SUM(AA21:AA26)</f>
        <v>0</v>
      </c>
      <c r="AB32" s="57"/>
      <c r="AC32" s="325" t="n">
        <f aca="false">SUM(AC21:AC26)</f>
        <v>0</v>
      </c>
      <c r="AD32" s="325" t="n">
        <f aca="false">SUM(AD21:AD26)</f>
        <v>0</v>
      </c>
      <c r="AE32" s="325" t="n">
        <f aca="false">SUM(AE21:AE26)</f>
        <v>0</v>
      </c>
      <c r="AF32" s="325" t="n">
        <f aca="false">SUM(AF21:AF26)</f>
        <v>0</v>
      </c>
      <c r="AG32" s="325" t="n">
        <f aca="false">SUM(AG21:AG26)</f>
        <v>0</v>
      </c>
      <c r="AH32" s="325" t="n">
        <f aca="false">SUM(AH21:AH26)</f>
        <v>0</v>
      </c>
      <c r="AI32" s="325" t="n">
        <f aca="false">SUM(AI21:AI26)</f>
        <v>0</v>
      </c>
      <c r="AJ32" s="325" t="n">
        <f aca="false">SUM(AJ21:AJ26)</f>
        <v>0</v>
      </c>
      <c r="AK32" s="325" t="n">
        <f aca="false">SUM(AK21:AK26)</f>
        <v>0</v>
      </c>
      <c r="AL32" s="325" t="n">
        <f aca="false">SUM(AL21:AL26)</f>
        <v>0</v>
      </c>
      <c r="AM32" s="325" t="n">
        <f aca="false">SUM(AM21:AM26)</f>
        <v>0</v>
      </c>
      <c r="AN32" s="57"/>
      <c r="AO32" s="325" t="n">
        <f aca="false">SUM(AO21:AO26)</f>
        <v>0</v>
      </c>
    </row>
    <row r="33" s="132" customFormat="true" ht="12" hidden="false" customHeight="true" outlineLevel="0" collapsed="false">
      <c r="A33" s="288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273"/>
      <c r="AO33" s="43"/>
      <c r="AS33" s="135"/>
    </row>
    <row r="34" customFormat="false" ht="57" hidden="false" customHeight="true" outlineLevel="0" collapsed="false">
      <c r="A34" s="285" t="s">
        <v>181</v>
      </c>
      <c r="B34" s="43"/>
      <c r="C34" s="282"/>
      <c r="D34" s="282"/>
      <c r="E34" s="282"/>
      <c r="F34" s="282"/>
      <c r="G34" s="282"/>
      <c r="H34" s="282"/>
      <c r="I34" s="282"/>
      <c r="J34" s="282"/>
      <c r="K34" s="282"/>
      <c r="L34" s="282"/>
      <c r="M34" s="282"/>
      <c r="N34" s="282"/>
      <c r="O34" s="282"/>
      <c r="P34" s="282"/>
      <c r="Q34" s="282"/>
      <c r="R34" s="43"/>
      <c r="S34" s="43"/>
      <c r="T34" s="43"/>
      <c r="U34" s="43"/>
      <c r="V34" s="334"/>
      <c r="W34" s="334"/>
      <c r="X34" s="334"/>
      <c r="Y34" s="334"/>
      <c r="Z34" s="334"/>
      <c r="AA34" s="334"/>
      <c r="AB34" s="334"/>
      <c r="AC34" s="285" t="s">
        <v>182</v>
      </c>
      <c r="AD34" s="285"/>
      <c r="AE34" s="285"/>
      <c r="AF34" s="285"/>
      <c r="AG34" s="285"/>
      <c r="AH34" s="285"/>
      <c r="AI34" s="282"/>
      <c r="AJ34" s="282"/>
      <c r="AK34" s="282"/>
      <c r="AL34" s="282"/>
      <c r="AM34" s="282"/>
      <c r="AN34" s="43"/>
      <c r="AO34" s="43"/>
    </row>
    <row r="35" customFormat="false" ht="12" hidden="false" customHeight="true" outlineLevel="0" collapsed="false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273"/>
      <c r="AN35" s="43"/>
      <c r="AO35" s="43"/>
    </row>
    <row r="36" customFormat="false" ht="12" hidden="false" customHeight="true" outlineLevel="0" collapsed="false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273"/>
      <c r="AN36" s="43"/>
      <c r="AO36" s="43"/>
    </row>
  </sheetData>
  <sheetProtection sheet="true" objects="true" scenarios="true"/>
  <mergeCells count="23">
    <mergeCell ref="C1:H1"/>
    <mergeCell ref="I1:AJ1"/>
    <mergeCell ref="C2:P2"/>
    <mergeCell ref="AC2:AG2"/>
    <mergeCell ref="AH2:AI2"/>
    <mergeCell ref="AJ2:AM2"/>
    <mergeCell ref="C3:P3"/>
    <mergeCell ref="AC3:AG3"/>
    <mergeCell ref="AH3:AM3"/>
    <mergeCell ref="C4:P4"/>
    <mergeCell ref="AC4:AG4"/>
    <mergeCell ref="AH4:AM4"/>
    <mergeCell ref="C5:P5"/>
    <mergeCell ref="C6:P6"/>
    <mergeCell ref="C7:P7"/>
    <mergeCell ref="C9:G9"/>
    <mergeCell ref="I9:M9"/>
    <mergeCell ref="O9:P9"/>
    <mergeCell ref="R9:AA9"/>
    <mergeCell ref="AC9:AM9"/>
    <mergeCell ref="C34:Q34"/>
    <mergeCell ref="AC34:AH34"/>
    <mergeCell ref="AI34:AM34"/>
  </mergeCells>
  <conditionalFormatting sqref="W27 X13">
    <cfRule type="expression" priority="2" aboveAverage="0" equalAverage="0" bottom="0" percent="0" rank="0" text="" dxfId="0">
      <formula>$W$27&lt;$X$13</formula>
    </cfRule>
  </conditionalFormatting>
  <conditionalFormatting sqref="AC4:AM4">
    <cfRule type="expression" priority="3" aboveAverage="0" equalAverage="0" bottom="0" percent="0" rank="0" text="" dxfId="1">
      <formula>EB.WeitereAngaben=""</formula>
    </cfRule>
  </conditionalFormatting>
  <printOptions headings="false" gridLines="false" gridLinesSet="true" horizontalCentered="true" verticalCentered="false"/>
  <pageMargins left="0.196527777777778" right="0.196527777777778" top="0.39375" bottom="0.393055555555556" header="0.511805555555555" footer="0.196527777777778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&amp;L&amp;"Arial,Regular"&amp;11&amp;A&amp;C&amp;"Arial,Regular"&amp;11&amp;D&amp;R&amp;"Arial,Regular"&amp;11&amp;P / 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J39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3" zeroHeight="false" outlineLevelRow="1" outlineLevelCol="0"/>
  <cols>
    <col collapsed="false" customWidth="true" hidden="false" outlineLevel="0" max="1" min="1" style="132" width="30.5"/>
    <col collapsed="false" customWidth="true" hidden="false" outlineLevel="0" max="16" min="2" style="132" width="7"/>
    <col collapsed="false" customWidth="true" hidden="false" outlineLevel="0" max="17" min="17" style="132" width="3.66"/>
    <col collapsed="false" customWidth="true" hidden="false" outlineLevel="0" max="18" min="18" style="132" width="7"/>
    <col collapsed="false" customWidth="true" hidden="false" outlineLevel="0" max="19" min="19" style="132" width="3.66"/>
    <col collapsed="false" customWidth="true" hidden="false" outlineLevel="0" max="20" min="20" style="132" width="7"/>
    <col collapsed="false" customWidth="true" hidden="false" outlineLevel="0" max="21" min="21" style="132" width="3.66"/>
    <col collapsed="false" customWidth="true" hidden="false" outlineLevel="0" max="36" min="22" style="132" width="10.66"/>
    <col collapsed="false" customWidth="true" hidden="false" outlineLevel="0" max="1025" min="37" style="0" width="10.66"/>
  </cols>
  <sheetData>
    <row r="1" s="148" customFormat="true" ht="23.25" hidden="false" customHeight="true" outlineLevel="0" collapsed="false">
      <c r="A1" s="339" t="s">
        <v>202</v>
      </c>
      <c r="B1" s="340" t="n">
        <f aca="false">EB.Jahr</f>
        <v>2018</v>
      </c>
      <c r="C1" s="137"/>
      <c r="D1" s="137"/>
      <c r="E1" s="137" t="str">
        <f aca="false">Eingabeblatt!B1</f>
        <v>Employee Time Sheet</v>
      </c>
      <c r="F1" s="137"/>
      <c r="G1" s="137"/>
      <c r="H1" s="137"/>
      <c r="I1" s="137"/>
      <c r="J1" s="137"/>
      <c r="K1" s="137"/>
      <c r="L1" s="6"/>
      <c r="M1" s="7"/>
      <c r="N1" s="7"/>
      <c r="O1" s="7"/>
      <c r="P1" s="341"/>
      <c r="Q1" s="341"/>
      <c r="R1" s="341"/>
      <c r="S1" s="341"/>
      <c r="T1" s="7" t="str">
        <f aca="false">EB.Version</f>
        <v>Version 01.18</v>
      </c>
      <c r="U1" s="8" t="str">
        <f aca="false">EB.Sprache</f>
        <v>EN</v>
      </c>
    </row>
    <row r="2" s="148" customFormat="true" ht="15" hidden="false" customHeight="true" outlineLevel="0" collapsed="false">
      <c r="A2" s="39"/>
      <c r="B2" s="11" t="str">
        <f aca="false">Eingabeblatt!A3</f>
        <v>Name</v>
      </c>
      <c r="C2" s="11"/>
      <c r="D2" s="11"/>
      <c r="E2" s="143" t="str">
        <f aca="false">IF(EB.Name="","?",EB.Name)</f>
        <v>Christopher Gwilliams</v>
      </c>
      <c r="F2" s="143"/>
      <c r="G2" s="143"/>
      <c r="H2" s="143"/>
      <c r="I2" s="143"/>
      <c r="J2" s="143"/>
      <c r="K2" s="143"/>
      <c r="L2" s="39"/>
      <c r="M2" s="11" t="s">
        <v>203</v>
      </c>
      <c r="N2" s="11"/>
      <c r="O2" s="342" t="n">
        <f aca="false">EB.BG_Total</f>
        <v>100</v>
      </c>
      <c r="P2" s="342"/>
      <c r="Q2" s="39"/>
      <c r="R2" s="39"/>
      <c r="S2" s="39"/>
      <c r="T2" s="39"/>
      <c r="U2" s="39"/>
    </row>
    <row r="3" s="148" customFormat="true" ht="15" hidden="false" customHeight="true" outlineLevel="0" collapsed="false">
      <c r="A3" s="39"/>
      <c r="B3" s="11" t="str">
        <f aca="false">Eingabeblatt!H2</f>
        <v>Function</v>
      </c>
      <c r="C3" s="11"/>
      <c r="D3" s="11"/>
      <c r="E3" s="150" t="str">
        <f aca="false">EB.Funktion</f>
        <v>Description of Function</v>
      </c>
      <c r="F3" s="150"/>
      <c r="G3" s="150"/>
      <c r="H3" s="150"/>
      <c r="I3" s="150"/>
      <c r="J3" s="150"/>
      <c r="K3" s="150"/>
      <c r="L3" s="39"/>
      <c r="M3" s="39"/>
      <c r="N3" s="39"/>
      <c r="O3" s="39"/>
      <c r="P3" s="39"/>
      <c r="Q3" s="39"/>
      <c r="R3" s="39"/>
      <c r="S3" s="39"/>
      <c r="T3" s="39"/>
      <c r="U3" s="39"/>
    </row>
    <row r="4" s="148" customFormat="true" ht="15" hidden="false" customHeight="true" outlineLevel="0" collapsed="false">
      <c r="A4" s="39"/>
      <c r="B4" s="11" t="str">
        <f aca="false">Eingabeblatt!H3</f>
        <v>Institute/Department</v>
      </c>
      <c r="C4" s="11"/>
      <c r="D4" s="11"/>
      <c r="E4" s="150" t="str">
        <f aca="false">EB.Institut</f>
        <v>Institute/Department Name</v>
      </c>
      <c r="F4" s="150"/>
      <c r="G4" s="150"/>
      <c r="H4" s="150"/>
      <c r="I4" s="150"/>
      <c r="J4" s="150"/>
      <c r="K4" s="150"/>
      <c r="L4" s="39"/>
      <c r="M4" s="39"/>
      <c r="N4" s="39"/>
      <c r="O4" s="39"/>
      <c r="P4" s="39"/>
      <c r="Q4" s="39"/>
      <c r="R4" s="39"/>
      <c r="S4" s="39"/>
      <c r="T4" s="39"/>
      <c r="U4" s="39"/>
    </row>
    <row r="5" s="148" customFormat="true" ht="15" hidden="false" customHeight="true" outlineLevel="0" collapsed="false">
      <c r="A5" s="39"/>
      <c r="B5" s="11" t="str">
        <f aca="false">Eingabeblatt!A5</f>
        <v>Employee Number</v>
      </c>
      <c r="C5" s="11"/>
      <c r="D5" s="11"/>
      <c r="E5" s="150" t="str">
        <f aca="false">IF(EB.Personalnummer="","?",EB.Personalnummer)</f>
        <v>?</v>
      </c>
      <c r="F5" s="150"/>
      <c r="G5" s="150"/>
      <c r="H5" s="150"/>
      <c r="I5" s="150"/>
      <c r="J5" s="150"/>
      <c r="K5" s="150"/>
      <c r="L5" s="39"/>
      <c r="M5" s="39"/>
      <c r="N5" s="39"/>
      <c r="O5" s="39"/>
      <c r="P5" s="39"/>
      <c r="Q5" s="39"/>
      <c r="R5" s="39"/>
      <c r="S5" s="39"/>
      <c r="T5" s="39"/>
      <c r="U5" s="39"/>
    </row>
    <row r="6" s="148" customFormat="true" ht="15" hidden="false" customHeight="true" outlineLevel="0" collapsed="false">
      <c r="A6" s="39"/>
      <c r="B6" s="11" t="str">
        <f aca="false">Eingabeblatt!H4</f>
        <v>Faculty</v>
      </c>
      <c r="C6" s="11"/>
      <c r="D6" s="11"/>
      <c r="E6" s="150" t="str">
        <f aca="false">EB.Fakultaet</f>
        <v>Select Faculty</v>
      </c>
      <c r="F6" s="150"/>
      <c r="G6" s="150"/>
      <c r="H6" s="150"/>
      <c r="I6" s="150"/>
      <c r="J6" s="150"/>
      <c r="K6" s="150"/>
      <c r="L6" s="39"/>
      <c r="M6" s="39"/>
      <c r="N6" s="39"/>
      <c r="O6" s="39"/>
      <c r="P6" s="39"/>
      <c r="Q6" s="39"/>
      <c r="R6" s="39"/>
      <c r="S6" s="39"/>
      <c r="T6" s="39"/>
      <c r="U6" s="39"/>
    </row>
    <row r="7" s="148" customFormat="true" ht="15" hidden="false" customHeight="true" outlineLevel="0" collapsed="false">
      <c r="A7" s="39"/>
      <c r="B7" s="11" t="str">
        <f aca="false">Eingabeblatt!H5</f>
        <v>Employee Category</v>
      </c>
      <c r="C7" s="11"/>
      <c r="D7" s="11"/>
      <c r="E7" s="150" t="str">
        <f aca="false">EB.Personalkategorie</f>
        <v>Select Employee Category</v>
      </c>
      <c r="F7" s="150"/>
      <c r="G7" s="150"/>
      <c r="H7" s="150"/>
      <c r="I7" s="150"/>
      <c r="J7" s="150"/>
      <c r="K7" s="150"/>
      <c r="L7" s="39"/>
      <c r="M7" s="39"/>
      <c r="N7" s="39"/>
      <c r="O7" s="39"/>
      <c r="P7" s="39"/>
      <c r="Q7" s="39"/>
      <c r="R7" s="39"/>
      <c r="S7" s="39"/>
      <c r="T7" s="39"/>
      <c r="U7" s="39"/>
      <c r="AJ7" s="142"/>
    </row>
    <row r="8" s="148" customFormat="true" ht="11.25" hidden="false" customHeight="true" outlineLevel="0" collapsed="false">
      <c r="A8" s="39"/>
      <c r="B8" s="343" t="n">
        <v>1</v>
      </c>
      <c r="C8" s="343" t="n">
        <v>2</v>
      </c>
      <c r="D8" s="343" t="n">
        <v>3</v>
      </c>
      <c r="E8" s="343" t="n">
        <v>4</v>
      </c>
      <c r="F8" s="343" t="n">
        <v>5</v>
      </c>
      <c r="G8" s="343" t="n">
        <v>6</v>
      </c>
      <c r="H8" s="343" t="n">
        <v>7</v>
      </c>
      <c r="I8" s="343" t="n">
        <v>8</v>
      </c>
      <c r="J8" s="343" t="n">
        <v>9</v>
      </c>
      <c r="K8" s="343" t="n">
        <v>10</v>
      </c>
      <c r="L8" s="343" t="n">
        <v>11</v>
      </c>
      <c r="M8" s="343" t="n">
        <v>12</v>
      </c>
      <c r="N8" s="343" t="n">
        <v>13</v>
      </c>
      <c r="O8" s="343" t="n">
        <v>14</v>
      </c>
      <c r="P8" s="343" t="n">
        <v>15</v>
      </c>
      <c r="Q8" s="39"/>
      <c r="R8" s="39"/>
      <c r="S8" s="39"/>
      <c r="T8" s="39"/>
      <c r="U8" s="39"/>
    </row>
    <row r="9" s="305" customFormat="true" ht="159.75" hidden="false" customHeight="true" outlineLevel="0" collapsed="false">
      <c r="A9" s="344"/>
      <c r="B9" s="345" t="str">
        <f aca="true">IF(EB.AnzProjekte&gt;=B8,INDEX(EB.Projekte.Bereich,B8),"")</f>
        <v/>
      </c>
      <c r="C9" s="345" t="str">
        <f aca="true">IF(EB.AnzProjekte&gt;=C8,INDEX(EB.Projekte.Bereich,C8),"")</f>
        <v/>
      </c>
      <c r="D9" s="345" t="str">
        <f aca="true">IF(EB.AnzProjekte&gt;=D8,INDEX(EB.Projekte.Bereich,D8),"")</f>
        <v/>
      </c>
      <c r="E9" s="345" t="str">
        <f aca="true">IF(EB.AnzProjekte&gt;=E8,INDEX(EB.Projekte.Bereich,E8),"")</f>
        <v/>
      </c>
      <c r="F9" s="345" t="str">
        <f aca="true">IF(EB.AnzProjekte&gt;=F8,INDEX(EB.Projekte.Bereich,F8),"")</f>
        <v/>
      </c>
      <c r="G9" s="345" t="str">
        <f aca="true">IF(EB.AnzProjekte&gt;=G8,INDEX(EB.Projekte.Bereich,G8),"")</f>
        <v/>
      </c>
      <c r="H9" s="345" t="str">
        <f aca="true">IF(EB.AnzProjekte&gt;=H8,INDEX(EB.Projekte.Bereich,H8),"")</f>
        <v/>
      </c>
      <c r="I9" s="345" t="str">
        <f aca="true">IF(EB.AnzProjekte&gt;=I8,INDEX(EB.Projekte.Bereich,I8),"")</f>
        <v/>
      </c>
      <c r="J9" s="345" t="str">
        <f aca="true">IF(EB.AnzProjekte&gt;=J8,INDEX(EB.Projekte.Bereich,J8),"")</f>
        <v/>
      </c>
      <c r="K9" s="345" t="str">
        <f aca="true">IF(EB.AnzProjekte&gt;=K8,INDEX(EB.Projekte.Bereich,K8),"")</f>
        <v/>
      </c>
      <c r="L9" s="345" t="str">
        <f aca="true">IF(EB.AnzProjekte&gt;=L8,INDEX(EB.Projekte.Bereich,L8),"")</f>
        <v/>
      </c>
      <c r="M9" s="345" t="str">
        <f aca="true">IF(EB.AnzProjekte&gt;=M8,INDEX(EB.Projekte.Bereich,M8),"")</f>
        <v/>
      </c>
      <c r="N9" s="345" t="str">
        <f aca="true">IF(EB.AnzProjekte&gt;=N8,INDEX(EB.Projekte.Bereich,N8),"")</f>
        <v/>
      </c>
      <c r="O9" s="345" t="str">
        <f aca="true">IF(EB.AnzProjekte&gt;=O8,INDEX(EB.Projekte.Bereich,O8),"")</f>
        <v/>
      </c>
      <c r="P9" s="345" t="str">
        <f aca="true">IF(EB.AnzProjekte&gt;=P8,INDEX(EB.Projekte.Bereich,P8),"")</f>
        <v/>
      </c>
      <c r="Q9" s="39"/>
      <c r="R9" s="304" t="s">
        <v>204</v>
      </c>
      <c r="S9" s="39"/>
      <c r="T9" s="304" t="s">
        <v>205</v>
      </c>
      <c r="U9" s="39"/>
      <c r="V9" s="148"/>
      <c r="W9" s="148"/>
      <c r="X9" s="148"/>
      <c r="Y9" s="148"/>
      <c r="Z9" s="148"/>
      <c r="AA9" s="148"/>
      <c r="AB9" s="148"/>
      <c r="AC9" s="148"/>
      <c r="AD9" s="148"/>
      <c r="AE9" s="148"/>
      <c r="AF9" s="148"/>
      <c r="AG9" s="148"/>
      <c r="AH9" s="148"/>
    </row>
    <row r="10" s="305" customFormat="true" ht="11.25" hidden="false" customHeight="true" outlineLevel="0" collapsed="false">
      <c r="A10" s="346"/>
      <c r="B10" s="346"/>
      <c r="C10" s="346"/>
      <c r="D10" s="346"/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9"/>
      <c r="R10" s="301"/>
      <c r="S10" s="39"/>
      <c r="T10" s="301"/>
      <c r="U10" s="39"/>
    </row>
    <row r="11" s="148" customFormat="true" ht="15" hidden="false" customHeight="true" outlineLevel="0" collapsed="false">
      <c r="A11" s="322" t="str">
        <f aca="false">INDEX(EB.Monate.Bereich,1,0)</f>
        <v>January</v>
      </c>
      <c r="B11" s="347" t="str">
        <f aca="false">IF(B$9="","",IF(EB.Anwendung&lt;&gt;"",IF(INDEX(January!Monat.ProjekteTotal.Bereich,B$8)&lt;=0,0,INDEX(January!Monat.ProjekteTotal.Bereich,B$8)),""))</f>
        <v/>
      </c>
      <c r="C11" s="347" t="str">
        <f aca="false">IF(C$9="","",IF(EB.Anwendung&lt;&gt;"",IF(INDEX(January!Monat.ProjekteTotal.Bereich,C$8)&lt;=0,0,INDEX(January!Monat.ProjekteTotal.Bereich,C$8)),""))</f>
        <v/>
      </c>
      <c r="D11" s="347" t="str">
        <f aca="false">IF(D$9="","",IF(EB.Anwendung&lt;&gt;"",IF(INDEX(January!Monat.ProjekteTotal.Bereich,D$8)&lt;=0,0,INDEX(January!Monat.ProjekteTotal.Bereich,D$8)),""))</f>
        <v/>
      </c>
      <c r="E11" s="347" t="str">
        <f aca="false">IF(E$9="","",IF(EB.Anwendung&lt;&gt;"",IF(INDEX(January!Monat.ProjekteTotal.Bereich,E$8)&lt;=0,0,INDEX(January!Monat.ProjekteTotal.Bereich,E$8)),""))</f>
        <v/>
      </c>
      <c r="F11" s="347" t="str">
        <f aca="false">IF(F$9="","",IF(EB.Anwendung&lt;&gt;"",IF(INDEX(January!Monat.ProjekteTotal.Bereich,F$8)&lt;=0,0,INDEX(January!Monat.ProjekteTotal.Bereich,F$8)),""))</f>
        <v/>
      </c>
      <c r="G11" s="347" t="str">
        <f aca="false">IF(G$9="","",IF(EB.Anwendung&lt;&gt;"",IF(INDEX(January!Monat.ProjekteTotal.Bereich,G$8)&lt;=0,0,INDEX(January!Monat.ProjekteTotal.Bereich,G$8)),""))</f>
        <v/>
      </c>
      <c r="H11" s="347" t="str">
        <f aca="false">IF(H$9="","",IF(EB.Anwendung&lt;&gt;"",IF(INDEX(January!Monat.ProjekteTotal.Bereich,H$8)&lt;=0,0,INDEX(January!Monat.ProjekteTotal.Bereich,H$8)),""))</f>
        <v/>
      </c>
      <c r="I11" s="347" t="str">
        <f aca="false">IF(I$9="","",IF(EB.Anwendung&lt;&gt;"",IF(INDEX(January!Monat.ProjekteTotal.Bereich,I$8)&lt;=0,0,INDEX(January!Monat.ProjekteTotal.Bereich,I$8)),""))</f>
        <v/>
      </c>
      <c r="J11" s="347" t="str">
        <f aca="false">IF(J$9="","",IF(EB.Anwendung&lt;&gt;"",IF(INDEX(January!Monat.ProjekteTotal.Bereich,J$8)&lt;=0,0,INDEX(January!Monat.ProjekteTotal.Bereich,J$8)),""))</f>
        <v/>
      </c>
      <c r="K11" s="347" t="str">
        <f aca="false">IF(K$9="","",IF(EB.Anwendung&lt;&gt;"",IF(INDEX(January!Monat.ProjekteTotal.Bereich,K$8)&lt;=0,0,INDEX(January!Monat.ProjekteTotal.Bereich,K$8)),""))</f>
        <v/>
      </c>
      <c r="L11" s="347" t="str">
        <f aca="false">IF(L$9="","",IF(EB.Anwendung&lt;&gt;"",IF(INDEX(January!Monat.ProjekteTotal.Bereich,L$8)&lt;=0,0,INDEX(January!Monat.ProjekteTotal.Bereich,L$8)),""))</f>
        <v/>
      </c>
      <c r="M11" s="347" t="str">
        <f aca="false">IF(M$9="","",IF(EB.Anwendung&lt;&gt;"",IF(INDEX(January!Monat.ProjekteTotal.Bereich,M$8)&lt;=0,0,INDEX(January!Monat.ProjekteTotal.Bereich,M$8)),""))</f>
        <v/>
      </c>
      <c r="N11" s="347" t="str">
        <f aca="false">IF(N$9="","",IF(EB.Anwendung&lt;&gt;"",IF(INDEX(January!Monat.ProjekteTotal.Bereich,N$8)&lt;=0,0,INDEX(January!Monat.ProjekteTotal.Bereich,N$8)),""))</f>
        <v/>
      </c>
      <c r="O11" s="347" t="str">
        <f aca="false">IF(O$9="","",IF(EB.Anwendung&lt;&gt;"",IF(INDEX(January!Monat.ProjekteTotal.Bereich,O$8)&lt;=0,0,INDEX(January!Monat.ProjekteTotal.Bereich,O$8)),""))</f>
        <v/>
      </c>
      <c r="P11" s="347" t="str">
        <f aca="false">IF(P$9="","",IF(EB.Anwendung&lt;&gt;"",IF(INDEX(January!Monat.ProjekteTotal.Bereich,P$8)&lt;=0,0,INDEX(January!Monat.ProjekteTotal.Bereich,P$8)),""))</f>
        <v/>
      </c>
      <c r="Q11" s="39"/>
      <c r="R11" s="325" t="n">
        <f aca="false">SUM(B11:P11)</f>
        <v>0</v>
      </c>
      <c r="S11" s="39"/>
      <c r="T11" s="348" t="str">
        <f aca="false">IF(Jahresabrechnung!AO15+Jahresabrechnung!S15+Jahresabrechnung!AI15=0,"",R11/(Jahresabrechnung!AO15+Jahresabrechnung!S15+Jahresabrechnung!AI15))</f>
        <v/>
      </c>
      <c r="U11" s="39"/>
    </row>
    <row r="12" s="148" customFormat="true" ht="15" hidden="false" customHeight="true" outlineLevel="0" collapsed="false">
      <c r="A12" s="322" t="str">
        <f aca="false">INDEX(EB.Monate.Bereich,2,0)</f>
        <v>February</v>
      </c>
      <c r="B12" s="347" t="str">
        <f aca="false">IF(B$9="","",IF(EB.Anwendung&lt;&gt;"",IF(INDEX(February!Monat.ProjekteTotal.Bereich,B$8)&lt;=0,0,INDEX(February!Monat.ProjekteTotal.Bereich,B$8)),""))</f>
        <v/>
      </c>
      <c r="C12" s="347" t="str">
        <f aca="false">IF(C$9="","",IF(EB.Anwendung&lt;&gt;"",IF(INDEX(February!Monat.ProjekteTotal.Bereich,C$8)&lt;=0,0,INDEX(February!Monat.ProjekteTotal.Bereich,C$8)),""))</f>
        <v/>
      </c>
      <c r="D12" s="347" t="str">
        <f aca="false">IF(D$9="","",IF(EB.Anwendung&lt;&gt;"",IF(INDEX(February!Monat.ProjekteTotal.Bereich,D$8)&lt;=0,0,INDEX(February!Monat.ProjekteTotal.Bereich,D$8)),""))</f>
        <v/>
      </c>
      <c r="E12" s="347" t="str">
        <f aca="false">IF(E$9="","",IF(EB.Anwendung&lt;&gt;"",IF(INDEX(February!Monat.ProjekteTotal.Bereich,E$8)&lt;=0,0,INDEX(February!Monat.ProjekteTotal.Bereich,E$8)),""))</f>
        <v/>
      </c>
      <c r="F12" s="347" t="str">
        <f aca="false">IF(F$9="","",IF(EB.Anwendung&lt;&gt;"",IF(INDEX(February!Monat.ProjekteTotal.Bereich,F$8)&lt;=0,0,INDEX(February!Monat.ProjekteTotal.Bereich,F$8)),""))</f>
        <v/>
      </c>
      <c r="G12" s="347" t="str">
        <f aca="false">IF(G$9="","",IF(EB.Anwendung&lt;&gt;"",IF(INDEX(February!Monat.ProjekteTotal.Bereich,G$8)&lt;=0,0,INDEX(February!Monat.ProjekteTotal.Bereich,G$8)),""))</f>
        <v/>
      </c>
      <c r="H12" s="347" t="str">
        <f aca="false">IF(H$9="","",IF(EB.Anwendung&lt;&gt;"",IF(INDEX(February!Monat.ProjekteTotal.Bereich,H$8)&lt;=0,0,INDEX(February!Monat.ProjekteTotal.Bereich,H$8)),""))</f>
        <v/>
      </c>
      <c r="I12" s="347" t="str">
        <f aca="false">IF(I$9="","",IF(EB.Anwendung&lt;&gt;"",IF(INDEX(February!Monat.ProjekteTotal.Bereich,I$8)&lt;=0,0,INDEX(February!Monat.ProjekteTotal.Bereich,I$8)),""))</f>
        <v/>
      </c>
      <c r="J12" s="347" t="str">
        <f aca="false">IF(J$9="","",IF(EB.Anwendung&lt;&gt;"",IF(INDEX(February!Monat.ProjekteTotal.Bereich,J$8)&lt;=0,0,INDEX(February!Monat.ProjekteTotal.Bereich,J$8)),""))</f>
        <v/>
      </c>
      <c r="K12" s="347" t="str">
        <f aca="false">IF(K$9="","",IF(EB.Anwendung&lt;&gt;"",IF(INDEX(February!Monat.ProjekteTotal.Bereich,K$8)&lt;=0,0,INDEX(February!Monat.ProjekteTotal.Bereich,K$8)),""))</f>
        <v/>
      </c>
      <c r="L12" s="347" t="str">
        <f aca="false">IF(L$9="","",IF(EB.Anwendung&lt;&gt;"",IF(INDEX(February!Monat.ProjekteTotal.Bereich,L$8)&lt;=0,0,INDEX(February!Monat.ProjekteTotal.Bereich,L$8)),""))</f>
        <v/>
      </c>
      <c r="M12" s="347" t="str">
        <f aca="false">IF(M$9="","",IF(EB.Anwendung&lt;&gt;"",IF(INDEX(February!Monat.ProjekteTotal.Bereich,M$8)&lt;=0,0,INDEX(February!Monat.ProjekteTotal.Bereich,M$8)),""))</f>
        <v/>
      </c>
      <c r="N12" s="347" t="str">
        <f aca="false">IF(N$9="","",IF(EB.Anwendung&lt;&gt;"",IF(INDEX(February!Monat.ProjekteTotal.Bereich,N$8)&lt;=0,0,INDEX(February!Monat.ProjekteTotal.Bereich,N$8)),""))</f>
        <v/>
      </c>
      <c r="O12" s="347" t="str">
        <f aca="false">IF(O$9="","",IF(EB.Anwendung&lt;&gt;"",IF(INDEX(February!Monat.ProjekteTotal.Bereich,O$8)&lt;=0,0,INDEX(February!Monat.ProjekteTotal.Bereich,O$8)),""))</f>
        <v/>
      </c>
      <c r="P12" s="347" t="str">
        <f aca="false">IF(P$9="","",IF(EB.Anwendung&lt;&gt;"",IF(INDEX(February!Monat.ProjekteTotal.Bereich,P$8)&lt;=0,0,INDEX(February!Monat.ProjekteTotal.Bereich,P$8)),""))</f>
        <v/>
      </c>
      <c r="Q12" s="39"/>
      <c r="R12" s="325" t="n">
        <f aca="false">SUM(B12:P12)</f>
        <v>0</v>
      </c>
      <c r="S12" s="39"/>
      <c r="T12" s="348" t="str">
        <f aca="false">IF(Jahresabrechnung!AO16+Jahresabrechnung!S16+Jahresabrechnung!AI16=0,"",R12/(Jahresabrechnung!AO16+Jahresabrechnung!S16+Jahresabrechnung!AI16))</f>
        <v/>
      </c>
      <c r="U12" s="39"/>
    </row>
    <row r="13" s="148" customFormat="true" ht="15" hidden="false" customHeight="true" outlineLevel="0" collapsed="false">
      <c r="A13" s="322" t="str">
        <f aca="false">INDEX(EB.Monate.Bereich,3,0)</f>
        <v>March</v>
      </c>
      <c r="B13" s="347" t="str">
        <f aca="false">IF(B$9="","",IF(EB.Anwendung&lt;&gt;"",IF(INDEX(March!Monat.ProjekteTotal.Bereich,B$8)&lt;=0,0,INDEX(March!Monat.ProjekteTotal.Bereich,B$8)),""))</f>
        <v/>
      </c>
      <c r="C13" s="347" t="str">
        <f aca="false">IF(C$9="","",IF(EB.Anwendung&lt;&gt;"",IF(INDEX(March!Monat.ProjekteTotal.Bereich,C$8)&lt;=0,0,INDEX(March!Monat.ProjekteTotal.Bereich,C$8)),""))</f>
        <v/>
      </c>
      <c r="D13" s="347" t="str">
        <f aca="false">IF(D$9="","",IF(EB.Anwendung&lt;&gt;"",IF(INDEX(March!Monat.ProjekteTotal.Bereich,D$8)&lt;=0,0,INDEX(March!Monat.ProjekteTotal.Bereich,D$8)),""))</f>
        <v/>
      </c>
      <c r="E13" s="347" t="str">
        <f aca="false">IF(E$9="","",IF(EB.Anwendung&lt;&gt;"",IF(INDEX(March!Monat.ProjekteTotal.Bereich,E$8)&lt;=0,0,INDEX(March!Monat.ProjekteTotal.Bereich,E$8)),""))</f>
        <v/>
      </c>
      <c r="F13" s="347" t="str">
        <f aca="false">IF(F$9="","",IF(EB.Anwendung&lt;&gt;"",IF(INDEX(March!Monat.ProjekteTotal.Bereich,F$8)&lt;=0,0,INDEX(March!Monat.ProjekteTotal.Bereich,F$8)),""))</f>
        <v/>
      </c>
      <c r="G13" s="347" t="str">
        <f aca="false">IF(G$9="","",IF(EB.Anwendung&lt;&gt;"",IF(INDEX(March!Monat.ProjekteTotal.Bereich,G$8)&lt;=0,0,INDEX(March!Monat.ProjekteTotal.Bereich,G$8)),""))</f>
        <v/>
      </c>
      <c r="H13" s="347" t="str">
        <f aca="false">IF(H$9="","",IF(EB.Anwendung&lt;&gt;"",IF(INDEX(March!Monat.ProjekteTotal.Bereich,H$8)&lt;=0,0,INDEX(March!Monat.ProjekteTotal.Bereich,H$8)),""))</f>
        <v/>
      </c>
      <c r="I13" s="347" t="str">
        <f aca="false">IF(I$9="","",IF(EB.Anwendung&lt;&gt;"",IF(INDEX(March!Monat.ProjekteTotal.Bereich,I$8)&lt;=0,0,INDEX(March!Monat.ProjekteTotal.Bereich,I$8)),""))</f>
        <v/>
      </c>
      <c r="J13" s="347" t="str">
        <f aca="false">IF(J$9="","",IF(EB.Anwendung&lt;&gt;"",IF(INDEX(March!Monat.ProjekteTotal.Bereich,J$8)&lt;=0,0,INDEX(March!Monat.ProjekteTotal.Bereich,J$8)),""))</f>
        <v/>
      </c>
      <c r="K13" s="347" t="str">
        <f aca="false">IF(K$9="","",IF(EB.Anwendung&lt;&gt;"",IF(INDEX(March!Monat.ProjekteTotal.Bereich,K$8)&lt;=0,0,INDEX(March!Monat.ProjekteTotal.Bereich,K$8)),""))</f>
        <v/>
      </c>
      <c r="L13" s="347" t="str">
        <f aca="false">IF(L$9="","",IF(EB.Anwendung&lt;&gt;"",IF(INDEX(March!Monat.ProjekteTotal.Bereich,L$8)&lt;=0,0,INDEX(March!Monat.ProjekteTotal.Bereich,L$8)),""))</f>
        <v/>
      </c>
      <c r="M13" s="347" t="str">
        <f aca="false">IF(M$9="","",IF(EB.Anwendung&lt;&gt;"",IF(INDEX(March!Monat.ProjekteTotal.Bereich,M$8)&lt;=0,0,INDEX(March!Monat.ProjekteTotal.Bereich,M$8)),""))</f>
        <v/>
      </c>
      <c r="N13" s="347" t="str">
        <f aca="false">IF(N$9="","",IF(EB.Anwendung&lt;&gt;"",IF(INDEX(March!Monat.ProjekteTotal.Bereich,N$8)&lt;=0,0,INDEX(March!Monat.ProjekteTotal.Bereich,N$8)),""))</f>
        <v/>
      </c>
      <c r="O13" s="347" t="str">
        <f aca="false">IF(O$9="","",IF(EB.Anwendung&lt;&gt;"",IF(INDEX(March!Monat.ProjekteTotal.Bereich,O$8)&lt;=0,0,INDEX(March!Monat.ProjekteTotal.Bereich,O$8)),""))</f>
        <v/>
      </c>
      <c r="P13" s="347" t="str">
        <f aca="false">IF(P$9="","",IF(EB.Anwendung&lt;&gt;"",IF(INDEX(March!Monat.ProjekteTotal.Bereich,P$8)&lt;=0,0,INDEX(March!Monat.ProjekteTotal.Bereich,P$8)),""))</f>
        <v/>
      </c>
      <c r="Q13" s="39"/>
      <c r="R13" s="325" t="n">
        <f aca="false">SUM(B13:P13)</f>
        <v>0</v>
      </c>
      <c r="S13" s="39"/>
      <c r="T13" s="348" t="str">
        <f aca="false">IF(Jahresabrechnung!AO17+Jahresabrechnung!S17+Jahresabrechnung!AI17=0,"",R13/(Jahresabrechnung!AO17+Jahresabrechnung!S17+Jahresabrechnung!AI17))</f>
        <v/>
      </c>
      <c r="U13" s="39"/>
    </row>
    <row r="14" s="148" customFormat="true" ht="15" hidden="false" customHeight="true" outlineLevel="0" collapsed="false">
      <c r="A14" s="322" t="str">
        <f aca="false">INDEX(EB.Monate.Bereich,4,0)</f>
        <v>April</v>
      </c>
      <c r="B14" s="347" t="str">
        <f aca="false">IF(B$9="","",IF(EB.Anwendung&lt;&gt;"",IF(INDEX(April!Monat.ProjekteTotal.Bereich,B$8)&lt;=0,0,INDEX(April!Monat.ProjekteTotal.Bereich,B$8)),""))</f>
        <v/>
      </c>
      <c r="C14" s="347" t="str">
        <f aca="false">IF(C$9="","",IF(EB.Anwendung&lt;&gt;"",IF(INDEX(April!Monat.ProjekteTotal.Bereich,C$8)&lt;=0,0,INDEX(April!Monat.ProjekteTotal.Bereich,C$8)),""))</f>
        <v/>
      </c>
      <c r="D14" s="347" t="str">
        <f aca="false">IF(D$9="","",IF(EB.Anwendung&lt;&gt;"",IF(INDEX(April!Monat.ProjekteTotal.Bereich,D$8)&lt;=0,0,INDEX(April!Monat.ProjekteTotal.Bereich,D$8)),""))</f>
        <v/>
      </c>
      <c r="E14" s="347" t="str">
        <f aca="false">IF(E$9="","",IF(EB.Anwendung&lt;&gt;"",IF(INDEX(April!Monat.ProjekteTotal.Bereich,E$8)&lt;=0,0,INDEX(April!Monat.ProjekteTotal.Bereich,E$8)),""))</f>
        <v/>
      </c>
      <c r="F14" s="347" t="str">
        <f aca="false">IF(F$9="","",IF(EB.Anwendung&lt;&gt;"",IF(INDEX(April!Monat.ProjekteTotal.Bereich,F$8)&lt;=0,0,INDEX(April!Monat.ProjekteTotal.Bereich,F$8)),""))</f>
        <v/>
      </c>
      <c r="G14" s="347" t="str">
        <f aca="false">IF(G$9="","",IF(EB.Anwendung&lt;&gt;"",IF(INDEX(April!Monat.ProjekteTotal.Bereich,G$8)&lt;=0,0,INDEX(April!Monat.ProjekteTotal.Bereich,G$8)),""))</f>
        <v/>
      </c>
      <c r="H14" s="347" t="str">
        <f aca="false">IF(H$9="","",IF(EB.Anwendung&lt;&gt;"",IF(INDEX(April!Monat.ProjekteTotal.Bereich,H$8)&lt;=0,0,INDEX(April!Monat.ProjekteTotal.Bereich,H$8)),""))</f>
        <v/>
      </c>
      <c r="I14" s="347" t="str">
        <f aca="false">IF(I$9="","",IF(EB.Anwendung&lt;&gt;"",IF(INDEX(April!Monat.ProjekteTotal.Bereich,I$8)&lt;=0,0,INDEX(April!Monat.ProjekteTotal.Bereich,I$8)),""))</f>
        <v/>
      </c>
      <c r="J14" s="347" t="str">
        <f aca="false">IF(J$9="","",IF(EB.Anwendung&lt;&gt;"",IF(INDEX(April!Monat.ProjekteTotal.Bereich,J$8)&lt;=0,0,INDEX(April!Monat.ProjekteTotal.Bereich,J$8)),""))</f>
        <v/>
      </c>
      <c r="K14" s="347" t="str">
        <f aca="false">IF(K$9="","",IF(EB.Anwendung&lt;&gt;"",IF(INDEX(April!Monat.ProjekteTotal.Bereich,K$8)&lt;=0,0,INDEX(April!Monat.ProjekteTotal.Bereich,K$8)),""))</f>
        <v/>
      </c>
      <c r="L14" s="347" t="str">
        <f aca="false">IF(L$9="","",IF(EB.Anwendung&lt;&gt;"",IF(INDEX(April!Monat.ProjekteTotal.Bereich,L$8)&lt;=0,0,INDEX(April!Monat.ProjekteTotal.Bereich,L$8)),""))</f>
        <v/>
      </c>
      <c r="M14" s="347" t="str">
        <f aca="false">IF(M$9="","",IF(EB.Anwendung&lt;&gt;"",IF(INDEX(April!Monat.ProjekteTotal.Bereich,M$8)&lt;=0,0,INDEX(April!Monat.ProjekteTotal.Bereich,M$8)),""))</f>
        <v/>
      </c>
      <c r="N14" s="347" t="str">
        <f aca="false">IF(N$9="","",IF(EB.Anwendung&lt;&gt;"",IF(INDEX(April!Monat.ProjekteTotal.Bereich,N$8)&lt;=0,0,INDEX(April!Monat.ProjekteTotal.Bereich,N$8)),""))</f>
        <v/>
      </c>
      <c r="O14" s="347" t="str">
        <f aca="false">IF(O$9="","",IF(EB.Anwendung&lt;&gt;"",IF(INDEX(April!Monat.ProjekteTotal.Bereich,O$8)&lt;=0,0,INDEX(April!Monat.ProjekteTotal.Bereich,O$8)),""))</f>
        <v/>
      </c>
      <c r="P14" s="347" t="str">
        <f aca="false">IF(P$9="","",IF(EB.Anwendung&lt;&gt;"",IF(INDEX(April!Monat.ProjekteTotal.Bereich,P$8)&lt;=0,0,INDEX(April!Monat.ProjekteTotal.Bereich,P$8)),""))</f>
        <v/>
      </c>
      <c r="Q14" s="39"/>
      <c r="R14" s="325" t="n">
        <f aca="false">SUM(B14:P14)</f>
        <v>0</v>
      </c>
      <c r="S14" s="39"/>
      <c r="T14" s="348" t="n">
        <f aca="false">IF(Jahresabrechnung!AO18+Jahresabrechnung!S18+Jahresabrechnung!AI18=0,"",R14/(Jahresabrechnung!AO18+Jahresabrechnung!S18+Jahresabrechnung!AI18))</f>
        <v>0</v>
      </c>
      <c r="U14" s="39"/>
    </row>
    <row r="15" s="148" customFormat="true" ht="15" hidden="false" customHeight="true" outlineLevel="0" collapsed="false">
      <c r="A15" s="322" t="str">
        <f aca="false">INDEX(EB.Monate.Bereich,5,0)</f>
        <v>May</v>
      </c>
      <c r="B15" s="347" t="str">
        <f aca="false">IF(B$9="","",IF(EB.Anwendung&lt;&gt;"",IF(INDEX(May!Monat.ProjekteTotal.Bereich,B$8)&lt;=0,0,INDEX(May!Monat.ProjekteTotal.Bereich,B$8)),""))</f>
        <v/>
      </c>
      <c r="C15" s="347" t="str">
        <f aca="false">IF(C$9="","",IF(EB.Anwendung&lt;&gt;"",IF(INDEX(May!Monat.ProjekteTotal.Bereich,C$8)&lt;=0,0,INDEX(May!Monat.ProjekteTotal.Bereich,C$8)),""))</f>
        <v/>
      </c>
      <c r="D15" s="347" t="str">
        <f aca="false">IF(D$9="","",IF(EB.Anwendung&lt;&gt;"",IF(INDEX(May!Monat.ProjekteTotal.Bereich,D$8)&lt;=0,0,INDEX(May!Monat.ProjekteTotal.Bereich,D$8)),""))</f>
        <v/>
      </c>
      <c r="E15" s="347" t="str">
        <f aca="false">IF(E$9="","",IF(EB.Anwendung&lt;&gt;"",IF(INDEX(May!Monat.ProjekteTotal.Bereich,E$8)&lt;=0,0,INDEX(May!Monat.ProjekteTotal.Bereich,E$8)),""))</f>
        <v/>
      </c>
      <c r="F15" s="347" t="str">
        <f aca="false">IF(F$9="","",IF(EB.Anwendung&lt;&gt;"",IF(INDEX(May!Monat.ProjekteTotal.Bereich,F$8)&lt;=0,0,INDEX(May!Monat.ProjekteTotal.Bereich,F$8)),""))</f>
        <v/>
      </c>
      <c r="G15" s="347" t="str">
        <f aca="false">IF(G$9="","",IF(EB.Anwendung&lt;&gt;"",IF(INDEX(May!Monat.ProjekteTotal.Bereich,G$8)&lt;=0,0,INDEX(May!Monat.ProjekteTotal.Bereich,G$8)),""))</f>
        <v/>
      </c>
      <c r="H15" s="347" t="str">
        <f aca="false">IF(H$9="","",IF(EB.Anwendung&lt;&gt;"",IF(INDEX(May!Monat.ProjekteTotal.Bereich,H$8)&lt;=0,0,INDEX(May!Monat.ProjekteTotal.Bereich,H$8)),""))</f>
        <v/>
      </c>
      <c r="I15" s="347" t="str">
        <f aca="false">IF(I$9="","",IF(EB.Anwendung&lt;&gt;"",IF(INDEX(May!Monat.ProjekteTotal.Bereich,I$8)&lt;=0,0,INDEX(May!Monat.ProjekteTotal.Bereich,I$8)),""))</f>
        <v/>
      </c>
      <c r="J15" s="347" t="str">
        <f aca="false">IF(J$9="","",IF(EB.Anwendung&lt;&gt;"",IF(INDEX(May!Monat.ProjekteTotal.Bereich,J$8)&lt;=0,0,INDEX(May!Monat.ProjekteTotal.Bereich,J$8)),""))</f>
        <v/>
      </c>
      <c r="K15" s="347" t="str">
        <f aca="false">IF(K$9="","",IF(EB.Anwendung&lt;&gt;"",IF(INDEX(May!Monat.ProjekteTotal.Bereich,K$8)&lt;=0,0,INDEX(May!Monat.ProjekteTotal.Bereich,K$8)),""))</f>
        <v/>
      </c>
      <c r="L15" s="347" t="str">
        <f aca="false">IF(L$9="","",IF(EB.Anwendung&lt;&gt;"",IF(INDEX(May!Monat.ProjekteTotal.Bereich,L$8)&lt;=0,0,INDEX(May!Monat.ProjekteTotal.Bereich,L$8)),""))</f>
        <v/>
      </c>
      <c r="M15" s="347" t="str">
        <f aca="false">IF(M$9="","",IF(EB.Anwendung&lt;&gt;"",IF(INDEX(May!Monat.ProjekteTotal.Bereich,M$8)&lt;=0,0,INDEX(May!Monat.ProjekteTotal.Bereich,M$8)),""))</f>
        <v/>
      </c>
      <c r="N15" s="347" t="str">
        <f aca="false">IF(N$9="","",IF(EB.Anwendung&lt;&gt;"",IF(INDEX(May!Monat.ProjekteTotal.Bereich,N$8)&lt;=0,0,INDEX(May!Monat.ProjekteTotal.Bereich,N$8)),""))</f>
        <v/>
      </c>
      <c r="O15" s="347" t="str">
        <f aca="false">IF(O$9="","",IF(EB.Anwendung&lt;&gt;"",IF(INDEX(May!Monat.ProjekteTotal.Bereich,O$8)&lt;=0,0,INDEX(May!Monat.ProjekteTotal.Bereich,O$8)),""))</f>
        <v/>
      </c>
      <c r="P15" s="347" t="str">
        <f aca="false">IF(P$9="","",IF(EB.Anwendung&lt;&gt;"",IF(INDEX(May!Monat.ProjekteTotal.Bereich,P$8)&lt;=0,0,INDEX(May!Monat.ProjekteTotal.Bereich,P$8)),""))</f>
        <v/>
      </c>
      <c r="Q15" s="39"/>
      <c r="R15" s="325" t="n">
        <f aca="false">SUM(B15:P15)</f>
        <v>0</v>
      </c>
      <c r="S15" s="39"/>
      <c r="T15" s="348" t="n">
        <f aca="false">IF(Jahresabrechnung!AO19+Jahresabrechnung!S19+Jahresabrechnung!AI19=0,"",R15/(Jahresabrechnung!AO19+Jahresabrechnung!S19+Jahresabrechnung!AI19))</f>
        <v>0</v>
      </c>
      <c r="U15" s="39"/>
    </row>
    <row r="16" s="148" customFormat="true" ht="15" hidden="false" customHeight="true" outlineLevel="0" collapsed="false">
      <c r="A16" s="322" t="str">
        <f aca="false">INDEX(EB.Monate.Bereich,6,0)</f>
        <v>June</v>
      </c>
      <c r="B16" s="347" t="str">
        <f aca="false">IF(B$9="","",IF(EB.Anwendung&lt;&gt;"",IF(INDEX(June!Monat.ProjekteTotal.Bereich,B$8)&lt;=0,0,INDEX(June!Monat.ProjekteTotal.Bereich,B$8)),""))</f>
        <v/>
      </c>
      <c r="C16" s="347" t="str">
        <f aca="false">IF(C$9="","",IF(EB.Anwendung&lt;&gt;"",IF(INDEX(June!Monat.ProjekteTotal.Bereich,C$8)&lt;=0,0,INDEX(June!Monat.ProjekteTotal.Bereich,C$8)),""))</f>
        <v/>
      </c>
      <c r="D16" s="347" t="str">
        <f aca="false">IF(D$9="","",IF(EB.Anwendung&lt;&gt;"",IF(INDEX(June!Monat.ProjekteTotal.Bereich,D$8)&lt;=0,0,INDEX(June!Monat.ProjekteTotal.Bereich,D$8)),""))</f>
        <v/>
      </c>
      <c r="E16" s="347" t="str">
        <f aca="false">IF(E$9="","",IF(EB.Anwendung&lt;&gt;"",IF(INDEX(June!Monat.ProjekteTotal.Bereich,E$8)&lt;=0,0,INDEX(June!Monat.ProjekteTotal.Bereich,E$8)),""))</f>
        <v/>
      </c>
      <c r="F16" s="347" t="str">
        <f aca="false">IF(F$9="","",IF(EB.Anwendung&lt;&gt;"",IF(INDEX(June!Monat.ProjekteTotal.Bereich,F$8)&lt;=0,0,INDEX(June!Monat.ProjekteTotal.Bereich,F$8)),""))</f>
        <v/>
      </c>
      <c r="G16" s="347" t="str">
        <f aca="false">IF(G$9="","",IF(EB.Anwendung&lt;&gt;"",IF(INDEX(June!Monat.ProjekteTotal.Bereich,G$8)&lt;=0,0,INDEX(June!Monat.ProjekteTotal.Bereich,G$8)),""))</f>
        <v/>
      </c>
      <c r="H16" s="347" t="str">
        <f aca="false">IF(H$9="","",IF(EB.Anwendung&lt;&gt;"",IF(INDEX(June!Monat.ProjekteTotal.Bereich,H$8)&lt;=0,0,INDEX(June!Monat.ProjekteTotal.Bereich,H$8)),""))</f>
        <v/>
      </c>
      <c r="I16" s="347" t="str">
        <f aca="false">IF(I$9="","",IF(EB.Anwendung&lt;&gt;"",IF(INDEX(June!Monat.ProjekteTotal.Bereich,I$8)&lt;=0,0,INDEX(June!Monat.ProjekteTotal.Bereich,I$8)),""))</f>
        <v/>
      </c>
      <c r="J16" s="347" t="str">
        <f aca="false">IF(J$9="","",IF(EB.Anwendung&lt;&gt;"",IF(INDEX(June!Monat.ProjekteTotal.Bereich,J$8)&lt;=0,0,INDEX(June!Monat.ProjekteTotal.Bereich,J$8)),""))</f>
        <v/>
      </c>
      <c r="K16" s="347" t="str">
        <f aca="false">IF(K$9="","",IF(EB.Anwendung&lt;&gt;"",IF(INDEX(June!Monat.ProjekteTotal.Bereich,K$8)&lt;=0,0,INDEX(June!Monat.ProjekteTotal.Bereich,K$8)),""))</f>
        <v/>
      </c>
      <c r="L16" s="347" t="str">
        <f aca="false">IF(L$9="","",IF(EB.Anwendung&lt;&gt;"",IF(INDEX(June!Monat.ProjekteTotal.Bereich,L$8)&lt;=0,0,INDEX(June!Monat.ProjekteTotal.Bereich,L$8)),""))</f>
        <v/>
      </c>
      <c r="M16" s="347" t="str">
        <f aca="false">IF(M$9="","",IF(EB.Anwendung&lt;&gt;"",IF(INDEX(June!Monat.ProjekteTotal.Bereich,M$8)&lt;=0,0,INDEX(June!Monat.ProjekteTotal.Bereich,M$8)),""))</f>
        <v/>
      </c>
      <c r="N16" s="347" t="str">
        <f aca="false">IF(N$9="","",IF(EB.Anwendung&lt;&gt;"",IF(INDEX(June!Monat.ProjekteTotal.Bereich,N$8)&lt;=0,0,INDEX(June!Monat.ProjekteTotal.Bereich,N$8)),""))</f>
        <v/>
      </c>
      <c r="O16" s="347" t="str">
        <f aca="false">IF(O$9="","",IF(EB.Anwendung&lt;&gt;"",IF(INDEX(June!Monat.ProjekteTotal.Bereich,O$8)&lt;=0,0,INDEX(June!Monat.ProjekteTotal.Bereich,O$8)),""))</f>
        <v/>
      </c>
      <c r="P16" s="347" t="str">
        <f aca="false">IF(P$9="","",IF(EB.Anwendung&lt;&gt;"",IF(INDEX(June!Monat.ProjekteTotal.Bereich,P$8)&lt;=0,0,INDEX(June!Monat.ProjekteTotal.Bereich,P$8)),""))</f>
        <v/>
      </c>
      <c r="Q16" s="39"/>
      <c r="R16" s="325" t="n">
        <f aca="false">SUM(B16:P16)</f>
        <v>0</v>
      </c>
      <c r="S16" s="39"/>
      <c r="T16" s="348" t="str">
        <f aca="false">IF(Jahresabrechnung!AO20+Jahresabrechnung!S20+Jahresabrechnung!AI20=0,"",R16/(Jahresabrechnung!AO20+Jahresabrechnung!S20+Jahresabrechnung!AI20))</f>
        <v/>
      </c>
      <c r="U16" s="39"/>
    </row>
    <row r="17" s="148" customFormat="true" ht="15" hidden="false" customHeight="true" outlineLevel="0" collapsed="false">
      <c r="A17" s="322" t="str">
        <f aca="false">INDEX(EB.Monate.Bereich,7,0)</f>
        <v>July</v>
      </c>
      <c r="B17" s="347" t="str">
        <f aca="false">IF(B$9="","",IF(EB.Anwendung&lt;&gt;"",IF(INDEX(July!Monat.ProjekteTotal.Bereich,B$8)&lt;=0,0,INDEX(July!Monat.ProjekteTotal.Bereich,B$8)),""))</f>
        <v/>
      </c>
      <c r="C17" s="347" t="str">
        <f aca="false">IF(C$9="","",IF(EB.Anwendung&lt;&gt;"",IF(INDEX(July!Monat.ProjekteTotal.Bereich,C$8)&lt;=0,0,INDEX(July!Monat.ProjekteTotal.Bereich,C$8)),""))</f>
        <v/>
      </c>
      <c r="D17" s="347" t="str">
        <f aca="false">IF(D$9="","",IF(EB.Anwendung&lt;&gt;"",IF(INDEX(July!Monat.ProjekteTotal.Bereich,D$8)&lt;=0,0,INDEX(July!Monat.ProjekteTotal.Bereich,D$8)),""))</f>
        <v/>
      </c>
      <c r="E17" s="347" t="str">
        <f aca="false">IF(E$9="","",IF(EB.Anwendung&lt;&gt;"",IF(INDEX(July!Monat.ProjekteTotal.Bereich,E$8)&lt;=0,0,INDEX(July!Monat.ProjekteTotal.Bereich,E$8)),""))</f>
        <v/>
      </c>
      <c r="F17" s="347" t="str">
        <f aca="false">IF(F$9="","",IF(EB.Anwendung&lt;&gt;"",IF(INDEX(July!Monat.ProjekteTotal.Bereich,F$8)&lt;=0,0,INDEX(July!Monat.ProjekteTotal.Bereich,F$8)),""))</f>
        <v/>
      </c>
      <c r="G17" s="347" t="str">
        <f aca="false">IF(G$9="","",IF(EB.Anwendung&lt;&gt;"",IF(INDEX(July!Monat.ProjekteTotal.Bereich,G$8)&lt;=0,0,INDEX(July!Monat.ProjekteTotal.Bereich,G$8)),""))</f>
        <v/>
      </c>
      <c r="H17" s="347" t="str">
        <f aca="false">IF(H$9="","",IF(EB.Anwendung&lt;&gt;"",IF(INDEX(July!Monat.ProjekteTotal.Bereich,H$8)&lt;=0,0,INDEX(July!Monat.ProjekteTotal.Bereich,H$8)),""))</f>
        <v/>
      </c>
      <c r="I17" s="347" t="str">
        <f aca="false">IF(I$9="","",IF(EB.Anwendung&lt;&gt;"",IF(INDEX(July!Monat.ProjekteTotal.Bereich,I$8)&lt;=0,0,INDEX(July!Monat.ProjekteTotal.Bereich,I$8)),""))</f>
        <v/>
      </c>
      <c r="J17" s="347" t="str">
        <f aca="false">IF(J$9="","",IF(EB.Anwendung&lt;&gt;"",IF(INDEX(July!Monat.ProjekteTotal.Bereich,J$8)&lt;=0,0,INDEX(July!Monat.ProjekteTotal.Bereich,J$8)),""))</f>
        <v/>
      </c>
      <c r="K17" s="347" t="str">
        <f aca="false">IF(K$9="","",IF(EB.Anwendung&lt;&gt;"",IF(INDEX(July!Monat.ProjekteTotal.Bereich,K$8)&lt;=0,0,INDEX(July!Monat.ProjekteTotal.Bereich,K$8)),""))</f>
        <v/>
      </c>
      <c r="L17" s="347" t="str">
        <f aca="false">IF(L$9="","",IF(EB.Anwendung&lt;&gt;"",IF(INDEX(July!Monat.ProjekteTotal.Bereich,L$8)&lt;=0,0,INDEX(July!Monat.ProjekteTotal.Bereich,L$8)),""))</f>
        <v/>
      </c>
      <c r="M17" s="347" t="str">
        <f aca="false">IF(M$9="","",IF(EB.Anwendung&lt;&gt;"",IF(INDEX(July!Monat.ProjekteTotal.Bereich,M$8)&lt;=0,0,INDEX(July!Monat.ProjekteTotal.Bereich,M$8)),""))</f>
        <v/>
      </c>
      <c r="N17" s="347" t="str">
        <f aca="false">IF(N$9="","",IF(EB.Anwendung&lt;&gt;"",IF(INDEX(July!Monat.ProjekteTotal.Bereich,N$8)&lt;=0,0,INDEX(July!Monat.ProjekteTotal.Bereich,N$8)),""))</f>
        <v/>
      </c>
      <c r="O17" s="347" t="str">
        <f aca="false">IF(O$9="","",IF(EB.Anwendung&lt;&gt;"",IF(INDEX(July!Monat.ProjekteTotal.Bereich,O$8)&lt;=0,0,INDEX(July!Monat.ProjekteTotal.Bereich,O$8)),""))</f>
        <v/>
      </c>
      <c r="P17" s="347" t="str">
        <f aca="false">IF(P$9="","",IF(EB.Anwendung&lt;&gt;"",IF(INDEX(July!Monat.ProjekteTotal.Bereich,P$8)&lt;=0,0,INDEX(July!Monat.ProjekteTotal.Bereich,P$8)),""))</f>
        <v/>
      </c>
      <c r="Q17" s="39"/>
      <c r="R17" s="325" t="n">
        <f aca="false">SUM(B17:P17)</f>
        <v>0</v>
      </c>
      <c r="S17" s="39"/>
      <c r="T17" s="348" t="str">
        <f aca="false">IF(Jahresabrechnung!AO21+Jahresabrechnung!S21+Jahresabrechnung!AI21=0,"",R17/(Jahresabrechnung!AO21+Jahresabrechnung!S21+Jahresabrechnung!AI21))</f>
        <v/>
      </c>
      <c r="U17" s="39"/>
    </row>
    <row r="18" s="148" customFormat="true" ht="15" hidden="false" customHeight="true" outlineLevel="0" collapsed="false">
      <c r="A18" s="322" t="str">
        <f aca="false">INDEX(EB.Monate.Bereich,8,0)</f>
        <v>August</v>
      </c>
      <c r="B18" s="347" t="str">
        <f aca="false">IF(B$9="","",IF(EB.Anwendung&lt;&gt;"",IF(INDEX(August!Monat.ProjekteTotal.Bereich,B$8)&lt;=0,0,INDEX(August!Monat.ProjekteTotal.Bereich,B$8)),""))</f>
        <v/>
      </c>
      <c r="C18" s="347" t="str">
        <f aca="false">IF(C$9="","",IF(EB.Anwendung&lt;&gt;"",IF(INDEX(August!Monat.ProjekteTotal.Bereich,C$8)&lt;=0,0,INDEX(August!Monat.ProjekteTotal.Bereich,C$8)),""))</f>
        <v/>
      </c>
      <c r="D18" s="347" t="str">
        <f aca="false">IF(D$9="","",IF(EB.Anwendung&lt;&gt;"",IF(INDEX(August!Monat.ProjekteTotal.Bereich,D$8)&lt;=0,0,INDEX(August!Monat.ProjekteTotal.Bereich,D$8)),""))</f>
        <v/>
      </c>
      <c r="E18" s="347" t="str">
        <f aca="false">IF(E$9="","",IF(EB.Anwendung&lt;&gt;"",IF(INDEX(August!Monat.ProjekteTotal.Bereich,E$8)&lt;=0,0,INDEX(August!Monat.ProjekteTotal.Bereich,E$8)),""))</f>
        <v/>
      </c>
      <c r="F18" s="347" t="str">
        <f aca="false">IF(F$9="","",IF(EB.Anwendung&lt;&gt;"",IF(INDEX(August!Monat.ProjekteTotal.Bereich,F$8)&lt;=0,0,INDEX(August!Monat.ProjekteTotal.Bereich,F$8)),""))</f>
        <v/>
      </c>
      <c r="G18" s="347" t="str">
        <f aca="false">IF(G$9="","",IF(EB.Anwendung&lt;&gt;"",IF(INDEX(August!Monat.ProjekteTotal.Bereich,G$8)&lt;=0,0,INDEX(August!Monat.ProjekteTotal.Bereich,G$8)),""))</f>
        <v/>
      </c>
      <c r="H18" s="347" t="str">
        <f aca="false">IF(H$9="","",IF(EB.Anwendung&lt;&gt;"",IF(INDEX(August!Monat.ProjekteTotal.Bereich,H$8)&lt;=0,0,INDEX(August!Monat.ProjekteTotal.Bereich,H$8)),""))</f>
        <v/>
      </c>
      <c r="I18" s="347" t="str">
        <f aca="false">IF(I$9="","",IF(EB.Anwendung&lt;&gt;"",IF(INDEX(August!Monat.ProjekteTotal.Bereich,I$8)&lt;=0,0,INDEX(August!Monat.ProjekteTotal.Bereich,I$8)),""))</f>
        <v/>
      </c>
      <c r="J18" s="347" t="str">
        <f aca="false">IF(J$9="","",IF(EB.Anwendung&lt;&gt;"",IF(INDEX(August!Monat.ProjekteTotal.Bereich,J$8)&lt;=0,0,INDEX(August!Monat.ProjekteTotal.Bereich,J$8)),""))</f>
        <v/>
      </c>
      <c r="K18" s="347" t="str">
        <f aca="false">IF(K$9="","",IF(EB.Anwendung&lt;&gt;"",IF(INDEX(August!Monat.ProjekteTotal.Bereich,K$8)&lt;=0,0,INDEX(August!Monat.ProjekteTotal.Bereich,K$8)),""))</f>
        <v/>
      </c>
      <c r="L18" s="347" t="str">
        <f aca="false">IF(L$9="","",IF(EB.Anwendung&lt;&gt;"",IF(INDEX(August!Monat.ProjekteTotal.Bereich,L$8)&lt;=0,0,INDEX(August!Monat.ProjekteTotal.Bereich,L$8)),""))</f>
        <v/>
      </c>
      <c r="M18" s="347" t="str">
        <f aca="false">IF(M$9="","",IF(EB.Anwendung&lt;&gt;"",IF(INDEX(August!Monat.ProjekteTotal.Bereich,M$8)&lt;=0,0,INDEX(August!Monat.ProjekteTotal.Bereich,M$8)),""))</f>
        <v/>
      </c>
      <c r="N18" s="347" t="str">
        <f aca="false">IF(N$9="","",IF(EB.Anwendung&lt;&gt;"",IF(INDEX(August!Monat.ProjekteTotal.Bereich,N$8)&lt;=0,0,INDEX(August!Monat.ProjekteTotal.Bereich,N$8)),""))</f>
        <v/>
      </c>
      <c r="O18" s="347" t="str">
        <f aca="false">IF(O$9="","",IF(EB.Anwendung&lt;&gt;"",IF(INDEX(August!Monat.ProjekteTotal.Bereich,O$8)&lt;=0,0,INDEX(August!Monat.ProjekteTotal.Bereich,O$8)),""))</f>
        <v/>
      </c>
      <c r="P18" s="347" t="str">
        <f aca="false">IF(P$9="","",IF(EB.Anwendung&lt;&gt;"",IF(INDEX(August!Monat.ProjekteTotal.Bereich,P$8)&lt;=0,0,INDEX(August!Monat.ProjekteTotal.Bereich,P$8)),""))</f>
        <v/>
      </c>
      <c r="Q18" s="39"/>
      <c r="R18" s="325" t="n">
        <f aca="false">SUM(B18:P18)</f>
        <v>0</v>
      </c>
      <c r="S18" s="39"/>
      <c r="T18" s="348" t="str">
        <f aca="false">IF(Jahresabrechnung!AO22+Jahresabrechnung!S22+Jahresabrechnung!AI22=0,"",R18/(Jahresabrechnung!AO22+Jahresabrechnung!S22+Jahresabrechnung!AI22))</f>
        <v/>
      </c>
      <c r="U18" s="39"/>
    </row>
    <row r="19" s="148" customFormat="true" ht="15" hidden="false" customHeight="true" outlineLevel="0" collapsed="false">
      <c r="A19" s="322" t="str">
        <f aca="false">INDEX(EB.Monate.Bereich,9,0)</f>
        <v>September</v>
      </c>
      <c r="B19" s="347" t="str">
        <f aca="false">IF(B$9="","",IF(EB.Anwendung&lt;&gt;"",IF(INDEX(September!Monat.ProjekteTotal.Bereich,B$8)&lt;=0,0,INDEX(September!Monat.ProjekteTotal.Bereich,B$8)),""))</f>
        <v/>
      </c>
      <c r="C19" s="347" t="str">
        <f aca="false">IF(C$9="","",IF(EB.Anwendung&lt;&gt;"",IF(INDEX(September!Monat.ProjekteTotal.Bereich,C$8)&lt;=0,0,INDEX(September!Monat.ProjekteTotal.Bereich,C$8)),""))</f>
        <v/>
      </c>
      <c r="D19" s="347" t="str">
        <f aca="false">IF(D$9="","",IF(EB.Anwendung&lt;&gt;"",IF(INDEX(September!Monat.ProjekteTotal.Bereich,D$8)&lt;=0,0,INDEX(September!Monat.ProjekteTotal.Bereich,D$8)),""))</f>
        <v/>
      </c>
      <c r="E19" s="347" t="str">
        <f aca="false">IF(E$9="","",IF(EB.Anwendung&lt;&gt;"",IF(INDEX(September!Monat.ProjekteTotal.Bereich,E$8)&lt;=0,0,INDEX(September!Monat.ProjekteTotal.Bereich,E$8)),""))</f>
        <v/>
      </c>
      <c r="F19" s="347" t="str">
        <f aca="false">IF(F$9="","",IF(EB.Anwendung&lt;&gt;"",IF(INDEX(September!Monat.ProjekteTotal.Bereich,F$8)&lt;=0,0,INDEX(September!Monat.ProjekteTotal.Bereich,F$8)),""))</f>
        <v/>
      </c>
      <c r="G19" s="347" t="str">
        <f aca="false">IF(G$9="","",IF(EB.Anwendung&lt;&gt;"",IF(INDEX(September!Monat.ProjekteTotal.Bereich,G$8)&lt;=0,0,INDEX(September!Monat.ProjekteTotal.Bereich,G$8)),""))</f>
        <v/>
      </c>
      <c r="H19" s="347" t="str">
        <f aca="false">IF(H$9="","",IF(EB.Anwendung&lt;&gt;"",IF(INDEX(September!Monat.ProjekteTotal.Bereich,H$8)&lt;=0,0,INDEX(September!Monat.ProjekteTotal.Bereich,H$8)),""))</f>
        <v/>
      </c>
      <c r="I19" s="347" t="str">
        <f aca="false">IF(I$9="","",IF(EB.Anwendung&lt;&gt;"",IF(INDEX(September!Monat.ProjekteTotal.Bereich,I$8)&lt;=0,0,INDEX(September!Monat.ProjekteTotal.Bereich,I$8)),""))</f>
        <v/>
      </c>
      <c r="J19" s="347" t="str">
        <f aca="false">IF(J$9="","",IF(EB.Anwendung&lt;&gt;"",IF(INDEX(September!Monat.ProjekteTotal.Bereich,J$8)&lt;=0,0,INDEX(September!Monat.ProjekteTotal.Bereich,J$8)),""))</f>
        <v/>
      </c>
      <c r="K19" s="347" t="str">
        <f aca="false">IF(K$9="","",IF(EB.Anwendung&lt;&gt;"",IF(INDEX(September!Monat.ProjekteTotal.Bereich,K$8)&lt;=0,0,INDEX(September!Monat.ProjekteTotal.Bereich,K$8)),""))</f>
        <v/>
      </c>
      <c r="L19" s="347" t="str">
        <f aca="false">IF(L$9="","",IF(EB.Anwendung&lt;&gt;"",IF(INDEX(September!Monat.ProjekteTotal.Bereich,L$8)&lt;=0,0,INDEX(September!Monat.ProjekteTotal.Bereich,L$8)),""))</f>
        <v/>
      </c>
      <c r="M19" s="347" t="str">
        <f aca="false">IF(M$9="","",IF(EB.Anwendung&lt;&gt;"",IF(INDEX(September!Monat.ProjekteTotal.Bereich,M$8)&lt;=0,0,INDEX(September!Monat.ProjekteTotal.Bereich,M$8)),""))</f>
        <v/>
      </c>
      <c r="N19" s="347" t="str">
        <f aca="false">IF(N$9="","",IF(EB.Anwendung&lt;&gt;"",IF(INDEX(September!Monat.ProjekteTotal.Bereich,N$8)&lt;=0,0,INDEX(September!Monat.ProjekteTotal.Bereich,N$8)),""))</f>
        <v/>
      </c>
      <c r="O19" s="347" t="str">
        <f aca="false">IF(O$9="","",IF(EB.Anwendung&lt;&gt;"",IF(INDEX(September!Monat.ProjekteTotal.Bereich,O$8)&lt;=0,0,INDEX(September!Monat.ProjekteTotal.Bereich,O$8)),""))</f>
        <v/>
      </c>
      <c r="P19" s="347" t="str">
        <f aca="false">IF(P$9="","",IF(EB.Anwendung&lt;&gt;"",IF(INDEX(September!Monat.ProjekteTotal.Bereich,P$8)&lt;=0,0,INDEX(September!Monat.ProjekteTotal.Bereich,P$8)),""))</f>
        <v/>
      </c>
      <c r="Q19" s="39"/>
      <c r="R19" s="325" t="n">
        <f aca="false">SUM(B19:P19)</f>
        <v>0</v>
      </c>
      <c r="S19" s="39"/>
      <c r="T19" s="348" t="str">
        <f aca="false">IF(Jahresabrechnung!AO23+Jahresabrechnung!S23+Jahresabrechnung!AI23=0,"",R19/(Jahresabrechnung!AO23+Jahresabrechnung!S23+Jahresabrechnung!AI23))</f>
        <v/>
      </c>
      <c r="U19" s="39"/>
    </row>
    <row r="20" s="148" customFormat="true" ht="15" hidden="false" customHeight="true" outlineLevel="0" collapsed="false">
      <c r="A20" s="322" t="str">
        <f aca="false">INDEX(EB.Monate.Bereich,10,0)</f>
        <v>October</v>
      </c>
      <c r="B20" s="347" t="str">
        <f aca="false">IF(B$9="","",IF(EB.Anwendung&lt;&gt;"",IF(INDEX(October!Monat.ProjekteTotal.Bereich,B$8)&lt;=0,0,INDEX(October!Monat.ProjekteTotal.Bereich,B$8)),""))</f>
        <v/>
      </c>
      <c r="C20" s="347" t="str">
        <f aca="false">IF(C$9="","",IF(EB.Anwendung&lt;&gt;"",IF(INDEX(October!Monat.ProjekteTotal.Bereich,C$8)&lt;=0,0,INDEX(October!Monat.ProjekteTotal.Bereich,C$8)),""))</f>
        <v/>
      </c>
      <c r="D20" s="347" t="str">
        <f aca="false">IF(D$9="","",IF(EB.Anwendung&lt;&gt;"",IF(INDEX(October!Monat.ProjekteTotal.Bereich,D$8)&lt;=0,0,INDEX(October!Monat.ProjekteTotal.Bereich,D$8)),""))</f>
        <v/>
      </c>
      <c r="E20" s="347" t="str">
        <f aca="false">IF(E$9="","",IF(EB.Anwendung&lt;&gt;"",IF(INDEX(October!Monat.ProjekteTotal.Bereich,E$8)&lt;=0,0,INDEX(October!Monat.ProjekteTotal.Bereich,E$8)),""))</f>
        <v/>
      </c>
      <c r="F20" s="347" t="str">
        <f aca="false">IF(F$9="","",IF(EB.Anwendung&lt;&gt;"",IF(INDEX(October!Monat.ProjekteTotal.Bereich,F$8)&lt;=0,0,INDEX(October!Monat.ProjekteTotal.Bereich,F$8)),""))</f>
        <v/>
      </c>
      <c r="G20" s="347" t="str">
        <f aca="false">IF(G$9="","",IF(EB.Anwendung&lt;&gt;"",IF(INDEX(October!Monat.ProjekteTotal.Bereich,G$8)&lt;=0,0,INDEX(October!Monat.ProjekteTotal.Bereich,G$8)),""))</f>
        <v/>
      </c>
      <c r="H20" s="347" t="str">
        <f aca="false">IF(H$9="","",IF(EB.Anwendung&lt;&gt;"",IF(INDEX(October!Monat.ProjekteTotal.Bereich,H$8)&lt;=0,0,INDEX(October!Monat.ProjekteTotal.Bereich,H$8)),""))</f>
        <v/>
      </c>
      <c r="I20" s="347" t="str">
        <f aca="false">IF(I$9="","",IF(EB.Anwendung&lt;&gt;"",IF(INDEX(October!Monat.ProjekteTotal.Bereich,I$8)&lt;=0,0,INDEX(October!Monat.ProjekteTotal.Bereich,I$8)),""))</f>
        <v/>
      </c>
      <c r="J20" s="347" t="str">
        <f aca="false">IF(J$9="","",IF(EB.Anwendung&lt;&gt;"",IF(INDEX(October!Monat.ProjekteTotal.Bereich,J$8)&lt;=0,0,INDEX(October!Monat.ProjekteTotal.Bereich,J$8)),""))</f>
        <v/>
      </c>
      <c r="K20" s="347" t="str">
        <f aca="false">IF(K$9="","",IF(EB.Anwendung&lt;&gt;"",IF(INDEX(October!Monat.ProjekteTotal.Bereich,K$8)&lt;=0,0,INDEX(October!Monat.ProjekteTotal.Bereich,K$8)),""))</f>
        <v/>
      </c>
      <c r="L20" s="347" t="str">
        <f aca="false">IF(L$9="","",IF(EB.Anwendung&lt;&gt;"",IF(INDEX(October!Monat.ProjekteTotal.Bereich,L$8)&lt;=0,0,INDEX(October!Monat.ProjekteTotal.Bereich,L$8)),""))</f>
        <v/>
      </c>
      <c r="M20" s="347" t="str">
        <f aca="false">IF(M$9="","",IF(EB.Anwendung&lt;&gt;"",IF(INDEX(October!Monat.ProjekteTotal.Bereich,M$8)&lt;=0,0,INDEX(October!Monat.ProjekteTotal.Bereich,M$8)),""))</f>
        <v/>
      </c>
      <c r="N20" s="347" t="str">
        <f aca="false">IF(N$9="","",IF(EB.Anwendung&lt;&gt;"",IF(INDEX(October!Monat.ProjekteTotal.Bereich,N$8)&lt;=0,0,INDEX(October!Monat.ProjekteTotal.Bereich,N$8)),""))</f>
        <v/>
      </c>
      <c r="O20" s="347" t="str">
        <f aca="false">IF(O$9="","",IF(EB.Anwendung&lt;&gt;"",IF(INDEX(October!Monat.ProjekteTotal.Bereich,O$8)&lt;=0,0,INDEX(October!Monat.ProjekteTotal.Bereich,O$8)),""))</f>
        <v/>
      </c>
      <c r="P20" s="347" t="str">
        <f aca="false">IF(P$9="","",IF(EB.Anwendung&lt;&gt;"",IF(INDEX(October!Monat.ProjekteTotal.Bereich,P$8)&lt;=0,0,INDEX(October!Monat.ProjekteTotal.Bereich,P$8)),""))</f>
        <v/>
      </c>
      <c r="Q20" s="39"/>
      <c r="R20" s="325" t="n">
        <f aca="false">SUM(B20:P20)</f>
        <v>0</v>
      </c>
      <c r="S20" s="39"/>
      <c r="T20" s="348" t="str">
        <f aca="false">IF(Jahresabrechnung!AO24+Jahresabrechnung!S24+Jahresabrechnung!AI24=0,"",R20/(Jahresabrechnung!AO24+Jahresabrechnung!S24+Jahresabrechnung!AI24))</f>
        <v/>
      </c>
      <c r="U20" s="39"/>
    </row>
    <row r="21" s="148" customFormat="true" ht="15" hidden="false" customHeight="true" outlineLevel="0" collapsed="false">
      <c r="A21" s="322" t="str">
        <f aca="false">INDEX(EB.Monate.Bereich,11,0)</f>
        <v>November</v>
      </c>
      <c r="B21" s="347" t="str">
        <f aca="false">IF(B$9="","",IF(EB.Anwendung&lt;&gt;"",IF(INDEX(November!Monat.ProjekteTotal.Bereich,B$8)&lt;=0,0,INDEX(November!Monat.ProjekteTotal.Bereich,B$8)),""))</f>
        <v/>
      </c>
      <c r="C21" s="347" t="str">
        <f aca="false">IF(C$9="","",IF(EB.Anwendung&lt;&gt;"",IF(INDEX(November!Monat.ProjekteTotal.Bereich,C$8)&lt;=0,0,INDEX(November!Monat.ProjekteTotal.Bereich,C$8)),""))</f>
        <v/>
      </c>
      <c r="D21" s="347" t="str">
        <f aca="false">IF(D$9="","",IF(EB.Anwendung&lt;&gt;"",IF(INDEX(November!Monat.ProjekteTotal.Bereich,D$8)&lt;=0,0,INDEX(November!Monat.ProjekteTotal.Bereich,D$8)),""))</f>
        <v/>
      </c>
      <c r="E21" s="347" t="str">
        <f aca="false">IF(E$9="","",IF(EB.Anwendung&lt;&gt;"",IF(INDEX(November!Monat.ProjekteTotal.Bereich,E$8)&lt;=0,0,INDEX(November!Monat.ProjekteTotal.Bereich,E$8)),""))</f>
        <v/>
      </c>
      <c r="F21" s="347" t="str">
        <f aca="false">IF(F$9="","",IF(EB.Anwendung&lt;&gt;"",IF(INDEX(November!Monat.ProjekteTotal.Bereich,F$8)&lt;=0,0,INDEX(November!Monat.ProjekteTotal.Bereich,F$8)),""))</f>
        <v/>
      </c>
      <c r="G21" s="347" t="str">
        <f aca="false">IF(G$9="","",IF(EB.Anwendung&lt;&gt;"",IF(INDEX(November!Monat.ProjekteTotal.Bereich,G$8)&lt;=0,0,INDEX(November!Monat.ProjekteTotal.Bereich,G$8)),""))</f>
        <v/>
      </c>
      <c r="H21" s="347" t="str">
        <f aca="false">IF(H$9="","",IF(EB.Anwendung&lt;&gt;"",IF(INDEX(November!Monat.ProjekteTotal.Bereich,H$8)&lt;=0,0,INDEX(November!Monat.ProjekteTotal.Bereich,H$8)),""))</f>
        <v/>
      </c>
      <c r="I21" s="347" t="str">
        <f aca="false">IF(I$9="","",IF(EB.Anwendung&lt;&gt;"",IF(INDEX(November!Monat.ProjekteTotal.Bereich,I$8)&lt;=0,0,INDEX(November!Monat.ProjekteTotal.Bereich,I$8)),""))</f>
        <v/>
      </c>
      <c r="J21" s="347" t="str">
        <f aca="false">IF(J$9="","",IF(EB.Anwendung&lt;&gt;"",IF(INDEX(November!Monat.ProjekteTotal.Bereich,J$8)&lt;=0,0,INDEX(November!Monat.ProjekteTotal.Bereich,J$8)),""))</f>
        <v/>
      </c>
      <c r="K21" s="347" t="str">
        <f aca="false">IF(K$9="","",IF(EB.Anwendung&lt;&gt;"",IF(INDEX(November!Monat.ProjekteTotal.Bereich,K$8)&lt;=0,0,INDEX(November!Monat.ProjekteTotal.Bereich,K$8)),""))</f>
        <v/>
      </c>
      <c r="L21" s="347" t="str">
        <f aca="false">IF(L$9="","",IF(EB.Anwendung&lt;&gt;"",IF(INDEX(November!Monat.ProjekteTotal.Bereich,L$8)&lt;=0,0,INDEX(November!Monat.ProjekteTotal.Bereich,L$8)),""))</f>
        <v/>
      </c>
      <c r="M21" s="347" t="str">
        <f aca="false">IF(M$9="","",IF(EB.Anwendung&lt;&gt;"",IF(INDEX(November!Monat.ProjekteTotal.Bereich,M$8)&lt;=0,0,INDEX(November!Monat.ProjekteTotal.Bereich,M$8)),""))</f>
        <v/>
      </c>
      <c r="N21" s="347" t="str">
        <f aca="false">IF(N$9="","",IF(EB.Anwendung&lt;&gt;"",IF(INDEX(November!Monat.ProjekteTotal.Bereich,N$8)&lt;=0,0,INDEX(November!Monat.ProjekteTotal.Bereich,N$8)),""))</f>
        <v/>
      </c>
      <c r="O21" s="347" t="str">
        <f aca="false">IF(O$9="","",IF(EB.Anwendung&lt;&gt;"",IF(INDEX(November!Monat.ProjekteTotal.Bereich,O$8)&lt;=0,0,INDEX(November!Monat.ProjekteTotal.Bereich,O$8)),""))</f>
        <v/>
      </c>
      <c r="P21" s="347" t="str">
        <f aca="false">IF(P$9="","",IF(EB.Anwendung&lt;&gt;"",IF(INDEX(November!Monat.ProjekteTotal.Bereich,P$8)&lt;=0,0,INDEX(November!Monat.ProjekteTotal.Bereich,P$8)),""))</f>
        <v/>
      </c>
      <c r="Q21" s="39"/>
      <c r="R21" s="325" t="n">
        <f aca="false">SUM(B21:P21)</f>
        <v>0</v>
      </c>
      <c r="S21" s="39"/>
      <c r="T21" s="348" t="str">
        <f aca="false">IF(Jahresabrechnung!AO25+Jahresabrechnung!S25+Jahresabrechnung!AI25=0,"",R21/(Jahresabrechnung!AO25+Jahresabrechnung!S25+Jahresabrechnung!AI25))</f>
        <v/>
      </c>
      <c r="U21" s="39"/>
    </row>
    <row r="22" s="148" customFormat="true" ht="15" hidden="false" customHeight="true" outlineLevel="0" collapsed="false">
      <c r="A22" s="322" t="str">
        <f aca="false">INDEX(EB.Monate.Bereich,12,0)</f>
        <v>December</v>
      </c>
      <c r="B22" s="347" t="str">
        <f aca="false">IF(B$9="","",IF(EB.Anwendung&lt;&gt;"",IF(INDEX(December!Monat.ProjekteTotal.Bereich,B$8)&lt;=0,0,INDEX(December!Monat.ProjekteTotal.Bereich,B$8)),""))</f>
        <v/>
      </c>
      <c r="C22" s="347" t="str">
        <f aca="false">IF(C$9="","",IF(EB.Anwendung&lt;&gt;"",IF(INDEX(December!Monat.ProjekteTotal.Bereich,C$8)&lt;=0,0,INDEX(December!Monat.ProjekteTotal.Bereich,C$8)),""))</f>
        <v/>
      </c>
      <c r="D22" s="347" t="str">
        <f aca="false">IF(D$9="","",IF(EB.Anwendung&lt;&gt;"",IF(INDEX(December!Monat.ProjekteTotal.Bereich,D$8)&lt;=0,0,INDEX(December!Monat.ProjekteTotal.Bereich,D$8)),""))</f>
        <v/>
      </c>
      <c r="E22" s="347" t="str">
        <f aca="false">IF(E$9="","",IF(EB.Anwendung&lt;&gt;"",IF(INDEX(December!Monat.ProjekteTotal.Bereich,E$8)&lt;=0,0,INDEX(December!Monat.ProjekteTotal.Bereich,E$8)),""))</f>
        <v/>
      </c>
      <c r="F22" s="347" t="str">
        <f aca="false">IF(F$9="","",IF(EB.Anwendung&lt;&gt;"",IF(INDEX(December!Monat.ProjekteTotal.Bereich,F$8)&lt;=0,0,INDEX(December!Monat.ProjekteTotal.Bereich,F$8)),""))</f>
        <v/>
      </c>
      <c r="G22" s="347" t="str">
        <f aca="false">IF(G$9="","",IF(EB.Anwendung&lt;&gt;"",IF(INDEX(December!Monat.ProjekteTotal.Bereich,G$8)&lt;=0,0,INDEX(December!Monat.ProjekteTotal.Bereich,G$8)),""))</f>
        <v/>
      </c>
      <c r="H22" s="347" t="str">
        <f aca="false">IF(H$9="","",IF(EB.Anwendung&lt;&gt;"",IF(INDEX(December!Monat.ProjekteTotal.Bereich,H$8)&lt;=0,0,INDEX(December!Monat.ProjekteTotal.Bereich,H$8)),""))</f>
        <v/>
      </c>
      <c r="I22" s="347" t="str">
        <f aca="false">IF(I$9="","",IF(EB.Anwendung&lt;&gt;"",IF(INDEX(December!Monat.ProjekteTotal.Bereich,I$8)&lt;=0,0,INDEX(December!Monat.ProjekteTotal.Bereich,I$8)),""))</f>
        <v/>
      </c>
      <c r="J22" s="347" t="str">
        <f aca="false">IF(J$9="","",IF(EB.Anwendung&lt;&gt;"",IF(INDEX(December!Monat.ProjekteTotal.Bereich,J$8)&lt;=0,0,INDEX(December!Monat.ProjekteTotal.Bereich,J$8)),""))</f>
        <v/>
      </c>
      <c r="K22" s="347" t="str">
        <f aca="false">IF(K$9="","",IF(EB.Anwendung&lt;&gt;"",IF(INDEX(December!Monat.ProjekteTotal.Bereich,K$8)&lt;=0,0,INDEX(December!Monat.ProjekteTotal.Bereich,K$8)),""))</f>
        <v/>
      </c>
      <c r="L22" s="347" t="str">
        <f aca="false">IF(L$9="","",IF(EB.Anwendung&lt;&gt;"",IF(INDEX(December!Monat.ProjekteTotal.Bereich,L$8)&lt;=0,0,INDEX(December!Monat.ProjekteTotal.Bereich,L$8)),""))</f>
        <v/>
      </c>
      <c r="M22" s="347" t="str">
        <f aca="false">IF(M$9="","",IF(EB.Anwendung&lt;&gt;"",IF(INDEX(December!Monat.ProjekteTotal.Bereich,M$8)&lt;=0,0,INDEX(December!Monat.ProjekteTotal.Bereich,M$8)),""))</f>
        <v/>
      </c>
      <c r="N22" s="347" t="str">
        <f aca="false">IF(N$9="","",IF(EB.Anwendung&lt;&gt;"",IF(INDEX(December!Monat.ProjekteTotal.Bereich,N$8)&lt;=0,0,INDEX(December!Monat.ProjekteTotal.Bereich,N$8)),""))</f>
        <v/>
      </c>
      <c r="O22" s="347" t="str">
        <f aca="false">IF(O$9="","",IF(EB.Anwendung&lt;&gt;"",IF(INDEX(December!Monat.ProjekteTotal.Bereich,O$8)&lt;=0,0,INDEX(December!Monat.ProjekteTotal.Bereich,O$8)),""))</f>
        <v/>
      </c>
      <c r="P22" s="347" t="str">
        <f aca="false">IF(P$9="","",IF(EB.Anwendung&lt;&gt;"",IF(INDEX(December!Monat.ProjekteTotal.Bereich,P$8)&lt;=0,0,INDEX(December!Monat.ProjekteTotal.Bereich,P$8)),""))</f>
        <v/>
      </c>
      <c r="Q22" s="39"/>
      <c r="R22" s="325" t="n">
        <f aca="false">SUM(B22:P22)</f>
        <v>0</v>
      </c>
      <c r="S22" s="39"/>
      <c r="T22" s="348" t="str">
        <f aca="false">IF(Jahresabrechnung!AO26+Jahresabrechnung!S26+Jahresabrechnung!AI26=0,"",R22/(Jahresabrechnung!AO26+Jahresabrechnung!S26+Jahresabrechnung!AI26))</f>
        <v/>
      </c>
      <c r="U22" s="39"/>
    </row>
    <row r="23" s="148" customFormat="true" ht="11.25" hidden="false" customHeight="true" outlineLevel="0" collapsed="false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152"/>
      <c r="S23" s="39"/>
      <c r="T23" s="349"/>
      <c r="U23" s="39"/>
    </row>
    <row r="24" s="148" customFormat="true" ht="15" hidden="false" customHeight="true" outlineLevel="0" collapsed="false">
      <c r="A24" s="20" t="str">
        <f aca="true">INDEX(T.ProjektartName.Bereich,1)</f>
        <v>Drittmittel / Grants</v>
      </c>
      <c r="B24" s="347" t="str">
        <f aca="true">IFERROR(IF(B$9="","",IF(OFFSET(EB.Projektart.Knoten,B$8,0,1,1)=ROW(B24)-ROW($A$24)+1,SUM(B$11:B$22),0)),"")</f>
        <v/>
      </c>
      <c r="C24" s="347" t="str">
        <f aca="true">IFERROR(IF(C$9="","",IF(OFFSET(EB.Projektart.Knoten,C$8,0,1,1)=ROW(C24)-ROW($A$24)+1,SUM(C$11:C$22),0)),"")</f>
        <v/>
      </c>
      <c r="D24" s="347" t="str">
        <f aca="true">IFERROR(IF(D$9="","",IF(OFFSET(EB.Projektart.Knoten,D$8,0,1,1)=ROW(D24)-ROW($A$24)+1,SUM(D$11:D$22),0)),"")</f>
        <v/>
      </c>
      <c r="E24" s="347" t="str">
        <f aca="true">IFERROR(IF(E$9="","",IF(OFFSET(EB.Projektart.Knoten,E$8,0,1,1)=ROW(E24)-ROW($A$24)+1,SUM(E$11:E$22),0)),"")</f>
        <v/>
      </c>
      <c r="F24" s="347" t="str">
        <f aca="true">IFERROR(IF(F$9="","",IF(OFFSET(EB.Projektart.Knoten,F$8,0,1,1)=ROW(F24)-ROW($A$24)+1,SUM(F$11:F$22),0)),"")</f>
        <v/>
      </c>
      <c r="G24" s="347" t="str">
        <f aca="true">IFERROR(IF(G$9="","",IF(OFFSET(EB.Projektart.Knoten,G$8,0,1,1)=ROW(G24)-ROW($A$24)+1,SUM(G$11:G$22),0)),"")</f>
        <v/>
      </c>
      <c r="H24" s="347" t="str">
        <f aca="true">IFERROR(IF(H$9="","",IF(OFFSET(EB.Projektart.Knoten,H$8,0,1,1)=ROW(H24)-ROW($A$24)+1,SUM(H$11:H$22),0)),"")</f>
        <v/>
      </c>
      <c r="I24" s="347" t="str">
        <f aca="true">IFERROR(IF(I$9="","",IF(OFFSET(EB.Projektart.Knoten,I$8,0,1,1)=ROW(I24)-ROW($A$24)+1,SUM(I$11:I$22),0)),"")</f>
        <v/>
      </c>
      <c r="J24" s="347" t="str">
        <f aca="true">IFERROR(IF(J$9="","",IF(OFFSET(EB.Projektart.Knoten,J$8,0,1,1)=ROW(J24)-ROW($A$24)+1,SUM(J$11:J$22),0)),"")</f>
        <v/>
      </c>
      <c r="K24" s="347" t="str">
        <f aca="true">IFERROR(IF(K$9="","",IF(OFFSET(EB.Projektart.Knoten,K$8,0,1,1)=ROW(K24)-ROW($A$24)+1,SUM(K$11:K$22),0)),"")</f>
        <v/>
      </c>
      <c r="L24" s="347" t="str">
        <f aca="true">IFERROR(IF(L$9="","",IF(OFFSET(EB.Projektart.Knoten,L$8,0,1,1)=ROW(L24)-ROW($A$24)+1,SUM(L$11:L$22),0)),"")</f>
        <v/>
      </c>
      <c r="M24" s="347" t="str">
        <f aca="true">IFERROR(IF(M$9="","",IF(OFFSET(EB.Projektart.Knoten,M$8,0,1,1)=ROW(M24)-ROW($A$24)+1,SUM(M$11:M$22),0)),"")</f>
        <v/>
      </c>
      <c r="N24" s="347" t="str">
        <f aca="true">IFERROR(IF(N$9="","",IF(OFFSET(EB.Projektart.Knoten,N$8,0,1,1)=ROW(N24)-ROW($A$24)+1,SUM(N$11:N$22),0)),"")</f>
        <v/>
      </c>
      <c r="O24" s="347" t="str">
        <f aca="true">IFERROR(IF(O$9="","",IF(OFFSET(EB.Projektart.Knoten,O$8,0,1,1)=ROW(O24)-ROW($A$24)+1,SUM(O$11:O$22),0)),"")</f>
        <v/>
      </c>
      <c r="P24" s="347" t="str">
        <f aca="true">IFERROR(IF(P$9="","",IF(OFFSET(EB.Projektart.Knoten,P$8,0,1,1)=ROW(P24)-ROW($A$24)+1,SUM(P$11:P$22),0)),"")</f>
        <v/>
      </c>
      <c r="Q24" s="39"/>
      <c r="R24" s="325" t="n">
        <f aca="false">SUM(B24:P24)</f>
        <v>0</v>
      </c>
      <c r="S24" s="39"/>
      <c r="T24" s="348" t="n">
        <f aca="false">IF(Jahr.ein_aus.Total+Jahr.ein_aus_Pikett.Total+Jahr.WB.Total=0,"",R24/(Jahr.ein_aus.Total+Jahr.ein_aus_Pikett.Total+Jahr.WB.Total))</f>
        <v>0</v>
      </c>
      <c r="U24" s="39"/>
    </row>
    <row r="25" s="148" customFormat="true" ht="15" hidden="false" customHeight="true" outlineLevel="0" collapsed="false">
      <c r="A25" s="20" t="str">
        <f aca="true">INDEX(T.ProjektartName.Bereich,2)</f>
        <v>Nationalfonds / National Foundation</v>
      </c>
      <c r="B25" s="347" t="str">
        <f aca="true">IFERROR(IF(B$9="","",IF(OFFSET(EB.Projektart.Knoten,B$8,0,1,1)=ROW(B25)-ROW($A$24)+1,SUM(B$11:B$22),0)),"")</f>
        <v/>
      </c>
      <c r="C25" s="347" t="str">
        <f aca="true">IFERROR(IF(C$9="","",IF(OFFSET(EB.Projektart.Knoten,C$8,0,1,1)=ROW(C25)-ROW($A$24)+1,SUM(C$11:C$22),0)),"")</f>
        <v/>
      </c>
      <c r="D25" s="347" t="str">
        <f aca="true">IFERROR(IF(D$9="","",IF(OFFSET(EB.Projektart.Knoten,D$8,0,1,1)=ROW(D25)-ROW($A$24)+1,SUM(D$11:D$22),0)),"")</f>
        <v/>
      </c>
      <c r="E25" s="347" t="str">
        <f aca="true">IFERROR(IF(E$9="","",IF(OFFSET(EB.Projektart.Knoten,E$8,0,1,1)=ROW(E25)-ROW($A$24)+1,SUM(E$11:E$22),0)),"")</f>
        <v/>
      </c>
      <c r="F25" s="347" t="str">
        <f aca="true">IFERROR(IF(F$9="","",IF(OFFSET(EB.Projektart.Knoten,F$8,0,1,1)=ROW(F25)-ROW($A$24)+1,SUM(F$11:F$22),0)),"")</f>
        <v/>
      </c>
      <c r="G25" s="347" t="str">
        <f aca="true">IFERROR(IF(G$9="","",IF(OFFSET(EB.Projektart.Knoten,G$8,0,1,1)=ROW(G25)-ROW($A$24)+1,SUM(G$11:G$22),0)),"")</f>
        <v/>
      </c>
      <c r="H25" s="347" t="str">
        <f aca="true">IFERROR(IF(H$9="","",IF(OFFSET(EB.Projektart.Knoten,H$8,0,1,1)=ROW(H25)-ROW($A$24)+1,SUM(H$11:H$22),0)),"")</f>
        <v/>
      </c>
      <c r="I25" s="347" t="str">
        <f aca="true">IFERROR(IF(I$9="","",IF(OFFSET(EB.Projektart.Knoten,I$8,0,1,1)=ROW(I25)-ROW($A$24)+1,SUM(I$11:I$22),0)),"")</f>
        <v/>
      </c>
      <c r="J25" s="347" t="str">
        <f aca="true">IFERROR(IF(J$9="","",IF(OFFSET(EB.Projektart.Knoten,J$8,0,1,1)=ROW(J25)-ROW($A$24)+1,SUM(J$11:J$22),0)),"")</f>
        <v/>
      </c>
      <c r="K25" s="347" t="str">
        <f aca="true">IFERROR(IF(K$9="","",IF(OFFSET(EB.Projektart.Knoten,K$8,0,1,1)=ROW(K25)-ROW($A$24)+1,SUM(K$11:K$22),0)),"")</f>
        <v/>
      </c>
      <c r="L25" s="347" t="str">
        <f aca="true">IFERROR(IF(L$9="","",IF(OFFSET(EB.Projektart.Knoten,L$8,0,1,1)=ROW(L25)-ROW($A$24)+1,SUM(L$11:L$22),0)),"")</f>
        <v/>
      </c>
      <c r="M25" s="347" t="str">
        <f aca="true">IFERROR(IF(M$9="","",IF(OFFSET(EB.Projektart.Knoten,M$8,0,1,1)=ROW(M25)-ROW($A$24)+1,SUM(M$11:M$22),0)),"")</f>
        <v/>
      </c>
      <c r="N25" s="347" t="str">
        <f aca="true">IFERROR(IF(N$9="","",IF(OFFSET(EB.Projektart.Knoten,N$8,0,1,1)=ROW(N25)-ROW($A$24)+1,SUM(N$11:N$22),0)),"")</f>
        <v/>
      </c>
      <c r="O25" s="347" t="str">
        <f aca="true">IFERROR(IF(O$9="","",IF(OFFSET(EB.Projektart.Knoten,O$8,0,1,1)=ROW(O25)-ROW($A$24)+1,SUM(O$11:O$22),0)),"")</f>
        <v/>
      </c>
      <c r="P25" s="347" t="str">
        <f aca="true">IFERROR(IF(P$9="","",IF(OFFSET(EB.Projektart.Knoten,P$8,0,1,1)=ROW(P25)-ROW($A$24)+1,SUM(P$11:P$22),0)),"")</f>
        <v/>
      </c>
      <c r="Q25" s="39"/>
      <c r="R25" s="325" t="n">
        <f aca="false">SUM(B25:P25)</f>
        <v>0</v>
      </c>
      <c r="S25" s="39"/>
      <c r="T25" s="348" t="n">
        <f aca="false">IF(Jahr.ein_aus.Total+Jahr.ein_aus_Pikett.Total+Jahr.WB.Total=0,"",R25/(Jahr.ein_aus.Total+Jahr.ein_aus_Pikett.Total+Jahr.WB.Total))</f>
        <v>0</v>
      </c>
      <c r="U25" s="39"/>
    </row>
    <row r="26" s="148" customFormat="true" ht="15" hidden="false" customHeight="true" outlineLevel="0" collapsed="false">
      <c r="A26" s="20" t="str">
        <f aca="true">INDEX(T.ProjektartName.Bereich,3)</f>
        <v>E-/Q Projekte / E-/Q Projects</v>
      </c>
      <c r="B26" s="347" t="str">
        <f aca="true">IFERROR(IF(B$9="","",IF(OFFSET(EB.Projektart.Knoten,B$8,0,1,1)=ROW(B26)-ROW($A$24)+1,SUM(B$11:B$22),0)),"")</f>
        <v/>
      </c>
      <c r="C26" s="347" t="str">
        <f aca="true">IFERROR(IF(C$9="","",IF(OFFSET(EB.Projektart.Knoten,C$8,0,1,1)=ROW(C26)-ROW($A$24)+1,SUM(C$11:C$22),0)),"")</f>
        <v/>
      </c>
      <c r="D26" s="347" t="str">
        <f aca="true">IFERROR(IF(D$9="","",IF(OFFSET(EB.Projektart.Knoten,D$8,0,1,1)=ROW(D26)-ROW($A$24)+1,SUM(D$11:D$22),0)),"")</f>
        <v/>
      </c>
      <c r="E26" s="347" t="str">
        <f aca="true">IFERROR(IF(E$9="","",IF(OFFSET(EB.Projektart.Knoten,E$8,0,1,1)=ROW(E26)-ROW($A$24)+1,SUM(E$11:E$22),0)),"")</f>
        <v/>
      </c>
      <c r="F26" s="347" t="str">
        <f aca="true">IFERROR(IF(F$9="","",IF(OFFSET(EB.Projektart.Knoten,F$8,0,1,1)=ROW(F26)-ROW($A$24)+1,SUM(F$11:F$22),0)),"")</f>
        <v/>
      </c>
      <c r="G26" s="347" t="str">
        <f aca="true">IFERROR(IF(G$9="","",IF(OFFSET(EB.Projektart.Knoten,G$8,0,1,1)=ROW(G26)-ROW($A$24)+1,SUM(G$11:G$22),0)),"")</f>
        <v/>
      </c>
      <c r="H26" s="347" t="str">
        <f aca="true">IFERROR(IF(H$9="","",IF(OFFSET(EB.Projektart.Knoten,H$8,0,1,1)=ROW(H26)-ROW($A$24)+1,SUM(H$11:H$22),0)),"")</f>
        <v/>
      </c>
      <c r="I26" s="347" t="str">
        <f aca="true">IFERROR(IF(I$9="","",IF(OFFSET(EB.Projektart.Knoten,I$8,0,1,1)=ROW(I26)-ROW($A$24)+1,SUM(I$11:I$22),0)),"")</f>
        <v/>
      </c>
      <c r="J26" s="347" t="str">
        <f aca="true">IFERROR(IF(J$9="","",IF(OFFSET(EB.Projektart.Knoten,J$8,0,1,1)=ROW(J26)-ROW($A$24)+1,SUM(J$11:J$22),0)),"")</f>
        <v/>
      </c>
      <c r="K26" s="347" t="str">
        <f aca="true">IFERROR(IF(K$9="","",IF(OFFSET(EB.Projektart.Knoten,K$8,0,1,1)=ROW(K26)-ROW($A$24)+1,SUM(K$11:K$22),0)),"")</f>
        <v/>
      </c>
      <c r="L26" s="347" t="str">
        <f aca="true">IFERROR(IF(L$9="","",IF(OFFSET(EB.Projektart.Knoten,L$8,0,1,1)=ROW(L26)-ROW($A$24)+1,SUM(L$11:L$22),0)),"")</f>
        <v/>
      </c>
      <c r="M26" s="347" t="str">
        <f aca="true">IFERROR(IF(M$9="","",IF(OFFSET(EB.Projektart.Knoten,M$8,0,1,1)=ROW(M26)-ROW($A$24)+1,SUM(M$11:M$22),0)),"")</f>
        <v/>
      </c>
      <c r="N26" s="347" t="str">
        <f aca="true">IFERROR(IF(N$9="","",IF(OFFSET(EB.Projektart.Knoten,N$8,0,1,1)=ROW(N26)-ROW($A$24)+1,SUM(N$11:N$22),0)),"")</f>
        <v/>
      </c>
      <c r="O26" s="347" t="str">
        <f aca="true">IFERROR(IF(O$9="","",IF(OFFSET(EB.Projektart.Knoten,O$8,0,1,1)=ROW(O26)-ROW($A$24)+1,SUM(O$11:O$22),0)),"")</f>
        <v/>
      </c>
      <c r="P26" s="347" t="str">
        <f aca="true">IFERROR(IF(P$9="","",IF(OFFSET(EB.Projektart.Knoten,P$8,0,1,1)=ROW(P26)-ROW($A$24)+1,SUM(P$11:P$22),0)),"")</f>
        <v/>
      </c>
      <c r="Q26" s="39"/>
      <c r="R26" s="325" t="n">
        <f aca="false">SUM(B26:P26)</f>
        <v>0</v>
      </c>
      <c r="S26" s="39"/>
      <c r="T26" s="348" t="n">
        <f aca="false">IF(Jahr.ein_aus.Total+Jahr.ein_aus_Pikett.Total+Jahr.WB.Total=0,"",R26/(Jahr.ein_aus.Total+Jahr.ein_aus_Pikett.Total+Jahr.WB.Total))</f>
        <v>0</v>
      </c>
      <c r="U26" s="39"/>
    </row>
    <row r="27" s="148" customFormat="true" ht="15" hidden="false" customHeight="true" outlineLevel="0" collapsed="false">
      <c r="A27" s="20" t="str">
        <f aca="true">INDEX(T.ProjektartName.Bereich,4)</f>
        <v>Uni / University</v>
      </c>
      <c r="B27" s="347" t="str">
        <f aca="true">IFERROR(IF(B$9="","",IF(OFFSET(EB.Projektart.Knoten,B$8,0,1,1)=ROW(B27)-ROW($A$24)+1,SUM(B$11:B$22),0)),"")</f>
        <v/>
      </c>
      <c r="C27" s="347" t="str">
        <f aca="true">IFERROR(IF(C$9="","",IF(OFFSET(EB.Projektart.Knoten,C$8,0,1,1)=ROW(C27)-ROW($A$24)+1,SUM(C$11:C$22),0)),"")</f>
        <v/>
      </c>
      <c r="D27" s="347" t="str">
        <f aca="true">IFERROR(IF(D$9="","",IF(OFFSET(EB.Projektart.Knoten,D$8,0,1,1)=ROW(D27)-ROW($A$24)+1,SUM(D$11:D$22),0)),"")</f>
        <v/>
      </c>
      <c r="E27" s="347" t="str">
        <f aca="true">IFERROR(IF(E$9="","",IF(OFFSET(EB.Projektart.Knoten,E$8,0,1,1)=ROW(E27)-ROW($A$24)+1,SUM(E$11:E$22),0)),"")</f>
        <v/>
      </c>
      <c r="F27" s="347" t="str">
        <f aca="true">IFERROR(IF(F$9="","",IF(OFFSET(EB.Projektart.Knoten,F$8,0,1,1)=ROW(F27)-ROW($A$24)+1,SUM(F$11:F$22),0)),"")</f>
        <v/>
      </c>
      <c r="G27" s="347" t="str">
        <f aca="true">IFERROR(IF(G$9="","",IF(OFFSET(EB.Projektart.Knoten,G$8,0,1,1)=ROW(G27)-ROW($A$24)+1,SUM(G$11:G$22),0)),"")</f>
        <v/>
      </c>
      <c r="H27" s="347" t="str">
        <f aca="true">IFERROR(IF(H$9="","",IF(OFFSET(EB.Projektart.Knoten,H$8,0,1,1)=ROW(H27)-ROW($A$24)+1,SUM(H$11:H$22),0)),"")</f>
        <v/>
      </c>
      <c r="I27" s="347" t="str">
        <f aca="true">IFERROR(IF(I$9="","",IF(OFFSET(EB.Projektart.Knoten,I$8,0,1,1)=ROW(I27)-ROW($A$24)+1,SUM(I$11:I$22),0)),"")</f>
        <v/>
      </c>
      <c r="J27" s="347" t="str">
        <f aca="true">IFERROR(IF(J$9="","",IF(OFFSET(EB.Projektart.Knoten,J$8,0,1,1)=ROW(J27)-ROW($A$24)+1,SUM(J$11:J$22),0)),"")</f>
        <v/>
      </c>
      <c r="K27" s="347" t="str">
        <f aca="true">IFERROR(IF(K$9="","",IF(OFFSET(EB.Projektart.Knoten,K$8,0,1,1)=ROW(K27)-ROW($A$24)+1,SUM(K$11:K$22),0)),"")</f>
        <v/>
      </c>
      <c r="L27" s="347" t="str">
        <f aca="true">IFERROR(IF(L$9="","",IF(OFFSET(EB.Projektart.Knoten,L$8,0,1,1)=ROW(L27)-ROW($A$24)+1,SUM(L$11:L$22),0)),"")</f>
        <v/>
      </c>
      <c r="M27" s="347" t="str">
        <f aca="true">IFERROR(IF(M$9="","",IF(OFFSET(EB.Projektart.Knoten,M$8,0,1,1)=ROW(M27)-ROW($A$24)+1,SUM(M$11:M$22),0)),"")</f>
        <v/>
      </c>
      <c r="N27" s="347" t="str">
        <f aca="true">IFERROR(IF(N$9="","",IF(OFFSET(EB.Projektart.Knoten,N$8,0,1,1)=ROW(N27)-ROW($A$24)+1,SUM(N$11:N$22),0)),"")</f>
        <v/>
      </c>
      <c r="O27" s="347" t="str">
        <f aca="true">IFERROR(IF(O$9="","",IF(OFFSET(EB.Projektart.Knoten,O$8,0,1,1)=ROW(O27)-ROW($A$24)+1,SUM(O$11:O$22),0)),"")</f>
        <v/>
      </c>
      <c r="P27" s="347" t="str">
        <f aca="true">IFERROR(IF(P$9="","",IF(OFFSET(EB.Projektart.Knoten,P$8,0,1,1)=ROW(P27)-ROW($A$24)+1,SUM(P$11:P$22),0)),"")</f>
        <v/>
      </c>
      <c r="Q27" s="39"/>
      <c r="R27" s="325" t="n">
        <f aca="false">SUM(B27:P27)</f>
        <v>0</v>
      </c>
      <c r="S27" s="39"/>
      <c r="T27" s="348" t="n">
        <f aca="false">IF(Jahr.ein_aus.Total+Jahr.ein_aus_Pikett.Total+Jahr.WB.Total=0,"",R27/(Jahr.ein_aus.Total+Jahr.ein_aus_Pikett.Total+Jahr.WB.Total))</f>
        <v>0</v>
      </c>
      <c r="U27" s="39"/>
    </row>
    <row r="28" s="148" customFormat="true" ht="15" hidden="false" customHeight="true" outlineLevel="0" collapsed="false">
      <c r="A28" s="20" t="str">
        <f aca="true">INDEX(T.ProjektartName.Bereich,5)</f>
        <v>Andere / Other</v>
      </c>
      <c r="B28" s="347" t="str">
        <f aca="true">IFERROR(IF(B$9="","",IF(OFFSET(EB.Projektart.Knoten,B$8,0,1,1)=ROW(B28)-ROW($A$24)+1,SUM(B$11:B$22),0)),"")</f>
        <v/>
      </c>
      <c r="C28" s="347" t="str">
        <f aca="true">IFERROR(IF(C$9="","",IF(OFFSET(EB.Projektart.Knoten,C$8,0,1,1)=ROW(C28)-ROW($A$24)+1,SUM(C$11:C$22),0)),"")</f>
        <v/>
      </c>
      <c r="D28" s="347" t="str">
        <f aca="true">IFERROR(IF(D$9="","",IF(OFFSET(EB.Projektart.Knoten,D$8,0,1,1)=ROW(D28)-ROW($A$24)+1,SUM(D$11:D$22),0)),"")</f>
        <v/>
      </c>
      <c r="E28" s="347" t="str">
        <f aca="true">IFERROR(IF(E$9="","",IF(OFFSET(EB.Projektart.Knoten,E$8,0,1,1)=ROW(E28)-ROW($A$24)+1,SUM(E$11:E$22),0)),"")</f>
        <v/>
      </c>
      <c r="F28" s="347" t="str">
        <f aca="true">IFERROR(IF(F$9="","",IF(OFFSET(EB.Projektart.Knoten,F$8,0,1,1)=ROW(F28)-ROW($A$24)+1,SUM(F$11:F$22),0)),"")</f>
        <v/>
      </c>
      <c r="G28" s="347" t="str">
        <f aca="true">IFERROR(IF(G$9="","",IF(OFFSET(EB.Projektart.Knoten,G$8,0,1,1)=ROW(G28)-ROW($A$24)+1,SUM(G$11:G$22),0)),"")</f>
        <v/>
      </c>
      <c r="H28" s="347" t="str">
        <f aca="true">IFERROR(IF(H$9="","",IF(OFFSET(EB.Projektart.Knoten,H$8,0,1,1)=ROW(H28)-ROW($A$24)+1,SUM(H$11:H$22),0)),"")</f>
        <v/>
      </c>
      <c r="I28" s="347" t="str">
        <f aca="true">IFERROR(IF(I$9="","",IF(OFFSET(EB.Projektart.Knoten,I$8,0,1,1)=ROW(I28)-ROW($A$24)+1,SUM(I$11:I$22),0)),"")</f>
        <v/>
      </c>
      <c r="J28" s="347" t="str">
        <f aca="true">IFERROR(IF(J$9="","",IF(OFFSET(EB.Projektart.Knoten,J$8,0,1,1)=ROW(J28)-ROW($A$24)+1,SUM(J$11:J$22),0)),"")</f>
        <v/>
      </c>
      <c r="K28" s="347" t="str">
        <f aca="true">IFERROR(IF(K$9="","",IF(OFFSET(EB.Projektart.Knoten,K$8,0,1,1)=ROW(K28)-ROW($A$24)+1,SUM(K$11:K$22),0)),"")</f>
        <v/>
      </c>
      <c r="L28" s="347" t="str">
        <f aca="true">IFERROR(IF(L$9="","",IF(OFFSET(EB.Projektart.Knoten,L$8,0,1,1)=ROW(L28)-ROW($A$24)+1,SUM(L$11:L$22),0)),"")</f>
        <v/>
      </c>
      <c r="M28" s="347" t="str">
        <f aca="true">IFERROR(IF(M$9="","",IF(OFFSET(EB.Projektart.Knoten,M$8,0,1,1)=ROW(M28)-ROW($A$24)+1,SUM(M$11:M$22),0)),"")</f>
        <v/>
      </c>
      <c r="N28" s="347" t="str">
        <f aca="true">IFERROR(IF(N$9="","",IF(OFFSET(EB.Projektart.Knoten,N$8,0,1,1)=ROW(N28)-ROW($A$24)+1,SUM(N$11:N$22),0)),"")</f>
        <v/>
      </c>
      <c r="O28" s="347" t="str">
        <f aca="true">IFERROR(IF(O$9="","",IF(OFFSET(EB.Projektart.Knoten,O$8,0,1,1)=ROW(O28)-ROW($A$24)+1,SUM(O$11:O$22),0)),"")</f>
        <v/>
      </c>
      <c r="P28" s="347" t="str">
        <f aca="true">IFERROR(IF(P$9="","",IF(OFFSET(EB.Projektart.Knoten,P$8,0,1,1)=ROW(P28)-ROW($A$24)+1,SUM(P$11:P$22),0)),"")</f>
        <v/>
      </c>
      <c r="Q28" s="39"/>
      <c r="R28" s="325" t="n">
        <f aca="false">SUM(B28:P28)</f>
        <v>0</v>
      </c>
      <c r="S28" s="39"/>
      <c r="T28" s="348" t="n">
        <f aca="false">IF(Jahr.ein_aus.Total+Jahr.ein_aus_Pikett.Total+Jahr.WB.Total=0,"",R28/(Jahr.ein_aus.Total+Jahr.ein_aus_Pikett.Total+Jahr.WB.Total))</f>
        <v>0</v>
      </c>
      <c r="U28" s="39"/>
    </row>
    <row r="29" s="148" customFormat="true" ht="11.25" hidden="false" customHeight="true" outlineLevel="0" collapsed="false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152"/>
      <c r="S29" s="39"/>
      <c r="T29" s="349"/>
      <c r="U29" s="39"/>
    </row>
    <row r="30" s="148" customFormat="true" ht="15" hidden="false" customHeight="true" outlineLevel="0" collapsed="false">
      <c r="A30" s="20" t="str">
        <f aca="true">INDEX(T.ProjektartName.Bereich,6)</f>
        <v>Arbeitstätigkeiten / Working Activities</v>
      </c>
      <c r="B30" s="347" t="str">
        <f aca="true">IFERROR(IF(B$9="","",IF(OFFSET(EB.Projektart.Knoten,B$8,0,1,1)=ROW(B30)-ROW($A$24),SUM(B$11:B$22),0)),"")</f>
        <v/>
      </c>
      <c r="C30" s="347" t="str">
        <f aca="true">IFERROR(IF(C$9="","",IF(OFFSET(EB.Projektart.Knoten,C$8,0,1,1)=ROW(C30)-ROW($A$24),SUM(C$11:C$22),0)),"")</f>
        <v/>
      </c>
      <c r="D30" s="347" t="str">
        <f aca="true">IFERROR(IF(D$9="","",IF(OFFSET(EB.Projektart.Knoten,D$8,0,1,1)=ROW(D30)-ROW($A$24),SUM(D$11:D$22),0)),"")</f>
        <v/>
      </c>
      <c r="E30" s="347" t="str">
        <f aca="true">IFERROR(IF(E$9="","",IF(OFFSET(EB.Projektart.Knoten,E$8,0,1,1)=ROW(E30)-ROW($A$24),SUM(E$11:E$22),0)),"")</f>
        <v/>
      </c>
      <c r="F30" s="347" t="str">
        <f aca="true">IFERROR(IF(F$9="","",IF(OFFSET(EB.Projektart.Knoten,F$8,0,1,1)=ROW(F30)-ROW($A$24),SUM(F$11:F$22),0)),"")</f>
        <v/>
      </c>
      <c r="G30" s="347" t="str">
        <f aca="true">IFERROR(IF(G$9="","",IF(OFFSET(EB.Projektart.Knoten,G$8,0,1,1)=ROW(G30)-ROW($A$24),SUM(G$11:G$22),0)),"")</f>
        <v/>
      </c>
      <c r="H30" s="347" t="str">
        <f aca="true">IFERROR(IF(H$9="","",IF(OFFSET(EB.Projektart.Knoten,H$8,0,1,1)=ROW(H30)-ROW($A$24),SUM(H$11:H$22),0)),"")</f>
        <v/>
      </c>
      <c r="I30" s="347" t="str">
        <f aca="true">IFERROR(IF(I$9="","",IF(OFFSET(EB.Projektart.Knoten,I$8,0,1,1)=ROW(I30)-ROW($A$24),SUM(I$11:I$22),0)),"")</f>
        <v/>
      </c>
      <c r="J30" s="347" t="str">
        <f aca="true">IFERROR(IF(J$9="","",IF(OFFSET(EB.Projektart.Knoten,J$8,0,1,1)=ROW(J30)-ROW($A$24),SUM(J$11:J$22),0)),"")</f>
        <v/>
      </c>
      <c r="K30" s="347" t="str">
        <f aca="true">IFERROR(IF(K$9="","",IF(OFFSET(EB.Projektart.Knoten,K$8,0,1,1)=ROW(K30)-ROW($A$24),SUM(K$11:K$22),0)),"")</f>
        <v/>
      </c>
      <c r="L30" s="347" t="str">
        <f aca="true">IFERROR(IF(L$9="","",IF(OFFSET(EB.Projektart.Knoten,L$8,0,1,1)=ROW(L30)-ROW($A$24),SUM(L$11:L$22),0)),"")</f>
        <v/>
      </c>
      <c r="M30" s="347" t="str">
        <f aca="true">IFERROR(IF(M$9="","",IF(OFFSET(EB.Projektart.Knoten,M$8,0,1,1)=ROW(M30)-ROW($A$24),SUM(M$11:M$22),0)),"")</f>
        <v/>
      </c>
      <c r="N30" s="347" t="str">
        <f aca="true">IFERROR(IF(N$9="","",IF(OFFSET(EB.Projektart.Knoten,N$8,0,1,1)=ROW(N30)-ROW($A$24),SUM(N$11:N$22),0)),"")</f>
        <v/>
      </c>
      <c r="O30" s="347" t="str">
        <f aca="true">IFERROR(IF(O$9="","",IF(OFFSET(EB.Projektart.Knoten,O$8,0,1,1)=ROW(O30)-ROW($A$24),SUM(O$11:O$22),0)),"")</f>
        <v/>
      </c>
      <c r="P30" s="347" t="str">
        <f aca="true">IFERROR(IF(P$9="","",IF(OFFSET(EB.Projektart.Knoten,P$8,0,1,1)=ROW(P30)-ROW($A$24),SUM(P$11:P$22),0)),"")</f>
        <v/>
      </c>
      <c r="Q30" s="39"/>
      <c r="R30" s="325" t="n">
        <f aca="false">SUM(B30:P30)</f>
        <v>0</v>
      </c>
      <c r="S30" s="39"/>
      <c r="T30" s="348" t="n">
        <f aca="false">IF(Jahr.ein_aus.Total+Jahr.ein_aus_Pikett.Total+Jahr.WB.Total=0,"",R30/(Jahr.ein_aus.Total+Jahr.ein_aus_Pikett.Total+Jahr.WB.Total))</f>
        <v>0</v>
      </c>
      <c r="U30" s="39"/>
    </row>
    <row r="31" s="148" customFormat="true" ht="15" hidden="false" customHeight="true" outlineLevel="0" collapsed="false">
      <c r="A31" s="20" t="str">
        <f aca="true">INDEX(T.ProjektartName.Bereich,7)</f>
        <v>Entlastungszeit / Relief Time</v>
      </c>
      <c r="B31" s="347" t="str">
        <f aca="true">IFERROR(IF(B$9="","",IF(OFFSET(EB.Projektart.Knoten,B$8,0,1,1)=ROW(B31)-ROW($A$24),SUM(B$11:B$22),0)),"")</f>
        <v/>
      </c>
      <c r="C31" s="347" t="str">
        <f aca="true">IFERROR(IF(C$9="","",IF(OFFSET(EB.Projektart.Knoten,C$8,0,1,1)=ROW(C31)-ROW($A$24),SUM(C$11:C$22),0)),"")</f>
        <v/>
      </c>
      <c r="D31" s="347" t="str">
        <f aca="true">IFERROR(IF(D$9="","",IF(OFFSET(EB.Projektart.Knoten,D$8,0,1,1)=ROW(D31)-ROW($A$24),SUM(D$11:D$22),0)),"")</f>
        <v/>
      </c>
      <c r="E31" s="347" t="str">
        <f aca="true">IFERROR(IF(E$9="","",IF(OFFSET(EB.Projektart.Knoten,E$8,0,1,1)=ROW(E31)-ROW($A$24),SUM(E$11:E$22),0)),"")</f>
        <v/>
      </c>
      <c r="F31" s="347" t="str">
        <f aca="true">IFERROR(IF(F$9="","",IF(OFFSET(EB.Projektart.Knoten,F$8,0,1,1)=ROW(F31)-ROW($A$24),SUM(F$11:F$22),0)),"")</f>
        <v/>
      </c>
      <c r="G31" s="347" t="str">
        <f aca="true">IFERROR(IF(G$9="","",IF(OFFSET(EB.Projektart.Knoten,G$8,0,1,1)=ROW(G31)-ROW($A$24),SUM(G$11:G$22),0)),"")</f>
        <v/>
      </c>
      <c r="H31" s="347" t="str">
        <f aca="true">IFERROR(IF(H$9="","",IF(OFFSET(EB.Projektart.Knoten,H$8,0,1,1)=ROW(H31)-ROW($A$24),SUM(H$11:H$22),0)),"")</f>
        <v/>
      </c>
      <c r="I31" s="347" t="str">
        <f aca="true">IFERROR(IF(I$9="","",IF(OFFSET(EB.Projektart.Knoten,I$8,0,1,1)=ROW(I31)-ROW($A$24),SUM(I$11:I$22),0)),"")</f>
        <v/>
      </c>
      <c r="J31" s="347" t="str">
        <f aca="true">IFERROR(IF(J$9="","",IF(OFFSET(EB.Projektart.Knoten,J$8,0,1,1)=ROW(J31)-ROW($A$24),SUM(J$11:J$22),0)),"")</f>
        <v/>
      </c>
      <c r="K31" s="347" t="str">
        <f aca="true">IFERROR(IF(K$9="","",IF(OFFSET(EB.Projektart.Knoten,K$8,0,1,1)=ROW(K31)-ROW($A$24),SUM(K$11:K$22),0)),"")</f>
        <v/>
      </c>
      <c r="L31" s="347" t="str">
        <f aca="true">IFERROR(IF(L$9="","",IF(OFFSET(EB.Projektart.Knoten,L$8,0,1,1)=ROW(L31)-ROW($A$24),SUM(L$11:L$22),0)),"")</f>
        <v/>
      </c>
      <c r="M31" s="347" t="str">
        <f aca="true">IFERROR(IF(M$9="","",IF(OFFSET(EB.Projektart.Knoten,M$8,0,1,1)=ROW(M31)-ROW($A$24),SUM(M$11:M$22),0)),"")</f>
        <v/>
      </c>
      <c r="N31" s="347" t="str">
        <f aca="true">IFERROR(IF(N$9="","",IF(OFFSET(EB.Projektart.Knoten,N$8,0,1,1)=ROW(N31)-ROW($A$24),SUM(N$11:N$22),0)),"")</f>
        <v/>
      </c>
      <c r="O31" s="347" t="str">
        <f aca="true">IFERROR(IF(O$9="","",IF(OFFSET(EB.Projektart.Knoten,O$8,0,1,1)=ROW(O31)-ROW($A$24),SUM(O$11:O$22),0)),"")</f>
        <v/>
      </c>
      <c r="P31" s="347" t="str">
        <f aca="true">IFERROR(IF(P$9="","",IF(OFFSET(EB.Projektart.Knoten,P$8,0,1,1)=ROW(P31)-ROW($A$24),SUM(P$11:P$22),0)),"")</f>
        <v/>
      </c>
      <c r="Q31" s="39"/>
      <c r="R31" s="325" t="n">
        <f aca="false">SUM(B31:P31)</f>
        <v>0</v>
      </c>
      <c r="S31" s="39"/>
      <c r="T31" s="348" t="n">
        <f aca="false">IF(Jahr.ein_aus.Total+Jahr.ein_aus_Pikett.Total+Jahr.WB.Total=0,"",R31/(Jahr.ein_aus.Total+Jahr.ein_aus_Pikett.Total+Jahr.WB.Total))</f>
        <v>0</v>
      </c>
      <c r="U31" s="39"/>
    </row>
    <row r="32" s="148" customFormat="true" ht="15" hidden="false" customHeight="true" outlineLevel="0" collapsed="false">
      <c r="A32" s="20" t="str">
        <f aca="true">INDEX(T.ProjektartName.Bereich,8)</f>
        <v>nicht definiert / non-defined</v>
      </c>
      <c r="B32" s="347" t="str">
        <f aca="false">IF(B$9="","",(SUM(B$11:B$22)-SUM(B$24:B$31)))</f>
        <v/>
      </c>
      <c r="C32" s="347" t="str">
        <f aca="false">IF(C$9="","",(SUM(C$11:C$22)-SUM(C$24:C$31)))</f>
        <v/>
      </c>
      <c r="D32" s="347" t="str">
        <f aca="false">IF(D$9="","",(SUM(D$11:D$22)-SUM(D$24:D$31)))</f>
        <v/>
      </c>
      <c r="E32" s="347" t="str">
        <f aca="false">IF(E$9="","",(SUM(E$11:E$22)-SUM(E$24:E$31)))</f>
        <v/>
      </c>
      <c r="F32" s="347" t="str">
        <f aca="false">IF(F$9="","",(SUM(F$11:F$22)-SUM(F$24:F$31)))</f>
        <v/>
      </c>
      <c r="G32" s="347" t="str">
        <f aca="false">IF(G$9="","",(SUM(G$11:G$22)-SUM(G$24:G$31)))</f>
        <v/>
      </c>
      <c r="H32" s="347" t="str">
        <f aca="false">IF(H$9="","",(SUM(H$11:H$22)-SUM(H$24:H$31)))</f>
        <v/>
      </c>
      <c r="I32" s="347" t="str">
        <f aca="false">IF(I$9="","",(SUM(I$11:I$22)-SUM(I$24:I$31)))</f>
        <v/>
      </c>
      <c r="J32" s="347" t="str">
        <f aca="false">IF(J$9="","",(SUM(J$11:J$22)-SUM(J$24:J$31)))</f>
        <v/>
      </c>
      <c r="K32" s="347" t="str">
        <f aca="false">IF(K$9="","",(SUM(K$11:K$22)-SUM(K$24:K$31)))</f>
        <v/>
      </c>
      <c r="L32" s="347" t="str">
        <f aca="false">IF(L$9="","",(SUM(L$11:L$22)-SUM(L$24:L$31)))</f>
        <v/>
      </c>
      <c r="M32" s="347" t="str">
        <f aca="false">IF(M$9="","",(SUM(M$11:M$22)-SUM(M$24:M$31)))</f>
        <v/>
      </c>
      <c r="N32" s="347" t="str">
        <f aca="false">IF(N$9="","",(SUM(N$11:N$22)-SUM(N$24:N$31)))</f>
        <v/>
      </c>
      <c r="O32" s="347" t="str">
        <f aca="false">IF(O$9="","",(SUM(O$11:O$22)-SUM(O$24:O$31)))</f>
        <v/>
      </c>
      <c r="P32" s="347" t="str">
        <f aca="false">IF(P$9="","",(SUM(P$11:P$22)-SUM(P$24:P$31)))</f>
        <v/>
      </c>
      <c r="Q32" s="39"/>
      <c r="R32" s="325" t="n">
        <f aca="false">SUM(B32:P32)</f>
        <v>0</v>
      </c>
      <c r="S32" s="39"/>
      <c r="T32" s="348" t="n">
        <f aca="false">IF(Jahr.ein_aus.Total+Jahr.ein_aus_Pikett.Total+Jahr.WB.Total=0,"",R32/(Jahr.ein_aus.Total+Jahr.ein_aus_Pikett.Total+Jahr.WB.Total))</f>
        <v>0</v>
      </c>
      <c r="U32" s="39"/>
    </row>
    <row r="33" s="148" customFormat="true" ht="11.25" hidden="false" customHeight="true" outlineLevel="0" collapsed="false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152"/>
      <c r="S33" s="39"/>
      <c r="T33" s="349"/>
      <c r="U33" s="39"/>
    </row>
    <row r="34" s="148" customFormat="true" ht="15" hidden="false" customHeight="true" outlineLevel="0" collapsed="false">
      <c r="A34" s="181" t="s">
        <v>206</v>
      </c>
      <c r="B34" s="347" t="str">
        <f aca="false">IF(B$9="","",SUM(B11:B22))</f>
        <v/>
      </c>
      <c r="C34" s="347" t="str">
        <f aca="false">IF(C$9="","",SUM(C11:C22))</f>
        <v/>
      </c>
      <c r="D34" s="347" t="str">
        <f aca="false">IF(D$9="","",SUM(D11:D22))</f>
        <v/>
      </c>
      <c r="E34" s="347" t="str">
        <f aca="false">IF(E$9="","",SUM(E11:E22))</f>
        <v/>
      </c>
      <c r="F34" s="347" t="str">
        <f aca="false">IF(F$9="","",SUM(F11:F22))</f>
        <v/>
      </c>
      <c r="G34" s="347" t="str">
        <f aca="false">IF(G$9="","",SUM(G11:G22))</f>
        <v/>
      </c>
      <c r="H34" s="347" t="str">
        <f aca="false">IF(H$9="","",SUM(H11:H22))</f>
        <v/>
      </c>
      <c r="I34" s="347" t="str">
        <f aca="false">IF(I$9="","",SUM(I11:I22))</f>
        <v/>
      </c>
      <c r="J34" s="347" t="str">
        <f aca="false">IF(J$9="","",SUM(J11:J22))</f>
        <v/>
      </c>
      <c r="K34" s="347" t="str">
        <f aca="false">IF(K$9="","",SUM(K11:K22))</f>
        <v/>
      </c>
      <c r="L34" s="347" t="str">
        <f aca="false">IF(L$9="","",SUM(L11:L22))</f>
        <v/>
      </c>
      <c r="M34" s="347" t="str">
        <f aca="false">IF(M$9="","",SUM(M11:M22))</f>
        <v/>
      </c>
      <c r="N34" s="347" t="str">
        <f aca="false">IF(N$9="","",SUM(N11:N22))</f>
        <v/>
      </c>
      <c r="O34" s="347" t="str">
        <f aca="false">IF(O$9="","",SUM(O11:O22))</f>
        <v/>
      </c>
      <c r="P34" s="347" t="str">
        <f aca="false">IF(P$9="","",SUM(P11:P22))</f>
        <v/>
      </c>
      <c r="Q34" s="39"/>
      <c r="R34" s="325" t="n">
        <f aca="false">SUM(B34:P34)</f>
        <v>0</v>
      </c>
      <c r="S34" s="39"/>
      <c r="T34" s="348" t="n">
        <f aca="false">IF(Jahr.ein_aus.Total+Jahr.ein_aus_Pikett.Total+Jahr.WB.Total=0,"",R34/(Jahr.ein_aus.Total+Jahr.ein_aus_Pikett.Total+Jahr.WB.Total))</f>
        <v>0</v>
      </c>
      <c r="U34" s="39"/>
    </row>
    <row r="35" s="148" customFormat="true" ht="15" hidden="false" customHeight="true" outlineLevel="1" collapsed="false">
      <c r="A35" s="181" t="s">
        <v>205</v>
      </c>
      <c r="B35" s="350" t="str">
        <f aca="false">IF(OR(B$9="",Jahr.ein_aus.Total+Jahr.ein_aus_Pikett.Total+Jahr.WB.Total=0),"",B34/(Jahr.ein_aus.Total+Jahr.ein_aus_Pikett.Total+Jahr.WB.Total))</f>
        <v/>
      </c>
      <c r="C35" s="350" t="str">
        <f aca="false">IF(OR(C$9="",Jahr.ein_aus.Total+Jahr.ein_aus_Pikett.Total+Jahr.WB.Total=0),"",C34/(Jahr.ein_aus.Total+Jahr.ein_aus_Pikett.Total+Jahr.WB.Total))</f>
        <v/>
      </c>
      <c r="D35" s="350" t="str">
        <f aca="false">IF(OR(D$9="",Jahr.ein_aus.Total+Jahr.ein_aus_Pikett.Total+Jahr.WB.Total=0),"",D34/(Jahr.ein_aus.Total+Jahr.ein_aus_Pikett.Total+Jahr.WB.Total))</f>
        <v/>
      </c>
      <c r="E35" s="350" t="str">
        <f aca="false">IF(OR(E$9="",Jahr.ein_aus.Total+Jahr.ein_aus_Pikett.Total+Jahr.WB.Total=0),"",E34/(Jahr.ein_aus.Total+Jahr.ein_aus_Pikett.Total+Jahr.WB.Total))</f>
        <v/>
      </c>
      <c r="F35" s="350" t="str">
        <f aca="false">IF(OR(F$9="",Jahr.ein_aus.Total+Jahr.ein_aus_Pikett.Total+Jahr.WB.Total=0),"",F34/(Jahr.ein_aus.Total+Jahr.ein_aus_Pikett.Total+Jahr.WB.Total))</f>
        <v/>
      </c>
      <c r="G35" s="350" t="str">
        <f aca="false">IF(OR(G$9="",Jahr.ein_aus.Total+Jahr.ein_aus_Pikett.Total+Jahr.WB.Total=0),"",G34/(Jahr.ein_aus.Total+Jahr.ein_aus_Pikett.Total+Jahr.WB.Total))</f>
        <v/>
      </c>
      <c r="H35" s="350" t="str">
        <f aca="false">IF(OR(H$9="",Jahr.ein_aus.Total+Jahr.ein_aus_Pikett.Total+Jahr.WB.Total=0),"",H34/(Jahr.ein_aus.Total+Jahr.ein_aus_Pikett.Total+Jahr.WB.Total))</f>
        <v/>
      </c>
      <c r="I35" s="350" t="str">
        <f aca="false">IF(OR(I$9="",Jahr.ein_aus.Total+Jahr.ein_aus_Pikett.Total+Jahr.WB.Total=0),"",I34/(Jahr.ein_aus.Total+Jahr.ein_aus_Pikett.Total+Jahr.WB.Total))</f>
        <v/>
      </c>
      <c r="J35" s="350" t="str">
        <f aca="false">IF(OR(J$9="",Jahr.ein_aus.Total+Jahr.ein_aus_Pikett.Total+Jahr.WB.Total=0),"",J34/(Jahr.ein_aus.Total+Jahr.ein_aus_Pikett.Total+Jahr.WB.Total))</f>
        <v/>
      </c>
      <c r="K35" s="350" t="str">
        <f aca="false">IF(OR(K$9="",Jahr.ein_aus.Total+Jahr.ein_aus_Pikett.Total+Jahr.WB.Total=0),"",K34/(Jahr.ein_aus.Total+Jahr.ein_aus_Pikett.Total+Jahr.WB.Total))</f>
        <v/>
      </c>
      <c r="L35" s="350" t="str">
        <f aca="false">IF(OR(L$9="",Jahr.ein_aus.Total+Jahr.ein_aus_Pikett.Total+Jahr.WB.Total=0),"",L34/(Jahr.ein_aus.Total+Jahr.ein_aus_Pikett.Total+Jahr.WB.Total))</f>
        <v/>
      </c>
      <c r="M35" s="350" t="str">
        <f aca="false">IF(OR(M$9="",Jahr.ein_aus.Total+Jahr.ein_aus_Pikett.Total+Jahr.WB.Total=0),"",M34/(Jahr.ein_aus.Total+Jahr.ein_aus_Pikett.Total+Jahr.WB.Total))</f>
        <v/>
      </c>
      <c r="N35" s="350" t="str">
        <f aca="false">IF(OR(N$9="",Jahr.ein_aus.Total+Jahr.ein_aus_Pikett.Total+Jahr.WB.Total=0),"",N34/(Jahr.ein_aus.Total+Jahr.ein_aus_Pikett.Total+Jahr.WB.Total))</f>
        <v/>
      </c>
      <c r="O35" s="350" t="str">
        <f aca="false">IF(OR(O$9="",Jahr.ein_aus.Total+Jahr.ein_aus_Pikett.Total+Jahr.WB.Total=0),"",O34/(Jahr.ein_aus.Total+Jahr.ein_aus_Pikett.Total+Jahr.WB.Total))</f>
        <v/>
      </c>
      <c r="P35" s="350" t="str">
        <f aca="false">IF(OR(P$9="",Jahr.ein_aus.Total+Jahr.ein_aus_Pikett.Total+Jahr.WB.Total=0),"",P34/(Jahr.ein_aus.Total+Jahr.ein_aus_Pikett.Total+Jahr.WB.Total))</f>
        <v/>
      </c>
      <c r="Q35" s="349"/>
      <c r="R35" s="348" t="n">
        <f aca="false">IF(OR(R$9="",Jahr.ein_aus.Total+Jahr.ein_aus_Pikett.Total+Jahr.WB.Total=0),"",R34/(Jahr.ein_aus.Total+Jahr.ein_aus_Pikett.Total+Jahr.WB.Total))</f>
        <v>0</v>
      </c>
      <c r="S35" s="39"/>
      <c r="T35" s="43"/>
      <c r="U35" s="39"/>
    </row>
    <row r="36" customFormat="false" ht="11.25" hidden="false" customHeight="true" outlineLevel="0" collapsed="false">
      <c r="A36" s="351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39"/>
      <c r="Q36" s="39"/>
      <c r="R36" s="39"/>
      <c r="S36" s="39"/>
      <c r="T36" s="39"/>
      <c r="U36" s="39"/>
    </row>
    <row r="37" customFormat="false" ht="57" hidden="false" customHeight="true" outlineLevel="0" collapsed="false">
      <c r="A37" s="285" t="s">
        <v>181</v>
      </c>
      <c r="B37" s="282"/>
      <c r="C37" s="282"/>
      <c r="D37" s="282"/>
      <c r="E37" s="282"/>
      <c r="F37" s="282"/>
      <c r="G37" s="282"/>
      <c r="H37" s="282"/>
      <c r="I37" s="43"/>
      <c r="J37" s="43"/>
      <c r="K37" s="285" t="s">
        <v>182</v>
      </c>
      <c r="L37" s="285"/>
      <c r="M37" s="285"/>
      <c r="N37" s="285"/>
      <c r="O37" s="282"/>
      <c r="P37" s="282"/>
      <c r="Q37" s="282"/>
      <c r="R37" s="282"/>
      <c r="S37" s="282"/>
      <c r="T37" s="282"/>
      <c r="U37" s="39"/>
    </row>
    <row r="38" customFormat="false" ht="11.25" hidden="false" customHeight="true" outlineLevel="0" collapsed="false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39"/>
      <c r="Q38" s="39"/>
      <c r="R38" s="39"/>
      <c r="S38" s="39"/>
      <c r="T38" s="39"/>
      <c r="U38" s="39"/>
    </row>
    <row r="39" customFormat="false" ht="11.25" hidden="false" customHeight="true" outlineLevel="0" collapsed="false">
      <c r="A39" s="352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</row>
  </sheetData>
  <sheetProtection sheet="true" objects="true" scenarios="true"/>
  <mergeCells count="18">
    <mergeCell ref="E1:K1"/>
    <mergeCell ref="B2:D2"/>
    <mergeCell ref="E2:K2"/>
    <mergeCell ref="M2:N2"/>
    <mergeCell ref="O2:P2"/>
    <mergeCell ref="B3:D3"/>
    <mergeCell ref="E3:K3"/>
    <mergeCell ref="B4:D4"/>
    <mergeCell ref="E4:K4"/>
    <mergeCell ref="B5:D5"/>
    <mergeCell ref="E5:K5"/>
    <mergeCell ref="B6:D6"/>
    <mergeCell ref="E6:K6"/>
    <mergeCell ref="B7:D7"/>
    <mergeCell ref="E7:K7"/>
    <mergeCell ref="B37:H37"/>
    <mergeCell ref="K37:N37"/>
    <mergeCell ref="O37:T37"/>
  </mergeCells>
  <conditionalFormatting sqref="B9:P22 B24:P28 B34:P35 B30:P32">
    <cfRule type="expression" priority="2" aboveAverage="0" equalAverage="0" bottom="0" percent="0" rank="0" text="" dxfId="0">
      <formula>B$9=""</formula>
    </cfRule>
  </conditionalFormatting>
  <conditionalFormatting sqref="A11:A22 A24:A28 A34:A35 A30:A32">
    <cfRule type="expression" priority="3" aboveAverage="0" equalAverage="0" bottom="0" percent="0" rank="0" text="" dxfId="1">
      <formula>B$9=""</formula>
    </cfRule>
  </conditionalFormatting>
  <conditionalFormatting sqref="C9:P9 C11:P22 C24:P28 C34:P35 C30:P32">
    <cfRule type="expression" priority="4" aboveAverage="0" equalAverage="0" bottom="0" percent="0" rank="0" text="" dxfId="2">
      <formula>AND(B$9&lt;&gt;"",C$9="")</formula>
    </cfRule>
  </conditionalFormatting>
  <conditionalFormatting sqref="R30 T30">
    <cfRule type="expression" priority="5" aboveAverage="0" equalAverage="0" bottom="0" percent="0" rank="0" text="" dxfId="3">
      <formula>IF(AND(Jahr.ein_aus.Total+Jahr.ein_aus_Pikett.Total+Jahr.WB.Total&lt;&gt;0,ISERROR(MATCH(6,EB.Projektart.Bereich,0))=0),ABS(ROUND($R30,9)-(Jahr.ein_aus.Total+Jahr.ein_aus_Pikett.Total+Jahr.WB.Total))&gt;=1/24/60)</formula>
    </cfRule>
  </conditionalFormatting>
  <printOptions headings="false" gridLines="false" gridLinesSet="true" horizontalCentered="true" verticalCentered="false"/>
  <pageMargins left="0.196527777777778" right="0.196527777777778" top="0.39375" bottom="0.393055555555556" header="0.511805555555555" footer="0.196527777777778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&amp;L&amp;"Arial,Regular"&amp;11&amp;A&amp;C&amp;"Arial,Regular"&amp;11&amp;D&amp;R&amp;"Arial,Regular"&amp;11&amp;P / 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R60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1" activeCellId="0" sqref="E1"/>
    </sheetView>
  </sheetViews>
  <sheetFormatPr defaultRowHeight="14" zeroHeight="false" outlineLevelRow="0" outlineLevelCol="1"/>
  <cols>
    <col collapsed="false" customWidth="true" hidden="false" outlineLevel="0" max="1" min="1" style="353" width="28.67"/>
    <col collapsed="false" customWidth="true" hidden="false" outlineLevel="0" max="2" min="2" style="353" width="13.83"/>
    <col collapsed="false" customWidth="true" hidden="false" outlineLevel="0" max="3" min="3" style="353" width="7.17"/>
    <col collapsed="false" customWidth="true" hidden="false" outlineLevel="0" max="4" min="4" style="353" width="13.83"/>
    <col collapsed="false" customWidth="true" hidden="false" outlineLevel="0" max="5" min="5" style="353" width="7.17"/>
    <col collapsed="false" customWidth="true" hidden="false" outlineLevel="0" max="6" min="6" style="353" width="13.83"/>
    <col collapsed="false" customWidth="true" hidden="false" outlineLevel="0" max="7" min="7" style="353" width="7.17"/>
    <col collapsed="false" customWidth="true" hidden="false" outlineLevel="0" max="8" min="8" style="353" width="13.83"/>
    <col collapsed="false" customWidth="true" hidden="false" outlineLevel="0" max="9" min="9" style="353" width="7.17"/>
    <col collapsed="false" customWidth="true" hidden="false" outlineLevel="0" max="10" min="10" style="353" width="13.83"/>
    <col collapsed="false" customWidth="true" hidden="false" outlineLevel="0" max="11" min="11" style="353" width="7.17"/>
    <col collapsed="false" customWidth="true" hidden="false" outlineLevel="0" max="12" min="12" style="353" width="13.83"/>
    <col collapsed="false" customWidth="true" hidden="false" outlineLevel="0" max="13" min="13" style="353" width="7.17"/>
    <col collapsed="false" customWidth="true" hidden="false" outlineLevel="0" max="14" min="14" style="353" width="13.83"/>
    <col collapsed="false" customWidth="true" hidden="true" outlineLevel="1" max="15" min="15" style="353" width="7.17"/>
    <col collapsed="false" customWidth="true" hidden="true" outlineLevel="1" max="16" min="16" style="353" width="13.83"/>
    <col collapsed="false" customWidth="true" hidden="true" outlineLevel="1" max="17" min="17" style="353" width="7.17"/>
    <col collapsed="false" customWidth="true" hidden="true" outlineLevel="1" max="18" min="18" style="353" width="13.83"/>
    <col collapsed="false" customWidth="true" hidden="true" outlineLevel="1" max="19" min="19" style="353" width="7.17"/>
    <col collapsed="false" customWidth="true" hidden="true" outlineLevel="1" max="20" min="20" style="353" width="13.83"/>
    <col collapsed="false" customWidth="true" hidden="true" outlineLevel="1" max="21" min="21" style="353" width="7.17"/>
    <col collapsed="false" customWidth="true" hidden="true" outlineLevel="1" max="22" min="22" style="353" width="13.83"/>
    <col collapsed="false" customWidth="true" hidden="true" outlineLevel="1" max="23" min="23" style="353" width="7.17"/>
    <col collapsed="false" customWidth="true" hidden="true" outlineLevel="1" max="24" min="24" style="353" width="13.83"/>
    <col collapsed="false" customWidth="true" hidden="true" outlineLevel="1" max="25" min="25" style="353" width="7.17"/>
    <col collapsed="false" customWidth="true" hidden="true" outlineLevel="1" max="26" min="26" style="353" width="13.83"/>
    <col collapsed="false" customWidth="true" hidden="true" outlineLevel="1" max="27" min="27" style="353" width="7.17"/>
    <col collapsed="false" customWidth="true" hidden="true" outlineLevel="1" max="28" min="28" style="353" width="13.83"/>
    <col collapsed="false" customWidth="true" hidden="true" outlineLevel="1" max="29" min="29" style="353" width="7.17"/>
    <col collapsed="false" customWidth="true" hidden="true" outlineLevel="1" max="30" min="30" style="353" width="13.83"/>
    <col collapsed="false" customWidth="true" hidden="true" outlineLevel="1" max="31" min="31" style="353" width="7.17"/>
    <col collapsed="false" customWidth="true" hidden="false" outlineLevel="0" max="32" min="32" style="353" width="3.66"/>
    <col collapsed="false" customWidth="true" hidden="false" outlineLevel="0" max="33" min="33" style="353" width="8"/>
    <col collapsed="false" customWidth="true" hidden="false" outlineLevel="0" max="34" min="34" style="353" width="3.66"/>
    <col collapsed="false" customWidth="true" hidden="false" outlineLevel="0" max="44" min="35" style="353" width="10.66"/>
    <col collapsed="false" customWidth="true" hidden="false" outlineLevel="0" max="1025" min="45" style="0" width="10.66"/>
  </cols>
  <sheetData>
    <row r="1" s="356" customFormat="true" ht="23.25" hidden="false" customHeight="true" outlineLevel="0" collapsed="false">
      <c r="A1" s="339" t="s">
        <v>207</v>
      </c>
      <c r="B1" s="340"/>
      <c r="C1" s="340" t="n">
        <f aca="false">EB.Jahr</f>
        <v>2018</v>
      </c>
      <c r="D1" s="137"/>
      <c r="E1" s="137" t="str">
        <f aca="false">Eingabeblatt!B1</f>
        <v>Employee Time Sheet</v>
      </c>
      <c r="F1" s="137"/>
      <c r="G1" s="137"/>
      <c r="H1" s="137"/>
      <c r="I1" s="137"/>
      <c r="J1" s="137"/>
      <c r="K1" s="137"/>
      <c r="L1" s="354"/>
      <c r="M1" s="354"/>
      <c r="N1" s="354"/>
      <c r="O1" s="354"/>
      <c r="P1" s="354"/>
      <c r="Q1" s="354"/>
      <c r="R1" s="354"/>
      <c r="S1" s="354"/>
      <c r="T1" s="354"/>
      <c r="U1" s="354"/>
      <c r="V1" s="354"/>
      <c r="W1" s="354"/>
      <c r="X1" s="354"/>
      <c r="Y1" s="354"/>
      <c r="Z1" s="354"/>
      <c r="AA1" s="354"/>
      <c r="AB1" s="354"/>
      <c r="AC1" s="354"/>
      <c r="AD1" s="354"/>
      <c r="AE1" s="354"/>
      <c r="AF1" s="354"/>
      <c r="AG1" s="7" t="str">
        <f aca="false">EB.Version</f>
        <v>Version 01.18</v>
      </c>
      <c r="AH1" s="8" t="str">
        <f aca="false">EB.Sprache</f>
        <v>EN</v>
      </c>
      <c r="AI1" s="355"/>
      <c r="AJ1" s="355"/>
    </row>
    <row r="2" s="355" customFormat="true" ht="15" hidden="false" customHeight="true" outlineLevel="0" collapsed="false">
      <c r="A2" s="357"/>
      <c r="B2" s="358" t="str">
        <f aca="false">Eingabeblatt!A3</f>
        <v>Name</v>
      </c>
      <c r="C2" s="358"/>
      <c r="D2" s="358"/>
      <c r="E2" s="359" t="str">
        <f aca="false">IF(EB.Name="","?",EB.Name)</f>
        <v>Christopher Gwilliams</v>
      </c>
      <c r="F2" s="359"/>
      <c r="G2" s="359"/>
      <c r="H2" s="359"/>
      <c r="I2" s="359"/>
      <c r="J2" s="359"/>
      <c r="K2" s="360"/>
      <c r="L2" s="358" t="str">
        <f aca="false">Projektübersicht!M2</f>
        <v>ø FTE in %</v>
      </c>
      <c r="M2" s="358"/>
      <c r="N2" s="361" t="n">
        <f aca="false">EB.BG_Total</f>
        <v>100</v>
      </c>
      <c r="O2" s="360"/>
      <c r="P2" s="360"/>
      <c r="Q2" s="360"/>
      <c r="R2" s="362"/>
      <c r="S2" s="362"/>
      <c r="T2" s="360"/>
      <c r="U2" s="360"/>
      <c r="V2" s="360"/>
      <c r="W2" s="360"/>
      <c r="X2" s="360"/>
      <c r="Y2" s="360"/>
      <c r="Z2" s="360"/>
      <c r="AA2" s="360"/>
      <c r="AB2" s="360"/>
      <c r="AC2" s="360"/>
      <c r="AD2" s="360"/>
      <c r="AE2" s="360"/>
      <c r="AF2" s="360"/>
      <c r="AG2" s="360"/>
      <c r="AH2" s="360"/>
    </row>
    <row r="3" s="355" customFormat="true" ht="15" hidden="false" customHeight="true" outlineLevel="0" collapsed="false">
      <c r="A3" s="360"/>
      <c r="B3" s="358" t="str">
        <f aca="false">Eingabeblatt!H2</f>
        <v>Function</v>
      </c>
      <c r="C3" s="358"/>
      <c r="D3" s="358"/>
      <c r="E3" s="363" t="str">
        <f aca="false">EB.Funktion</f>
        <v>Description of Function</v>
      </c>
      <c r="F3" s="363"/>
      <c r="G3" s="363"/>
      <c r="H3" s="363"/>
      <c r="I3" s="363"/>
      <c r="J3" s="363"/>
      <c r="K3" s="360"/>
      <c r="L3" s="360"/>
      <c r="M3" s="360"/>
      <c r="N3" s="360"/>
      <c r="O3" s="360"/>
      <c r="P3" s="360"/>
      <c r="Q3" s="360"/>
      <c r="R3" s="360"/>
      <c r="S3" s="360"/>
      <c r="T3" s="360"/>
      <c r="U3" s="360"/>
      <c r="V3" s="360"/>
      <c r="W3" s="360"/>
      <c r="X3" s="360"/>
      <c r="Y3" s="360"/>
      <c r="Z3" s="360"/>
      <c r="AA3" s="360"/>
      <c r="AB3" s="360"/>
      <c r="AC3" s="360"/>
      <c r="AD3" s="360"/>
      <c r="AE3" s="360"/>
      <c r="AF3" s="360"/>
      <c r="AG3" s="360"/>
      <c r="AH3" s="360"/>
    </row>
    <row r="4" s="355" customFormat="true" ht="15" hidden="false" customHeight="true" outlineLevel="0" collapsed="false">
      <c r="A4" s="360"/>
      <c r="B4" s="358" t="str">
        <f aca="false">Eingabeblatt!H3</f>
        <v>Institute/Department</v>
      </c>
      <c r="C4" s="358"/>
      <c r="D4" s="358"/>
      <c r="E4" s="363" t="str">
        <f aca="false">EB.Institut</f>
        <v>Institute/Department Name</v>
      </c>
      <c r="F4" s="363"/>
      <c r="G4" s="363"/>
      <c r="H4" s="363"/>
      <c r="I4" s="363"/>
      <c r="J4" s="363"/>
      <c r="K4" s="360"/>
      <c r="L4" s="360"/>
      <c r="M4" s="360"/>
      <c r="N4" s="360"/>
      <c r="O4" s="360"/>
      <c r="P4" s="360"/>
      <c r="Q4" s="360"/>
      <c r="R4" s="360"/>
      <c r="S4" s="360"/>
      <c r="T4" s="360"/>
      <c r="U4" s="360"/>
      <c r="V4" s="360"/>
      <c r="W4" s="360"/>
      <c r="X4" s="360"/>
      <c r="Y4" s="360"/>
      <c r="Z4" s="360"/>
      <c r="AA4" s="360"/>
      <c r="AB4" s="360"/>
      <c r="AC4" s="360"/>
      <c r="AD4" s="360"/>
      <c r="AE4" s="360"/>
      <c r="AF4" s="360"/>
      <c r="AG4" s="360"/>
      <c r="AH4" s="360"/>
    </row>
    <row r="5" s="355" customFormat="true" ht="15" hidden="false" customHeight="true" outlineLevel="0" collapsed="false">
      <c r="A5" s="360"/>
      <c r="B5" s="358" t="str">
        <f aca="false">Eingabeblatt!A5</f>
        <v>Employee Number</v>
      </c>
      <c r="C5" s="358"/>
      <c r="D5" s="358"/>
      <c r="E5" s="363" t="str">
        <f aca="false">IF(EB.Personalnummer="","?",EB.Personalnummer)</f>
        <v>?</v>
      </c>
      <c r="F5" s="363"/>
      <c r="G5" s="363"/>
      <c r="H5" s="363"/>
      <c r="I5" s="363"/>
      <c r="J5" s="363"/>
      <c r="K5" s="360"/>
      <c r="L5" s="360"/>
      <c r="M5" s="360"/>
      <c r="N5" s="360"/>
      <c r="O5" s="360"/>
      <c r="P5" s="360"/>
      <c r="Q5" s="360"/>
      <c r="R5" s="360"/>
      <c r="S5" s="360"/>
      <c r="T5" s="360"/>
      <c r="U5" s="360"/>
      <c r="V5" s="360"/>
      <c r="W5" s="360"/>
      <c r="X5" s="360"/>
      <c r="Y5" s="360"/>
      <c r="Z5" s="360"/>
      <c r="AA5" s="360"/>
      <c r="AB5" s="360"/>
      <c r="AC5" s="360"/>
      <c r="AD5" s="360"/>
      <c r="AE5" s="360"/>
      <c r="AF5" s="360"/>
      <c r="AG5" s="360"/>
      <c r="AH5" s="360"/>
    </row>
    <row r="6" s="355" customFormat="true" ht="15" hidden="false" customHeight="true" outlineLevel="0" collapsed="false">
      <c r="A6" s="360"/>
      <c r="B6" s="358" t="str">
        <f aca="false">Eingabeblatt!H4</f>
        <v>Faculty</v>
      </c>
      <c r="C6" s="358"/>
      <c r="D6" s="358"/>
      <c r="E6" s="363" t="str">
        <f aca="false">EB.Fakultaet</f>
        <v>Select Faculty</v>
      </c>
      <c r="F6" s="363"/>
      <c r="G6" s="363"/>
      <c r="H6" s="363"/>
      <c r="I6" s="363"/>
      <c r="J6" s="363"/>
      <c r="K6" s="360"/>
      <c r="L6" s="360"/>
      <c r="M6" s="360"/>
      <c r="N6" s="360"/>
      <c r="O6" s="360"/>
      <c r="P6" s="360"/>
      <c r="Q6" s="360"/>
      <c r="R6" s="360"/>
      <c r="S6" s="360"/>
      <c r="T6" s="360"/>
      <c r="U6" s="360"/>
      <c r="V6" s="360"/>
      <c r="W6" s="360"/>
      <c r="X6" s="360"/>
      <c r="Y6" s="360"/>
      <c r="Z6" s="360"/>
      <c r="AA6" s="360"/>
      <c r="AB6" s="360"/>
      <c r="AC6" s="360"/>
      <c r="AD6" s="360"/>
      <c r="AE6" s="360"/>
      <c r="AF6" s="360"/>
      <c r="AG6" s="360"/>
      <c r="AH6" s="360"/>
    </row>
    <row r="7" s="355" customFormat="true" ht="15" hidden="false" customHeight="true" outlineLevel="0" collapsed="false">
      <c r="A7" s="360"/>
      <c r="B7" s="358" t="str">
        <f aca="false">Eingabeblatt!H5</f>
        <v>Employee Category</v>
      </c>
      <c r="C7" s="358"/>
      <c r="D7" s="358"/>
      <c r="E7" s="363" t="str">
        <f aca="false">EB.Personalkategorie</f>
        <v>Select Employee Category</v>
      </c>
      <c r="F7" s="363"/>
      <c r="G7" s="363"/>
      <c r="H7" s="363"/>
      <c r="I7" s="363"/>
      <c r="J7" s="363"/>
      <c r="K7" s="360"/>
      <c r="L7" s="360"/>
      <c r="M7" s="360"/>
      <c r="N7" s="360"/>
      <c r="O7" s="360"/>
      <c r="P7" s="360"/>
      <c r="Q7" s="360"/>
      <c r="R7" s="360"/>
      <c r="S7" s="360"/>
      <c r="T7" s="360"/>
      <c r="U7" s="360"/>
      <c r="V7" s="360"/>
      <c r="W7" s="360"/>
      <c r="X7" s="360"/>
      <c r="Y7" s="360"/>
      <c r="Z7" s="360"/>
      <c r="AA7" s="360"/>
      <c r="AB7" s="360"/>
      <c r="AC7" s="360"/>
      <c r="AD7" s="360"/>
      <c r="AE7" s="360"/>
      <c r="AF7" s="360"/>
      <c r="AG7" s="360"/>
      <c r="AH7" s="360"/>
      <c r="AR7" s="364"/>
    </row>
    <row r="8" s="367" customFormat="true" ht="11.25" hidden="false" customHeight="true" outlineLevel="0" collapsed="false">
      <c r="A8" s="365"/>
      <c r="B8" s="365" t="str">
        <f aca="true">IFERROR(MATCH(3,OFFSET(EB.Projektart.Knoten,1,0,EB.AnzProjekte,1),0),"")</f>
        <v/>
      </c>
      <c r="C8" s="365"/>
      <c r="D8" s="365" t="str">
        <f aca="true">IF(B8="","",IFERROR(MATCH(3,OFFSET(EB.Projektart.Knoten,1+B8,0,(EB.AnzProjekte-B8),1),0)+B8,""))</f>
        <v/>
      </c>
      <c r="E8" s="365"/>
      <c r="F8" s="365" t="str">
        <f aca="true">IF(D8="","",IFERROR(MATCH(3,OFFSET(EB.Projektart.Knoten,1+D8,0,(EB.AnzProjekte-D8),1),0)+D8,""))</f>
        <v/>
      </c>
      <c r="G8" s="365"/>
      <c r="H8" s="365" t="str">
        <f aca="true">IF(F8="","",IFERROR(MATCH(3,OFFSET(EB.Projektart.Knoten,1+F8,0,(EB.AnzProjekte-F8),1),0)+F8,""))</f>
        <v/>
      </c>
      <c r="I8" s="365"/>
      <c r="J8" s="365" t="str">
        <f aca="true">IF(H8="","",IFERROR(MATCH(3,OFFSET(EB.Projektart.Knoten,1+H8,0,(EB.AnzProjekte-H8),1),0)+H8,""))</f>
        <v/>
      </c>
      <c r="K8" s="365"/>
      <c r="L8" s="365" t="str">
        <f aca="true">IF(J8="","",IFERROR(MATCH(3,OFFSET(EB.Projektart.Knoten,1+J8,0,(EB.AnzProjekte-J8),1),0)+J8,""))</f>
        <v/>
      </c>
      <c r="M8" s="365"/>
      <c r="N8" s="365" t="str">
        <f aca="true">IF(L8="","",IFERROR(MATCH(3,OFFSET(EB.Projektart.Knoten,1+L8,0,(EB.AnzProjekte-L8),1),0)+L8,""))</f>
        <v/>
      </c>
      <c r="O8" s="365"/>
      <c r="P8" s="365" t="str">
        <f aca="true">IF(N8="","",IFERROR(MATCH(3,OFFSET(EB.Projektart.Knoten,1+N8,0,(EB.AnzProjekte-N8),1),0)+N8,""))</f>
        <v/>
      </c>
      <c r="Q8" s="365"/>
      <c r="R8" s="365" t="str">
        <f aca="true">IF(P8="","",IFERROR(MATCH(3,OFFSET(EB.Projektart.Knoten,1+P8,0,(EB.AnzProjekte-P8),1),0)+P8,""))</f>
        <v/>
      </c>
      <c r="S8" s="365"/>
      <c r="T8" s="365" t="str">
        <f aca="true">IF(R8="","",IFERROR(MATCH(3,OFFSET(EB.Projektart.Knoten,1+R8,0,(EB.AnzProjekte-R8),1),0)+R8,""))</f>
        <v/>
      </c>
      <c r="U8" s="365"/>
      <c r="V8" s="365" t="str">
        <f aca="true">IF(T8="","",IFERROR(MATCH(3,OFFSET(EB.Projektart.Knoten,1+T8,0,(EB.AnzProjekte-T8),1),0)+T8,""))</f>
        <v/>
      </c>
      <c r="W8" s="365"/>
      <c r="X8" s="365" t="str">
        <f aca="true">IF(V8="","",IFERROR(MATCH(3,OFFSET(EB.Projektart.Knoten,1+V8,0,(EB.AnzProjekte-V8),1),0)+V8,""))</f>
        <v/>
      </c>
      <c r="Y8" s="365"/>
      <c r="Z8" s="365" t="str">
        <f aca="true">IF(X8="","",IFERROR(MATCH(3,OFFSET(EB.Projektart.Knoten,1+X8,0,(EB.AnzProjekte-X8),1),0)+X8,""))</f>
        <v/>
      </c>
      <c r="AA8" s="365"/>
      <c r="AB8" s="365" t="str">
        <f aca="true">IF(Z8="","",IFERROR(MATCH(3,OFFSET(EB.Projektart.Knoten,1+Z8,0,(EB.AnzProjekte-Z8),1),0)+Z8,""))</f>
        <v/>
      </c>
      <c r="AC8" s="365"/>
      <c r="AD8" s="365" t="str">
        <f aca="true">IF(AB8="","",IFERROR(MATCH(3,OFFSET(EB.Projektart.Knoten,1+AB8,0,(EB.AnzProjekte-AB8),1),0)+AB8,""))</f>
        <v/>
      </c>
      <c r="AE8" s="365"/>
      <c r="AF8" s="366"/>
      <c r="AG8" s="366"/>
      <c r="AH8" s="365"/>
    </row>
    <row r="9" s="374" customFormat="true" ht="180.75" hidden="false" customHeight="true" outlineLevel="0" collapsed="false">
      <c r="A9" s="368"/>
      <c r="B9" s="369" t="str">
        <f aca="true">IF(B8="","",INDEX(EB.Projekte.Bereich,B8))</f>
        <v/>
      </c>
      <c r="C9" s="370" t="s">
        <v>208</v>
      </c>
      <c r="D9" s="369" t="str">
        <f aca="true">IF(D8="","",INDEX(EB.Projekte.Bereich,D8))</f>
        <v/>
      </c>
      <c r="E9" s="370" t="str">
        <f aca="false">$C9</f>
        <v>+/- required/actual monthly</v>
      </c>
      <c r="F9" s="369" t="str">
        <f aca="true">IF(F8="","",INDEX(EB.Projekte.Bereich,F8))</f>
        <v/>
      </c>
      <c r="G9" s="370" t="str">
        <f aca="false">$C9</f>
        <v>+/- required/actual monthly</v>
      </c>
      <c r="H9" s="369" t="str">
        <f aca="true">IF(H8="","",INDEX(EB.Projekte.Bereich,H8))</f>
        <v/>
      </c>
      <c r="I9" s="370" t="str">
        <f aca="false">$C9</f>
        <v>+/- required/actual monthly</v>
      </c>
      <c r="J9" s="369" t="str">
        <f aca="true">IF(J8="","",INDEX(EB.Projekte.Bereich,J8))</f>
        <v/>
      </c>
      <c r="K9" s="370" t="str">
        <f aca="false">$C9</f>
        <v>+/- required/actual monthly</v>
      </c>
      <c r="L9" s="371" t="str">
        <f aca="true">IF(L8="","",INDEX(EB.Projekte.Bereich,L8))</f>
        <v/>
      </c>
      <c r="M9" s="370" t="str">
        <f aca="false">$C9</f>
        <v>+/- required/actual monthly</v>
      </c>
      <c r="N9" s="369" t="str">
        <f aca="true">IF(N8="","",INDEX(EB.Projekte.Bereich,N8))</f>
        <v/>
      </c>
      <c r="O9" s="370" t="str">
        <f aca="false">$C9</f>
        <v>+/- required/actual monthly</v>
      </c>
      <c r="P9" s="369" t="str">
        <f aca="true">IF(P8="","",INDEX(EB.Projekte.Bereich,P8))</f>
        <v/>
      </c>
      <c r="Q9" s="370" t="str">
        <f aca="false">$C9</f>
        <v>+/- required/actual monthly</v>
      </c>
      <c r="R9" s="369" t="str">
        <f aca="true">IF(R8="","",INDEX(EB.Projekte.Bereich,R8))</f>
        <v/>
      </c>
      <c r="S9" s="370" t="str">
        <f aca="false">$C9</f>
        <v>+/- required/actual monthly</v>
      </c>
      <c r="T9" s="369" t="str">
        <f aca="true">IF(T8="","",INDEX(EB.Projekte.Bereich,T8))</f>
        <v/>
      </c>
      <c r="U9" s="370" t="str">
        <f aca="false">$C9</f>
        <v>+/- required/actual monthly</v>
      </c>
      <c r="V9" s="369" t="str">
        <f aca="true">IF(V8="","",INDEX(EB.Projekte.Bereich,V8))</f>
        <v/>
      </c>
      <c r="W9" s="370" t="str">
        <f aca="false">$C9</f>
        <v>+/- required/actual monthly</v>
      </c>
      <c r="X9" s="369" t="str">
        <f aca="true">IF(X8="","",INDEX(EB.Projekte.Bereich,X8))</f>
        <v/>
      </c>
      <c r="Y9" s="370" t="str">
        <f aca="false">$C9</f>
        <v>+/- required/actual monthly</v>
      </c>
      <c r="Z9" s="369" t="str">
        <f aca="true">IF(Z8="","",INDEX(EB.Projekte.Bereich,Z8))</f>
        <v/>
      </c>
      <c r="AA9" s="370" t="str">
        <f aca="false">$C9</f>
        <v>+/- required/actual monthly</v>
      </c>
      <c r="AB9" s="369" t="str">
        <f aca="true">IF(AB8="","",INDEX(EB.Projekte.Bereich,AB8))</f>
        <v/>
      </c>
      <c r="AC9" s="370" t="str">
        <f aca="false">$C9</f>
        <v>+/- required/actual monthly</v>
      </c>
      <c r="AD9" s="369" t="str">
        <f aca="true">IF(AD8="","",INDEX(EB.Projekte.Bereich,AD8))</f>
        <v/>
      </c>
      <c r="AE9" s="370" t="str">
        <f aca="false">$C9</f>
        <v>+/- required/actual monthly</v>
      </c>
      <c r="AF9" s="372"/>
      <c r="AG9" s="373" t="str">
        <f aca="false">Projektübersicht!R9</f>
        <v>Monthly/Yearly Project Workload</v>
      </c>
      <c r="AH9" s="360"/>
      <c r="AI9" s="355"/>
      <c r="AJ9" s="355"/>
      <c r="AK9" s="355"/>
      <c r="AL9" s="355"/>
      <c r="AM9" s="355"/>
      <c r="AN9" s="355"/>
      <c r="AO9" s="355"/>
      <c r="AP9" s="355"/>
    </row>
    <row r="10" s="374" customFormat="true" ht="11.25" hidden="false" customHeight="true" outlineLevel="0" collapsed="false">
      <c r="A10" s="368"/>
      <c r="B10" s="375"/>
      <c r="C10" s="375"/>
      <c r="D10" s="375"/>
      <c r="E10" s="375"/>
      <c r="F10" s="375"/>
      <c r="G10" s="375"/>
      <c r="H10" s="375"/>
      <c r="I10" s="375"/>
      <c r="J10" s="375"/>
      <c r="K10" s="375"/>
      <c r="L10" s="375"/>
      <c r="M10" s="375"/>
      <c r="N10" s="375"/>
      <c r="O10" s="375"/>
      <c r="P10" s="375"/>
      <c r="Q10" s="375"/>
      <c r="R10" s="375"/>
      <c r="S10" s="375"/>
      <c r="T10" s="375"/>
      <c r="U10" s="375"/>
      <c r="V10" s="375"/>
      <c r="W10" s="375"/>
      <c r="X10" s="375"/>
      <c r="Y10" s="375"/>
      <c r="Z10" s="375"/>
      <c r="AA10" s="375"/>
      <c r="AB10" s="375"/>
      <c r="AC10" s="375"/>
      <c r="AD10" s="375"/>
      <c r="AE10" s="375"/>
      <c r="AF10" s="360"/>
      <c r="AG10" s="376"/>
      <c r="AH10" s="360"/>
      <c r="AI10" s="355"/>
      <c r="AJ10" s="355"/>
      <c r="AK10" s="355"/>
    </row>
    <row r="11" s="355" customFormat="true" ht="15" hidden="false" customHeight="true" outlineLevel="0" collapsed="false">
      <c r="A11" s="377" t="str">
        <f aca="false">Eingabeblatt!J30</f>
        <v>PSP Element no.</v>
      </c>
      <c r="B11" s="378" t="str">
        <f aca="true">IF(B$9="","",IFERROR(INDEX(EB.Projekte.ganzerBereich,B$8,3),0))</f>
        <v/>
      </c>
      <c r="C11" s="379"/>
      <c r="D11" s="378" t="str">
        <f aca="true">IF(D$9="","",IFERROR(INDEX(EB.Projekte.ganzerBereich,D$8,3),0))</f>
        <v/>
      </c>
      <c r="E11" s="379"/>
      <c r="F11" s="378" t="str">
        <f aca="true">IF(F$9="","",IFERROR(INDEX(EB.Projekte.ganzerBereich,F$8,3),0))</f>
        <v/>
      </c>
      <c r="G11" s="379"/>
      <c r="H11" s="378" t="str">
        <f aca="true">IF(H$9="","",IFERROR(INDEX(EB.Projekte.ganzerBereich,H$8,3),0))</f>
        <v/>
      </c>
      <c r="I11" s="379"/>
      <c r="J11" s="378" t="str">
        <f aca="true">IF(J$9="","",IFERROR(INDEX(EB.Projekte.ganzerBereich,J$8,3),0))</f>
        <v/>
      </c>
      <c r="K11" s="379"/>
      <c r="L11" s="378" t="str">
        <f aca="true">IF(L$9="","",IFERROR(INDEX(EB.Projekte.ganzerBereich,L$8,3),0))</f>
        <v/>
      </c>
      <c r="M11" s="379"/>
      <c r="N11" s="378" t="str">
        <f aca="true">IF(N$9="","",IFERROR(INDEX(EB.Projekte.ganzerBereich,N$8,3),0))</f>
        <v/>
      </c>
      <c r="O11" s="379"/>
      <c r="P11" s="378" t="str">
        <f aca="true">IF(P$9="","",IFERROR(INDEX(EB.Projekte.ganzerBereich,P$8,3),0))</f>
        <v/>
      </c>
      <c r="Q11" s="379"/>
      <c r="R11" s="378" t="str">
        <f aca="true">IF(R$9="","",IFERROR(INDEX(EB.Projekte.ganzerBereich,R$8,3),0))</f>
        <v/>
      </c>
      <c r="S11" s="379"/>
      <c r="T11" s="378" t="str">
        <f aca="true">IF(T$9="","",IFERROR(INDEX(EB.Projekte.ganzerBereich,T$8,3),0))</f>
        <v/>
      </c>
      <c r="U11" s="379"/>
      <c r="V11" s="378" t="str">
        <f aca="true">IF(V$9="","",IFERROR(INDEX(EB.Projekte.ganzerBereich,V$8,3),0))</f>
        <v/>
      </c>
      <c r="W11" s="379"/>
      <c r="X11" s="378" t="str">
        <f aca="true">IF(X$9="","",IFERROR(INDEX(EB.Projekte.ganzerBereich,X$8,3),0))</f>
        <v/>
      </c>
      <c r="Y11" s="379"/>
      <c r="Z11" s="378" t="str">
        <f aca="true">IF(Z$9="","",IFERROR(INDEX(EB.Projekte.ganzerBereich,Z$8,3),0))</f>
        <v/>
      </c>
      <c r="AA11" s="379"/>
      <c r="AB11" s="378" t="str">
        <f aca="true">IF(AB$9="","",IFERROR(INDEX(EB.Projekte.ganzerBereich,AB$8,3),0))</f>
        <v/>
      </c>
      <c r="AC11" s="379"/>
      <c r="AD11" s="378" t="str">
        <f aca="true">IF(AD$9="","",IFERROR(INDEX(EB.Projekte.ganzerBereich,AD$8,3),0))</f>
        <v/>
      </c>
      <c r="AE11" s="379"/>
      <c r="AF11" s="360"/>
      <c r="AG11" s="376"/>
      <c r="AH11" s="360"/>
    </row>
    <row r="12" s="355" customFormat="true" ht="15" hidden="false" customHeight="true" outlineLevel="0" collapsed="false">
      <c r="A12" s="377" t="str">
        <f aca="false">Eingabeblatt!K30</f>
        <v>Contract number</v>
      </c>
      <c r="B12" s="378" t="str">
        <f aca="true">IF(B$9="","",IFERROR(INDEX(EB.Projekte.ganzerBereich,B$8,4),0))</f>
        <v/>
      </c>
      <c r="C12" s="379"/>
      <c r="D12" s="378" t="str">
        <f aca="true">IF(D$9="","",IFERROR(INDEX(EB.Projekte.ganzerBereich,D$8,4),0))</f>
        <v/>
      </c>
      <c r="E12" s="379"/>
      <c r="F12" s="378" t="str">
        <f aca="true">IF(F$9="","",IFERROR(INDEX(EB.Projekte.ganzerBereich,F$8,4),0))</f>
        <v/>
      </c>
      <c r="G12" s="379"/>
      <c r="H12" s="378" t="str">
        <f aca="true">IF(H$9="","",IFERROR(INDEX(EB.Projekte.ganzerBereich,H$8,4),0))</f>
        <v/>
      </c>
      <c r="I12" s="379"/>
      <c r="J12" s="378" t="str">
        <f aca="true">IF(J$9="","",IFERROR(INDEX(EB.Projekte.ganzerBereich,J$8,4),0))</f>
        <v/>
      </c>
      <c r="K12" s="379"/>
      <c r="L12" s="378" t="str">
        <f aca="true">IF(L$9="","",IFERROR(INDEX(EB.Projekte.ganzerBereich,L$8,4),0))</f>
        <v/>
      </c>
      <c r="M12" s="379"/>
      <c r="N12" s="378" t="str">
        <f aca="true">IF(N$9="","",IFERROR(INDEX(EB.Projekte.ganzerBereich,N$8,4),0))</f>
        <v/>
      </c>
      <c r="O12" s="379"/>
      <c r="P12" s="378" t="str">
        <f aca="true">IF(P$9="","",IFERROR(INDEX(EB.Projekte.ganzerBereich,P$8,4),0))</f>
        <v/>
      </c>
      <c r="Q12" s="379"/>
      <c r="R12" s="378" t="str">
        <f aca="true">IF(R$9="","",IFERROR(INDEX(EB.Projekte.ganzerBereich,R$8,4),0))</f>
        <v/>
      </c>
      <c r="S12" s="379"/>
      <c r="T12" s="378" t="str">
        <f aca="true">IF(T$9="","",IFERROR(INDEX(EB.Projekte.ganzerBereich,T$8,4),0))</f>
        <v/>
      </c>
      <c r="U12" s="379"/>
      <c r="V12" s="378" t="str">
        <f aca="true">IF(V$9="","",IFERROR(INDEX(EB.Projekte.ganzerBereich,V$8,4),0))</f>
        <v/>
      </c>
      <c r="W12" s="379"/>
      <c r="X12" s="378" t="str">
        <f aca="true">IF(X$9="","",IFERROR(INDEX(EB.Projekte.ganzerBereich,X$8,4),0))</f>
        <v/>
      </c>
      <c r="Y12" s="379"/>
      <c r="Z12" s="378" t="str">
        <f aca="true">IF(Z$9="","",IFERROR(INDEX(EB.Projekte.ganzerBereich,Z$8,4),0))</f>
        <v/>
      </c>
      <c r="AA12" s="379"/>
      <c r="AB12" s="378" t="str">
        <f aca="true">IF(AB$9="","",IFERROR(INDEX(EB.Projekte.ganzerBereich,AB$8,4),0))</f>
        <v/>
      </c>
      <c r="AC12" s="379"/>
      <c r="AD12" s="378" t="str">
        <f aca="true">IF(AD$9="","",IFERROR(INDEX(EB.Projekte.ganzerBereich,AD$8,4),0))</f>
        <v/>
      </c>
      <c r="AE12" s="379"/>
      <c r="AF12" s="360"/>
      <c r="AG12" s="376"/>
      <c r="AH12" s="360"/>
    </row>
    <row r="13" s="355" customFormat="true" ht="15" hidden="false" customHeight="true" outlineLevel="0" collapsed="false">
      <c r="A13" s="377" t="str">
        <f aca="false">Eingabeblatt!L30</f>
        <v>Project head</v>
      </c>
      <c r="B13" s="378" t="str">
        <f aca="true">IF(B$9="","",IFERROR(INDEX(EB.Projekte.ganzerBereich,B$8,5),0))</f>
        <v/>
      </c>
      <c r="C13" s="379"/>
      <c r="D13" s="378" t="str">
        <f aca="true">IF(D$9="","",IFERROR(INDEX(EB.Projekte.ganzerBereich,D$8,5),0))</f>
        <v/>
      </c>
      <c r="E13" s="379"/>
      <c r="F13" s="378" t="str">
        <f aca="true">IF(F$9="","",IFERROR(INDEX(EB.Projekte.ganzerBereich,F$8,5),0))</f>
        <v/>
      </c>
      <c r="G13" s="379"/>
      <c r="H13" s="378" t="str">
        <f aca="true">IF(H$9="","",IFERROR(INDEX(EB.Projekte.ganzerBereich,H$8,5),0))</f>
        <v/>
      </c>
      <c r="I13" s="379"/>
      <c r="J13" s="378" t="str">
        <f aca="true">IF(J$9="","",IFERROR(INDEX(EB.Projekte.ganzerBereich,J$8,5),0))</f>
        <v/>
      </c>
      <c r="K13" s="379"/>
      <c r="L13" s="378" t="str">
        <f aca="true">IF(L$9="","",IFERROR(INDEX(EB.Projekte.ganzerBereich,L$8,5),0))</f>
        <v/>
      </c>
      <c r="M13" s="379"/>
      <c r="N13" s="378" t="str">
        <f aca="true">IF(N$9="","",IFERROR(INDEX(EB.Projekte.ganzerBereich,N$8,5),0))</f>
        <v/>
      </c>
      <c r="O13" s="379"/>
      <c r="P13" s="378" t="str">
        <f aca="true">IF(P$9="","",IFERROR(INDEX(EB.Projekte.ganzerBereich,P$8,5),0))</f>
        <v/>
      </c>
      <c r="Q13" s="379"/>
      <c r="R13" s="378" t="str">
        <f aca="true">IF(R$9="","",IFERROR(INDEX(EB.Projekte.ganzerBereich,R$8,5),0))</f>
        <v/>
      </c>
      <c r="S13" s="379"/>
      <c r="T13" s="378" t="str">
        <f aca="true">IF(T$9="","",IFERROR(INDEX(EB.Projekte.ganzerBereich,T$8,5),0))</f>
        <v/>
      </c>
      <c r="U13" s="379"/>
      <c r="V13" s="378" t="str">
        <f aca="true">IF(V$9="","",IFERROR(INDEX(EB.Projekte.ganzerBereich,V$8,5),0))</f>
        <v/>
      </c>
      <c r="W13" s="379"/>
      <c r="X13" s="378" t="str">
        <f aca="true">IF(X$9="","",IFERROR(INDEX(EB.Projekte.ganzerBereich,X$8,5),0))</f>
        <v/>
      </c>
      <c r="Y13" s="379"/>
      <c r="Z13" s="378" t="str">
        <f aca="true">IF(Z$9="","",IFERROR(INDEX(EB.Projekte.ganzerBereich,Z$8,5),0))</f>
        <v/>
      </c>
      <c r="AA13" s="379"/>
      <c r="AB13" s="378" t="str">
        <f aca="true">IF(AB$9="","",IFERROR(INDEX(EB.Projekte.ganzerBereich,AB$8,5),0))</f>
        <v/>
      </c>
      <c r="AC13" s="379"/>
      <c r="AD13" s="378" t="str">
        <f aca="true">IF(AD$9="","",IFERROR(INDEX(EB.Projekte.ganzerBereich,AD$8,5),0))</f>
        <v/>
      </c>
      <c r="AE13" s="379"/>
      <c r="AF13" s="360"/>
      <c r="AG13" s="376"/>
      <c r="AH13" s="360"/>
    </row>
    <row r="14" s="355" customFormat="true" ht="15" hidden="false" customHeight="true" outlineLevel="0" collapsed="false">
      <c r="A14" s="377" t="str">
        <f aca="false">Eingabeblatt!M30</f>
        <v>FTE acc. to employment contract</v>
      </c>
      <c r="B14" s="380" t="str">
        <f aca="true">IF(B$9="","",IFERROR(INDEX(EB.Projekte.ganzerBereich,B$8,6),0))</f>
        <v/>
      </c>
      <c r="C14" s="379"/>
      <c r="D14" s="380" t="str">
        <f aca="true">IF(D$9="","",IFERROR(INDEX(EB.Projekte.ganzerBereich,D$8,6),0))</f>
        <v/>
      </c>
      <c r="E14" s="379"/>
      <c r="F14" s="380" t="str">
        <f aca="true">IF(F$9="","",IFERROR(INDEX(EB.Projekte.ganzerBereich,F$8,6),0))</f>
        <v/>
      </c>
      <c r="G14" s="379"/>
      <c r="H14" s="380" t="str">
        <f aca="true">IF(H$9="","",IFERROR(INDEX(EB.Projekte.ganzerBereich,H$8,6),0))</f>
        <v/>
      </c>
      <c r="I14" s="379"/>
      <c r="J14" s="380" t="str">
        <f aca="true">IF(J$9="","",IFERROR(INDEX(EB.Projekte.ganzerBereich,J$8,6),0))</f>
        <v/>
      </c>
      <c r="K14" s="379"/>
      <c r="L14" s="380" t="str">
        <f aca="true">IF(L$9="","",IFERROR(INDEX(EB.Projekte.ganzerBereich,L$8,6),0))</f>
        <v/>
      </c>
      <c r="M14" s="379"/>
      <c r="N14" s="380" t="str">
        <f aca="true">IF(N$9="","",IFERROR(INDEX(EB.Projekte.ganzerBereich,N$8,6),0))</f>
        <v/>
      </c>
      <c r="O14" s="379"/>
      <c r="P14" s="380" t="str">
        <f aca="true">IF(P$9="","",IFERROR(INDEX(EB.Projekte.ganzerBereich,P$8,6),0))</f>
        <v/>
      </c>
      <c r="Q14" s="379"/>
      <c r="R14" s="380" t="str">
        <f aca="true">IF(R$9="","",IFERROR(INDEX(EB.Projekte.ganzerBereich,R$8,6),0))</f>
        <v/>
      </c>
      <c r="S14" s="379"/>
      <c r="T14" s="380" t="str">
        <f aca="true">IF(T$9="","",IFERROR(INDEX(EB.Projekte.ganzerBereich,T$8,6),0))</f>
        <v/>
      </c>
      <c r="U14" s="379"/>
      <c r="V14" s="380" t="str">
        <f aca="true">IF(V$9="","",IFERROR(INDEX(EB.Projekte.ganzerBereich,V$8,6),0))</f>
        <v/>
      </c>
      <c r="W14" s="379"/>
      <c r="X14" s="380" t="str">
        <f aca="true">IF(X$9="","",IFERROR(INDEX(EB.Projekte.ganzerBereich,X$8,6),0))</f>
        <v/>
      </c>
      <c r="Y14" s="379"/>
      <c r="Z14" s="380" t="str">
        <f aca="true">IF(Z$9="","",IFERROR(INDEX(EB.Projekte.ganzerBereich,Z$8,6),0))</f>
        <v/>
      </c>
      <c r="AA14" s="379"/>
      <c r="AB14" s="380" t="str">
        <f aca="true">IF(AB$9="","",IFERROR(INDEX(EB.Projekte.ganzerBereich,AB$8,6),0))</f>
        <v/>
      </c>
      <c r="AC14" s="379"/>
      <c r="AD14" s="380" t="str">
        <f aca="true">IF(AD$9="","",IFERROR(INDEX(EB.Projekte.ganzerBereich,AD$8,6),0))</f>
        <v/>
      </c>
      <c r="AE14" s="379"/>
      <c r="AF14" s="360"/>
      <c r="AG14" s="376"/>
      <c r="AH14" s="360"/>
    </row>
    <row r="15" s="355" customFormat="true" ht="15" hidden="false" customHeight="true" outlineLevel="0" collapsed="false">
      <c r="A15" s="377" t="s">
        <v>209</v>
      </c>
      <c r="B15" s="380" t="str">
        <f aca="false">IF(ISERROR(B14/B31*B30),"-     ",B14/B31*B30)</f>
        <v>-     </v>
      </c>
      <c r="C15" s="379"/>
      <c r="D15" s="380" t="str">
        <f aca="false">IF(ISERROR(D14/D31*D30),"-     ",D14/D31*D30)</f>
        <v>-     </v>
      </c>
      <c r="E15" s="379"/>
      <c r="F15" s="380" t="str">
        <f aca="false">IF(ISERROR(F14/F31*F30),"-     ",F14/F31*F30)</f>
        <v>-     </v>
      </c>
      <c r="G15" s="379"/>
      <c r="H15" s="380" t="str">
        <f aca="false">IF(ISERROR(H14/H31*H30),"-     ",H14/H31*H30)</f>
        <v>-     </v>
      </c>
      <c r="I15" s="379"/>
      <c r="J15" s="380" t="str">
        <f aca="false">IF(ISERROR(J14/J31*J30),"-     ",J14/J31*J30)</f>
        <v>-     </v>
      </c>
      <c r="K15" s="379"/>
      <c r="L15" s="380" t="str">
        <f aca="false">IF(ISERROR(L14/L31*L30),"-     ",L14/L31*L30)</f>
        <v>-     </v>
      </c>
      <c r="M15" s="379"/>
      <c r="N15" s="380" t="str">
        <f aca="false">IF(ISERROR(N14/N31*N30),"-     ",N14/N31*N30)</f>
        <v>-     </v>
      </c>
      <c r="O15" s="379"/>
      <c r="P15" s="380" t="str">
        <f aca="false">IF(ISERROR(P14/P31*P30),"-     ",P14/P31*P30)</f>
        <v>-     </v>
      </c>
      <c r="Q15" s="379"/>
      <c r="R15" s="380" t="str">
        <f aca="false">IF(ISERROR(R14/R31*R30),"-     ",R14/R31*R30)</f>
        <v>-     </v>
      </c>
      <c r="S15" s="379"/>
      <c r="T15" s="380" t="str">
        <f aca="false">IF(ISERROR(T14/T31*T30),"-     ",T14/T31*T30)</f>
        <v>-     </v>
      </c>
      <c r="U15" s="379"/>
      <c r="V15" s="380" t="str">
        <f aca="false">IF(ISERROR(V14/V31*V30),"-     ",V14/V31*V30)</f>
        <v>-     </v>
      </c>
      <c r="W15" s="379"/>
      <c r="X15" s="380" t="str">
        <f aca="false">IF(ISERROR(X14/X31*X30),"-     ",X14/X31*X30)</f>
        <v>-     </v>
      </c>
      <c r="Y15" s="379"/>
      <c r="Z15" s="380" t="str">
        <f aca="false">IF(ISERROR(Z14/Z31*Z30),"-     ",Z14/Z31*Z30)</f>
        <v>-     </v>
      </c>
      <c r="AA15" s="379"/>
      <c r="AB15" s="380" t="str">
        <f aca="false">IF(ISERROR(AB14/AB31*AB30),"-     ",AB14/AB31*AB30)</f>
        <v>-     </v>
      </c>
      <c r="AC15" s="379"/>
      <c r="AD15" s="380" t="str">
        <f aca="false">IF(ISERROR(AD14/AD31*AD30),"-     ",AD14/AD31*AD30)</f>
        <v>-     </v>
      </c>
      <c r="AE15" s="360"/>
      <c r="AF15" s="360"/>
      <c r="AG15" s="381"/>
      <c r="AH15" s="360"/>
    </row>
    <row r="16" s="355" customFormat="true" ht="11.25" hidden="false" customHeight="true" outlineLevel="0" collapsed="false">
      <c r="A16" s="379"/>
      <c r="B16" s="379"/>
      <c r="C16" s="379"/>
      <c r="D16" s="360"/>
      <c r="E16" s="379"/>
      <c r="F16" s="360"/>
      <c r="G16" s="360"/>
      <c r="H16" s="360"/>
      <c r="I16" s="360"/>
      <c r="J16" s="360"/>
      <c r="K16" s="360"/>
      <c r="L16" s="360"/>
      <c r="M16" s="360"/>
      <c r="N16" s="360"/>
      <c r="O16" s="360"/>
      <c r="P16" s="360"/>
      <c r="Q16" s="360"/>
      <c r="R16" s="360"/>
      <c r="S16" s="360"/>
      <c r="T16" s="360"/>
      <c r="U16" s="360"/>
      <c r="V16" s="360"/>
      <c r="W16" s="379"/>
      <c r="X16" s="360"/>
      <c r="Y16" s="360"/>
      <c r="Z16" s="360"/>
      <c r="AA16" s="360"/>
      <c r="AB16" s="360"/>
      <c r="AC16" s="360"/>
      <c r="AD16" s="360"/>
      <c r="AE16" s="360"/>
      <c r="AF16" s="360"/>
      <c r="AG16" s="360"/>
      <c r="AH16" s="360"/>
    </row>
    <row r="17" s="355" customFormat="true" ht="15" hidden="false" customHeight="true" outlineLevel="0" collapsed="false">
      <c r="A17" s="382" t="str">
        <f aca="false">INDEX(EB.Monate.Bereich,1,0)</f>
        <v>January</v>
      </c>
      <c r="B17" s="383" t="str">
        <f aca="false">IF(B$8="","",IF(EB.Anwendung&lt;&gt;"",IF(INDEX(January!Monat.ProjekteTotal.Bereich,B$8)&lt;=0,0,INDEX(January!Monat.ProjekteTotal.Bereich,B$8)),""))</f>
        <v/>
      </c>
      <c r="C17" s="384" t="str">
        <f aca="true">IF(OR(B17="",Eingabeblatt!$H13=0),"",B17-(T.ProdStunden.Bereich/100)*B$14/12)</f>
        <v/>
      </c>
      <c r="D17" s="383" t="str">
        <f aca="false">IF(D$8="","",IF(EB.Anwendung&lt;&gt;"",IF(INDEX(January!Monat.ProjekteTotal.Bereich,D$8)&lt;=0,0,INDEX(January!Monat.ProjekteTotal.Bereich,D$8)),""))</f>
        <v/>
      </c>
      <c r="E17" s="384" t="str">
        <f aca="true">IF(OR(D17="",Eingabeblatt!$H13=0),"",D17-(T.ProdStunden.Bereich/100)*D$14/12)</f>
        <v/>
      </c>
      <c r="F17" s="383" t="str">
        <f aca="false">IF(F$8="","",IF(EB.Anwendung&lt;&gt;"",IF(INDEX(January!Monat.ProjekteTotal.Bereich,F$8)&lt;=0,0,INDEX(January!Monat.ProjekteTotal.Bereich,F$8)),""))</f>
        <v/>
      </c>
      <c r="G17" s="384" t="str">
        <f aca="true">IF(OR(F17="",Eingabeblatt!$H13=0),"",F17-(T.ProdStunden.Bereich/100)*F$14/12)</f>
        <v/>
      </c>
      <c r="H17" s="383" t="str">
        <f aca="false">IF(H$8="","",IF(EB.Anwendung&lt;&gt;"",IF(INDEX(January!Monat.ProjekteTotal.Bereich,H$8)&lt;=0,0,INDEX(January!Monat.ProjekteTotal.Bereich,H$8)),""))</f>
        <v/>
      </c>
      <c r="I17" s="384" t="str">
        <f aca="true">IF(OR(H17="",Eingabeblatt!$H13=0),"",H17-(T.ProdStunden.Bereich/100)*H$14/12)</f>
        <v/>
      </c>
      <c r="J17" s="383" t="str">
        <f aca="false">IF(J$8="","",IF(EB.Anwendung&lt;&gt;"",IF(INDEX(January!Monat.ProjekteTotal.Bereich,J$8)&lt;=0,0,INDEX(January!Monat.ProjekteTotal.Bereich,J$8)),""))</f>
        <v/>
      </c>
      <c r="K17" s="384" t="str">
        <f aca="true">IF(OR(J17="",Eingabeblatt!$H13=0),"",J17-(T.ProdStunden.Bereich/100)*J$14/12)</f>
        <v/>
      </c>
      <c r="L17" s="383" t="str">
        <f aca="false">IF(L$8="","",IF(EB.Anwendung&lt;&gt;"",IF(INDEX(January!Monat.ProjekteTotal.Bereich,L$8)&lt;=0,0,INDEX(January!Monat.ProjekteTotal.Bereich,L$8)),""))</f>
        <v/>
      </c>
      <c r="M17" s="384" t="str">
        <f aca="true">IF(OR(L17="",Eingabeblatt!$H13=0),"",L17-(T.ProdStunden.Bereich/100)*L$14/12)</f>
        <v/>
      </c>
      <c r="N17" s="383" t="str">
        <f aca="false">IF(N$8="","",IF(EB.Anwendung&lt;&gt;"",IF(INDEX(January!Monat.ProjekteTotal.Bereich,N$8)&lt;=0,0,INDEX(January!Monat.ProjekteTotal.Bereich,N$8)),""))</f>
        <v/>
      </c>
      <c r="O17" s="384" t="str">
        <f aca="true">IF(OR(N17="",Eingabeblatt!$H13=0),"",N17-(T.ProdStunden.Bereich/100)*N$14/12)</f>
        <v/>
      </c>
      <c r="P17" s="383" t="str">
        <f aca="false">IF(P$8="","",IF(EB.Anwendung&lt;&gt;"",IF(INDEX(January!Monat.ProjekteTotal.Bereich,P$8)&lt;=0,0,INDEX(January!Monat.ProjekteTotal.Bereich,P$8)),""))</f>
        <v/>
      </c>
      <c r="Q17" s="384" t="str">
        <f aca="true">IF(OR(P17="",Eingabeblatt!$H13=0),"",P17-(T.ProdStunden.Bereich/100)*P$14/12)</f>
        <v/>
      </c>
      <c r="R17" s="383" t="str">
        <f aca="false">IF(R$8="","",IF(EB.Anwendung&lt;&gt;"",IF(INDEX(January!Monat.ProjekteTotal.Bereich,R$8)&lt;=0,0,INDEX(January!Monat.ProjekteTotal.Bereich,R$8)),""))</f>
        <v/>
      </c>
      <c r="S17" s="384" t="str">
        <f aca="true">IF(OR(R17="",Eingabeblatt!$H13=0),"",R17-(T.ProdStunden.Bereich/100)*R$14/12)</f>
        <v/>
      </c>
      <c r="T17" s="383" t="str">
        <f aca="false">IF(T$8="","",IF(EB.Anwendung&lt;&gt;"",IF(INDEX(January!Monat.ProjekteTotal.Bereich,T$8)&lt;=0,0,INDEX(January!Monat.ProjekteTotal.Bereich,T$8)),""))</f>
        <v/>
      </c>
      <c r="U17" s="384" t="str">
        <f aca="true">IF(OR(T17="",Eingabeblatt!$H13=0),"",T17-(T.ProdStunden.Bereich/100)*T$14/12)</f>
        <v/>
      </c>
      <c r="V17" s="383" t="str">
        <f aca="false">IF(V$8="","",IF(EB.Anwendung&lt;&gt;"",IF(INDEX(January!Monat.ProjekteTotal.Bereich,V$8)&lt;=0,0,INDEX(January!Monat.ProjekteTotal.Bereich,V$8)),""))</f>
        <v/>
      </c>
      <c r="W17" s="384" t="str">
        <f aca="true">IF(OR(V17="",Eingabeblatt!$H13=0),"",V17-(T.ProdStunden.Bereich/100)*V$14/12)</f>
        <v/>
      </c>
      <c r="X17" s="383" t="str">
        <f aca="false">IF(X$8="","",IF(EB.Anwendung&lt;&gt;"",IF(INDEX(January!Monat.ProjekteTotal.Bereich,X$8)&lt;=0,0,INDEX(January!Monat.ProjekteTotal.Bereich,X$8)),""))</f>
        <v/>
      </c>
      <c r="Y17" s="384" t="str">
        <f aca="true">IF(OR(X17="",Eingabeblatt!$H13=0),"",X17-(T.ProdStunden.Bereich/100)*X$14/12)</f>
        <v/>
      </c>
      <c r="Z17" s="383" t="str">
        <f aca="false">IF(Z$8="","",IF(EB.Anwendung&lt;&gt;"",IF(INDEX(January!Monat.ProjekteTotal.Bereich,Z$8)&lt;=0,0,INDEX(January!Monat.ProjekteTotal.Bereich,Z$8)),""))</f>
        <v/>
      </c>
      <c r="AA17" s="384" t="str">
        <f aca="true">IF(OR(Z17="",Eingabeblatt!$H13=0),"",Z17-(T.ProdStunden.Bereich/100)*Z$14/12)</f>
        <v/>
      </c>
      <c r="AB17" s="383" t="str">
        <f aca="false">IF(AB$8="","",IF(EB.Anwendung&lt;&gt;"",IF(INDEX(January!Monat.ProjekteTotal.Bereich,AB$8)&lt;=0,0,INDEX(January!Monat.ProjekteTotal.Bereich,AB$8)),""))</f>
        <v/>
      </c>
      <c r="AC17" s="384" t="str">
        <f aca="true">IF(OR(AB17="",Eingabeblatt!$H13=0),"",AB17-(T.ProdStunden.Bereich/100)*AB$14/12)</f>
        <v/>
      </c>
      <c r="AD17" s="383" t="str">
        <f aca="false">IF(AD$8="","",IF(EB.Anwendung&lt;&gt;"",IF(INDEX(January!Monat.ProjekteTotal.Bereich,AD$8)&lt;=0,0,INDEX(January!Monat.ProjekteTotal.Bereich,AD$8)),""))</f>
        <v/>
      </c>
      <c r="AE17" s="384" t="str">
        <f aca="true">IF(OR(AD17="",Eingabeblatt!$H13=0),"",AD17-(T.ProdStunden.Bereich/100)*AD$14/12)</f>
        <v/>
      </c>
      <c r="AF17" s="360"/>
      <c r="AG17" s="385" t="n">
        <f aca="false">SUM(B17,D17,F17,H17,J17,L17,N17,P17,R17,T17,V17,X17,Z17,AB17,AD17)</f>
        <v>0</v>
      </c>
      <c r="AH17" s="360"/>
    </row>
    <row r="18" s="355" customFormat="true" ht="15" hidden="false" customHeight="true" outlineLevel="0" collapsed="false">
      <c r="A18" s="382" t="str">
        <f aca="false">INDEX(EB.Monate.Bereich,2,0)</f>
        <v>February</v>
      </c>
      <c r="B18" s="383" t="str">
        <f aca="false">IF(B$8="","",IF(EB.Anwendung&lt;&gt;"",IF(INDEX(February!Monat.ProjekteTotal.Bereich,B$8)&lt;=0,0,INDEX(February!Monat.ProjekteTotal.Bereich,B$8)),""))</f>
        <v/>
      </c>
      <c r="C18" s="384" t="str">
        <f aca="true">IF(OR(B18="",Eingabeblatt!$H14=0),"",B18-(T.ProdStunden.Bereich/100)*B$14/12)</f>
        <v/>
      </c>
      <c r="D18" s="383" t="str">
        <f aca="false">IF(D$8="","",IF(EB.Anwendung&lt;&gt;"",IF(INDEX(February!Monat.ProjekteTotal.Bereich,D$8)&lt;=0,0,INDEX(February!Monat.ProjekteTotal.Bereich,D$8)),""))</f>
        <v/>
      </c>
      <c r="E18" s="384" t="str">
        <f aca="true">IF(OR(D18="",Eingabeblatt!$H14=0),"",D18-(T.ProdStunden.Bereich/100)*D$14/12)</f>
        <v/>
      </c>
      <c r="F18" s="383" t="str">
        <f aca="false">IF(F$8="","",IF(EB.Anwendung&lt;&gt;"",IF(INDEX(February!Monat.ProjekteTotal.Bereich,F$8)&lt;=0,0,INDEX(February!Monat.ProjekteTotal.Bereich,F$8)),""))</f>
        <v/>
      </c>
      <c r="G18" s="384" t="str">
        <f aca="true">IF(OR(F18="",Eingabeblatt!$H14=0),"",F18-(T.ProdStunden.Bereich/100)*F$14/12)</f>
        <v/>
      </c>
      <c r="H18" s="383" t="str">
        <f aca="false">IF(H$8="","",IF(EB.Anwendung&lt;&gt;"",IF(INDEX(February!Monat.ProjekteTotal.Bereich,H$8)&lt;=0,0,INDEX(February!Monat.ProjekteTotal.Bereich,H$8)),""))</f>
        <v/>
      </c>
      <c r="I18" s="384" t="str">
        <f aca="true">IF(OR(H18="",Eingabeblatt!$H14=0),"",H18-(T.ProdStunden.Bereich/100)*H$14/12)</f>
        <v/>
      </c>
      <c r="J18" s="383" t="str">
        <f aca="false">IF(J$8="","",IF(EB.Anwendung&lt;&gt;"",IF(INDEX(February!Monat.ProjekteTotal.Bereich,J$8)&lt;=0,0,INDEX(February!Monat.ProjekteTotal.Bereich,J$8)),""))</f>
        <v/>
      </c>
      <c r="K18" s="384" t="str">
        <f aca="true">IF(OR(J18="",Eingabeblatt!$H14=0),"",J18-(T.ProdStunden.Bereich/100)*J$14/12)</f>
        <v/>
      </c>
      <c r="L18" s="383" t="str">
        <f aca="false">IF(L$8="","",IF(EB.Anwendung&lt;&gt;"",IF(INDEX(February!Monat.ProjekteTotal.Bereich,L$8)&lt;=0,0,INDEX(February!Monat.ProjekteTotal.Bereich,L$8)),""))</f>
        <v/>
      </c>
      <c r="M18" s="384" t="str">
        <f aca="true">IF(OR(L18="",Eingabeblatt!$H14=0),"",L18-(T.ProdStunden.Bereich/100)*L$14/12)</f>
        <v/>
      </c>
      <c r="N18" s="383" t="str">
        <f aca="false">IF(N$8="","",IF(EB.Anwendung&lt;&gt;"",IF(INDEX(February!Monat.ProjekteTotal.Bereich,N$8)&lt;=0,0,INDEX(February!Monat.ProjekteTotal.Bereich,N$8)),""))</f>
        <v/>
      </c>
      <c r="O18" s="384" t="str">
        <f aca="true">IF(OR(N18="",Eingabeblatt!$H14=0),"",N18-(T.ProdStunden.Bereich/100)*N$14/12)</f>
        <v/>
      </c>
      <c r="P18" s="383" t="str">
        <f aca="false">IF(P$8="","",IF(EB.Anwendung&lt;&gt;"",IF(INDEX(February!Monat.ProjekteTotal.Bereich,P$8)&lt;=0,0,INDEX(February!Monat.ProjekteTotal.Bereich,P$8)),""))</f>
        <v/>
      </c>
      <c r="Q18" s="384" t="str">
        <f aca="true">IF(OR(P18="",Eingabeblatt!$H14=0),"",P18-(T.ProdStunden.Bereich/100)*P$14/12)</f>
        <v/>
      </c>
      <c r="R18" s="383" t="str">
        <f aca="false">IF(R$8="","",IF(EB.Anwendung&lt;&gt;"",IF(INDEX(February!Monat.ProjekteTotal.Bereich,R$8)&lt;=0,0,INDEX(February!Monat.ProjekteTotal.Bereich,R$8)),""))</f>
        <v/>
      </c>
      <c r="S18" s="384" t="str">
        <f aca="true">IF(OR(R18="",Eingabeblatt!$H14=0),"",R18-(T.ProdStunden.Bereich/100)*R$14/12)</f>
        <v/>
      </c>
      <c r="T18" s="383" t="str">
        <f aca="false">IF(T$8="","",IF(EB.Anwendung&lt;&gt;"",IF(INDEX(February!Monat.ProjekteTotal.Bereich,T$8)&lt;=0,0,INDEX(February!Monat.ProjekteTotal.Bereich,T$8)),""))</f>
        <v/>
      </c>
      <c r="U18" s="384" t="str">
        <f aca="true">IF(OR(T18="",Eingabeblatt!$H14=0),"",T18-(T.ProdStunden.Bereich/100)*T$14/12)</f>
        <v/>
      </c>
      <c r="V18" s="383" t="str">
        <f aca="false">IF(V$8="","",IF(EB.Anwendung&lt;&gt;"",IF(INDEX(February!Monat.ProjekteTotal.Bereich,V$8)&lt;=0,0,INDEX(February!Monat.ProjekteTotal.Bereich,V$8)),""))</f>
        <v/>
      </c>
      <c r="W18" s="384" t="str">
        <f aca="true">IF(OR(V18="",Eingabeblatt!$H14=0),"",V18-(T.ProdStunden.Bereich/100)*V$14/12)</f>
        <v/>
      </c>
      <c r="X18" s="383" t="str">
        <f aca="false">IF(X$8="","",IF(EB.Anwendung&lt;&gt;"",IF(INDEX(February!Monat.ProjekteTotal.Bereich,X$8)&lt;=0,0,INDEX(February!Monat.ProjekteTotal.Bereich,X$8)),""))</f>
        <v/>
      </c>
      <c r="Y18" s="384" t="str">
        <f aca="true">IF(OR(X18="",Eingabeblatt!$H14=0),"",X18-(T.ProdStunden.Bereich/100)*X$14/12)</f>
        <v/>
      </c>
      <c r="Z18" s="383" t="str">
        <f aca="false">IF(Z$8="","",IF(EB.Anwendung&lt;&gt;"",IF(INDEX(February!Monat.ProjekteTotal.Bereich,Z$8)&lt;=0,0,INDEX(February!Monat.ProjekteTotal.Bereich,Z$8)),""))</f>
        <v/>
      </c>
      <c r="AA18" s="384" t="str">
        <f aca="true">IF(OR(Z18="",Eingabeblatt!$H14=0),"",Z18-(T.ProdStunden.Bereich/100)*Z$14/12)</f>
        <v/>
      </c>
      <c r="AB18" s="383" t="str">
        <f aca="false">IF(AB$8="","",IF(EB.Anwendung&lt;&gt;"",IF(INDEX(February!Monat.ProjekteTotal.Bereich,AB$8)&lt;=0,0,INDEX(February!Monat.ProjekteTotal.Bereich,AB$8)),""))</f>
        <v/>
      </c>
      <c r="AC18" s="384" t="str">
        <f aca="true">IF(OR(AB18="",Eingabeblatt!$H14=0),"",AB18-(T.ProdStunden.Bereich/100)*AB$14/12)</f>
        <v/>
      </c>
      <c r="AD18" s="383" t="str">
        <f aca="false">IF(AD$8="","",IF(EB.Anwendung&lt;&gt;"",IF(INDEX(February!Monat.ProjekteTotal.Bereich,AD$8)&lt;=0,0,INDEX(February!Monat.ProjekteTotal.Bereich,AD$8)),""))</f>
        <v/>
      </c>
      <c r="AE18" s="384" t="str">
        <f aca="true">IF(OR(AD18="",Eingabeblatt!$H14=0),"",AD18-(T.ProdStunden.Bereich/100)*AD$14/12)</f>
        <v/>
      </c>
      <c r="AF18" s="360"/>
      <c r="AG18" s="385" t="n">
        <f aca="false">SUM(B18,D18,F18,H18,J18,L18,N18,P18,R18,T18,V18,X18,Z18,AB18,AD18)</f>
        <v>0</v>
      </c>
      <c r="AH18" s="360"/>
    </row>
    <row r="19" s="355" customFormat="true" ht="15" hidden="false" customHeight="true" outlineLevel="0" collapsed="false">
      <c r="A19" s="382" t="str">
        <f aca="false">INDEX(EB.Monate.Bereich,3,0)</f>
        <v>March</v>
      </c>
      <c r="B19" s="383" t="str">
        <f aca="false">IF(B$8="","",IF(EB.Anwendung&lt;&gt;"",IF(INDEX(March!Monat.ProjekteTotal.Bereich,B$8)&lt;=0,0,INDEX(March!Monat.ProjekteTotal.Bereich,B$8)),""))</f>
        <v/>
      </c>
      <c r="C19" s="384" t="str">
        <f aca="true">IF(OR(B19="",Eingabeblatt!$H15=0),"",B19-(T.ProdStunden.Bereich/100)*B$14/12)</f>
        <v/>
      </c>
      <c r="D19" s="383" t="str">
        <f aca="false">IF(D$8="","",IF(EB.Anwendung&lt;&gt;"",IF(INDEX(March!Monat.ProjekteTotal.Bereich,D$8)&lt;=0,0,INDEX(March!Monat.ProjekteTotal.Bereich,D$8)),""))</f>
        <v/>
      </c>
      <c r="E19" s="384" t="str">
        <f aca="true">IF(OR(D19="",Eingabeblatt!$H15=0),"",D19-(T.ProdStunden.Bereich/100)*D$14/12)</f>
        <v/>
      </c>
      <c r="F19" s="383" t="str">
        <f aca="false">IF(F$8="","",IF(EB.Anwendung&lt;&gt;"",IF(INDEX(March!Monat.ProjekteTotal.Bereich,F$8)&lt;=0,0,INDEX(March!Monat.ProjekteTotal.Bereich,F$8)),""))</f>
        <v/>
      </c>
      <c r="G19" s="384" t="str">
        <f aca="true">IF(OR(F19="",Eingabeblatt!$H15=0),"",F19-(T.ProdStunden.Bereich/100)*F$14/12)</f>
        <v/>
      </c>
      <c r="H19" s="383" t="str">
        <f aca="false">IF(H$8="","",IF(EB.Anwendung&lt;&gt;"",IF(INDEX(March!Monat.ProjekteTotal.Bereich,H$8)&lt;=0,0,INDEX(March!Monat.ProjekteTotal.Bereich,H$8)),""))</f>
        <v/>
      </c>
      <c r="I19" s="384" t="str">
        <f aca="true">IF(OR(H19="",Eingabeblatt!$H15=0),"",H19-(T.ProdStunden.Bereich/100)*H$14/12)</f>
        <v/>
      </c>
      <c r="J19" s="383" t="str">
        <f aca="false">IF(J$8="","",IF(EB.Anwendung&lt;&gt;"",IF(INDEX(March!Monat.ProjekteTotal.Bereich,J$8)&lt;=0,0,INDEX(March!Monat.ProjekteTotal.Bereich,J$8)),""))</f>
        <v/>
      </c>
      <c r="K19" s="384" t="str">
        <f aca="true">IF(OR(J19="",Eingabeblatt!$H15=0),"",J19-(T.ProdStunden.Bereich/100)*J$14/12)</f>
        <v/>
      </c>
      <c r="L19" s="383" t="str">
        <f aca="false">IF(L$8="","",IF(EB.Anwendung&lt;&gt;"",IF(INDEX(March!Monat.ProjekteTotal.Bereich,L$8)&lt;=0,0,INDEX(March!Monat.ProjekteTotal.Bereich,L$8)),""))</f>
        <v/>
      </c>
      <c r="M19" s="384" t="str">
        <f aca="true">IF(OR(L19="",Eingabeblatt!$H15=0),"",L19-(T.ProdStunden.Bereich/100)*L$14/12)</f>
        <v/>
      </c>
      <c r="N19" s="383" t="str">
        <f aca="false">IF(N$8="","",IF(EB.Anwendung&lt;&gt;"",IF(INDEX(March!Monat.ProjekteTotal.Bereich,N$8)&lt;=0,0,INDEX(March!Monat.ProjekteTotal.Bereich,N$8)),""))</f>
        <v/>
      </c>
      <c r="O19" s="384" t="str">
        <f aca="true">IF(OR(N19="",Eingabeblatt!$H15=0),"",N19-(T.ProdStunden.Bereich/100)*N$14/12)</f>
        <v/>
      </c>
      <c r="P19" s="383" t="str">
        <f aca="false">IF(P$8="","",IF(EB.Anwendung&lt;&gt;"",IF(INDEX(March!Monat.ProjekteTotal.Bereich,P$8)&lt;=0,0,INDEX(March!Monat.ProjekteTotal.Bereich,P$8)),""))</f>
        <v/>
      </c>
      <c r="Q19" s="384" t="str">
        <f aca="true">IF(OR(P19="",Eingabeblatt!$H15=0),"",P19-(T.ProdStunden.Bereich/100)*P$14/12)</f>
        <v/>
      </c>
      <c r="R19" s="383" t="str">
        <f aca="false">IF(R$8="","",IF(EB.Anwendung&lt;&gt;"",IF(INDEX(March!Monat.ProjekteTotal.Bereich,R$8)&lt;=0,0,INDEX(March!Monat.ProjekteTotal.Bereich,R$8)),""))</f>
        <v/>
      </c>
      <c r="S19" s="384" t="str">
        <f aca="true">IF(OR(R19="",Eingabeblatt!$H15=0),"",R19-(T.ProdStunden.Bereich/100)*R$14/12)</f>
        <v/>
      </c>
      <c r="T19" s="383" t="str">
        <f aca="false">IF(T$8="","",IF(EB.Anwendung&lt;&gt;"",IF(INDEX(March!Monat.ProjekteTotal.Bereich,T$8)&lt;=0,0,INDEX(March!Monat.ProjekteTotal.Bereich,T$8)),""))</f>
        <v/>
      </c>
      <c r="U19" s="384" t="str">
        <f aca="true">IF(OR(T19="",Eingabeblatt!$H15=0),"",T19-(T.ProdStunden.Bereich/100)*T$14/12)</f>
        <v/>
      </c>
      <c r="V19" s="383" t="str">
        <f aca="false">IF(V$8="","",IF(EB.Anwendung&lt;&gt;"",IF(INDEX(March!Monat.ProjekteTotal.Bereich,V$8)&lt;=0,0,INDEX(March!Monat.ProjekteTotal.Bereich,V$8)),""))</f>
        <v/>
      </c>
      <c r="W19" s="384" t="str">
        <f aca="true">IF(OR(V19="",Eingabeblatt!$H15=0),"",V19-(T.ProdStunden.Bereich/100)*V$14/12)</f>
        <v/>
      </c>
      <c r="X19" s="383" t="str">
        <f aca="false">IF(X$8="","",IF(EB.Anwendung&lt;&gt;"",IF(INDEX(March!Monat.ProjekteTotal.Bereich,X$8)&lt;=0,0,INDEX(March!Monat.ProjekteTotal.Bereich,X$8)),""))</f>
        <v/>
      </c>
      <c r="Y19" s="384" t="str">
        <f aca="true">IF(OR(X19="",Eingabeblatt!$H15=0),"",X19-(T.ProdStunden.Bereich/100)*X$14/12)</f>
        <v/>
      </c>
      <c r="Z19" s="383" t="str">
        <f aca="false">IF(Z$8="","",IF(EB.Anwendung&lt;&gt;"",IF(INDEX(March!Monat.ProjekteTotal.Bereich,Z$8)&lt;=0,0,INDEX(March!Monat.ProjekteTotal.Bereich,Z$8)),""))</f>
        <v/>
      </c>
      <c r="AA19" s="384" t="str">
        <f aca="true">IF(OR(Z19="",Eingabeblatt!$H15=0),"",Z19-(T.ProdStunden.Bereich/100)*Z$14/12)</f>
        <v/>
      </c>
      <c r="AB19" s="383" t="str">
        <f aca="false">IF(AB$8="","",IF(EB.Anwendung&lt;&gt;"",IF(INDEX(March!Monat.ProjekteTotal.Bereich,AB$8)&lt;=0,0,INDEX(March!Monat.ProjekteTotal.Bereich,AB$8)),""))</f>
        <v/>
      </c>
      <c r="AC19" s="384" t="str">
        <f aca="true">IF(OR(AB19="",Eingabeblatt!$H15=0),"",AB19-(T.ProdStunden.Bereich/100)*AB$14/12)</f>
        <v/>
      </c>
      <c r="AD19" s="383" t="str">
        <f aca="false">IF(AD$8="","",IF(EB.Anwendung&lt;&gt;"",IF(INDEX(March!Monat.ProjekteTotal.Bereich,AD$8)&lt;=0,0,INDEX(March!Monat.ProjekteTotal.Bereich,AD$8)),""))</f>
        <v/>
      </c>
      <c r="AE19" s="384" t="str">
        <f aca="true">IF(OR(AD19="",Eingabeblatt!$H15=0),"",AD19-(T.ProdStunden.Bereich/100)*AD$14/12)</f>
        <v/>
      </c>
      <c r="AF19" s="360"/>
      <c r="AG19" s="385" t="n">
        <f aca="false">SUM(B19,D19,F19,H19,J19,L19,N19,P19,R19,T19,V19,X19,Z19,AB19,AD19)</f>
        <v>0</v>
      </c>
      <c r="AH19" s="360"/>
    </row>
    <row r="20" s="355" customFormat="true" ht="15" hidden="false" customHeight="true" outlineLevel="0" collapsed="false">
      <c r="A20" s="382" t="str">
        <f aca="false">INDEX(EB.Monate.Bereich,4,0)</f>
        <v>April</v>
      </c>
      <c r="B20" s="383" t="str">
        <f aca="false">IF(B$8="","",IF(EB.Anwendung&lt;&gt;"",IF(INDEX(April!Monat.ProjekteTotal.Bereich,B$8)&lt;=0,0,INDEX(April!Monat.ProjekteTotal.Bereich,B$8)),""))</f>
        <v/>
      </c>
      <c r="C20" s="384" t="str">
        <f aca="true">IF(OR(B20="",Eingabeblatt!$H16=0),"",B20-(T.ProdStunden.Bereich/100)*B$14/12)</f>
        <v/>
      </c>
      <c r="D20" s="383" t="str">
        <f aca="false">IF(D$8="","",IF(EB.Anwendung&lt;&gt;"",IF(INDEX(April!Monat.ProjekteTotal.Bereich,D$8)&lt;=0,0,INDEX(April!Monat.ProjekteTotal.Bereich,D$8)),""))</f>
        <v/>
      </c>
      <c r="E20" s="384" t="str">
        <f aca="true">IF(OR(D20="",Eingabeblatt!$H16=0),"",D20-(T.ProdStunden.Bereich/100)*D$14/12)</f>
        <v/>
      </c>
      <c r="F20" s="383" t="str">
        <f aca="false">IF(F$8="","",IF(EB.Anwendung&lt;&gt;"",IF(INDEX(April!Monat.ProjekteTotal.Bereich,F$8)&lt;=0,0,INDEX(April!Monat.ProjekteTotal.Bereich,F$8)),""))</f>
        <v/>
      </c>
      <c r="G20" s="384" t="str">
        <f aca="true">IF(OR(F20="",Eingabeblatt!$H16=0),"",F20-(T.ProdStunden.Bereich/100)*F$14/12)</f>
        <v/>
      </c>
      <c r="H20" s="383" t="str">
        <f aca="false">IF(H$8="","",IF(EB.Anwendung&lt;&gt;"",IF(INDEX(April!Monat.ProjekteTotal.Bereich,H$8)&lt;=0,0,INDEX(April!Monat.ProjekteTotal.Bereich,H$8)),""))</f>
        <v/>
      </c>
      <c r="I20" s="384" t="str">
        <f aca="true">IF(OR(H20="",Eingabeblatt!$H16=0),"",H20-(T.ProdStunden.Bereich/100)*H$14/12)</f>
        <v/>
      </c>
      <c r="J20" s="383" t="str">
        <f aca="false">IF(J$8="","",IF(EB.Anwendung&lt;&gt;"",IF(INDEX(April!Monat.ProjekteTotal.Bereich,J$8)&lt;=0,0,INDEX(April!Monat.ProjekteTotal.Bereich,J$8)),""))</f>
        <v/>
      </c>
      <c r="K20" s="384" t="str">
        <f aca="true">IF(OR(J20="",Eingabeblatt!$H16=0),"",J20-(T.ProdStunden.Bereich/100)*J$14/12)</f>
        <v/>
      </c>
      <c r="L20" s="383" t="str">
        <f aca="false">IF(L$8="","",IF(EB.Anwendung&lt;&gt;"",IF(INDEX(April!Monat.ProjekteTotal.Bereich,L$8)&lt;=0,0,INDEX(April!Monat.ProjekteTotal.Bereich,L$8)),""))</f>
        <v/>
      </c>
      <c r="M20" s="384" t="str">
        <f aca="true">IF(OR(L20="",Eingabeblatt!$H16=0),"",L20-(T.ProdStunden.Bereich/100)*L$14/12)</f>
        <v/>
      </c>
      <c r="N20" s="383" t="str">
        <f aca="false">IF(N$8="","",IF(EB.Anwendung&lt;&gt;"",IF(INDEX(April!Monat.ProjekteTotal.Bereich,N$8)&lt;=0,0,INDEX(April!Monat.ProjekteTotal.Bereich,N$8)),""))</f>
        <v/>
      </c>
      <c r="O20" s="384" t="str">
        <f aca="true">IF(OR(N20="",Eingabeblatt!$H16=0),"",N20-(T.ProdStunden.Bereich/100)*N$14/12)</f>
        <v/>
      </c>
      <c r="P20" s="383" t="str">
        <f aca="false">IF(P$8="","",IF(EB.Anwendung&lt;&gt;"",IF(INDEX(April!Monat.ProjekteTotal.Bereich,P$8)&lt;=0,0,INDEX(April!Monat.ProjekteTotal.Bereich,P$8)),""))</f>
        <v/>
      </c>
      <c r="Q20" s="384" t="str">
        <f aca="true">IF(OR(P20="",Eingabeblatt!$H16=0),"",P20-(T.ProdStunden.Bereich/100)*P$14/12)</f>
        <v/>
      </c>
      <c r="R20" s="383" t="str">
        <f aca="false">IF(R$8="","",IF(EB.Anwendung&lt;&gt;"",IF(INDEX(April!Monat.ProjekteTotal.Bereich,R$8)&lt;=0,0,INDEX(April!Monat.ProjekteTotal.Bereich,R$8)),""))</f>
        <v/>
      </c>
      <c r="S20" s="384" t="str">
        <f aca="true">IF(OR(R20="",Eingabeblatt!$H16=0),"",R20-(T.ProdStunden.Bereich/100)*R$14/12)</f>
        <v/>
      </c>
      <c r="T20" s="383" t="str">
        <f aca="false">IF(T$8="","",IF(EB.Anwendung&lt;&gt;"",IF(INDEX(April!Monat.ProjekteTotal.Bereich,T$8)&lt;=0,0,INDEX(April!Monat.ProjekteTotal.Bereich,T$8)),""))</f>
        <v/>
      </c>
      <c r="U20" s="384" t="str">
        <f aca="true">IF(OR(T20="",Eingabeblatt!$H16=0),"",T20-(T.ProdStunden.Bereich/100)*T$14/12)</f>
        <v/>
      </c>
      <c r="V20" s="383" t="str">
        <f aca="false">IF(V$8="","",IF(EB.Anwendung&lt;&gt;"",IF(INDEX(April!Monat.ProjekteTotal.Bereich,V$8)&lt;=0,0,INDEX(April!Monat.ProjekteTotal.Bereich,V$8)),""))</f>
        <v/>
      </c>
      <c r="W20" s="384" t="str">
        <f aca="true">IF(OR(V20="",Eingabeblatt!$H16=0),"",V20-(T.ProdStunden.Bereich/100)*V$14/12)</f>
        <v/>
      </c>
      <c r="X20" s="383" t="str">
        <f aca="false">IF(X$8="","",IF(EB.Anwendung&lt;&gt;"",IF(INDEX(April!Monat.ProjekteTotal.Bereich,X$8)&lt;=0,0,INDEX(April!Monat.ProjekteTotal.Bereich,X$8)),""))</f>
        <v/>
      </c>
      <c r="Y20" s="384" t="str">
        <f aca="true">IF(OR(X20="",Eingabeblatt!$H16=0),"",X20-(T.ProdStunden.Bereich/100)*X$14/12)</f>
        <v/>
      </c>
      <c r="Z20" s="383" t="str">
        <f aca="false">IF(Z$8="","",IF(EB.Anwendung&lt;&gt;"",IF(INDEX(April!Monat.ProjekteTotal.Bereich,Z$8)&lt;=0,0,INDEX(April!Monat.ProjekteTotal.Bereich,Z$8)),""))</f>
        <v/>
      </c>
      <c r="AA20" s="384" t="str">
        <f aca="true">IF(OR(Z20="",Eingabeblatt!$H16=0),"",Z20-(T.ProdStunden.Bereich/100)*Z$14/12)</f>
        <v/>
      </c>
      <c r="AB20" s="383" t="str">
        <f aca="false">IF(AB$8="","",IF(EB.Anwendung&lt;&gt;"",IF(INDEX(April!Monat.ProjekteTotal.Bereich,AB$8)&lt;=0,0,INDEX(April!Monat.ProjekteTotal.Bereich,AB$8)),""))</f>
        <v/>
      </c>
      <c r="AC20" s="384" t="str">
        <f aca="true">IF(OR(AB20="",Eingabeblatt!$H16=0),"",AB20-(T.ProdStunden.Bereich/100)*AB$14/12)</f>
        <v/>
      </c>
      <c r="AD20" s="383" t="str">
        <f aca="false">IF(AD$8="","",IF(EB.Anwendung&lt;&gt;"",IF(INDEX(April!Monat.ProjekteTotal.Bereich,AD$8)&lt;=0,0,INDEX(April!Monat.ProjekteTotal.Bereich,AD$8)),""))</f>
        <v/>
      </c>
      <c r="AE20" s="384" t="str">
        <f aca="true">IF(OR(AD20="",Eingabeblatt!$H16=0),"",AD20-(T.ProdStunden.Bereich/100)*AD$14/12)</f>
        <v/>
      </c>
      <c r="AF20" s="360"/>
      <c r="AG20" s="385" t="n">
        <f aca="false">SUM(B20,D20,F20,H20,J20,L20,N20,P20,R20,T20,V20,X20,Z20,AB20,AD20)</f>
        <v>0</v>
      </c>
      <c r="AH20" s="360"/>
    </row>
    <row r="21" s="355" customFormat="true" ht="15" hidden="false" customHeight="true" outlineLevel="0" collapsed="false">
      <c r="A21" s="382" t="str">
        <f aca="false">INDEX(EB.Monate.Bereich,5,0)</f>
        <v>May</v>
      </c>
      <c r="B21" s="383" t="str">
        <f aca="false">IF(B$8="","",IF(EB.Anwendung&lt;&gt;"",IF(INDEX(May!Monat.ProjekteTotal.Bereich,B$8)&lt;=0,0,INDEX(May!Monat.ProjekteTotal.Bereich,B$8)),""))</f>
        <v/>
      </c>
      <c r="C21" s="384" t="str">
        <f aca="true">IF(OR(B21="",Eingabeblatt!$H17=0),"",B21-(T.ProdStunden.Bereich/100)*B$14/12)</f>
        <v/>
      </c>
      <c r="D21" s="383" t="str">
        <f aca="false">IF(D$8="","",IF(EB.Anwendung&lt;&gt;"",IF(INDEX(May!Monat.ProjekteTotal.Bereich,D$8)&lt;=0,0,INDEX(May!Monat.ProjekteTotal.Bereich,D$8)),""))</f>
        <v/>
      </c>
      <c r="E21" s="384" t="str">
        <f aca="true">IF(OR(D21="",Eingabeblatt!$H17=0),"",D21-(T.ProdStunden.Bereich/100)*D$14/12)</f>
        <v/>
      </c>
      <c r="F21" s="383" t="str">
        <f aca="false">IF(F$8="","",IF(EB.Anwendung&lt;&gt;"",IF(INDEX(May!Monat.ProjekteTotal.Bereich,F$8)&lt;=0,0,INDEX(May!Monat.ProjekteTotal.Bereich,F$8)),""))</f>
        <v/>
      </c>
      <c r="G21" s="384" t="str">
        <f aca="true">IF(OR(F21="",Eingabeblatt!$H17=0),"",F21-(T.ProdStunden.Bereich/100)*F$14/12)</f>
        <v/>
      </c>
      <c r="H21" s="383" t="str">
        <f aca="false">IF(H$8="","",IF(EB.Anwendung&lt;&gt;"",IF(INDEX(May!Monat.ProjekteTotal.Bereich,H$8)&lt;=0,0,INDEX(May!Monat.ProjekteTotal.Bereich,H$8)),""))</f>
        <v/>
      </c>
      <c r="I21" s="384" t="str">
        <f aca="true">IF(OR(H21="",Eingabeblatt!$H17=0),"",H21-(T.ProdStunden.Bereich/100)*H$14/12)</f>
        <v/>
      </c>
      <c r="J21" s="383" t="str">
        <f aca="false">IF(J$8="","",IF(EB.Anwendung&lt;&gt;"",IF(INDEX(May!Monat.ProjekteTotal.Bereich,J$8)&lt;=0,0,INDEX(May!Monat.ProjekteTotal.Bereich,J$8)),""))</f>
        <v/>
      </c>
      <c r="K21" s="384" t="str">
        <f aca="true">IF(OR(J21="",Eingabeblatt!$H17=0),"",J21-(T.ProdStunden.Bereich/100)*J$14/12)</f>
        <v/>
      </c>
      <c r="L21" s="383" t="str">
        <f aca="false">IF(L$8="","",IF(EB.Anwendung&lt;&gt;"",IF(INDEX(May!Monat.ProjekteTotal.Bereich,L$8)&lt;=0,0,INDEX(May!Monat.ProjekteTotal.Bereich,L$8)),""))</f>
        <v/>
      </c>
      <c r="M21" s="384" t="str">
        <f aca="true">IF(OR(L21="",Eingabeblatt!$H17=0),"",L21-(T.ProdStunden.Bereich/100)*L$14/12)</f>
        <v/>
      </c>
      <c r="N21" s="383" t="str">
        <f aca="false">IF(N$8="","",IF(EB.Anwendung&lt;&gt;"",IF(INDEX(May!Monat.ProjekteTotal.Bereich,N$8)&lt;=0,0,INDEX(May!Monat.ProjekteTotal.Bereich,N$8)),""))</f>
        <v/>
      </c>
      <c r="O21" s="384" t="str">
        <f aca="true">IF(OR(N21="",Eingabeblatt!$H17=0),"",N21-(T.ProdStunden.Bereich/100)*N$14/12)</f>
        <v/>
      </c>
      <c r="P21" s="383" t="str">
        <f aca="false">IF(P$8="","",IF(EB.Anwendung&lt;&gt;"",IF(INDEX(May!Monat.ProjekteTotal.Bereich,P$8)&lt;=0,0,INDEX(May!Monat.ProjekteTotal.Bereich,P$8)),""))</f>
        <v/>
      </c>
      <c r="Q21" s="384" t="str">
        <f aca="true">IF(OR(P21="",Eingabeblatt!$H17=0),"",P21-(T.ProdStunden.Bereich/100)*P$14/12)</f>
        <v/>
      </c>
      <c r="R21" s="383" t="str">
        <f aca="false">IF(R$8="","",IF(EB.Anwendung&lt;&gt;"",IF(INDEX(May!Monat.ProjekteTotal.Bereich,R$8)&lt;=0,0,INDEX(May!Monat.ProjekteTotal.Bereich,R$8)),""))</f>
        <v/>
      </c>
      <c r="S21" s="384" t="str">
        <f aca="true">IF(OR(R21="",Eingabeblatt!$H17=0),"",R21-(T.ProdStunden.Bereich/100)*R$14/12)</f>
        <v/>
      </c>
      <c r="T21" s="383" t="str">
        <f aca="false">IF(T$8="","",IF(EB.Anwendung&lt;&gt;"",IF(INDEX(May!Monat.ProjekteTotal.Bereich,T$8)&lt;=0,0,INDEX(May!Monat.ProjekteTotal.Bereich,T$8)),""))</f>
        <v/>
      </c>
      <c r="U21" s="384" t="str">
        <f aca="true">IF(OR(T21="",Eingabeblatt!$H17=0),"",T21-(T.ProdStunden.Bereich/100)*T$14/12)</f>
        <v/>
      </c>
      <c r="V21" s="383" t="str">
        <f aca="false">IF(V$8="","",IF(EB.Anwendung&lt;&gt;"",IF(INDEX(May!Monat.ProjekteTotal.Bereich,V$8)&lt;=0,0,INDEX(May!Monat.ProjekteTotal.Bereich,V$8)),""))</f>
        <v/>
      </c>
      <c r="W21" s="384" t="str">
        <f aca="true">IF(OR(V21="",Eingabeblatt!$H17=0),"",V21-(T.ProdStunden.Bereich/100)*V$14/12)</f>
        <v/>
      </c>
      <c r="X21" s="383" t="str">
        <f aca="false">IF(X$8="","",IF(EB.Anwendung&lt;&gt;"",IF(INDEX(May!Monat.ProjekteTotal.Bereich,X$8)&lt;=0,0,INDEX(May!Monat.ProjekteTotal.Bereich,X$8)),""))</f>
        <v/>
      </c>
      <c r="Y21" s="384" t="str">
        <f aca="true">IF(OR(X21="",Eingabeblatt!$H17=0),"",X21-(T.ProdStunden.Bereich/100)*X$14/12)</f>
        <v/>
      </c>
      <c r="Z21" s="383" t="str">
        <f aca="false">IF(Z$8="","",IF(EB.Anwendung&lt;&gt;"",IF(INDEX(May!Monat.ProjekteTotal.Bereich,Z$8)&lt;=0,0,INDEX(May!Monat.ProjekteTotal.Bereich,Z$8)),""))</f>
        <v/>
      </c>
      <c r="AA21" s="384" t="str">
        <f aca="true">IF(OR(Z21="",Eingabeblatt!$H17=0),"",Z21-(T.ProdStunden.Bereich/100)*Z$14/12)</f>
        <v/>
      </c>
      <c r="AB21" s="383" t="str">
        <f aca="false">IF(AB$8="","",IF(EB.Anwendung&lt;&gt;"",IF(INDEX(May!Monat.ProjekteTotal.Bereich,AB$8)&lt;=0,0,INDEX(May!Monat.ProjekteTotal.Bereich,AB$8)),""))</f>
        <v/>
      </c>
      <c r="AC21" s="384" t="str">
        <f aca="true">IF(OR(AB21="",Eingabeblatt!$H17=0),"",AB21-(T.ProdStunden.Bereich/100)*AB$14/12)</f>
        <v/>
      </c>
      <c r="AD21" s="383" t="str">
        <f aca="false">IF(AD$8="","",IF(EB.Anwendung&lt;&gt;"",IF(INDEX(May!Monat.ProjekteTotal.Bereich,AD$8)&lt;=0,0,INDEX(May!Monat.ProjekteTotal.Bereich,AD$8)),""))</f>
        <v/>
      </c>
      <c r="AE21" s="384" t="str">
        <f aca="true">IF(OR(AD21="",Eingabeblatt!$H17=0),"",AD21-(T.ProdStunden.Bereich/100)*AD$14/12)</f>
        <v/>
      </c>
      <c r="AF21" s="360"/>
      <c r="AG21" s="385" t="n">
        <f aca="false">SUM(B21,D21,F21,H21,J21,L21,N21,P21,R21,T21,V21,X21,Z21,AB21,AD21)</f>
        <v>0</v>
      </c>
      <c r="AH21" s="360"/>
    </row>
    <row r="22" s="355" customFormat="true" ht="15" hidden="false" customHeight="true" outlineLevel="0" collapsed="false">
      <c r="A22" s="382" t="str">
        <f aca="false">INDEX(EB.Monate.Bereich,6,0)</f>
        <v>June</v>
      </c>
      <c r="B22" s="383" t="str">
        <f aca="false">IF(B$8="","",IF(EB.Anwendung&lt;&gt;"",IF(INDEX(June!Monat.ProjekteTotal.Bereich,B$8)&lt;=0,0,INDEX(June!Monat.ProjekteTotal.Bereich,B$8)),""))</f>
        <v/>
      </c>
      <c r="C22" s="384" t="str">
        <f aca="true">IF(OR(B22="",Eingabeblatt!$H18=0),"",B22-(T.ProdStunden.Bereich/100)*B$14/12)</f>
        <v/>
      </c>
      <c r="D22" s="383" t="str">
        <f aca="false">IF(D$8="","",IF(EB.Anwendung&lt;&gt;"",IF(INDEX(June!Monat.ProjekteTotal.Bereich,D$8)&lt;=0,0,INDEX(June!Monat.ProjekteTotal.Bereich,D$8)),""))</f>
        <v/>
      </c>
      <c r="E22" s="384" t="str">
        <f aca="true">IF(OR(D22="",Eingabeblatt!$H18=0),"",D22-(T.ProdStunden.Bereich/100)*D$14/12)</f>
        <v/>
      </c>
      <c r="F22" s="383" t="str">
        <f aca="false">IF(F$8="","",IF(EB.Anwendung&lt;&gt;"",IF(INDEX(June!Monat.ProjekteTotal.Bereich,F$8)&lt;=0,0,INDEX(June!Monat.ProjekteTotal.Bereich,F$8)),""))</f>
        <v/>
      </c>
      <c r="G22" s="384" t="str">
        <f aca="true">IF(OR(F22="",Eingabeblatt!$H18=0),"",F22-(T.ProdStunden.Bereich/100)*F$14/12)</f>
        <v/>
      </c>
      <c r="H22" s="383" t="str">
        <f aca="false">IF(H$8="","",IF(EB.Anwendung&lt;&gt;"",IF(INDEX(June!Monat.ProjekteTotal.Bereich,H$8)&lt;=0,0,INDEX(June!Monat.ProjekteTotal.Bereich,H$8)),""))</f>
        <v/>
      </c>
      <c r="I22" s="384" t="str">
        <f aca="true">IF(OR(H22="",Eingabeblatt!$H18=0),"",H22-(T.ProdStunden.Bereich/100)*H$14/12)</f>
        <v/>
      </c>
      <c r="J22" s="383" t="str">
        <f aca="false">IF(J$8="","",IF(EB.Anwendung&lt;&gt;"",IF(INDEX(June!Monat.ProjekteTotal.Bereich,J$8)&lt;=0,0,INDEX(June!Monat.ProjekteTotal.Bereich,J$8)),""))</f>
        <v/>
      </c>
      <c r="K22" s="384" t="str">
        <f aca="true">IF(OR(J22="",Eingabeblatt!$H18=0),"",J22-(T.ProdStunden.Bereich/100)*J$14/12)</f>
        <v/>
      </c>
      <c r="L22" s="383" t="str">
        <f aca="false">IF(L$8="","",IF(EB.Anwendung&lt;&gt;"",IF(INDEX(June!Monat.ProjekteTotal.Bereich,L$8)&lt;=0,0,INDEX(June!Monat.ProjekteTotal.Bereich,L$8)),""))</f>
        <v/>
      </c>
      <c r="M22" s="384" t="str">
        <f aca="true">IF(OR(L22="",Eingabeblatt!$H18=0),"",L22-(T.ProdStunden.Bereich/100)*L$14/12)</f>
        <v/>
      </c>
      <c r="N22" s="383" t="str">
        <f aca="false">IF(N$8="","",IF(EB.Anwendung&lt;&gt;"",IF(INDEX(June!Monat.ProjekteTotal.Bereich,N$8)&lt;=0,0,INDEX(June!Monat.ProjekteTotal.Bereich,N$8)),""))</f>
        <v/>
      </c>
      <c r="O22" s="384" t="str">
        <f aca="true">IF(OR(N22="",Eingabeblatt!$H18=0),"",N22-(T.ProdStunden.Bereich/100)*N$14/12)</f>
        <v/>
      </c>
      <c r="P22" s="383" t="str">
        <f aca="false">IF(P$8="","",IF(EB.Anwendung&lt;&gt;"",IF(INDEX(June!Monat.ProjekteTotal.Bereich,P$8)&lt;=0,0,INDEX(June!Monat.ProjekteTotal.Bereich,P$8)),""))</f>
        <v/>
      </c>
      <c r="Q22" s="384" t="str">
        <f aca="true">IF(OR(P22="",Eingabeblatt!$H18=0),"",P22-(T.ProdStunden.Bereich/100)*P$14/12)</f>
        <v/>
      </c>
      <c r="R22" s="383" t="str">
        <f aca="false">IF(R$8="","",IF(EB.Anwendung&lt;&gt;"",IF(INDEX(June!Monat.ProjekteTotal.Bereich,R$8)&lt;=0,0,INDEX(June!Monat.ProjekteTotal.Bereich,R$8)),""))</f>
        <v/>
      </c>
      <c r="S22" s="384" t="str">
        <f aca="true">IF(OR(R22="",Eingabeblatt!$H18=0),"",R22-(T.ProdStunden.Bereich/100)*R$14/12)</f>
        <v/>
      </c>
      <c r="T22" s="383" t="str">
        <f aca="false">IF(T$8="","",IF(EB.Anwendung&lt;&gt;"",IF(INDEX(June!Monat.ProjekteTotal.Bereich,T$8)&lt;=0,0,INDEX(June!Monat.ProjekteTotal.Bereich,T$8)),""))</f>
        <v/>
      </c>
      <c r="U22" s="384" t="str">
        <f aca="true">IF(OR(T22="",Eingabeblatt!$H18=0),"",T22-(T.ProdStunden.Bereich/100)*T$14/12)</f>
        <v/>
      </c>
      <c r="V22" s="383" t="str">
        <f aca="false">IF(V$8="","",IF(EB.Anwendung&lt;&gt;"",IF(INDEX(June!Monat.ProjekteTotal.Bereich,V$8)&lt;=0,0,INDEX(June!Monat.ProjekteTotal.Bereich,V$8)),""))</f>
        <v/>
      </c>
      <c r="W22" s="384" t="str">
        <f aca="true">IF(OR(V22="",Eingabeblatt!$H18=0),"",V22-(T.ProdStunden.Bereich/100)*V$14/12)</f>
        <v/>
      </c>
      <c r="X22" s="383" t="str">
        <f aca="false">IF(X$8="","",IF(EB.Anwendung&lt;&gt;"",IF(INDEX(June!Monat.ProjekteTotal.Bereich,X$8)&lt;=0,0,INDEX(June!Monat.ProjekteTotal.Bereich,X$8)),""))</f>
        <v/>
      </c>
      <c r="Y22" s="384" t="str">
        <f aca="true">IF(OR(X22="",Eingabeblatt!$H18=0),"",X22-(T.ProdStunden.Bereich/100)*X$14/12)</f>
        <v/>
      </c>
      <c r="Z22" s="383" t="str">
        <f aca="false">IF(Z$8="","",IF(EB.Anwendung&lt;&gt;"",IF(INDEX(June!Monat.ProjekteTotal.Bereich,Z$8)&lt;=0,0,INDEX(June!Monat.ProjekteTotal.Bereich,Z$8)),""))</f>
        <v/>
      </c>
      <c r="AA22" s="384" t="str">
        <f aca="true">IF(OR(Z22="",Eingabeblatt!$H18=0),"",Z22-(T.ProdStunden.Bereich/100)*Z$14/12)</f>
        <v/>
      </c>
      <c r="AB22" s="383" t="str">
        <f aca="false">IF(AB$8="","",IF(EB.Anwendung&lt;&gt;"",IF(INDEX(June!Monat.ProjekteTotal.Bereich,AB$8)&lt;=0,0,INDEX(June!Monat.ProjekteTotal.Bereich,AB$8)),""))</f>
        <v/>
      </c>
      <c r="AC22" s="384" t="str">
        <f aca="true">IF(OR(AB22="",Eingabeblatt!$H18=0),"",AB22-(T.ProdStunden.Bereich/100)*AB$14/12)</f>
        <v/>
      </c>
      <c r="AD22" s="383" t="str">
        <f aca="false">IF(AD$8="","",IF(EB.Anwendung&lt;&gt;"",IF(INDEX(June!Monat.ProjekteTotal.Bereich,AD$8)&lt;=0,0,INDEX(June!Monat.ProjekteTotal.Bereich,AD$8)),""))</f>
        <v/>
      </c>
      <c r="AE22" s="384" t="str">
        <f aca="true">IF(OR(AD22="",Eingabeblatt!$H18=0),"",AD22-(T.ProdStunden.Bereich/100)*AD$14/12)</f>
        <v/>
      </c>
      <c r="AF22" s="360"/>
      <c r="AG22" s="385" t="n">
        <f aca="false">SUM(B22,D22,F22,H22,J22,L22,N22,P22,R22,T22,V22,X22,Z22,AB22,AD22)</f>
        <v>0</v>
      </c>
      <c r="AH22" s="360"/>
    </row>
    <row r="23" s="355" customFormat="true" ht="15" hidden="false" customHeight="true" outlineLevel="0" collapsed="false">
      <c r="A23" s="382" t="str">
        <f aca="false">INDEX(EB.Monate.Bereich,7,0)</f>
        <v>July</v>
      </c>
      <c r="B23" s="383" t="str">
        <f aca="false">IF(B$8="","",IF(EB.Anwendung&lt;&gt;"",IF(INDEX(July!Monat.ProjekteTotal.Bereich,B$8)&lt;=0,0,INDEX(July!Monat.ProjekteTotal.Bereich,B$8)),""))</f>
        <v/>
      </c>
      <c r="C23" s="384" t="str">
        <f aca="true">IF(OR(B23="",Eingabeblatt!$H19=0),"",B23-(T.ProdStunden.Bereich/100)*B$14/12)</f>
        <v/>
      </c>
      <c r="D23" s="383" t="str">
        <f aca="false">IF(D$8="","",IF(EB.Anwendung&lt;&gt;"",IF(INDEX(July!Monat.ProjekteTotal.Bereich,D$8)&lt;=0,0,INDEX(July!Monat.ProjekteTotal.Bereich,D$8)),""))</f>
        <v/>
      </c>
      <c r="E23" s="384" t="str">
        <f aca="true">IF(OR(D23="",Eingabeblatt!$H19=0),"",D23-(T.ProdStunden.Bereich/100)*D$14/12)</f>
        <v/>
      </c>
      <c r="F23" s="383" t="str">
        <f aca="false">IF(F$8="","",IF(EB.Anwendung&lt;&gt;"",IF(INDEX(July!Monat.ProjekteTotal.Bereich,F$8)&lt;=0,0,INDEX(July!Monat.ProjekteTotal.Bereich,F$8)),""))</f>
        <v/>
      </c>
      <c r="G23" s="384" t="str">
        <f aca="true">IF(OR(F23="",Eingabeblatt!$H19=0),"",F23-(T.ProdStunden.Bereich/100)*F$14/12)</f>
        <v/>
      </c>
      <c r="H23" s="383" t="str">
        <f aca="false">IF(H$8="","",IF(EB.Anwendung&lt;&gt;"",IF(INDEX(July!Monat.ProjekteTotal.Bereich,H$8)&lt;=0,0,INDEX(July!Monat.ProjekteTotal.Bereich,H$8)),""))</f>
        <v/>
      </c>
      <c r="I23" s="384" t="str">
        <f aca="true">IF(OR(H23="",Eingabeblatt!$H19=0),"",H23-(T.ProdStunden.Bereich/100)*H$14/12)</f>
        <v/>
      </c>
      <c r="J23" s="383" t="str">
        <f aca="false">IF(J$8="","",IF(EB.Anwendung&lt;&gt;"",IF(INDEX(July!Monat.ProjekteTotal.Bereich,J$8)&lt;=0,0,INDEX(July!Monat.ProjekteTotal.Bereich,J$8)),""))</f>
        <v/>
      </c>
      <c r="K23" s="384" t="str">
        <f aca="true">IF(OR(J23="",Eingabeblatt!$H19=0),"",J23-(T.ProdStunden.Bereich/100)*J$14/12)</f>
        <v/>
      </c>
      <c r="L23" s="383" t="str">
        <f aca="false">IF(L$8="","",IF(EB.Anwendung&lt;&gt;"",IF(INDEX(July!Monat.ProjekteTotal.Bereich,L$8)&lt;=0,0,INDEX(July!Monat.ProjekteTotal.Bereich,L$8)),""))</f>
        <v/>
      </c>
      <c r="M23" s="384" t="str">
        <f aca="true">IF(OR(L23="",Eingabeblatt!$H19=0),"",L23-(T.ProdStunden.Bereich/100)*L$14/12)</f>
        <v/>
      </c>
      <c r="N23" s="383" t="str">
        <f aca="false">IF(N$8="","",IF(EB.Anwendung&lt;&gt;"",IF(INDEX(July!Monat.ProjekteTotal.Bereich,N$8)&lt;=0,0,INDEX(July!Monat.ProjekteTotal.Bereich,N$8)),""))</f>
        <v/>
      </c>
      <c r="O23" s="384" t="str">
        <f aca="true">IF(OR(N23="",Eingabeblatt!$H19=0),"",N23-(T.ProdStunden.Bereich/100)*N$14/12)</f>
        <v/>
      </c>
      <c r="P23" s="383" t="str">
        <f aca="false">IF(P$8="","",IF(EB.Anwendung&lt;&gt;"",IF(INDEX(July!Monat.ProjekteTotal.Bereich,P$8)&lt;=0,0,INDEX(July!Monat.ProjekteTotal.Bereich,P$8)),""))</f>
        <v/>
      </c>
      <c r="Q23" s="384" t="str">
        <f aca="true">IF(OR(P23="",Eingabeblatt!$H19=0),"",P23-(T.ProdStunden.Bereich/100)*P$14/12)</f>
        <v/>
      </c>
      <c r="R23" s="383" t="str">
        <f aca="false">IF(R$8="","",IF(EB.Anwendung&lt;&gt;"",IF(INDEX(July!Monat.ProjekteTotal.Bereich,R$8)&lt;=0,0,INDEX(July!Monat.ProjekteTotal.Bereich,R$8)),""))</f>
        <v/>
      </c>
      <c r="S23" s="384" t="str">
        <f aca="true">IF(OR(R23="",Eingabeblatt!$H19=0),"",R23-(T.ProdStunden.Bereich/100)*R$14/12)</f>
        <v/>
      </c>
      <c r="T23" s="383" t="str">
        <f aca="false">IF(T$8="","",IF(EB.Anwendung&lt;&gt;"",IF(INDEX(July!Monat.ProjekteTotal.Bereich,T$8)&lt;=0,0,INDEX(July!Monat.ProjekteTotal.Bereich,T$8)),""))</f>
        <v/>
      </c>
      <c r="U23" s="384" t="str">
        <f aca="true">IF(OR(T23="",Eingabeblatt!$H19=0),"",T23-(T.ProdStunden.Bereich/100)*T$14/12)</f>
        <v/>
      </c>
      <c r="V23" s="383" t="str">
        <f aca="false">IF(V$8="","",IF(EB.Anwendung&lt;&gt;"",IF(INDEX(July!Monat.ProjekteTotal.Bereich,V$8)&lt;=0,0,INDEX(July!Monat.ProjekteTotal.Bereich,V$8)),""))</f>
        <v/>
      </c>
      <c r="W23" s="384" t="str">
        <f aca="true">IF(OR(V23="",Eingabeblatt!$H19=0),"",V23-(T.ProdStunden.Bereich/100)*V$14/12)</f>
        <v/>
      </c>
      <c r="X23" s="383" t="str">
        <f aca="false">IF(X$8="","",IF(EB.Anwendung&lt;&gt;"",IF(INDEX(July!Monat.ProjekteTotal.Bereich,X$8)&lt;=0,0,INDEX(July!Monat.ProjekteTotal.Bereich,X$8)),""))</f>
        <v/>
      </c>
      <c r="Y23" s="384" t="str">
        <f aca="true">IF(OR(X23="",Eingabeblatt!$H19=0),"",X23-(T.ProdStunden.Bereich/100)*X$14/12)</f>
        <v/>
      </c>
      <c r="Z23" s="383" t="str">
        <f aca="false">IF(Z$8="","",IF(EB.Anwendung&lt;&gt;"",IF(INDEX(July!Monat.ProjekteTotal.Bereich,Z$8)&lt;=0,0,INDEX(July!Monat.ProjekteTotal.Bereich,Z$8)),""))</f>
        <v/>
      </c>
      <c r="AA23" s="384" t="str">
        <f aca="true">IF(OR(Z23="",Eingabeblatt!$H19=0),"",Z23-(T.ProdStunden.Bereich/100)*Z$14/12)</f>
        <v/>
      </c>
      <c r="AB23" s="383" t="str">
        <f aca="false">IF(AB$8="","",IF(EB.Anwendung&lt;&gt;"",IF(INDEX(July!Monat.ProjekteTotal.Bereich,AB$8)&lt;=0,0,INDEX(July!Monat.ProjekteTotal.Bereich,AB$8)),""))</f>
        <v/>
      </c>
      <c r="AC23" s="384" t="str">
        <f aca="true">IF(OR(AB23="",Eingabeblatt!$H19=0),"",AB23-(T.ProdStunden.Bereich/100)*AB$14/12)</f>
        <v/>
      </c>
      <c r="AD23" s="383" t="str">
        <f aca="false">IF(AD$8="","",IF(EB.Anwendung&lt;&gt;"",IF(INDEX(July!Monat.ProjekteTotal.Bereich,AD$8)&lt;=0,0,INDEX(July!Monat.ProjekteTotal.Bereich,AD$8)),""))</f>
        <v/>
      </c>
      <c r="AE23" s="384" t="str">
        <f aca="true">IF(OR(AD23="",Eingabeblatt!$H19=0),"",AD23-(T.ProdStunden.Bereich/100)*AD$14/12)</f>
        <v/>
      </c>
      <c r="AF23" s="360"/>
      <c r="AG23" s="385" t="n">
        <f aca="false">SUM(B23,D23,F23,H23,J23,L23,N23,P23,R23,T23,V23,X23,Z23,AB23,AD23)</f>
        <v>0</v>
      </c>
      <c r="AH23" s="360"/>
    </row>
    <row r="24" s="355" customFormat="true" ht="15" hidden="false" customHeight="true" outlineLevel="0" collapsed="false">
      <c r="A24" s="382" t="str">
        <f aca="false">INDEX(EB.Monate.Bereich,8,0)</f>
        <v>August</v>
      </c>
      <c r="B24" s="383" t="str">
        <f aca="false">IF(B$8="","",IF(EB.Anwendung&lt;&gt;"",IF(INDEX(August!Monat.ProjekteTotal.Bereich,B$8)&lt;=0,0,INDEX(August!Monat.ProjekteTotal.Bereich,B$8)),""))</f>
        <v/>
      </c>
      <c r="C24" s="384" t="str">
        <f aca="true">IF(OR(B24="",Eingabeblatt!$H20=0),"",B24-(T.ProdStunden.Bereich/100)*B$14/12)</f>
        <v/>
      </c>
      <c r="D24" s="383" t="str">
        <f aca="false">IF(D$8="","",IF(EB.Anwendung&lt;&gt;"",IF(INDEX(August!Monat.ProjekteTotal.Bereich,D$8)&lt;=0,0,INDEX(August!Monat.ProjekteTotal.Bereich,D$8)),""))</f>
        <v/>
      </c>
      <c r="E24" s="384" t="str">
        <f aca="true">IF(OR(D24="",Eingabeblatt!$H20=0),"",D24-(T.ProdStunden.Bereich/100)*D$14/12)</f>
        <v/>
      </c>
      <c r="F24" s="383" t="str">
        <f aca="false">IF(F$8="","",IF(EB.Anwendung&lt;&gt;"",IF(INDEX(August!Monat.ProjekteTotal.Bereich,F$8)&lt;=0,0,INDEX(August!Monat.ProjekteTotal.Bereich,F$8)),""))</f>
        <v/>
      </c>
      <c r="G24" s="384" t="str">
        <f aca="true">IF(OR(F24="",Eingabeblatt!$H20=0),"",F24-(T.ProdStunden.Bereich/100)*F$14/12)</f>
        <v/>
      </c>
      <c r="H24" s="383" t="str">
        <f aca="false">IF(H$8="","",IF(EB.Anwendung&lt;&gt;"",IF(INDEX(August!Monat.ProjekteTotal.Bereich,H$8)&lt;=0,0,INDEX(August!Monat.ProjekteTotal.Bereich,H$8)),""))</f>
        <v/>
      </c>
      <c r="I24" s="384" t="str">
        <f aca="true">IF(OR(H24="",Eingabeblatt!$H20=0),"",H24-(T.ProdStunden.Bereich/100)*H$14/12)</f>
        <v/>
      </c>
      <c r="J24" s="383" t="str">
        <f aca="false">IF(J$8="","",IF(EB.Anwendung&lt;&gt;"",IF(INDEX(August!Monat.ProjekteTotal.Bereich,J$8)&lt;=0,0,INDEX(August!Monat.ProjekteTotal.Bereich,J$8)),""))</f>
        <v/>
      </c>
      <c r="K24" s="384" t="str">
        <f aca="true">IF(OR(J24="",Eingabeblatt!$H20=0),"",J24-(T.ProdStunden.Bereich/100)*J$14/12)</f>
        <v/>
      </c>
      <c r="L24" s="383" t="str">
        <f aca="false">IF(L$8="","",IF(EB.Anwendung&lt;&gt;"",IF(INDEX(August!Monat.ProjekteTotal.Bereich,L$8)&lt;=0,0,INDEX(August!Monat.ProjekteTotal.Bereich,L$8)),""))</f>
        <v/>
      </c>
      <c r="M24" s="384" t="str">
        <f aca="true">IF(OR(L24="",Eingabeblatt!$H20=0),"",L24-(T.ProdStunden.Bereich/100)*L$14/12)</f>
        <v/>
      </c>
      <c r="N24" s="383" t="str">
        <f aca="false">IF(N$8="","",IF(EB.Anwendung&lt;&gt;"",IF(INDEX(August!Monat.ProjekteTotal.Bereich,N$8)&lt;=0,0,INDEX(August!Monat.ProjekteTotal.Bereich,N$8)),""))</f>
        <v/>
      </c>
      <c r="O24" s="384" t="str">
        <f aca="true">IF(OR(N24="",Eingabeblatt!$H20=0),"",N24-(T.ProdStunden.Bereich/100)*N$14/12)</f>
        <v/>
      </c>
      <c r="P24" s="383" t="str">
        <f aca="false">IF(P$8="","",IF(EB.Anwendung&lt;&gt;"",IF(INDEX(August!Monat.ProjekteTotal.Bereich,P$8)&lt;=0,0,INDEX(August!Monat.ProjekteTotal.Bereich,P$8)),""))</f>
        <v/>
      </c>
      <c r="Q24" s="384" t="str">
        <f aca="true">IF(OR(P24="",Eingabeblatt!$H20=0),"",P24-(T.ProdStunden.Bereich/100)*P$14/12)</f>
        <v/>
      </c>
      <c r="R24" s="383" t="str">
        <f aca="false">IF(R$8="","",IF(EB.Anwendung&lt;&gt;"",IF(INDEX(August!Monat.ProjekteTotal.Bereich,R$8)&lt;=0,0,INDEX(August!Monat.ProjekteTotal.Bereich,R$8)),""))</f>
        <v/>
      </c>
      <c r="S24" s="384" t="str">
        <f aca="true">IF(OR(R24="",Eingabeblatt!$H20=0),"",R24-(T.ProdStunden.Bereich/100)*R$14/12)</f>
        <v/>
      </c>
      <c r="T24" s="383" t="str">
        <f aca="false">IF(T$8="","",IF(EB.Anwendung&lt;&gt;"",IF(INDEX(August!Monat.ProjekteTotal.Bereich,T$8)&lt;=0,0,INDEX(August!Monat.ProjekteTotal.Bereich,T$8)),""))</f>
        <v/>
      </c>
      <c r="U24" s="384" t="str">
        <f aca="true">IF(OR(T24="",Eingabeblatt!$H20=0),"",T24-(T.ProdStunden.Bereich/100)*T$14/12)</f>
        <v/>
      </c>
      <c r="V24" s="383" t="str">
        <f aca="false">IF(V$8="","",IF(EB.Anwendung&lt;&gt;"",IF(INDEX(August!Monat.ProjekteTotal.Bereich,V$8)&lt;=0,0,INDEX(August!Monat.ProjekteTotal.Bereich,V$8)),""))</f>
        <v/>
      </c>
      <c r="W24" s="384" t="str">
        <f aca="true">IF(OR(V24="",Eingabeblatt!$H20=0),"",V24-(T.ProdStunden.Bereich/100)*V$14/12)</f>
        <v/>
      </c>
      <c r="X24" s="383" t="str">
        <f aca="false">IF(X$8="","",IF(EB.Anwendung&lt;&gt;"",IF(INDEX(August!Monat.ProjekteTotal.Bereich,X$8)&lt;=0,0,INDEX(August!Monat.ProjekteTotal.Bereich,X$8)),""))</f>
        <v/>
      </c>
      <c r="Y24" s="384" t="str">
        <f aca="true">IF(OR(X24="",Eingabeblatt!$H20=0),"",X24-(T.ProdStunden.Bereich/100)*X$14/12)</f>
        <v/>
      </c>
      <c r="Z24" s="383" t="str">
        <f aca="false">IF(Z$8="","",IF(EB.Anwendung&lt;&gt;"",IF(INDEX(August!Monat.ProjekteTotal.Bereich,Z$8)&lt;=0,0,INDEX(August!Monat.ProjekteTotal.Bereich,Z$8)),""))</f>
        <v/>
      </c>
      <c r="AA24" s="384" t="str">
        <f aca="true">IF(OR(Z24="",Eingabeblatt!$H20=0),"",Z24-(T.ProdStunden.Bereich/100)*Z$14/12)</f>
        <v/>
      </c>
      <c r="AB24" s="383" t="str">
        <f aca="false">IF(AB$8="","",IF(EB.Anwendung&lt;&gt;"",IF(INDEX(August!Monat.ProjekteTotal.Bereich,AB$8)&lt;=0,0,INDEX(August!Monat.ProjekteTotal.Bereich,AB$8)),""))</f>
        <v/>
      </c>
      <c r="AC24" s="384" t="str">
        <f aca="true">IF(OR(AB24="",Eingabeblatt!$H20=0),"",AB24-(T.ProdStunden.Bereich/100)*AB$14/12)</f>
        <v/>
      </c>
      <c r="AD24" s="383" t="str">
        <f aca="false">IF(AD$8="","",IF(EB.Anwendung&lt;&gt;"",IF(INDEX(August!Monat.ProjekteTotal.Bereich,AD$8)&lt;=0,0,INDEX(August!Monat.ProjekteTotal.Bereich,AD$8)),""))</f>
        <v/>
      </c>
      <c r="AE24" s="384" t="str">
        <f aca="true">IF(OR(AD24="",Eingabeblatt!$H20=0),"",AD24-(T.ProdStunden.Bereich/100)*AD$14/12)</f>
        <v/>
      </c>
      <c r="AF24" s="360"/>
      <c r="AG24" s="385" t="n">
        <f aca="false">SUM(B24,D24,F24,H24,J24,L24,N24,P24,R24,T24,V24,X24,Z24,AB24,AD24)</f>
        <v>0</v>
      </c>
      <c r="AH24" s="360"/>
    </row>
    <row r="25" s="355" customFormat="true" ht="15" hidden="false" customHeight="true" outlineLevel="0" collapsed="false">
      <c r="A25" s="382" t="str">
        <f aca="false">INDEX(EB.Monate.Bereich,9,0)</f>
        <v>September</v>
      </c>
      <c r="B25" s="383" t="str">
        <f aca="false">IF(B$8="","",IF(EB.Anwendung&lt;&gt;"",IF(INDEX(September!Monat.ProjekteTotal.Bereich,B$8)&lt;=0,0,INDEX(September!Monat.ProjekteTotal.Bereich,B$8)),""))</f>
        <v/>
      </c>
      <c r="C25" s="384" t="str">
        <f aca="true">IF(OR(B25="",Eingabeblatt!$H21=0),"",B25-(T.ProdStunden.Bereich/100)*B$14/12)</f>
        <v/>
      </c>
      <c r="D25" s="383" t="str">
        <f aca="false">IF(D$8="","",IF(EB.Anwendung&lt;&gt;"",IF(INDEX(September!Monat.ProjekteTotal.Bereich,D$8)&lt;=0,0,INDEX(September!Monat.ProjekteTotal.Bereich,D$8)),""))</f>
        <v/>
      </c>
      <c r="E25" s="384" t="str">
        <f aca="true">IF(OR(D25="",Eingabeblatt!$H21=0),"",D25-(T.ProdStunden.Bereich/100)*D$14/12)</f>
        <v/>
      </c>
      <c r="F25" s="383" t="str">
        <f aca="false">IF(F$8="","",IF(EB.Anwendung&lt;&gt;"",IF(INDEX(September!Monat.ProjekteTotal.Bereich,F$8)&lt;=0,0,INDEX(September!Monat.ProjekteTotal.Bereich,F$8)),""))</f>
        <v/>
      </c>
      <c r="G25" s="384" t="str">
        <f aca="true">IF(OR(F25="",Eingabeblatt!$H21=0),"",F25-(T.ProdStunden.Bereich/100)*F$14/12)</f>
        <v/>
      </c>
      <c r="H25" s="383" t="str">
        <f aca="false">IF(H$8="","",IF(EB.Anwendung&lt;&gt;"",IF(INDEX(September!Monat.ProjekteTotal.Bereich,H$8)&lt;=0,0,INDEX(September!Monat.ProjekteTotal.Bereich,H$8)),""))</f>
        <v/>
      </c>
      <c r="I25" s="384" t="str">
        <f aca="true">IF(OR(H25="",Eingabeblatt!$H21=0),"",H25-(T.ProdStunden.Bereich/100)*H$14/12)</f>
        <v/>
      </c>
      <c r="J25" s="383" t="str">
        <f aca="false">IF(J$8="","",IF(EB.Anwendung&lt;&gt;"",IF(INDEX(September!Monat.ProjekteTotal.Bereich,J$8)&lt;=0,0,INDEX(September!Monat.ProjekteTotal.Bereich,J$8)),""))</f>
        <v/>
      </c>
      <c r="K25" s="384" t="str">
        <f aca="true">IF(OR(J25="",Eingabeblatt!$H21=0),"",J25-(T.ProdStunden.Bereich/100)*J$14/12)</f>
        <v/>
      </c>
      <c r="L25" s="383" t="str">
        <f aca="false">IF(L$8="","",IF(EB.Anwendung&lt;&gt;"",IF(INDEX(September!Monat.ProjekteTotal.Bereich,L$8)&lt;=0,0,INDEX(September!Monat.ProjekteTotal.Bereich,L$8)),""))</f>
        <v/>
      </c>
      <c r="M25" s="384" t="str">
        <f aca="true">IF(OR(L25="",Eingabeblatt!$H21=0),"",L25-(T.ProdStunden.Bereich/100)*L$14/12)</f>
        <v/>
      </c>
      <c r="N25" s="383" t="str">
        <f aca="false">IF(N$8="","",IF(EB.Anwendung&lt;&gt;"",IF(INDEX(September!Monat.ProjekteTotal.Bereich,N$8)&lt;=0,0,INDEX(September!Monat.ProjekteTotal.Bereich,N$8)),""))</f>
        <v/>
      </c>
      <c r="O25" s="384" t="str">
        <f aca="true">IF(OR(N25="",Eingabeblatt!$H21=0),"",N25-(T.ProdStunden.Bereich/100)*N$14/12)</f>
        <v/>
      </c>
      <c r="P25" s="383" t="str">
        <f aca="false">IF(P$8="","",IF(EB.Anwendung&lt;&gt;"",IF(INDEX(September!Monat.ProjekteTotal.Bereich,P$8)&lt;=0,0,INDEX(September!Monat.ProjekteTotal.Bereich,P$8)),""))</f>
        <v/>
      </c>
      <c r="Q25" s="384" t="str">
        <f aca="true">IF(OR(P25="",Eingabeblatt!$H21=0),"",P25-(T.ProdStunden.Bereich/100)*P$14/12)</f>
        <v/>
      </c>
      <c r="R25" s="383" t="str">
        <f aca="false">IF(R$8="","",IF(EB.Anwendung&lt;&gt;"",IF(INDEX(September!Monat.ProjekteTotal.Bereich,R$8)&lt;=0,0,INDEX(September!Monat.ProjekteTotal.Bereich,R$8)),""))</f>
        <v/>
      </c>
      <c r="S25" s="384" t="str">
        <f aca="true">IF(OR(R25="",Eingabeblatt!$H21=0),"",R25-(T.ProdStunden.Bereich/100)*R$14/12)</f>
        <v/>
      </c>
      <c r="T25" s="383" t="str">
        <f aca="false">IF(T$8="","",IF(EB.Anwendung&lt;&gt;"",IF(INDEX(September!Monat.ProjekteTotal.Bereich,T$8)&lt;=0,0,INDEX(September!Monat.ProjekteTotal.Bereich,T$8)),""))</f>
        <v/>
      </c>
      <c r="U25" s="384" t="str">
        <f aca="true">IF(OR(T25="",Eingabeblatt!$H21=0),"",T25-(T.ProdStunden.Bereich/100)*T$14/12)</f>
        <v/>
      </c>
      <c r="V25" s="383" t="str">
        <f aca="false">IF(V$8="","",IF(EB.Anwendung&lt;&gt;"",IF(INDEX(September!Monat.ProjekteTotal.Bereich,V$8)&lt;=0,0,INDEX(September!Monat.ProjekteTotal.Bereich,V$8)),""))</f>
        <v/>
      </c>
      <c r="W25" s="384" t="str">
        <f aca="true">IF(OR(V25="",Eingabeblatt!$H21=0),"",V25-(T.ProdStunden.Bereich/100)*V$14/12)</f>
        <v/>
      </c>
      <c r="X25" s="383" t="str">
        <f aca="false">IF(X$8="","",IF(EB.Anwendung&lt;&gt;"",IF(INDEX(September!Monat.ProjekteTotal.Bereich,X$8)&lt;=0,0,INDEX(September!Monat.ProjekteTotal.Bereich,X$8)),""))</f>
        <v/>
      </c>
      <c r="Y25" s="384" t="str">
        <f aca="true">IF(OR(X25="",Eingabeblatt!$H21=0),"",X25-(T.ProdStunden.Bereich/100)*X$14/12)</f>
        <v/>
      </c>
      <c r="Z25" s="383" t="str">
        <f aca="false">IF(Z$8="","",IF(EB.Anwendung&lt;&gt;"",IF(INDEX(September!Monat.ProjekteTotal.Bereich,Z$8)&lt;=0,0,INDEX(September!Monat.ProjekteTotal.Bereich,Z$8)),""))</f>
        <v/>
      </c>
      <c r="AA25" s="384" t="str">
        <f aca="true">IF(OR(Z25="",Eingabeblatt!$H21=0),"",Z25-(T.ProdStunden.Bereich/100)*Z$14/12)</f>
        <v/>
      </c>
      <c r="AB25" s="383" t="str">
        <f aca="false">IF(AB$8="","",IF(EB.Anwendung&lt;&gt;"",IF(INDEX(September!Monat.ProjekteTotal.Bereich,AB$8)&lt;=0,0,INDEX(September!Monat.ProjekteTotal.Bereich,AB$8)),""))</f>
        <v/>
      </c>
      <c r="AC25" s="384" t="str">
        <f aca="true">IF(OR(AB25="",Eingabeblatt!$H21=0),"",AB25-(T.ProdStunden.Bereich/100)*AB$14/12)</f>
        <v/>
      </c>
      <c r="AD25" s="383" t="str">
        <f aca="false">IF(AD$8="","",IF(EB.Anwendung&lt;&gt;"",IF(INDEX(September!Monat.ProjekteTotal.Bereich,AD$8)&lt;=0,0,INDEX(September!Monat.ProjekteTotal.Bereich,AD$8)),""))</f>
        <v/>
      </c>
      <c r="AE25" s="384" t="str">
        <f aca="true">IF(OR(AD25="",Eingabeblatt!$H21=0),"",AD25-(T.ProdStunden.Bereich/100)*AD$14/12)</f>
        <v/>
      </c>
      <c r="AF25" s="360"/>
      <c r="AG25" s="385" t="n">
        <f aca="false">SUM(B25,D25,F25,H25,J25,L25,N25,P25,R25,T25,V25,X25,Z25,AB25,AD25)</f>
        <v>0</v>
      </c>
      <c r="AH25" s="360"/>
    </row>
    <row r="26" s="355" customFormat="true" ht="15" hidden="false" customHeight="true" outlineLevel="0" collapsed="false">
      <c r="A26" s="382" t="str">
        <f aca="false">INDEX(EB.Monate.Bereich,10,0)</f>
        <v>October</v>
      </c>
      <c r="B26" s="383" t="str">
        <f aca="false">IF(B$8="","",IF(EB.Anwendung&lt;&gt;"",IF(INDEX(October!Monat.ProjekteTotal.Bereich,B$8)&lt;=0,0,INDEX(October!Monat.ProjekteTotal.Bereich,B$8)),""))</f>
        <v/>
      </c>
      <c r="C26" s="384" t="str">
        <f aca="true">IF(OR(B26="",Eingabeblatt!$H22=0),"",B26-(T.ProdStunden.Bereich/100)*B$14/12)</f>
        <v/>
      </c>
      <c r="D26" s="383" t="str">
        <f aca="false">IF(D$8="","",IF(EB.Anwendung&lt;&gt;"",IF(INDEX(October!Monat.ProjekteTotal.Bereich,D$8)&lt;=0,0,INDEX(October!Monat.ProjekteTotal.Bereich,D$8)),""))</f>
        <v/>
      </c>
      <c r="E26" s="384" t="str">
        <f aca="true">IF(OR(D26="",Eingabeblatt!$H22=0),"",D26-(T.ProdStunden.Bereich/100)*D$14/12)</f>
        <v/>
      </c>
      <c r="F26" s="383" t="str">
        <f aca="false">IF(F$8="","",IF(EB.Anwendung&lt;&gt;"",IF(INDEX(October!Monat.ProjekteTotal.Bereich,F$8)&lt;=0,0,INDEX(October!Monat.ProjekteTotal.Bereich,F$8)),""))</f>
        <v/>
      </c>
      <c r="G26" s="384" t="str">
        <f aca="true">IF(OR(F26="",Eingabeblatt!$H22=0),"",F26-(T.ProdStunden.Bereich/100)*F$14/12)</f>
        <v/>
      </c>
      <c r="H26" s="383" t="str">
        <f aca="false">IF(H$8="","",IF(EB.Anwendung&lt;&gt;"",IF(INDEX(October!Monat.ProjekteTotal.Bereich,H$8)&lt;=0,0,INDEX(October!Monat.ProjekteTotal.Bereich,H$8)),""))</f>
        <v/>
      </c>
      <c r="I26" s="384" t="str">
        <f aca="true">IF(OR(H26="",Eingabeblatt!$H22=0),"",H26-(T.ProdStunden.Bereich/100)*H$14/12)</f>
        <v/>
      </c>
      <c r="J26" s="383" t="str">
        <f aca="false">IF(J$8="","",IF(EB.Anwendung&lt;&gt;"",IF(INDEX(October!Monat.ProjekteTotal.Bereich,J$8)&lt;=0,0,INDEX(October!Monat.ProjekteTotal.Bereich,J$8)),""))</f>
        <v/>
      </c>
      <c r="K26" s="384" t="str">
        <f aca="true">IF(OR(J26="",Eingabeblatt!$H22=0),"",J26-(T.ProdStunden.Bereich/100)*J$14/12)</f>
        <v/>
      </c>
      <c r="L26" s="383" t="str">
        <f aca="false">IF(L$8="","",IF(EB.Anwendung&lt;&gt;"",IF(INDEX(October!Monat.ProjekteTotal.Bereich,L$8)&lt;=0,0,INDEX(October!Monat.ProjekteTotal.Bereich,L$8)),""))</f>
        <v/>
      </c>
      <c r="M26" s="384" t="str">
        <f aca="true">IF(OR(L26="",Eingabeblatt!$H22=0),"",L26-(T.ProdStunden.Bereich/100)*L$14/12)</f>
        <v/>
      </c>
      <c r="N26" s="383" t="str">
        <f aca="false">IF(N$8="","",IF(EB.Anwendung&lt;&gt;"",IF(INDEX(October!Monat.ProjekteTotal.Bereich,N$8)&lt;=0,0,INDEX(October!Monat.ProjekteTotal.Bereich,N$8)),""))</f>
        <v/>
      </c>
      <c r="O26" s="384" t="str">
        <f aca="true">IF(OR(N26="",Eingabeblatt!$H22=0),"",N26-(T.ProdStunden.Bereich/100)*N$14/12)</f>
        <v/>
      </c>
      <c r="P26" s="383" t="str">
        <f aca="false">IF(P$8="","",IF(EB.Anwendung&lt;&gt;"",IF(INDEX(October!Monat.ProjekteTotal.Bereich,P$8)&lt;=0,0,INDEX(October!Monat.ProjekteTotal.Bereich,P$8)),""))</f>
        <v/>
      </c>
      <c r="Q26" s="384" t="str">
        <f aca="true">IF(OR(P26="",Eingabeblatt!$H22=0),"",P26-(T.ProdStunden.Bereich/100)*P$14/12)</f>
        <v/>
      </c>
      <c r="R26" s="383" t="str">
        <f aca="false">IF(R$8="","",IF(EB.Anwendung&lt;&gt;"",IF(INDEX(October!Monat.ProjekteTotal.Bereich,R$8)&lt;=0,0,INDEX(October!Monat.ProjekteTotal.Bereich,R$8)),""))</f>
        <v/>
      </c>
      <c r="S26" s="384" t="str">
        <f aca="true">IF(OR(R26="",Eingabeblatt!$H22=0),"",R26-(T.ProdStunden.Bereich/100)*R$14/12)</f>
        <v/>
      </c>
      <c r="T26" s="383" t="str">
        <f aca="false">IF(T$8="","",IF(EB.Anwendung&lt;&gt;"",IF(INDEX(October!Monat.ProjekteTotal.Bereich,T$8)&lt;=0,0,INDEX(October!Monat.ProjekteTotal.Bereich,T$8)),""))</f>
        <v/>
      </c>
      <c r="U26" s="384" t="str">
        <f aca="true">IF(OR(T26="",Eingabeblatt!$H22=0),"",T26-(T.ProdStunden.Bereich/100)*T$14/12)</f>
        <v/>
      </c>
      <c r="V26" s="383" t="str">
        <f aca="false">IF(V$8="","",IF(EB.Anwendung&lt;&gt;"",IF(INDEX(October!Monat.ProjekteTotal.Bereich,V$8)&lt;=0,0,INDEX(October!Monat.ProjekteTotal.Bereich,V$8)),""))</f>
        <v/>
      </c>
      <c r="W26" s="384" t="str">
        <f aca="true">IF(OR(V26="",Eingabeblatt!$H22=0),"",V26-(T.ProdStunden.Bereich/100)*V$14/12)</f>
        <v/>
      </c>
      <c r="X26" s="383" t="str">
        <f aca="false">IF(X$8="","",IF(EB.Anwendung&lt;&gt;"",IF(INDEX(October!Monat.ProjekteTotal.Bereich,X$8)&lt;=0,0,INDEX(October!Monat.ProjekteTotal.Bereich,X$8)),""))</f>
        <v/>
      </c>
      <c r="Y26" s="384" t="str">
        <f aca="true">IF(OR(X26="",Eingabeblatt!$H22=0),"",X26-(T.ProdStunden.Bereich/100)*X$14/12)</f>
        <v/>
      </c>
      <c r="Z26" s="383" t="str">
        <f aca="false">IF(Z$8="","",IF(EB.Anwendung&lt;&gt;"",IF(INDEX(October!Monat.ProjekteTotal.Bereich,Z$8)&lt;=0,0,INDEX(October!Monat.ProjekteTotal.Bereich,Z$8)),""))</f>
        <v/>
      </c>
      <c r="AA26" s="384" t="str">
        <f aca="true">IF(OR(Z26="",Eingabeblatt!$H22=0),"",Z26-(T.ProdStunden.Bereich/100)*Z$14/12)</f>
        <v/>
      </c>
      <c r="AB26" s="383" t="str">
        <f aca="false">IF(AB$8="","",IF(EB.Anwendung&lt;&gt;"",IF(INDEX(October!Monat.ProjekteTotal.Bereich,AB$8)&lt;=0,0,INDEX(October!Monat.ProjekteTotal.Bereich,AB$8)),""))</f>
        <v/>
      </c>
      <c r="AC26" s="384" t="str">
        <f aca="true">IF(OR(AB26="",Eingabeblatt!$H22=0),"",AB26-(T.ProdStunden.Bereich/100)*AB$14/12)</f>
        <v/>
      </c>
      <c r="AD26" s="383" t="str">
        <f aca="false">IF(AD$8="","",IF(EB.Anwendung&lt;&gt;"",IF(INDEX(October!Monat.ProjekteTotal.Bereich,AD$8)&lt;=0,0,INDEX(October!Monat.ProjekteTotal.Bereich,AD$8)),""))</f>
        <v/>
      </c>
      <c r="AE26" s="384" t="str">
        <f aca="true">IF(OR(AD26="",Eingabeblatt!$H22=0),"",AD26-(T.ProdStunden.Bereich/100)*AD$14/12)</f>
        <v/>
      </c>
      <c r="AF26" s="360"/>
      <c r="AG26" s="385" t="n">
        <f aca="false">SUM(B26,D26,F26,H26,J26,L26,N26,P26,R26,T26,V26,X26,Z26,AB26,AD26)</f>
        <v>0</v>
      </c>
      <c r="AH26" s="360"/>
    </row>
    <row r="27" s="355" customFormat="true" ht="15" hidden="false" customHeight="true" outlineLevel="0" collapsed="false">
      <c r="A27" s="382" t="str">
        <f aca="false">INDEX(EB.Monate.Bereich,11,0)</f>
        <v>November</v>
      </c>
      <c r="B27" s="383" t="str">
        <f aca="false">IF(B$8="","",IF(EB.Anwendung&lt;&gt;"",IF(INDEX(November!Monat.ProjekteTotal.Bereich,B$8)&lt;=0,0,INDEX(November!Monat.ProjekteTotal.Bereich,B$8)),""))</f>
        <v/>
      </c>
      <c r="C27" s="384" t="str">
        <f aca="true">IF(OR(B27="",Eingabeblatt!$H23=0),"",B27-(T.ProdStunden.Bereich/100)*B$14/12)</f>
        <v/>
      </c>
      <c r="D27" s="383" t="str">
        <f aca="false">IF(D$8="","",IF(EB.Anwendung&lt;&gt;"",IF(INDEX(November!Monat.ProjekteTotal.Bereich,D$8)&lt;=0,0,INDEX(November!Monat.ProjekteTotal.Bereich,D$8)),""))</f>
        <v/>
      </c>
      <c r="E27" s="384" t="str">
        <f aca="true">IF(OR(D27="",Eingabeblatt!$H23=0),"",D27-(T.ProdStunden.Bereich/100)*D$14/12)</f>
        <v/>
      </c>
      <c r="F27" s="383" t="str">
        <f aca="false">IF(F$8="","",IF(EB.Anwendung&lt;&gt;"",IF(INDEX(November!Monat.ProjekteTotal.Bereich,F$8)&lt;=0,0,INDEX(November!Monat.ProjekteTotal.Bereich,F$8)),""))</f>
        <v/>
      </c>
      <c r="G27" s="384" t="str">
        <f aca="true">IF(OR(F27="",Eingabeblatt!$H23=0),"",F27-(T.ProdStunden.Bereich/100)*F$14/12)</f>
        <v/>
      </c>
      <c r="H27" s="383" t="str">
        <f aca="false">IF(H$8="","",IF(EB.Anwendung&lt;&gt;"",IF(INDEX(November!Monat.ProjekteTotal.Bereich,H$8)&lt;=0,0,INDEX(November!Monat.ProjekteTotal.Bereich,H$8)),""))</f>
        <v/>
      </c>
      <c r="I27" s="384" t="str">
        <f aca="true">IF(OR(H27="",Eingabeblatt!$H23=0),"",H27-(T.ProdStunden.Bereich/100)*H$14/12)</f>
        <v/>
      </c>
      <c r="J27" s="383" t="str">
        <f aca="false">IF(J$8="","",IF(EB.Anwendung&lt;&gt;"",IF(INDEX(November!Monat.ProjekteTotal.Bereich,J$8)&lt;=0,0,INDEX(November!Monat.ProjekteTotal.Bereich,J$8)),""))</f>
        <v/>
      </c>
      <c r="K27" s="384" t="str">
        <f aca="true">IF(OR(J27="",Eingabeblatt!$H23=0),"",J27-(T.ProdStunden.Bereich/100)*J$14/12)</f>
        <v/>
      </c>
      <c r="L27" s="383" t="str">
        <f aca="false">IF(L$8="","",IF(EB.Anwendung&lt;&gt;"",IF(INDEX(November!Monat.ProjekteTotal.Bereich,L$8)&lt;=0,0,INDEX(November!Monat.ProjekteTotal.Bereich,L$8)),""))</f>
        <v/>
      </c>
      <c r="M27" s="384" t="str">
        <f aca="true">IF(OR(L27="",Eingabeblatt!$H23=0),"",L27-(T.ProdStunden.Bereich/100)*L$14/12)</f>
        <v/>
      </c>
      <c r="N27" s="383" t="str">
        <f aca="false">IF(N$8="","",IF(EB.Anwendung&lt;&gt;"",IF(INDEX(November!Monat.ProjekteTotal.Bereich,N$8)&lt;=0,0,INDEX(November!Monat.ProjekteTotal.Bereich,N$8)),""))</f>
        <v/>
      </c>
      <c r="O27" s="384" t="str">
        <f aca="true">IF(OR(N27="",Eingabeblatt!$H23=0),"",N27-(T.ProdStunden.Bereich/100)*N$14/12)</f>
        <v/>
      </c>
      <c r="P27" s="383" t="str">
        <f aca="false">IF(P$8="","",IF(EB.Anwendung&lt;&gt;"",IF(INDEX(November!Monat.ProjekteTotal.Bereich,P$8)&lt;=0,0,INDEX(November!Monat.ProjekteTotal.Bereich,P$8)),""))</f>
        <v/>
      </c>
      <c r="Q27" s="384" t="str">
        <f aca="true">IF(OR(P27="",Eingabeblatt!$H23=0),"",P27-(T.ProdStunden.Bereich/100)*P$14/12)</f>
        <v/>
      </c>
      <c r="R27" s="383" t="str">
        <f aca="false">IF(R$8="","",IF(EB.Anwendung&lt;&gt;"",IF(INDEX(November!Monat.ProjekteTotal.Bereich,R$8)&lt;=0,0,INDEX(November!Monat.ProjekteTotal.Bereich,R$8)),""))</f>
        <v/>
      </c>
      <c r="S27" s="384" t="str">
        <f aca="true">IF(OR(R27="",Eingabeblatt!$H23=0),"",R27-(T.ProdStunden.Bereich/100)*R$14/12)</f>
        <v/>
      </c>
      <c r="T27" s="383" t="str">
        <f aca="false">IF(T$8="","",IF(EB.Anwendung&lt;&gt;"",IF(INDEX(November!Monat.ProjekteTotal.Bereich,T$8)&lt;=0,0,INDEX(November!Monat.ProjekteTotal.Bereich,T$8)),""))</f>
        <v/>
      </c>
      <c r="U27" s="384" t="str">
        <f aca="true">IF(OR(T27="",Eingabeblatt!$H23=0),"",T27-(T.ProdStunden.Bereich/100)*T$14/12)</f>
        <v/>
      </c>
      <c r="V27" s="383" t="str">
        <f aca="false">IF(V$8="","",IF(EB.Anwendung&lt;&gt;"",IF(INDEX(November!Monat.ProjekteTotal.Bereich,V$8)&lt;=0,0,INDEX(November!Monat.ProjekteTotal.Bereich,V$8)),""))</f>
        <v/>
      </c>
      <c r="W27" s="384" t="str">
        <f aca="true">IF(OR(V27="",Eingabeblatt!$H23=0),"",V27-(T.ProdStunden.Bereich/100)*V$14/12)</f>
        <v/>
      </c>
      <c r="X27" s="383" t="str">
        <f aca="false">IF(X$8="","",IF(EB.Anwendung&lt;&gt;"",IF(INDEX(November!Monat.ProjekteTotal.Bereich,X$8)&lt;=0,0,INDEX(November!Monat.ProjekteTotal.Bereich,X$8)),""))</f>
        <v/>
      </c>
      <c r="Y27" s="384" t="str">
        <f aca="true">IF(OR(X27="",Eingabeblatt!$H23=0),"",X27-(T.ProdStunden.Bereich/100)*X$14/12)</f>
        <v/>
      </c>
      <c r="Z27" s="383" t="str">
        <f aca="false">IF(Z$8="","",IF(EB.Anwendung&lt;&gt;"",IF(INDEX(November!Monat.ProjekteTotal.Bereich,Z$8)&lt;=0,0,INDEX(November!Monat.ProjekteTotal.Bereich,Z$8)),""))</f>
        <v/>
      </c>
      <c r="AA27" s="384" t="str">
        <f aca="true">IF(OR(Z27="",Eingabeblatt!$H23=0),"",Z27-(T.ProdStunden.Bereich/100)*Z$14/12)</f>
        <v/>
      </c>
      <c r="AB27" s="383" t="str">
        <f aca="false">IF(AB$8="","",IF(EB.Anwendung&lt;&gt;"",IF(INDEX(November!Monat.ProjekteTotal.Bereich,AB$8)&lt;=0,0,INDEX(November!Monat.ProjekteTotal.Bereich,AB$8)),""))</f>
        <v/>
      </c>
      <c r="AC27" s="384" t="str">
        <f aca="true">IF(OR(AB27="",Eingabeblatt!$H23=0),"",AB27-(T.ProdStunden.Bereich/100)*AB$14/12)</f>
        <v/>
      </c>
      <c r="AD27" s="383" t="str">
        <f aca="false">IF(AD$8="","",IF(EB.Anwendung&lt;&gt;"",IF(INDEX(November!Monat.ProjekteTotal.Bereich,AD$8)&lt;=0,0,INDEX(November!Monat.ProjekteTotal.Bereich,AD$8)),""))</f>
        <v/>
      </c>
      <c r="AE27" s="384" t="str">
        <f aca="true">IF(OR(AD27="",Eingabeblatt!$H23=0),"",AD27-(T.ProdStunden.Bereich/100)*AD$14/12)</f>
        <v/>
      </c>
      <c r="AF27" s="360"/>
      <c r="AG27" s="385" t="n">
        <f aca="false">SUM(B27,D27,F27,H27,J27,L27,N27,P27,R27,T27,V27,X27,Z27,AB27,AD27)</f>
        <v>0</v>
      </c>
      <c r="AH27" s="360"/>
    </row>
    <row r="28" s="355" customFormat="true" ht="15" hidden="false" customHeight="true" outlineLevel="0" collapsed="false">
      <c r="A28" s="382" t="str">
        <f aca="false">INDEX(EB.Monate.Bereich,12,0)</f>
        <v>December</v>
      </c>
      <c r="B28" s="383" t="str">
        <f aca="false">IF(B$8="","",IF(EB.Anwendung&lt;&gt;"",IF(INDEX(December!Monat.ProjekteTotal.Bereich,B$8)&lt;=0,0,INDEX(December!Monat.ProjekteTotal.Bereich,B$8)),""))</f>
        <v/>
      </c>
      <c r="C28" s="384" t="str">
        <f aca="true">IF(OR(B28="",Eingabeblatt!$H24=0),"",B28-(T.ProdStunden.Bereich/100)*B$14/12)</f>
        <v/>
      </c>
      <c r="D28" s="383" t="str">
        <f aca="false">IF(D$8="","",IF(EB.Anwendung&lt;&gt;"",IF(INDEX(December!Monat.ProjekteTotal.Bereich,D$8)&lt;=0,0,INDEX(December!Monat.ProjekteTotal.Bereich,D$8)),""))</f>
        <v/>
      </c>
      <c r="E28" s="384" t="str">
        <f aca="true">IF(OR(D28="",Eingabeblatt!$H24=0),"",D28-(T.ProdStunden.Bereich/100)*D$14/12)</f>
        <v/>
      </c>
      <c r="F28" s="383" t="str">
        <f aca="false">IF(F$8="","",IF(EB.Anwendung&lt;&gt;"",IF(INDEX(December!Monat.ProjekteTotal.Bereich,F$8)&lt;=0,0,INDEX(December!Monat.ProjekteTotal.Bereich,F$8)),""))</f>
        <v/>
      </c>
      <c r="G28" s="384" t="str">
        <f aca="true">IF(OR(F28="",Eingabeblatt!$H24=0),"",F28-(T.ProdStunden.Bereich/100)*F$14/12)</f>
        <v/>
      </c>
      <c r="H28" s="383" t="str">
        <f aca="false">IF(H$8="","",IF(EB.Anwendung&lt;&gt;"",IF(INDEX(December!Monat.ProjekteTotal.Bereich,H$8)&lt;=0,0,INDEX(December!Monat.ProjekteTotal.Bereich,H$8)),""))</f>
        <v/>
      </c>
      <c r="I28" s="384" t="str">
        <f aca="true">IF(OR(H28="",Eingabeblatt!$H24=0),"",H28-(T.ProdStunden.Bereich/100)*H$14/12)</f>
        <v/>
      </c>
      <c r="J28" s="383" t="str">
        <f aca="false">IF(J$8="","",IF(EB.Anwendung&lt;&gt;"",IF(INDEX(December!Monat.ProjekteTotal.Bereich,J$8)&lt;=0,0,INDEX(December!Monat.ProjekteTotal.Bereich,J$8)),""))</f>
        <v/>
      </c>
      <c r="K28" s="384" t="str">
        <f aca="true">IF(OR(J28="",Eingabeblatt!$H24=0),"",J28-(T.ProdStunden.Bereich/100)*J$14/12)</f>
        <v/>
      </c>
      <c r="L28" s="383" t="str">
        <f aca="false">IF(L$8="","",IF(EB.Anwendung&lt;&gt;"",IF(INDEX(December!Monat.ProjekteTotal.Bereich,L$8)&lt;=0,0,INDEX(December!Monat.ProjekteTotal.Bereich,L$8)),""))</f>
        <v/>
      </c>
      <c r="M28" s="384" t="str">
        <f aca="true">IF(OR(L28="",Eingabeblatt!$H24=0),"",L28-(T.ProdStunden.Bereich/100)*L$14/12)</f>
        <v/>
      </c>
      <c r="N28" s="383" t="str">
        <f aca="false">IF(N$8="","",IF(EB.Anwendung&lt;&gt;"",IF(INDEX(December!Monat.ProjekteTotal.Bereich,N$8)&lt;=0,0,INDEX(December!Monat.ProjekteTotal.Bereich,N$8)),""))</f>
        <v/>
      </c>
      <c r="O28" s="384" t="str">
        <f aca="true">IF(OR(N28="",Eingabeblatt!$H24=0),"",N28-(T.ProdStunden.Bereich/100)*N$14/12)</f>
        <v/>
      </c>
      <c r="P28" s="383" t="str">
        <f aca="false">IF(P$8="","",IF(EB.Anwendung&lt;&gt;"",IF(INDEX(December!Monat.ProjekteTotal.Bereich,P$8)&lt;=0,0,INDEX(December!Monat.ProjekteTotal.Bereich,P$8)),""))</f>
        <v/>
      </c>
      <c r="Q28" s="384" t="str">
        <f aca="true">IF(OR(P28="",Eingabeblatt!$H24=0),"",P28-(T.ProdStunden.Bereich/100)*P$14/12)</f>
        <v/>
      </c>
      <c r="R28" s="383" t="str">
        <f aca="false">IF(R$8="","",IF(EB.Anwendung&lt;&gt;"",IF(INDEX(December!Monat.ProjekteTotal.Bereich,R$8)&lt;=0,0,INDEX(December!Monat.ProjekteTotal.Bereich,R$8)),""))</f>
        <v/>
      </c>
      <c r="S28" s="384" t="str">
        <f aca="true">IF(OR(R28="",Eingabeblatt!$H24=0),"",R28-(T.ProdStunden.Bereich/100)*R$14/12)</f>
        <v/>
      </c>
      <c r="T28" s="383" t="str">
        <f aca="false">IF(T$8="","",IF(EB.Anwendung&lt;&gt;"",IF(INDEX(December!Monat.ProjekteTotal.Bereich,T$8)&lt;=0,0,INDEX(December!Monat.ProjekteTotal.Bereich,T$8)),""))</f>
        <v/>
      </c>
      <c r="U28" s="384" t="str">
        <f aca="true">IF(OR(T28="",Eingabeblatt!$H24=0),"",T28-(T.ProdStunden.Bereich/100)*T$14/12)</f>
        <v/>
      </c>
      <c r="V28" s="383" t="str">
        <f aca="false">IF(V$8="","",IF(EB.Anwendung&lt;&gt;"",IF(INDEX(December!Monat.ProjekteTotal.Bereich,V$8)&lt;=0,0,INDEX(December!Monat.ProjekteTotal.Bereich,V$8)),""))</f>
        <v/>
      </c>
      <c r="W28" s="384" t="str">
        <f aca="true">IF(OR(V28="",Eingabeblatt!$H24=0),"",V28-(T.ProdStunden.Bereich/100)*V$14/12)</f>
        <v/>
      </c>
      <c r="X28" s="383" t="str">
        <f aca="false">IF(X$8="","",IF(EB.Anwendung&lt;&gt;"",IF(INDEX(December!Monat.ProjekteTotal.Bereich,X$8)&lt;=0,0,INDEX(December!Monat.ProjekteTotal.Bereich,X$8)),""))</f>
        <v/>
      </c>
      <c r="Y28" s="384" t="str">
        <f aca="true">IF(OR(X28="",Eingabeblatt!$H24=0),"",X28-(T.ProdStunden.Bereich/100)*X$14/12)</f>
        <v/>
      </c>
      <c r="Z28" s="383" t="str">
        <f aca="false">IF(Z$8="","",IF(EB.Anwendung&lt;&gt;"",IF(INDEX(December!Monat.ProjekteTotal.Bereich,Z$8)&lt;=0,0,INDEX(December!Monat.ProjekteTotal.Bereich,Z$8)),""))</f>
        <v/>
      </c>
      <c r="AA28" s="384" t="str">
        <f aca="true">IF(OR(Z28="",Eingabeblatt!$H24=0),"",Z28-(T.ProdStunden.Bereich/100)*Z$14/12)</f>
        <v/>
      </c>
      <c r="AB28" s="383" t="str">
        <f aca="false">IF(AB$8="","",IF(EB.Anwendung&lt;&gt;"",IF(INDEX(December!Monat.ProjekteTotal.Bereich,AB$8)&lt;=0,0,INDEX(December!Monat.ProjekteTotal.Bereich,AB$8)),""))</f>
        <v/>
      </c>
      <c r="AC28" s="384" t="str">
        <f aca="true">IF(OR(AB28="",Eingabeblatt!$H24=0),"",AB28-(T.ProdStunden.Bereich/100)*AB$14/12)</f>
        <v/>
      </c>
      <c r="AD28" s="383" t="str">
        <f aca="false">IF(AD$8="","",IF(EB.Anwendung&lt;&gt;"",IF(INDEX(December!Monat.ProjekteTotal.Bereich,AD$8)&lt;=0,0,INDEX(December!Monat.ProjekteTotal.Bereich,AD$8)),""))</f>
        <v/>
      </c>
      <c r="AE28" s="384" t="str">
        <f aca="true">IF(OR(AD28="",Eingabeblatt!$H24=0),"",AD28-(T.ProdStunden.Bereich/100)*AD$14/12)</f>
        <v/>
      </c>
      <c r="AF28" s="360"/>
      <c r="AG28" s="385" t="n">
        <f aca="false">SUM(B28,D28,F28,H28,J28,L28,N28,P28,R28,T28,V28,X28,Z28,AB28,AD28)</f>
        <v>0</v>
      </c>
      <c r="AH28" s="360"/>
    </row>
    <row r="29" s="355" customFormat="true" ht="11.25" hidden="false" customHeight="true" outlineLevel="0" collapsed="false">
      <c r="A29" s="386"/>
      <c r="B29" s="379"/>
      <c r="C29" s="379"/>
      <c r="D29" s="360"/>
      <c r="E29" s="379"/>
      <c r="F29" s="360"/>
      <c r="G29" s="379"/>
      <c r="H29" s="360"/>
      <c r="I29" s="379"/>
      <c r="J29" s="360"/>
      <c r="K29" s="379"/>
      <c r="L29" s="360"/>
      <c r="M29" s="379"/>
      <c r="N29" s="360"/>
      <c r="O29" s="379"/>
      <c r="P29" s="360"/>
      <c r="Q29" s="379"/>
      <c r="R29" s="360"/>
      <c r="S29" s="379"/>
      <c r="T29" s="360"/>
      <c r="U29" s="379"/>
      <c r="V29" s="360"/>
      <c r="W29" s="379"/>
      <c r="X29" s="360"/>
      <c r="Y29" s="379"/>
      <c r="Z29" s="360"/>
      <c r="AA29" s="379"/>
      <c r="AB29" s="360"/>
      <c r="AC29" s="379"/>
      <c r="AD29" s="360"/>
      <c r="AE29" s="360"/>
      <c r="AF29" s="360"/>
      <c r="AG29" s="360"/>
      <c r="AH29" s="360"/>
    </row>
    <row r="30" s="355" customFormat="true" ht="15" hidden="false" customHeight="true" outlineLevel="0" collapsed="false">
      <c r="A30" s="387" t="s">
        <v>210</v>
      </c>
      <c r="B30" s="383" t="n">
        <f aca="false">SUM(B17:B28)</f>
        <v>0</v>
      </c>
      <c r="C30" s="388"/>
      <c r="D30" s="383" t="n">
        <f aca="false">SUM(D17:D28)</f>
        <v>0</v>
      </c>
      <c r="E30" s="388"/>
      <c r="F30" s="383" t="n">
        <f aca="false">SUM(F17:F28)</f>
        <v>0</v>
      </c>
      <c r="G30" s="388"/>
      <c r="H30" s="383" t="n">
        <f aca="false">SUM(H17:H28)</f>
        <v>0</v>
      </c>
      <c r="I30" s="388"/>
      <c r="J30" s="383" t="n">
        <f aca="false">SUM(J17:J28)</f>
        <v>0</v>
      </c>
      <c r="K30" s="388"/>
      <c r="L30" s="383" t="n">
        <f aca="false">SUM(L17:L28)</f>
        <v>0</v>
      </c>
      <c r="M30" s="388"/>
      <c r="N30" s="383" t="n">
        <f aca="false">SUM(N17:N28)</f>
        <v>0</v>
      </c>
      <c r="O30" s="388"/>
      <c r="P30" s="383" t="n">
        <f aca="false">SUM(P17:P28)</f>
        <v>0</v>
      </c>
      <c r="Q30" s="388"/>
      <c r="R30" s="383" t="n">
        <f aca="false">SUM(R17:R28)</f>
        <v>0</v>
      </c>
      <c r="S30" s="388"/>
      <c r="T30" s="383" t="n">
        <f aca="false">SUM(T17:T28)</f>
        <v>0</v>
      </c>
      <c r="U30" s="388"/>
      <c r="V30" s="383" t="n">
        <f aca="false">SUM(V17:V28)</f>
        <v>0</v>
      </c>
      <c r="W30" s="388"/>
      <c r="X30" s="383" t="n">
        <f aca="false">SUM(X17:X28)</f>
        <v>0</v>
      </c>
      <c r="Y30" s="388"/>
      <c r="Z30" s="383" t="n">
        <f aca="false">SUM(Z17:Z28)</f>
        <v>0</v>
      </c>
      <c r="AA30" s="388"/>
      <c r="AB30" s="383" t="n">
        <f aca="false">SUM(AB17:AB28)</f>
        <v>0</v>
      </c>
      <c r="AC30" s="388"/>
      <c r="AD30" s="383" t="n">
        <f aca="false">SUM(AD17:AD28)</f>
        <v>0</v>
      </c>
      <c r="AE30" s="389"/>
      <c r="AF30" s="360"/>
      <c r="AG30" s="390" t="n">
        <f aca="false">SUM(B30,D30,F30,H30,J30,L30,N30,P30,R30,T30,V30,X30,Z30,AB30,AD30)</f>
        <v>0</v>
      </c>
      <c r="AH30" s="360"/>
    </row>
    <row r="31" s="355" customFormat="true" ht="15" hidden="false" customHeight="true" outlineLevel="0" collapsed="false">
      <c r="A31" s="387" t="s">
        <v>211</v>
      </c>
      <c r="B31" s="383" t="n">
        <f aca="true">((T.ProdStunden.Bereich/100)*IFERROR(INDEX(EB.Projekte.ganzerBereich,B$8,6),0))/12*COUNTIF(B17:B28,"&gt;0")</f>
        <v>0</v>
      </c>
      <c r="C31" s="388"/>
      <c r="D31" s="383" t="n">
        <f aca="true">((T.ProdStunden.Bereich/100)*IFERROR(INDEX(EB.Projekte.ganzerBereich,D$8,6),0))/12*COUNTIF(D17:D28,"&gt;0")</f>
        <v>0</v>
      </c>
      <c r="E31" s="388"/>
      <c r="F31" s="383" t="n">
        <f aca="true">((T.ProdStunden.Bereich/100)*IFERROR(INDEX(EB.Projekte.ganzerBereich,F$8,6),0))/12*COUNTIF(F17:F28,"&gt;0")</f>
        <v>0</v>
      </c>
      <c r="G31" s="388"/>
      <c r="H31" s="383" t="n">
        <f aca="true">((T.ProdStunden.Bereich/100)*IFERROR(INDEX(EB.Projekte.ganzerBereich,H$8,6),0))/12*COUNTIF(H17:H28,"&gt;0")</f>
        <v>0</v>
      </c>
      <c r="I31" s="388"/>
      <c r="J31" s="383" t="n">
        <f aca="true">((T.ProdStunden.Bereich/100)*IFERROR(INDEX(EB.Projekte.ganzerBereich,J$8,6),0))/12*COUNTIF(J17:J28,"&gt;0")</f>
        <v>0</v>
      </c>
      <c r="K31" s="388"/>
      <c r="L31" s="383" t="n">
        <f aca="true">((T.ProdStunden.Bereich/100)*IFERROR(INDEX(EB.Projekte.ganzerBereich,L$8,6),0))/12*COUNTIF(L17:L28,"&gt;0")</f>
        <v>0</v>
      </c>
      <c r="M31" s="388"/>
      <c r="N31" s="383" t="n">
        <f aca="true">((T.ProdStunden.Bereich/100)*IFERROR(INDEX(EB.Projekte.ganzerBereich,N$8,6),0))/12*COUNTIF(N17:N28,"&gt;0")</f>
        <v>0</v>
      </c>
      <c r="O31" s="388"/>
      <c r="P31" s="383" t="n">
        <f aca="true">((T.ProdStunden.Bereich/100)*IFERROR(INDEX(EB.Projekte.ganzerBereich,P$8,6),0))/12*COUNTIF(P17:P28,"&gt;0")</f>
        <v>0</v>
      </c>
      <c r="Q31" s="388"/>
      <c r="R31" s="383" t="n">
        <f aca="true">((T.ProdStunden.Bereich/100)*IFERROR(INDEX(EB.Projekte.ganzerBereich,R$8,6),0))/12*COUNTIF(R17:R28,"&gt;0")</f>
        <v>0</v>
      </c>
      <c r="S31" s="388"/>
      <c r="T31" s="383" t="n">
        <f aca="true">((T.ProdStunden.Bereich/100)*IFERROR(INDEX(EB.Projekte.ganzerBereich,T$8,6),0))/12*COUNTIF(T17:T28,"&gt;0")</f>
        <v>0</v>
      </c>
      <c r="U31" s="388"/>
      <c r="V31" s="383" t="n">
        <f aca="true">((T.ProdStunden.Bereich/100)*IFERROR(INDEX(EB.Projekte.ganzerBereich,V$8,6),0))/12*COUNTIF(V17:V28,"&gt;0")</f>
        <v>0</v>
      </c>
      <c r="W31" s="388"/>
      <c r="X31" s="383" t="n">
        <f aca="true">((T.ProdStunden.Bereich/100)*IFERROR(INDEX(EB.Projekte.ganzerBereich,X$8,6),0))/12*COUNTIF(X17:X28,"&gt;0")</f>
        <v>0</v>
      </c>
      <c r="Y31" s="388"/>
      <c r="Z31" s="383" t="n">
        <f aca="true">((T.ProdStunden.Bereich/100)*IFERROR(INDEX(EB.Projekte.ganzerBereich,Z$8,6),0))/12*COUNTIF(Z17:Z28,"&gt;0")</f>
        <v>0</v>
      </c>
      <c r="AA31" s="388"/>
      <c r="AB31" s="383" t="n">
        <f aca="true">((T.ProdStunden.Bereich/100)*IFERROR(INDEX(EB.Projekte.ganzerBereich,AB$8,6),0))/12*COUNTIF(AB17:AB28,"&gt;0")</f>
        <v>0</v>
      </c>
      <c r="AC31" s="388"/>
      <c r="AD31" s="383" t="n">
        <f aca="true">((T.ProdStunden.Bereich/100)*IFERROR(INDEX(EB.Projekte.ganzerBereich,AD$8,6),0))/12*COUNTIF(AD17:AD28,"&gt;0")</f>
        <v>0</v>
      </c>
      <c r="AE31" s="389"/>
      <c r="AF31" s="360"/>
      <c r="AG31" s="390" t="n">
        <f aca="false">SUM(B31,D31,F31,H31,J31,L31,N31,P31,R31,T31,V31,X31,Z31,AB31,AD31)</f>
        <v>0</v>
      </c>
      <c r="AH31" s="360"/>
    </row>
    <row r="32" s="355" customFormat="true" ht="15" hidden="false" customHeight="true" outlineLevel="0" collapsed="false">
      <c r="A32" s="387" t="s">
        <v>212</v>
      </c>
      <c r="B32" s="391" t="n">
        <f aca="false">B30-B31</f>
        <v>0</v>
      </c>
      <c r="C32" s="388"/>
      <c r="D32" s="391" t="n">
        <f aca="false">D30-D31</f>
        <v>0</v>
      </c>
      <c r="E32" s="388"/>
      <c r="F32" s="391" t="n">
        <f aca="false">F30-F31</f>
        <v>0</v>
      </c>
      <c r="G32" s="388"/>
      <c r="H32" s="391" t="n">
        <f aca="false">H30-H31</f>
        <v>0</v>
      </c>
      <c r="I32" s="388"/>
      <c r="J32" s="391" t="n">
        <f aca="false">J30-J31</f>
        <v>0</v>
      </c>
      <c r="K32" s="388"/>
      <c r="L32" s="391" t="n">
        <f aca="false">L30-L31</f>
        <v>0</v>
      </c>
      <c r="M32" s="388"/>
      <c r="N32" s="391" t="n">
        <f aca="false">N30-N31</f>
        <v>0</v>
      </c>
      <c r="O32" s="388"/>
      <c r="P32" s="391" t="n">
        <f aca="false">P30-P31</f>
        <v>0</v>
      </c>
      <c r="Q32" s="388"/>
      <c r="R32" s="391" t="n">
        <f aca="false">R30-R31</f>
        <v>0</v>
      </c>
      <c r="S32" s="388"/>
      <c r="T32" s="391" t="n">
        <f aca="false">T30-T31</f>
        <v>0</v>
      </c>
      <c r="U32" s="388"/>
      <c r="V32" s="391" t="n">
        <f aca="false">V30-V31</f>
        <v>0</v>
      </c>
      <c r="W32" s="388"/>
      <c r="X32" s="391" t="n">
        <f aca="false">X30-X31</f>
        <v>0</v>
      </c>
      <c r="Y32" s="388"/>
      <c r="Z32" s="391" t="n">
        <f aca="false">Z30-Z31</f>
        <v>0</v>
      </c>
      <c r="AA32" s="388"/>
      <c r="AB32" s="391" t="n">
        <f aca="false">AB30-AB31</f>
        <v>0</v>
      </c>
      <c r="AC32" s="388"/>
      <c r="AD32" s="391" t="n">
        <f aca="false">AD30-AD31</f>
        <v>0</v>
      </c>
      <c r="AE32" s="389"/>
      <c r="AF32" s="360"/>
      <c r="AG32" s="392" t="n">
        <f aca="false">SUM(B32,D32,F32,H32,J32,L32,N32,P32,R32,T32,V32,X32,Z32,AB32,AD32)</f>
        <v>0</v>
      </c>
      <c r="AH32" s="360"/>
    </row>
    <row r="33" s="355" customFormat="true" ht="11.25" hidden="false" customHeight="true" outlineLevel="0" collapsed="false">
      <c r="A33" s="386"/>
      <c r="B33" s="379"/>
      <c r="C33" s="379"/>
      <c r="D33" s="379"/>
      <c r="E33" s="379"/>
      <c r="F33" s="379"/>
      <c r="G33" s="379"/>
      <c r="H33" s="379"/>
      <c r="I33" s="379"/>
      <c r="J33" s="379"/>
      <c r="K33" s="379"/>
      <c r="L33" s="379"/>
      <c r="M33" s="379"/>
      <c r="N33" s="379"/>
      <c r="O33" s="379"/>
      <c r="P33" s="379"/>
      <c r="Q33" s="379"/>
      <c r="R33" s="379"/>
      <c r="S33" s="379"/>
      <c r="T33" s="379"/>
      <c r="U33" s="379"/>
      <c r="V33" s="379"/>
      <c r="W33" s="379"/>
      <c r="X33" s="379"/>
      <c r="Y33" s="379"/>
      <c r="Z33" s="379"/>
      <c r="AA33" s="379"/>
      <c r="AB33" s="379"/>
      <c r="AC33" s="379"/>
      <c r="AD33" s="379"/>
      <c r="AE33" s="360"/>
      <c r="AF33" s="360"/>
      <c r="AG33" s="360"/>
      <c r="AH33" s="360"/>
    </row>
    <row r="34" s="355" customFormat="true" ht="15" hidden="false" customHeight="true" outlineLevel="0" collapsed="false">
      <c r="A34" s="393" t="s">
        <v>66</v>
      </c>
      <c r="B34" s="385" t="n">
        <f aca="false">SUM(B17:B28)</f>
        <v>0</v>
      </c>
      <c r="C34" s="394"/>
      <c r="D34" s="385" t="n">
        <f aca="false">SUM(D17:D28)</f>
        <v>0</v>
      </c>
      <c r="E34" s="394"/>
      <c r="F34" s="385" t="n">
        <f aca="false">SUM(F17:F28)</f>
        <v>0</v>
      </c>
      <c r="G34" s="394"/>
      <c r="H34" s="385" t="n">
        <f aca="false">SUM(H17:H28)</f>
        <v>0</v>
      </c>
      <c r="I34" s="394"/>
      <c r="J34" s="385" t="n">
        <f aca="false">SUM(J17:J28)</f>
        <v>0</v>
      </c>
      <c r="K34" s="394"/>
      <c r="L34" s="385" t="n">
        <f aca="false">SUM(L17:L28)</f>
        <v>0</v>
      </c>
      <c r="M34" s="394"/>
      <c r="N34" s="385" t="n">
        <f aca="false">SUM(N17:N28)</f>
        <v>0</v>
      </c>
      <c r="O34" s="394"/>
      <c r="P34" s="385" t="n">
        <f aca="false">SUM(P17:P28)</f>
        <v>0</v>
      </c>
      <c r="Q34" s="394"/>
      <c r="R34" s="385" t="n">
        <f aca="false">SUM(R17:R28)</f>
        <v>0</v>
      </c>
      <c r="S34" s="394"/>
      <c r="T34" s="385" t="n">
        <f aca="false">SUM(T17:T28)</f>
        <v>0</v>
      </c>
      <c r="U34" s="395"/>
      <c r="V34" s="385" t="n">
        <f aca="false">SUM(V17:V28)</f>
        <v>0</v>
      </c>
      <c r="W34" s="395"/>
      <c r="X34" s="385" t="n">
        <f aca="false">SUM(X17:X28)</f>
        <v>0</v>
      </c>
      <c r="Y34" s="395"/>
      <c r="Z34" s="385" t="n">
        <f aca="false">SUM(Z17:Z28)</f>
        <v>0</v>
      </c>
      <c r="AA34" s="395"/>
      <c r="AB34" s="385" t="n">
        <f aca="false">SUM(AB17:AB28)</f>
        <v>0</v>
      </c>
      <c r="AC34" s="395"/>
      <c r="AD34" s="385" t="n">
        <f aca="false">SUM(AD17:AD28)</f>
        <v>0</v>
      </c>
      <c r="AE34" s="389"/>
      <c r="AF34" s="360"/>
      <c r="AG34" s="390" t="n">
        <f aca="false">SUM(B34,D34,F34,H34,J34,L34,N34,P34,R34,T34,V34,X34,Z34,AB34,AD34)</f>
        <v>0</v>
      </c>
      <c r="AH34" s="360"/>
    </row>
    <row r="35" s="355" customFormat="true" ht="11.25" hidden="false" customHeight="true" outlineLevel="0" collapsed="false">
      <c r="A35" s="396"/>
      <c r="B35" s="397"/>
      <c r="C35" s="397"/>
      <c r="D35" s="397"/>
      <c r="E35" s="397"/>
      <c r="F35" s="397"/>
      <c r="G35" s="397"/>
      <c r="H35" s="397"/>
      <c r="I35" s="397"/>
      <c r="J35" s="397"/>
      <c r="K35" s="397"/>
      <c r="L35" s="397"/>
      <c r="M35" s="397"/>
      <c r="N35" s="397"/>
      <c r="O35" s="397"/>
      <c r="P35" s="397"/>
      <c r="Q35" s="397"/>
      <c r="R35" s="397"/>
      <c r="S35" s="397"/>
      <c r="T35" s="397"/>
      <c r="U35" s="397"/>
      <c r="V35" s="397"/>
      <c r="W35" s="397"/>
      <c r="X35" s="397"/>
      <c r="Y35" s="397"/>
      <c r="Z35" s="397"/>
      <c r="AA35" s="397"/>
      <c r="AB35" s="397"/>
      <c r="AC35" s="397"/>
      <c r="AD35" s="397"/>
      <c r="AE35" s="397"/>
      <c r="AF35" s="397"/>
      <c r="AG35" s="397"/>
      <c r="AH35" s="360"/>
    </row>
    <row r="36" customFormat="false" ht="57" hidden="false" customHeight="true" outlineLevel="0" collapsed="false">
      <c r="A36" s="398" t="s">
        <v>181</v>
      </c>
      <c r="B36" s="399"/>
      <c r="C36" s="399"/>
      <c r="D36" s="399"/>
      <c r="E36" s="399"/>
      <c r="F36" s="399"/>
      <c r="G36" s="399"/>
      <c r="H36" s="397"/>
      <c r="I36" s="397"/>
      <c r="J36" s="398" t="s">
        <v>182</v>
      </c>
      <c r="K36" s="399"/>
      <c r="L36" s="399"/>
      <c r="M36" s="399"/>
      <c r="N36" s="399"/>
      <c r="O36" s="398"/>
      <c r="P36" s="398"/>
      <c r="Q36" s="398"/>
      <c r="R36" s="398"/>
      <c r="S36" s="398"/>
      <c r="T36" s="398"/>
      <c r="U36" s="398"/>
      <c r="V36" s="398"/>
      <c r="W36" s="397"/>
      <c r="X36" s="397"/>
      <c r="Y36" s="397"/>
      <c r="Z36" s="397"/>
      <c r="AA36" s="397"/>
      <c r="AB36" s="397"/>
      <c r="AC36" s="397"/>
      <c r="AD36" s="397"/>
      <c r="AE36" s="360"/>
      <c r="AF36" s="360"/>
      <c r="AG36" s="360"/>
      <c r="AH36" s="360"/>
      <c r="AI36" s="355"/>
      <c r="AJ36" s="355"/>
      <c r="AK36" s="355"/>
    </row>
    <row r="37" customFormat="false" ht="11.25" hidden="false" customHeight="true" outlineLevel="0" collapsed="false">
      <c r="A37" s="397"/>
      <c r="B37" s="397"/>
      <c r="C37" s="397"/>
      <c r="D37" s="397"/>
      <c r="E37" s="397"/>
      <c r="F37" s="397"/>
      <c r="G37" s="397"/>
      <c r="H37" s="397"/>
      <c r="I37" s="397"/>
      <c r="J37" s="397"/>
      <c r="K37" s="397"/>
      <c r="L37" s="397"/>
      <c r="M37" s="397"/>
      <c r="N37" s="397"/>
      <c r="O37" s="397"/>
      <c r="P37" s="397"/>
      <c r="Q37" s="397"/>
      <c r="R37" s="397"/>
      <c r="S37" s="397"/>
      <c r="T37" s="397"/>
      <c r="U37" s="397"/>
      <c r="V37" s="397"/>
      <c r="W37" s="397"/>
      <c r="X37" s="397"/>
      <c r="Y37" s="397"/>
      <c r="Z37" s="397"/>
      <c r="AA37" s="397"/>
      <c r="AB37" s="397"/>
      <c r="AC37" s="397"/>
      <c r="AD37" s="397"/>
      <c r="AE37" s="360"/>
      <c r="AF37" s="360"/>
      <c r="AG37" s="360"/>
      <c r="AH37" s="360"/>
      <c r="AI37" s="355"/>
      <c r="AJ37" s="355"/>
      <c r="AK37" s="355"/>
    </row>
    <row r="38" customFormat="false" ht="11.25" hidden="false" customHeight="true" outlineLevel="0" collapsed="false">
      <c r="A38" s="396"/>
      <c r="B38" s="397"/>
      <c r="C38" s="397"/>
      <c r="D38" s="397"/>
      <c r="E38" s="397"/>
      <c r="F38" s="397"/>
      <c r="G38" s="397"/>
      <c r="H38" s="397"/>
      <c r="I38" s="397"/>
      <c r="J38" s="397"/>
      <c r="K38" s="397"/>
      <c r="L38" s="397"/>
      <c r="M38" s="397"/>
      <c r="N38" s="397"/>
      <c r="O38" s="397"/>
      <c r="P38" s="397"/>
      <c r="Q38" s="397"/>
      <c r="R38" s="397"/>
      <c r="S38" s="397"/>
      <c r="T38" s="397"/>
      <c r="U38" s="397"/>
      <c r="V38" s="397"/>
      <c r="W38" s="397"/>
      <c r="X38" s="397"/>
      <c r="Y38" s="397"/>
      <c r="Z38" s="397"/>
      <c r="AA38" s="397"/>
      <c r="AB38" s="397"/>
      <c r="AC38" s="397"/>
      <c r="AD38" s="397"/>
      <c r="AE38" s="397"/>
      <c r="AF38" s="397"/>
      <c r="AG38" s="397"/>
      <c r="AH38" s="360"/>
      <c r="AI38" s="355"/>
      <c r="AJ38" s="355"/>
      <c r="AK38" s="355"/>
    </row>
    <row r="60" customFormat="false" ht="14.25" hidden="false" customHeight="true" outlineLevel="0" collapsed="false"/>
  </sheetData>
  <sheetProtection sheet="true" objects="true" scenarios="true"/>
  <mergeCells count="16">
    <mergeCell ref="E1:K1"/>
    <mergeCell ref="B2:D2"/>
    <mergeCell ref="E2:J2"/>
    <mergeCell ref="L2:M2"/>
    <mergeCell ref="B3:D3"/>
    <mergeCell ref="E3:J3"/>
    <mergeCell ref="B4:D4"/>
    <mergeCell ref="E4:J4"/>
    <mergeCell ref="B5:D5"/>
    <mergeCell ref="E5:J5"/>
    <mergeCell ref="B6:D6"/>
    <mergeCell ref="E6:J6"/>
    <mergeCell ref="B7:D7"/>
    <mergeCell ref="E7:J7"/>
    <mergeCell ref="B36:G36"/>
    <mergeCell ref="K36:N36"/>
  </mergeCells>
  <conditionalFormatting sqref="B32 F32 H32 J32 L32 N32 P32 R32 T32 V32 X32 Z32 AB32 AD32 D32 AG32">
    <cfRule type="expression" priority="2" aboveAverage="0" equalAverage="0" bottom="0" percent="0" rank="0" text="" dxfId="0">
      <formula>B$32&lt;0</formula>
    </cfRule>
  </conditionalFormatting>
  <conditionalFormatting sqref="C17:C28 AE17:AE28 AC17:AC28 AA17:AA28 Y17:Y28 W17:W28 U17:U28 S17:S28 Q17:Q28 O17:O28 M17:M28 K17:K28 I17:I28 G17:G28 E17:E28">
    <cfRule type="expression" priority="3" aboveAverage="0" equalAverage="0" bottom="0" percent="0" rank="0" text="" dxfId="1">
      <formula>C17&lt;0</formula>
    </cfRule>
  </conditionalFormatting>
  <conditionalFormatting sqref="B9:B34 F9:F34 H9:H34 J9:J34 L9:L34 N9:N34 P9:P34 R9:R34 T9:T34 V9:V34 X9:X34 Z9:Z34 AB9:AB34 AD9:AD34 D9:D34">
    <cfRule type="expression" priority="4" aboveAverage="0" equalAverage="0" bottom="0" percent="0" rank="0" text="" dxfId="2">
      <formula>B$8=""</formula>
    </cfRule>
  </conditionalFormatting>
  <conditionalFormatting sqref="C9:C34 E9:E34 G9:G34 I9:I34 K9:K34 M9:M34 O9:O34 Q9:Q34 S9:S34 U9:U34 W9:W34 Y9:Y34 AA9:AA34 AC9:AC34 AE9:AE34">
    <cfRule type="expression" priority="5" aboveAverage="0" equalAverage="0" bottom="0" percent="0" rank="0" text="" dxfId="3">
      <formula>B$8=""</formula>
    </cfRule>
  </conditionalFormatting>
  <conditionalFormatting sqref="A11:A15 A17:A28 A30:A32 A34">
    <cfRule type="expression" priority="6" aboveAverage="0" equalAverage="0" bottom="0" percent="0" rank="0" text="" dxfId="4">
      <formula>$B$8=""</formula>
    </cfRule>
  </conditionalFormatting>
  <conditionalFormatting sqref="D9 D17:D28 F9 F17:F28 H9 H17:H28 J9 J17:J28 L9 L17:L28 N9 N17:N28 P9 P17:P28 R9 R17:R28 T9 T17:T28 V9 V17:V28 X9 X17:X28 Z9 Z17:Z28 AB9 AB17:AB28 AD9 AD17:AD28">
    <cfRule type="expression" priority="7" aboveAverage="0" equalAverage="0" bottom="0" percent="0" rank="0" text="" dxfId="5">
      <formula>AND(B$8&lt;&gt;"",D$8="")</formula>
    </cfRule>
  </conditionalFormatting>
  <printOptions headings="false" gridLines="false" gridLinesSet="true" horizontalCentered="true" verticalCentered="false"/>
  <pageMargins left="0.196527777777778" right="0.196527777777778" top="0.39375" bottom="0.393055555555556" header="0.511805555555555" footer="0.196527777777778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&amp;L&amp;"Arial,Regular"&amp;11&amp;A&amp;R&amp;"Arial,Regular"&amp;11&amp;P / 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H2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3" zeroHeight="false" outlineLevelRow="0" outlineLevelCol="0"/>
  <cols>
    <col collapsed="false" customWidth="true" hidden="false" outlineLevel="0" max="1" min="1" style="400" width="37.5"/>
    <col collapsed="false" customWidth="true" hidden="false" outlineLevel="0" max="2" min="2" style="400" width="1.5"/>
    <col collapsed="false" customWidth="true" hidden="false" outlineLevel="0" max="3" min="3" style="400" width="35.17"/>
    <col collapsed="false" customWidth="true" hidden="false" outlineLevel="0" max="4" min="4" style="400" width="1.5"/>
    <col collapsed="false" customWidth="true" hidden="false" outlineLevel="0" max="5" min="5" style="400" width="2.5"/>
    <col collapsed="false" customWidth="true" hidden="false" outlineLevel="0" max="6" min="6" style="400" width="1.5"/>
    <col collapsed="false" customWidth="true" hidden="false" outlineLevel="0" max="7" min="7" style="400" width="23.5"/>
    <col collapsed="false" customWidth="true" hidden="false" outlineLevel="0" max="8" min="8" style="400" width="1.5"/>
    <col collapsed="false" customWidth="true" hidden="false" outlineLevel="0" max="9" min="9" style="400" width="10.5"/>
    <col collapsed="false" customWidth="true" hidden="false" outlineLevel="0" max="10" min="10" style="400" width="6.17"/>
    <col collapsed="false" customWidth="true" hidden="false" outlineLevel="0" max="13" min="11" style="400" width="2.5"/>
    <col collapsed="false" customWidth="true" hidden="false" outlineLevel="0" max="14" min="14" style="400" width="16.33"/>
    <col collapsed="false" customWidth="true" hidden="false" outlineLevel="0" max="15" min="15" style="400" width="4.33"/>
    <col collapsed="false" customWidth="true" hidden="false" outlineLevel="0" max="16" min="16" style="400" width="4.66"/>
    <col collapsed="false" customWidth="true" hidden="false" outlineLevel="0" max="17" min="17" style="400" width="2.5"/>
    <col collapsed="false" customWidth="true" hidden="false" outlineLevel="0" max="18" min="18" style="400" width="23.5"/>
    <col collapsed="false" customWidth="true" hidden="false" outlineLevel="0" max="19" min="19" style="400" width="2.5"/>
    <col collapsed="false" customWidth="true" hidden="false" outlineLevel="0" max="20" min="20" style="400" width="4.33"/>
    <col collapsed="false" customWidth="true" hidden="false" outlineLevel="0" max="21" min="21" style="400" width="1.5"/>
    <col collapsed="false" customWidth="true" hidden="false" outlineLevel="0" max="22" min="22" style="0" width="5.66"/>
    <col collapsed="false" customWidth="true" hidden="false" outlineLevel="0" max="23" min="23" style="0" width="1.5"/>
    <col collapsed="false" customWidth="true" hidden="false" outlineLevel="0" max="24" min="24" style="0" width="17.5"/>
    <col collapsed="false" customWidth="true" hidden="false" outlineLevel="0" max="25" min="25" style="0" width="5.66"/>
    <col collapsed="false" customWidth="true" hidden="false" outlineLevel="0" max="26" min="26" style="0" width="1.5"/>
    <col collapsed="false" customWidth="true" hidden="false" outlineLevel="0" max="27" min="27" style="0" width="20.66"/>
    <col collapsed="false" customWidth="true" hidden="false" outlineLevel="0" max="28" min="28" style="0" width="5.17"/>
    <col collapsed="false" customWidth="true" hidden="false" outlineLevel="0" max="29" min="29" style="401" width="3.5"/>
    <col collapsed="false" customWidth="true" hidden="false" outlineLevel="0" max="30" min="30" style="0" width="1.5"/>
    <col collapsed="false" customWidth="true" hidden="false" outlineLevel="0" max="31" min="31" style="400" width="5.66"/>
    <col collapsed="false" customWidth="true" hidden="false" outlineLevel="0" max="32" min="32" style="400" width="1.5"/>
    <col collapsed="false" customWidth="true" hidden="false" outlineLevel="0" max="33" min="33" style="400" width="4.83"/>
    <col collapsed="false" customWidth="true" hidden="false" outlineLevel="0" max="34" min="34" style="400" width="1.5"/>
    <col collapsed="false" customWidth="true" hidden="false" outlineLevel="0" max="1025" min="35" style="0" width="11"/>
  </cols>
  <sheetData>
    <row r="1" s="403" customFormat="true" ht="35.25" hidden="false" customHeight="true" outlineLevel="0" collapsed="false">
      <c r="A1" s="402" t="s">
        <v>213</v>
      </c>
      <c r="B1" s="402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  <c r="R1" s="402"/>
      <c r="S1" s="402"/>
      <c r="T1" s="402"/>
      <c r="V1" s="404"/>
      <c r="W1" s="404"/>
      <c r="X1" s="404"/>
      <c r="Y1" s="404"/>
      <c r="Z1" s="404"/>
      <c r="AA1" s="404"/>
      <c r="AB1" s="404"/>
      <c r="AC1" s="405"/>
      <c r="AD1" s="404"/>
    </row>
    <row r="2" customFormat="false" ht="69" hidden="false" customHeight="false" outlineLevel="0" collapsed="false">
      <c r="A2" s="406" t="s">
        <v>214</v>
      </c>
      <c r="B2" s="407" t="n">
        <f aca="true">COUNTIF((OFFSET(T.AnzFakultaet,1,-1,ROWS($A:$A)-ROW(T.AnzFakultaet),1)),"&lt;&gt;")</f>
        <v>8</v>
      </c>
      <c r="C2" s="406" t="s">
        <v>215</v>
      </c>
      <c r="D2" s="407" t="n">
        <f aca="true">COUNTIF((OFFSET(T.AnzPersonalkategorie,1,-1,ROWS($A:$A)-ROW(T.AnzPersonalkategorie),1)),"&lt;&gt;")</f>
        <v>6</v>
      </c>
      <c r="E2" s="406" t="s">
        <v>216</v>
      </c>
      <c r="F2" s="407" t="n">
        <f aca="true">COUNTIF((OFFSET(T.AnzProjektart,1,-1,ROWS($A:$A)-ROW(T.AnzProjektart),1)),"&lt;&gt;")</f>
        <v>7</v>
      </c>
      <c r="G2" s="406" t="s">
        <v>217</v>
      </c>
      <c r="H2" s="407" t="n">
        <f aca="true">COUNTIF((OFFSET(T.AnzProjektartName,1,-1,ROWS($A:$A)-ROW(T.AnzProjektartName),1)),"&lt;&gt;")</f>
        <v>8</v>
      </c>
      <c r="I2" s="406" t="s">
        <v>218</v>
      </c>
      <c r="J2" s="406" t="s">
        <v>219</v>
      </c>
      <c r="K2" s="407" t="n">
        <f aca="true">COUNTIF((OFFSET(T.AnzFeiertage,1,-2,ROWS($A:$A)-ROW(T.AnzFeiertage),1)),"&gt;0")</f>
        <v>16</v>
      </c>
      <c r="L2" s="406" t="s">
        <v>220</v>
      </c>
      <c r="M2" s="407" t="n">
        <f aca="true">COUNTIF((OFFSET(T.AnzFrei_Tage,1,-1,ROWS($A:$A)-ROW(T.AnzFrei_Tage),1)),"&lt;&gt;")</f>
        <v>11</v>
      </c>
      <c r="N2" s="406" t="s">
        <v>221</v>
      </c>
      <c r="O2" s="406" t="s">
        <v>222</v>
      </c>
      <c r="P2" s="406" t="s">
        <v>223</v>
      </c>
      <c r="Q2" s="407" t="n">
        <f aca="true">COUNTIF((OFFSET(T.AnzDefinierteZeiten,1,-3,ROWS($A:$A)-ROW(T.AnzDefinierteZeiten),1)),"&lt;&gt;")</f>
        <v>3</v>
      </c>
      <c r="R2" s="406" t="s">
        <v>224</v>
      </c>
      <c r="S2" s="407" t="n">
        <f aca="true">COUNTIF((OFFSET(T.AnzWeitereAngaben,1,-1,ROWS($A:$A)-ROW(T.AnzWeitereAngaben),1)),"&lt;&gt;")</f>
        <v>1</v>
      </c>
      <c r="T2" s="406" t="s">
        <v>225</v>
      </c>
      <c r="U2" s="407" t="n">
        <f aca="true">COUNTIF((OFFSET(T.AnzWochenarbeitszeit,1,-1,ROWS($A:$A)-ROW(T.AnzWochenarbeitszeit),1)),"&lt;&gt;")</f>
        <v>2</v>
      </c>
      <c r="V2" s="406" t="s">
        <v>226</v>
      </c>
      <c r="W2" s="407" t="n">
        <f aca="true">COUNTIF((OFFSET(T.AnzProdStunden,1,-1,ROWS($A:$A)-ROW(T.AnzProdStunden),1)),"&lt;&gt;")</f>
        <v>1</v>
      </c>
      <c r="X2" s="408" t="s">
        <v>227</v>
      </c>
      <c r="Y2" s="408" t="s">
        <v>228</v>
      </c>
      <c r="Z2" s="407" t="n">
        <f aca="true">COUNTIF((OFFSET(T.AnzAbfragewerte,1,-1,ROWS($A:$A)-ROW(T.AnzAbfragewerte),1)),"&lt;&gt;")</f>
        <v>2</v>
      </c>
      <c r="AA2" s="408" t="s">
        <v>229</v>
      </c>
      <c r="AB2" s="408" t="s">
        <v>230</v>
      </c>
      <c r="AC2" s="409" t="s">
        <v>231</v>
      </c>
      <c r="AD2" s="407" t="n">
        <f aca="true">COUNTIF((OFFSET(T.DefinierteAbfragen.Knoten,1,0,ROWS($A:$A)-ROW(T.DefinierteAbfragen.Knoten),1)),"&lt;&gt;")</f>
        <v>3</v>
      </c>
      <c r="AE2" s="408" t="s">
        <v>232</v>
      </c>
      <c r="AF2" s="407" t="n">
        <f aca="true">COUNTIF((OFFSET(T.AnzJaNein,1,-1,ROWS($A:$A)-ROW(T.AnzJaNein),1)),"&lt;&gt;")</f>
        <v>2</v>
      </c>
      <c r="AG2" s="406" t="s">
        <v>233</v>
      </c>
      <c r="AH2" s="407" t="n">
        <f aca="true">COUNTIF((OFFSET(T.AnzPikett,1,-1,ROWS($A:$A)-ROW(T.AnzPikett),1)),"&lt;&gt;")</f>
        <v>4</v>
      </c>
    </row>
    <row r="3" customFormat="false" ht="13" hidden="false" customHeight="false" outlineLevel="0" collapsed="false">
      <c r="A3" s="410" t="s">
        <v>234</v>
      </c>
      <c r="C3" s="410" t="s">
        <v>235</v>
      </c>
      <c r="E3" s="410" t="n">
        <v>1</v>
      </c>
      <c r="G3" s="410" t="s">
        <v>236</v>
      </c>
      <c r="I3" s="411" t="n">
        <v>41639</v>
      </c>
      <c r="J3" s="412" t="n">
        <v>0</v>
      </c>
      <c r="L3" s="410" t="n">
        <v>0</v>
      </c>
      <c r="N3" s="413" t="s">
        <v>237</v>
      </c>
      <c r="O3" s="414" t="n">
        <f aca="false">IF(T.50_Vetsuisse,23/24,20/24)</f>
        <v>0.833333333333333</v>
      </c>
      <c r="P3" s="415" t="n">
        <v>0.25</v>
      </c>
      <c r="R3" s="410" t="s">
        <v>238</v>
      </c>
      <c r="T3" s="416" t="n">
        <v>1.75</v>
      </c>
      <c r="V3" s="416" t="n">
        <v>76.6493055555556</v>
      </c>
      <c r="W3" s="417"/>
      <c r="X3" s="418" t="s">
        <v>239</v>
      </c>
      <c r="Y3" s="416" t="n">
        <f aca="false">1/24*140</f>
        <v>5.83333333333333</v>
      </c>
      <c r="Z3" s="417"/>
      <c r="AA3" s="419" t="s">
        <v>240</v>
      </c>
      <c r="AB3" s="420" t="n">
        <f aca="false">AND(EB.Wochenarbeitszeit=50/24,EB.Fakultaet="Vetsuisse")</f>
        <v>0</v>
      </c>
      <c r="AC3" s="421" t="n">
        <v>0.1</v>
      </c>
      <c r="AD3" s="417"/>
      <c r="AE3" s="413" t="str">
        <f aca="false">IF(EB.Sprache="DE","Ja","Yes")</f>
        <v>Yes</v>
      </c>
      <c r="AF3" s="417"/>
      <c r="AG3" s="413" t="str">
        <f aca="false">AE4</f>
        <v>No</v>
      </c>
      <c r="AH3" s="417"/>
    </row>
    <row r="4" s="400" customFormat="true" ht="11" hidden="false" customHeight="false" outlineLevel="0" collapsed="false">
      <c r="A4" s="422" t="s">
        <v>241</v>
      </c>
      <c r="C4" s="422" t="s">
        <v>242</v>
      </c>
      <c r="E4" s="422" t="n">
        <v>2</v>
      </c>
      <c r="G4" s="422" t="s">
        <v>243</v>
      </c>
      <c r="I4" s="423" t="n">
        <v>41640</v>
      </c>
      <c r="J4" s="424" t="n">
        <v>0</v>
      </c>
      <c r="L4" s="422" t="n">
        <v>1</v>
      </c>
      <c r="N4" s="425" t="s">
        <v>244</v>
      </c>
      <c r="O4" s="426" t="n">
        <f aca="false">20/24</f>
        <v>0.833333333333333</v>
      </c>
      <c r="P4" s="427" t="n">
        <f aca="false">23/24</f>
        <v>0.958333333333333</v>
      </c>
      <c r="R4" s="422"/>
      <c r="T4" s="428" t="n">
        <v>2.08333333333333</v>
      </c>
      <c r="W4" s="417"/>
      <c r="X4" s="429" t="s">
        <v>245</v>
      </c>
      <c r="Y4" s="430" t="n">
        <v>0.85</v>
      </c>
      <c r="AA4" s="431" t="s">
        <v>246</v>
      </c>
      <c r="AB4" s="432" t="n">
        <f aca="false">AND(EB.Wochenarbeitszeit=50/24,EB.Fakultaet&lt;&gt;"Vetsuisse")</f>
        <v>0</v>
      </c>
      <c r="AC4" s="433" t="n">
        <v>0</v>
      </c>
      <c r="AE4" s="425" t="str">
        <f aca="false">IF(EB.Sprache="DE","Nein","No")</f>
        <v>No</v>
      </c>
      <c r="AG4" s="425" t="s">
        <v>247</v>
      </c>
    </row>
    <row r="5" s="400" customFormat="true" ht="11" hidden="false" customHeight="false" outlineLevel="0" collapsed="false">
      <c r="A5" s="422" t="s">
        <v>248</v>
      </c>
      <c r="C5" s="422" t="s">
        <v>249</v>
      </c>
      <c r="E5" s="422" t="n">
        <v>3</v>
      </c>
      <c r="G5" s="422" t="s">
        <v>250</v>
      </c>
      <c r="I5" s="423" t="n">
        <v>41726</v>
      </c>
      <c r="J5" s="424" t="n">
        <f aca="false">6/8.4</f>
        <v>0.714285714285714</v>
      </c>
      <c r="L5" s="422" t="n">
        <v>2</v>
      </c>
      <c r="N5" s="425" t="s">
        <v>251</v>
      </c>
      <c r="O5" s="427"/>
      <c r="P5" s="427" t="n">
        <v>0.333333333333333</v>
      </c>
      <c r="R5" s="422"/>
      <c r="AA5" s="431" t="s">
        <v>238</v>
      </c>
      <c r="AB5" s="432" t="n">
        <f aca="false">IFERROR(IF(FIND("ServiceCenter Irchel",EB.WeitereAngaben)&gt;0,1,0),0)</f>
        <v>0</v>
      </c>
      <c r="AC5" s="433" t="n">
        <v>0.2</v>
      </c>
      <c r="AG5" s="425" t="s">
        <v>252</v>
      </c>
    </row>
    <row r="6" s="400" customFormat="true" ht="11" hidden="false" customHeight="false" outlineLevel="0" collapsed="false">
      <c r="A6" s="422" t="s">
        <v>253</v>
      </c>
      <c r="C6" s="422" t="s">
        <v>254</v>
      </c>
      <c r="E6" s="422" t="n">
        <v>4</v>
      </c>
      <c r="G6" s="422" t="s">
        <v>255</v>
      </c>
      <c r="I6" s="423" t="n">
        <v>41727</v>
      </c>
      <c r="J6" s="424" t="n">
        <v>0</v>
      </c>
      <c r="L6" s="422" t="n">
        <v>3</v>
      </c>
      <c r="N6" s="423"/>
      <c r="O6" s="427"/>
      <c r="P6" s="427"/>
      <c r="R6" s="422"/>
      <c r="AC6" s="401"/>
      <c r="AG6" s="425" t="str">
        <f aca="false">AE3</f>
        <v>Yes</v>
      </c>
    </row>
    <row r="7" s="400" customFormat="true" ht="11" hidden="false" customHeight="false" outlineLevel="0" collapsed="false">
      <c r="A7" s="422" t="s">
        <v>256</v>
      </c>
      <c r="C7" s="422" t="s">
        <v>257</v>
      </c>
      <c r="E7" s="422" t="n">
        <v>5</v>
      </c>
      <c r="G7" s="422" t="s">
        <v>258</v>
      </c>
      <c r="I7" s="423" t="n">
        <v>41730</v>
      </c>
      <c r="J7" s="424" t="n">
        <v>0</v>
      </c>
      <c r="L7" s="422" t="n">
        <v>4</v>
      </c>
      <c r="N7" s="423"/>
      <c r="O7" s="427"/>
      <c r="P7" s="427"/>
      <c r="R7" s="422"/>
      <c r="AC7" s="401"/>
    </row>
    <row r="8" s="400" customFormat="true" ht="11" hidden="false" customHeight="false" outlineLevel="0" collapsed="false">
      <c r="A8" s="425" t="s">
        <v>259</v>
      </c>
      <c r="C8" s="422" t="s">
        <v>260</v>
      </c>
      <c r="E8" s="422" t="n">
        <v>6</v>
      </c>
      <c r="G8" s="422" t="s">
        <v>261</v>
      </c>
      <c r="I8" s="423" t="n">
        <v>41744</v>
      </c>
      <c r="J8" s="424" t="n">
        <v>0.5</v>
      </c>
      <c r="L8" s="422" t="n">
        <v>5</v>
      </c>
      <c r="N8" s="423"/>
      <c r="O8" s="427"/>
      <c r="P8" s="427"/>
      <c r="R8" s="422"/>
      <c r="AC8" s="401"/>
    </row>
    <row r="9" s="400" customFormat="true" ht="11" hidden="false" customHeight="false" outlineLevel="0" collapsed="false">
      <c r="A9" s="422" t="s">
        <v>262</v>
      </c>
      <c r="C9" s="422"/>
      <c r="E9" s="422" t="n">
        <v>7</v>
      </c>
      <c r="G9" s="434" t="s">
        <v>263</v>
      </c>
      <c r="I9" s="423" t="n">
        <v>41759</v>
      </c>
      <c r="J9" s="424" t="n">
        <v>0</v>
      </c>
      <c r="L9" s="422" t="n">
        <v>6</v>
      </c>
      <c r="N9" s="423"/>
      <c r="O9" s="427"/>
      <c r="P9" s="427"/>
      <c r="R9" s="434"/>
      <c r="AC9" s="401"/>
    </row>
    <row r="10" s="400" customFormat="true" ht="11" hidden="false" customHeight="false" outlineLevel="0" collapsed="false">
      <c r="A10" s="422" t="s">
        <v>264</v>
      </c>
      <c r="C10" s="422"/>
      <c r="E10" s="422"/>
      <c r="G10" s="434" t="s">
        <v>265</v>
      </c>
      <c r="I10" s="423" t="n">
        <v>41767</v>
      </c>
      <c r="J10" s="424" t="n">
        <f aca="false">6/8.4</f>
        <v>0.714285714285714</v>
      </c>
      <c r="L10" s="422" t="n">
        <v>7</v>
      </c>
      <c r="N10" s="423"/>
      <c r="O10" s="427"/>
      <c r="P10" s="427"/>
      <c r="R10" s="434"/>
      <c r="AC10" s="401"/>
    </row>
    <row r="11" s="400" customFormat="true" ht="11" hidden="false" customHeight="false" outlineLevel="0" collapsed="false">
      <c r="A11" s="422"/>
      <c r="C11" s="422"/>
      <c r="E11" s="422"/>
      <c r="G11" s="422"/>
      <c r="I11" s="423" t="n">
        <v>41768</v>
      </c>
      <c r="J11" s="424" t="n">
        <v>0</v>
      </c>
      <c r="L11" s="422" t="n">
        <v>8</v>
      </c>
      <c r="N11" s="423"/>
      <c r="O11" s="427"/>
      <c r="P11" s="427"/>
      <c r="R11" s="422"/>
      <c r="AC11" s="401"/>
    </row>
    <row r="12" s="400" customFormat="true" ht="11" hidden="false" customHeight="false" outlineLevel="0" collapsed="false">
      <c r="A12" s="422"/>
      <c r="C12" s="422"/>
      <c r="E12" s="422"/>
      <c r="G12" s="422"/>
      <c r="I12" s="423" t="n">
        <v>41779</v>
      </c>
      <c r="J12" s="424" t="n">
        <v>0</v>
      </c>
      <c r="L12" s="422" t="n">
        <v>9</v>
      </c>
      <c r="N12" s="423"/>
      <c r="O12" s="427"/>
      <c r="P12" s="427"/>
      <c r="R12" s="422"/>
      <c r="AC12" s="401"/>
    </row>
    <row r="13" s="400" customFormat="true" ht="11" hidden="false" customHeight="false" outlineLevel="0" collapsed="false">
      <c r="A13" s="422"/>
      <c r="C13" s="422"/>
      <c r="E13" s="422"/>
      <c r="G13" s="422"/>
      <c r="I13" s="423" t="n">
        <v>41851</v>
      </c>
      <c r="J13" s="424" t="n">
        <v>0</v>
      </c>
      <c r="L13" s="422" t="n">
        <v>10</v>
      </c>
      <c r="N13" s="423"/>
      <c r="O13" s="427"/>
      <c r="P13" s="427"/>
      <c r="R13" s="422"/>
      <c r="AC13" s="401"/>
    </row>
    <row r="14" s="400" customFormat="true" ht="11" hidden="false" customHeight="false" outlineLevel="0" collapsed="false">
      <c r="A14" s="422"/>
      <c r="C14" s="422"/>
      <c r="E14" s="422"/>
      <c r="G14" s="422"/>
      <c r="I14" s="423" t="n">
        <v>41891</v>
      </c>
      <c r="J14" s="424" t="n">
        <v>0.5</v>
      </c>
      <c r="L14" s="422"/>
      <c r="N14" s="423"/>
      <c r="O14" s="427"/>
      <c r="P14" s="427"/>
      <c r="R14" s="422"/>
      <c r="AC14" s="401"/>
    </row>
    <row r="15" s="400" customFormat="true" ht="11" hidden="false" customHeight="false" outlineLevel="0" collapsed="false">
      <c r="A15" s="422"/>
      <c r="C15" s="422"/>
      <c r="E15" s="422"/>
      <c r="G15" s="422"/>
      <c r="I15" s="423" t="n">
        <v>41996</v>
      </c>
      <c r="J15" s="424" t="n">
        <v>0.5</v>
      </c>
      <c r="L15" s="422"/>
      <c r="N15" s="423"/>
      <c r="O15" s="427"/>
      <c r="P15" s="427"/>
      <c r="R15" s="422"/>
      <c r="AC15" s="401"/>
    </row>
    <row r="16" s="400" customFormat="true" ht="11" hidden="false" customHeight="false" outlineLevel="0" collapsed="false">
      <c r="A16" s="422"/>
      <c r="C16" s="422"/>
      <c r="E16" s="422"/>
      <c r="G16" s="422"/>
      <c r="I16" s="423" t="n">
        <v>41997</v>
      </c>
      <c r="J16" s="424" t="n">
        <v>0</v>
      </c>
      <c r="L16" s="422"/>
      <c r="N16" s="423"/>
      <c r="O16" s="427"/>
      <c r="P16" s="427"/>
      <c r="R16" s="422"/>
      <c r="AC16" s="401"/>
    </row>
    <row r="17" s="400" customFormat="true" ht="11" hidden="false" customHeight="false" outlineLevel="0" collapsed="false">
      <c r="A17" s="422"/>
      <c r="C17" s="422"/>
      <c r="E17" s="422"/>
      <c r="G17" s="422"/>
      <c r="I17" s="423" t="n">
        <v>41998</v>
      </c>
      <c r="J17" s="424" t="n">
        <v>0</v>
      </c>
      <c r="L17" s="422"/>
      <c r="N17" s="423"/>
      <c r="O17" s="427"/>
      <c r="P17" s="427"/>
      <c r="R17" s="422"/>
      <c r="AC17" s="401"/>
    </row>
    <row r="18" s="400" customFormat="true" ht="11" hidden="false" customHeight="false" outlineLevel="0" collapsed="false">
      <c r="A18" s="422"/>
      <c r="C18" s="422"/>
      <c r="E18" s="422"/>
      <c r="G18" s="422"/>
      <c r="I18" s="423" t="n">
        <v>42003</v>
      </c>
      <c r="J18" s="424" t="n">
        <f aca="false">6/8.4</f>
        <v>0.714285714285714</v>
      </c>
      <c r="L18" s="422"/>
      <c r="N18" s="423"/>
      <c r="O18" s="427"/>
      <c r="P18" s="427"/>
      <c r="R18" s="422"/>
      <c r="AC18" s="401"/>
    </row>
    <row r="19" s="400" customFormat="true" ht="11" hidden="false" customHeight="false" outlineLevel="0" collapsed="false">
      <c r="A19" s="422"/>
      <c r="C19" s="422"/>
      <c r="E19" s="422"/>
      <c r="G19" s="422"/>
      <c r="I19" s="423"/>
      <c r="J19" s="424"/>
      <c r="L19" s="422"/>
      <c r="N19" s="423"/>
      <c r="O19" s="427"/>
      <c r="P19" s="427"/>
      <c r="R19" s="422"/>
      <c r="AC19" s="401"/>
    </row>
    <row r="20" s="400" customFormat="true" ht="11" hidden="false" customHeight="false" outlineLevel="0" collapsed="false">
      <c r="A20" s="422"/>
      <c r="C20" s="422"/>
      <c r="E20" s="422"/>
      <c r="G20" s="422"/>
      <c r="I20" s="423"/>
      <c r="J20" s="424"/>
      <c r="L20" s="422"/>
      <c r="N20" s="423"/>
      <c r="O20" s="427"/>
      <c r="P20" s="427"/>
      <c r="R20" s="422"/>
      <c r="AC20" s="401"/>
    </row>
    <row r="21" s="400" customFormat="true" ht="11" hidden="false" customHeight="false" outlineLevel="0" collapsed="false">
      <c r="A21" s="422"/>
      <c r="C21" s="422"/>
      <c r="E21" s="422"/>
      <c r="G21" s="422"/>
      <c r="I21" s="423"/>
      <c r="J21" s="424"/>
      <c r="L21" s="422"/>
      <c r="N21" s="423"/>
      <c r="O21" s="427"/>
      <c r="P21" s="427"/>
      <c r="R21" s="422"/>
      <c r="AC21" s="401"/>
    </row>
    <row r="22" s="400" customFormat="true" ht="11" hidden="false" customHeight="false" outlineLevel="0" collapsed="false">
      <c r="A22" s="422"/>
      <c r="C22" s="422"/>
      <c r="E22" s="422"/>
      <c r="G22" s="422"/>
      <c r="I22" s="423"/>
      <c r="J22" s="424"/>
      <c r="L22" s="422"/>
      <c r="N22" s="423"/>
      <c r="O22" s="427"/>
      <c r="P22" s="427"/>
      <c r="R22" s="422"/>
      <c r="AC22" s="401"/>
    </row>
    <row r="23" s="400" customFormat="true" ht="11" hidden="false" customHeight="false" outlineLevel="0" collapsed="false">
      <c r="A23" s="422"/>
      <c r="C23" s="422"/>
      <c r="E23" s="422"/>
      <c r="G23" s="422"/>
      <c r="I23" s="423"/>
      <c r="J23" s="424"/>
      <c r="L23" s="422"/>
      <c r="N23" s="423"/>
      <c r="O23" s="427"/>
      <c r="P23" s="427"/>
      <c r="R23" s="422"/>
      <c r="AC23" s="401"/>
    </row>
    <row r="24" s="400" customFormat="true" ht="11" hidden="false" customHeight="false" outlineLevel="0" collapsed="false">
      <c r="A24" s="422"/>
      <c r="C24" s="422"/>
      <c r="E24" s="422"/>
      <c r="G24" s="422"/>
      <c r="I24" s="423"/>
      <c r="J24" s="424"/>
      <c r="L24" s="422"/>
      <c r="N24" s="423"/>
      <c r="O24" s="427"/>
      <c r="P24" s="427"/>
      <c r="R24" s="422"/>
      <c r="AC24" s="401"/>
    </row>
  </sheetData>
  <sheetProtection sheet="true" objects="true" scenarios="true"/>
  <mergeCells count="1">
    <mergeCell ref="A1:T1"/>
  </mergeCells>
  <printOptions headings="false" gridLines="false" gridLinesSet="true" horizontalCentered="false" verticalCentered="false"/>
  <pageMargins left="0.196527777777778" right="0.196527777777778" top="0.39375" bottom="0.393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Q124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" ySplit="10" topLeftCell="B11" activePane="bottomRight" state="frozen"/>
      <selection pane="topLeft" activeCell="A1" activeCellId="0" sqref="A1"/>
      <selection pane="topRight" activeCell="B1" activeCellId="0" sqref="B1"/>
      <selection pane="bottomLeft" activeCell="A11" activeCellId="0" sqref="A11"/>
      <selection pane="bottomRight" activeCell="B13" activeCellId="0" sqref="B13"/>
    </sheetView>
  </sheetViews>
  <sheetFormatPr defaultRowHeight="13" zeroHeight="false" outlineLevelRow="1" outlineLevelCol="1"/>
  <cols>
    <col collapsed="false" customWidth="true" hidden="false" outlineLevel="0" max="1" min="1" style="132" width="24.5"/>
    <col collapsed="false" customWidth="true" hidden="false" outlineLevel="0" max="32" min="2" style="132" width="5.66"/>
    <col collapsed="false" customWidth="true" hidden="false" outlineLevel="0" max="33" min="33" style="133" width="24.5"/>
    <col collapsed="false" customWidth="true" hidden="false" outlineLevel="0" max="34" min="34" style="134" width="2.17"/>
    <col collapsed="false" customWidth="true" hidden="false" outlineLevel="0" max="36" min="35" style="132" width="8.17"/>
    <col collapsed="false" customWidth="true" hidden="true" outlineLevel="1" max="37" min="37" style="132" width="15.83"/>
    <col collapsed="false" customWidth="true" hidden="true" outlineLevel="1" max="39" min="38" style="132" width="14.33"/>
    <col collapsed="false" customWidth="true" hidden="false" outlineLevel="0" max="40" min="40" style="135" width="9.5"/>
    <col collapsed="false" customWidth="true" hidden="false" outlineLevel="0" max="42" min="41" style="132" width="8.17"/>
    <col collapsed="false" customWidth="true" hidden="false" outlineLevel="0" max="43" min="43" style="132" width="3.66"/>
    <col collapsed="false" customWidth="true" hidden="false" outlineLevel="0" max="1025" min="44" style="0" width="10.66"/>
  </cols>
  <sheetData>
    <row r="1" s="142" customFormat="true" ht="22.5" hidden="false" customHeight="true" outlineLevel="0" collapsed="false">
      <c r="A1" s="136" t="str">
        <f aca="false">INDEX(EB.Monate.Bereich,MONTH(Monat.Tag1)) &amp; " " &amp; EB.Jahr</f>
        <v>January 2018</v>
      </c>
      <c r="B1" s="137" t="str">
        <f aca="false">Eingabeblatt!B1</f>
        <v>Employee Time Sheet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6"/>
      <c r="N1" s="6"/>
      <c r="O1" s="6"/>
      <c r="P1" s="6"/>
      <c r="Q1" s="6"/>
      <c r="R1" s="138"/>
      <c r="S1" s="6"/>
      <c r="T1" s="6"/>
      <c r="U1" s="6"/>
      <c r="V1" s="139"/>
      <c r="W1" s="139"/>
      <c r="X1" s="6"/>
      <c r="Y1" s="138"/>
      <c r="Z1" s="6"/>
      <c r="AA1" s="6"/>
      <c r="AB1" s="6"/>
      <c r="AC1" s="6"/>
      <c r="AD1" s="6"/>
      <c r="AE1" s="6"/>
      <c r="AF1" s="6"/>
      <c r="AG1" s="140"/>
      <c r="AH1" s="141"/>
      <c r="AI1" s="6"/>
      <c r="AJ1" s="6"/>
      <c r="AK1" s="6"/>
      <c r="AL1" s="6"/>
      <c r="AM1" s="6"/>
      <c r="AN1" s="7"/>
      <c r="AO1" s="7" t="str">
        <f aca="false">EB.Version</f>
        <v>Version 01.18</v>
      </c>
      <c r="AP1" s="7"/>
      <c r="AQ1" s="8" t="str">
        <f aca="false">EB.Sprache</f>
        <v>EN</v>
      </c>
    </row>
    <row r="2" s="148" customFormat="true" ht="15" hidden="false" customHeight="true" outlineLevel="0" collapsed="false">
      <c r="A2" s="55"/>
      <c r="B2" s="11" t="str">
        <f aca="false">Eingabeblatt!A3</f>
        <v>Name</v>
      </c>
      <c r="C2" s="11"/>
      <c r="D2" s="11"/>
      <c r="E2" s="11"/>
      <c r="F2" s="143" t="str">
        <f aca="false">IF(EB.Name="","?",EB.Name)</f>
        <v>Christopher Gwilliams</v>
      </c>
      <c r="G2" s="143"/>
      <c r="H2" s="143"/>
      <c r="I2" s="143"/>
      <c r="J2" s="143"/>
      <c r="K2" s="143"/>
      <c r="L2" s="143"/>
      <c r="M2" s="143"/>
      <c r="N2" s="143"/>
      <c r="O2" s="144"/>
      <c r="P2" s="11" t="str">
        <f aca="false">Eingabeblatt!J7</f>
        <v>Employment Level (FTE) in %</v>
      </c>
      <c r="Q2" s="11"/>
      <c r="R2" s="11"/>
      <c r="S2" s="11"/>
      <c r="T2" s="11"/>
      <c r="U2" s="11"/>
      <c r="V2" s="58" t="n">
        <f aca="false">IF(INDEX(EB.EffBG.Bereich,MONTH(Monat.Tag1))="","-     ",INDEX(EB.EffBG.Bereich,MONTH(Monat.Tag1)))</f>
        <v>0</v>
      </c>
      <c r="W2" s="145"/>
      <c r="X2" s="145"/>
      <c r="Y2" s="16"/>
      <c r="Z2" s="39"/>
      <c r="AA2" s="39"/>
      <c r="AB2" s="39"/>
      <c r="AC2" s="39"/>
      <c r="AD2" s="39"/>
      <c r="AE2" s="39"/>
      <c r="AF2" s="39"/>
      <c r="AG2" s="13"/>
      <c r="AH2" s="146"/>
      <c r="AI2" s="39"/>
      <c r="AJ2" s="39"/>
      <c r="AK2" s="39"/>
      <c r="AL2" s="39"/>
      <c r="AM2" s="39"/>
      <c r="AN2" s="147"/>
      <c r="AO2" s="39"/>
      <c r="AP2" s="39"/>
      <c r="AQ2" s="39"/>
    </row>
    <row r="3" s="148" customFormat="true" ht="15" hidden="false" customHeight="true" outlineLevel="0" collapsed="false">
      <c r="A3" s="149"/>
      <c r="B3" s="11" t="str">
        <f aca="false">Eingabeblatt!H2</f>
        <v>Function</v>
      </c>
      <c r="C3" s="11"/>
      <c r="D3" s="11"/>
      <c r="E3" s="11"/>
      <c r="F3" s="150" t="str">
        <f aca="false">EB.Funktion</f>
        <v>Description of Function</v>
      </c>
      <c r="G3" s="150"/>
      <c r="H3" s="150"/>
      <c r="I3" s="150"/>
      <c r="J3" s="150"/>
      <c r="K3" s="150"/>
      <c r="L3" s="150"/>
      <c r="M3" s="150"/>
      <c r="N3" s="150"/>
      <c r="O3" s="13"/>
      <c r="P3" s="11" t="str">
        <f aca="false">Eingabeblatt!J12</f>
        <v>ø Hours per day at FTE</v>
      </c>
      <c r="Q3" s="11"/>
      <c r="R3" s="11"/>
      <c r="S3" s="11"/>
      <c r="T3" s="11"/>
      <c r="U3" s="11"/>
      <c r="V3" s="151" t="n">
        <f aca="false">IF(INDEX(EB.DurchSollTAZStd.Bereich,MONTH(Monat.Tag1))="","-     ",INDEX(EB.DurchSollTAZStd.Bereich,MONTH(Monat.Tag1)))</f>
        <v>0</v>
      </c>
      <c r="W3" s="152"/>
      <c r="X3" s="152"/>
      <c r="Y3" s="39"/>
      <c r="Z3" s="39"/>
      <c r="AA3" s="39"/>
      <c r="AB3" s="39"/>
      <c r="AC3" s="39"/>
      <c r="AD3" s="39"/>
      <c r="AE3" s="39"/>
      <c r="AF3" s="39"/>
      <c r="AG3" s="13"/>
      <c r="AH3" s="146"/>
      <c r="AI3" s="39"/>
      <c r="AJ3" s="39"/>
      <c r="AK3" s="39"/>
      <c r="AL3" s="39"/>
      <c r="AM3" s="39"/>
      <c r="AN3" s="147"/>
      <c r="AO3" s="39"/>
      <c r="AP3" s="39"/>
      <c r="AQ3" s="39"/>
    </row>
    <row r="4" s="148" customFormat="true" ht="15" hidden="false" customHeight="true" outlineLevel="0" collapsed="false">
      <c r="A4" s="149"/>
      <c r="B4" s="11" t="str">
        <f aca="false">Eingabeblatt!H3</f>
        <v>Institute/Department</v>
      </c>
      <c r="C4" s="11"/>
      <c r="D4" s="11"/>
      <c r="E4" s="11"/>
      <c r="F4" s="150" t="str">
        <f aca="false">EB.Institut</f>
        <v>Institute/Department Name</v>
      </c>
      <c r="G4" s="150"/>
      <c r="H4" s="150"/>
      <c r="I4" s="150"/>
      <c r="J4" s="150"/>
      <c r="K4" s="150"/>
      <c r="L4" s="150"/>
      <c r="M4" s="150"/>
      <c r="N4" s="150"/>
      <c r="O4" s="13"/>
      <c r="P4" s="47" t="str">
        <f aca="true">IF(EB.ÜZZSBerechtigt=INDEX(T.JaNein.Bereich,1,1),IF(AND(OR(AND(EB.LKgr16=INDEX(T.JaNein.Bereich,1,1),EB.LKgr16ab&gt;EOMONTH(Monat.Tag1,0)),EB.LKgr16&lt;&gt;INDEX(T.JaNein.Bereich,1,1)),Monat.AZSoll.Total&gt;0),Eingabeblatt!J6,""),"")</f>
        <v/>
      </c>
      <c r="Q4" s="47"/>
      <c r="R4" s="47"/>
      <c r="S4" s="47"/>
      <c r="T4" s="47"/>
      <c r="U4" s="47"/>
      <c r="V4" s="153" t="str">
        <f aca="false">IF(P4&lt;&gt;"",EB.ÜZZSBerechtigt,"")</f>
        <v/>
      </c>
      <c r="W4" s="39"/>
      <c r="X4" s="39"/>
      <c r="Y4" s="39"/>
      <c r="Z4" s="39"/>
      <c r="AA4" s="39"/>
      <c r="AB4" s="39"/>
      <c r="AC4" s="39"/>
      <c r="AD4" s="39"/>
      <c r="AE4" s="39"/>
      <c r="AF4" s="39"/>
      <c r="AG4" s="13"/>
      <c r="AH4" s="146"/>
      <c r="AI4" s="39"/>
      <c r="AJ4" s="39"/>
      <c r="AK4" s="39"/>
      <c r="AL4" s="39"/>
      <c r="AM4" s="39"/>
      <c r="AN4" s="147"/>
      <c r="AO4" s="39"/>
      <c r="AP4" s="39"/>
      <c r="AQ4" s="39"/>
    </row>
    <row r="5" s="148" customFormat="true" ht="15" hidden="false" customHeight="true" outlineLevel="0" collapsed="false">
      <c r="A5" s="149"/>
      <c r="B5" s="11" t="str">
        <f aca="false">Eingabeblatt!A5</f>
        <v>Employee Number</v>
      </c>
      <c r="C5" s="11"/>
      <c r="D5" s="11"/>
      <c r="E5" s="11"/>
      <c r="F5" s="150" t="str">
        <f aca="false">IF(EB.Personalnummer="","?",EB.Personalnummer)</f>
        <v>?</v>
      </c>
      <c r="G5" s="150"/>
      <c r="H5" s="150"/>
      <c r="I5" s="150"/>
      <c r="J5" s="150"/>
      <c r="K5" s="150"/>
      <c r="L5" s="150"/>
      <c r="M5" s="150"/>
      <c r="N5" s="150"/>
      <c r="O5" s="13"/>
      <c r="P5" s="19" t="str">
        <f aca="false">Eingabeblatt!A38</f>
        <v>Standard working hours</v>
      </c>
      <c r="Q5" s="13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 t="s">
        <v>120</v>
      </c>
      <c r="AG5" s="13"/>
      <c r="AH5" s="146"/>
      <c r="AI5" s="39"/>
      <c r="AJ5" s="39"/>
      <c r="AK5" s="39"/>
      <c r="AL5" s="39"/>
      <c r="AM5" s="39"/>
      <c r="AN5" s="147"/>
      <c r="AO5" s="39"/>
      <c r="AP5" s="39"/>
      <c r="AQ5" s="39"/>
    </row>
    <row r="6" s="148" customFormat="true" ht="15" hidden="false" customHeight="true" outlineLevel="0" collapsed="false">
      <c r="A6" s="149"/>
      <c r="B6" s="11" t="str">
        <f aca="false">Eingabeblatt!H4</f>
        <v>Faculty</v>
      </c>
      <c r="C6" s="11"/>
      <c r="D6" s="11"/>
      <c r="E6" s="11"/>
      <c r="F6" s="150" t="str">
        <f aca="false">EB.Fakultaet</f>
        <v>Select Faculty</v>
      </c>
      <c r="G6" s="150"/>
      <c r="H6" s="150"/>
      <c r="I6" s="150"/>
      <c r="J6" s="150"/>
      <c r="K6" s="150"/>
      <c r="L6" s="150"/>
      <c r="M6" s="150"/>
      <c r="N6" s="150"/>
      <c r="O6" s="13"/>
      <c r="P6" s="154" t="str">
        <f aca="false">LEFT(INDEX(EB.RAZ_Wochentage.Bereich,1),2)</f>
        <v>Mo</v>
      </c>
      <c r="Q6" s="154" t="str">
        <f aca="false">LEFT(INDEX(EB.RAZ_Wochentage.Bereich,2),2)</f>
        <v>Tu</v>
      </c>
      <c r="R6" s="154" t="str">
        <f aca="false">LEFT(INDEX(EB.RAZ_Wochentage.Bereich,3),2)</f>
        <v>We</v>
      </c>
      <c r="S6" s="154" t="str">
        <f aca="false">LEFT(INDEX(EB.RAZ_Wochentage.Bereich,4),2)</f>
        <v>Th</v>
      </c>
      <c r="T6" s="154" t="str">
        <f aca="false">LEFT(INDEX(EB.RAZ_Wochentage.Bereich,5),2)</f>
        <v>Fr</v>
      </c>
      <c r="U6" s="154" t="str">
        <f aca="false">LEFT(INDEX(EB.RAZ_Wochentage.Bereich,6),2)</f>
        <v>Sa</v>
      </c>
      <c r="V6" s="154" t="str">
        <f aca="false">LEFT(INDEX(EB.RAZ_Wochentage.Bereich,7),2)</f>
        <v>Su</v>
      </c>
      <c r="W6" s="39"/>
      <c r="X6" s="39"/>
      <c r="Y6" s="39"/>
      <c r="Z6" s="39"/>
      <c r="AA6" s="39"/>
      <c r="AB6" s="39"/>
      <c r="AC6" s="39"/>
      <c r="AD6" s="39"/>
      <c r="AE6" s="39"/>
      <c r="AF6" s="39"/>
      <c r="AG6" s="13"/>
      <c r="AH6" s="146"/>
      <c r="AI6" s="39"/>
      <c r="AJ6" s="39"/>
      <c r="AK6" s="39"/>
      <c r="AL6" s="39"/>
      <c r="AM6" s="39"/>
      <c r="AN6" s="147"/>
      <c r="AO6" s="39"/>
      <c r="AP6" s="39"/>
      <c r="AQ6" s="39"/>
    </row>
    <row r="7" s="148" customFormat="true" ht="15" hidden="false" customHeight="true" outlineLevel="0" collapsed="false">
      <c r="A7" s="149"/>
      <c r="B7" s="11" t="str">
        <f aca="false">Eingabeblatt!H5</f>
        <v>Employee Category</v>
      </c>
      <c r="C7" s="11"/>
      <c r="D7" s="11"/>
      <c r="E7" s="11"/>
      <c r="F7" s="150" t="str">
        <f aca="false">EB.Personalkategorie</f>
        <v>Select Employee Category</v>
      </c>
      <c r="G7" s="150"/>
      <c r="H7" s="150"/>
      <c r="I7" s="150"/>
      <c r="J7" s="150"/>
      <c r="K7" s="150"/>
      <c r="L7" s="150"/>
      <c r="M7" s="150"/>
      <c r="N7" s="150"/>
      <c r="O7" s="13"/>
      <c r="P7" s="155" t="n">
        <f aca="false">IF(EB.Anwendung&lt;&gt;"",IF(MONTH(Monat.Tag1)=1,INDEX(EB.RAZ1_7.Bereich,1),INDEX(IF(MONTH(Monat.Tag1)=2,Monat.RAZ1_7.Bereich,IF(MONTH(Monat.Tag1)=3,February!Monat.RAZ1_7.Bereich,IF(MONTH(Monat.Tag1)=4,March!Monat.RAZ1_7.Bereich,IF(MONTH(Monat.Tag1)=5,April!Monat.RAZ1_7.Bereich,IF(MONTH(Monat.Tag1)=6,May!Monat.RAZ1_7.Bereich,IF(MONTH(Monat.Tag1)=7,June!Monat.RAZ1_7.Bereich,IF(MONTH(Monat.Tag1)=8,July!Monat.RAZ1_7.Bereich,IF(MONTH(Monat.Tag1)=9,August!Monat.RAZ1_7.Bereich,IF(MONTH(Monat.Tag1)=10,September!Monat.RAZ1_7.Bereich,IF(MONTH(Monat.Tag1)=11,October!Monat.RAZ1_7.Bereich,IF(MONTH(Monat.Tag1)=12,November!Monat.RAZ1_7.Bereich,""))))))))))),1)),"")</f>
        <v>0.35</v>
      </c>
      <c r="Q7" s="155" t="n">
        <f aca="false">IF(EB.Anwendung&lt;&gt;"",IF(MONTH(Monat.Tag1)=1,INDEX(EB.RAZ1_7.Bereich,2),INDEX(IF(MONTH(Monat.Tag1)=2,Monat.RAZ1_7.Bereich,IF(MONTH(Monat.Tag1)=3,February!Monat.RAZ1_7.Bereich,IF(MONTH(Monat.Tag1)=4,March!Monat.RAZ1_7.Bereich,IF(MONTH(Monat.Tag1)=5,April!Monat.RAZ1_7.Bereich,IF(MONTH(Monat.Tag1)=6,May!Monat.RAZ1_7.Bereich,IF(MONTH(Monat.Tag1)=7,June!Monat.RAZ1_7.Bereich,IF(MONTH(Monat.Tag1)=8,July!Monat.RAZ1_7.Bereich,IF(MONTH(Monat.Tag1)=9,August!Monat.RAZ1_7.Bereich,IF(MONTH(Monat.Tag1)=10,September!Monat.RAZ1_7.Bereich,IF(MONTH(Monat.Tag1)=11,October!Monat.RAZ1_7.Bereich,IF(MONTH(Monat.Tag1)=12,November!Monat.RAZ1_7.Bereich,""))))))))))),2)),"")</f>
        <v>0.35</v>
      </c>
      <c r="R7" s="155" t="n">
        <f aca="false">IF(EB.Anwendung&lt;&gt;"",IF(MONTH(Monat.Tag1)=1,INDEX(EB.RAZ1_7.Bereich,3),INDEX(IF(MONTH(Monat.Tag1)=2,Monat.RAZ1_7.Bereich,IF(MONTH(Monat.Tag1)=3,February!Monat.RAZ1_7.Bereich,IF(MONTH(Monat.Tag1)=4,March!Monat.RAZ1_7.Bereich,IF(MONTH(Monat.Tag1)=5,April!Monat.RAZ1_7.Bereich,IF(MONTH(Monat.Tag1)=6,May!Monat.RAZ1_7.Bereich,IF(MONTH(Monat.Tag1)=7,June!Monat.RAZ1_7.Bereich,IF(MONTH(Monat.Tag1)=8,July!Monat.RAZ1_7.Bereich,IF(MONTH(Monat.Tag1)=9,August!Monat.RAZ1_7.Bereich,IF(MONTH(Monat.Tag1)=10,September!Monat.RAZ1_7.Bereich,IF(MONTH(Monat.Tag1)=11,October!Monat.RAZ1_7.Bereich,IF(MONTH(Monat.Tag1)=12,November!Monat.RAZ1_7.Bereich,""))))))))))),3)),"")</f>
        <v>0.35</v>
      </c>
      <c r="S7" s="155" t="n">
        <f aca="false">IF(EB.Anwendung&lt;&gt;"",IF(MONTH(Monat.Tag1)=1,INDEX(EB.RAZ1_7.Bereich,4),INDEX(IF(MONTH(Monat.Tag1)=2,Monat.RAZ1_7.Bereich,IF(MONTH(Monat.Tag1)=3,February!Monat.RAZ1_7.Bereich,IF(MONTH(Monat.Tag1)=4,March!Monat.RAZ1_7.Bereich,IF(MONTH(Monat.Tag1)=5,April!Monat.RAZ1_7.Bereich,IF(MONTH(Monat.Tag1)=6,May!Monat.RAZ1_7.Bereich,IF(MONTH(Monat.Tag1)=7,June!Monat.RAZ1_7.Bereich,IF(MONTH(Monat.Tag1)=8,July!Monat.RAZ1_7.Bereich,IF(MONTH(Monat.Tag1)=9,August!Monat.RAZ1_7.Bereich,IF(MONTH(Monat.Tag1)=10,September!Monat.RAZ1_7.Bereich,IF(MONTH(Monat.Tag1)=11,October!Monat.RAZ1_7.Bereich,IF(MONTH(Monat.Tag1)=12,November!Monat.RAZ1_7.Bereich,""))))))))))),4)),"")</f>
        <v>0.35</v>
      </c>
      <c r="T7" s="155" t="n">
        <f aca="false">IF(EB.Anwendung&lt;&gt;"",IF(MONTH(Monat.Tag1)=1,INDEX(EB.RAZ1_7.Bereich,5),INDEX(IF(MONTH(Monat.Tag1)=2,Monat.RAZ1_7.Bereich,IF(MONTH(Monat.Tag1)=3,February!Monat.RAZ1_7.Bereich,IF(MONTH(Monat.Tag1)=4,March!Monat.RAZ1_7.Bereich,IF(MONTH(Monat.Tag1)=5,April!Monat.RAZ1_7.Bereich,IF(MONTH(Monat.Tag1)=6,May!Monat.RAZ1_7.Bereich,IF(MONTH(Monat.Tag1)=7,June!Monat.RAZ1_7.Bereich,IF(MONTH(Monat.Tag1)=8,July!Monat.RAZ1_7.Bereich,IF(MONTH(Monat.Tag1)=9,August!Monat.RAZ1_7.Bereich,IF(MONTH(Monat.Tag1)=10,September!Monat.RAZ1_7.Bereich,IF(MONTH(Monat.Tag1)=11,October!Monat.RAZ1_7.Bereich,IF(MONTH(Monat.Tag1)=12,November!Monat.RAZ1_7.Bereich,""))))))))))),5)),"")</f>
        <v>0.35</v>
      </c>
      <c r="U7" s="155" t="n">
        <f aca="false">IF(EB.Anwendung&lt;&gt;"",IF(MONTH(Monat.Tag1)=1,INDEX(EB.RAZ1_7.Bereich,6),INDEX(IF(MONTH(Monat.Tag1)=2,Monat.RAZ1_7.Bereich,IF(MONTH(Monat.Tag1)=3,February!Monat.RAZ1_7.Bereich,IF(MONTH(Monat.Tag1)=4,March!Monat.RAZ1_7.Bereich,IF(MONTH(Monat.Tag1)=5,April!Monat.RAZ1_7.Bereich,IF(MONTH(Monat.Tag1)=6,May!Monat.RAZ1_7.Bereich,IF(MONTH(Monat.Tag1)=7,June!Monat.RAZ1_7.Bereich,IF(MONTH(Monat.Tag1)=8,July!Monat.RAZ1_7.Bereich,IF(MONTH(Monat.Tag1)=9,August!Monat.RAZ1_7.Bereich,IF(MONTH(Monat.Tag1)=10,September!Monat.RAZ1_7.Bereich,IF(MONTH(Monat.Tag1)=11,October!Monat.RAZ1_7.Bereich,IF(MONTH(Monat.Tag1)=12,November!Monat.RAZ1_7.Bereich,""))))))))))),6)),"")</f>
        <v>0</v>
      </c>
      <c r="V7" s="155" t="n">
        <f aca="false">IF(EB.Anwendung&lt;&gt;"",IF(MONTH(Monat.Tag1)=1,INDEX(EB.RAZ1_7.Bereich,7),INDEX(IF(MONTH(Monat.Tag1)=2,Monat.RAZ1_7.Bereich,IF(MONTH(Monat.Tag1)=3,February!Monat.RAZ1_7.Bereich,IF(MONTH(Monat.Tag1)=4,March!Monat.RAZ1_7.Bereich,IF(MONTH(Monat.Tag1)=5,April!Monat.RAZ1_7.Bereich,IF(MONTH(Monat.Tag1)=6,May!Monat.RAZ1_7.Bereich,IF(MONTH(Monat.Tag1)=7,June!Monat.RAZ1_7.Bereich,IF(MONTH(Monat.Tag1)=8,July!Monat.RAZ1_7.Bereich,IF(MONTH(Monat.Tag1)=9,August!Monat.RAZ1_7.Bereich,IF(MONTH(Monat.Tag1)=10,September!Monat.RAZ1_7.Bereich,IF(MONTH(Monat.Tag1)=11,October!Monat.RAZ1_7.Bereich,IF(MONTH(Monat.Tag1)=12,November!Monat.RAZ1_7.Bereich,""))))))))))),7)),"")</f>
        <v>0</v>
      </c>
      <c r="W7" s="39"/>
      <c r="X7" s="39"/>
      <c r="Y7" s="39"/>
      <c r="Z7" s="39"/>
      <c r="AA7" s="39"/>
      <c r="AB7" s="39"/>
      <c r="AC7" s="39"/>
      <c r="AD7" s="39"/>
      <c r="AE7" s="39"/>
      <c r="AF7" s="39"/>
      <c r="AG7" s="13"/>
      <c r="AH7" s="146"/>
      <c r="AI7" s="39"/>
      <c r="AJ7" s="39"/>
      <c r="AK7" s="39"/>
      <c r="AL7" s="39"/>
      <c r="AM7" s="39"/>
      <c r="AN7" s="147"/>
      <c r="AO7" s="39"/>
      <c r="AP7" s="39"/>
      <c r="AQ7" s="39"/>
    </row>
    <row r="8" s="148" customFormat="true" ht="11.25" hidden="false" customHeight="true" outlineLevel="0" collapsed="false">
      <c r="A8" s="55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13"/>
      <c r="AH8" s="146"/>
      <c r="AI8" s="39"/>
      <c r="AJ8" s="39"/>
      <c r="AK8" s="39"/>
      <c r="AL8" s="39"/>
      <c r="AM8" s="39"/>
      <c r="AN8" s="147"/>
      <c r="AO8" s="39"/>
      <c r="AP8" s="39"/>
      <c r="AQ8" s="39"/>
    </row>
    <row r="9" s="148" customFormat="true" ht="15" hidden="false" customHeight="true" outlineLevel="0" collapsed="false">
      <c r="A9" s="55"/>
      <c r="B9" s="156" t="str">
        <f aca="false">INDEX(Monat.Wochentage.Bereich,1,WEEKDAY(B10,2))</f>
        <v>Mo</v>
      </c>
      <c r="C9" s="156" t="str">
        <f aca="false">INDEX(Monat.Wochentage.Bereich,1,WEEKDAY(C10,2))</f>
        <v>Tu</v>
      </c>
      <c r="D9" s="156" t="str">
        <f aca="false">INDEX(Monat.Wochentage.Bereich,1,WEEKDAY(D10,2))</f>
        <v>We</v>
      </c>
      <c r="E9" s="156" t="str">
        <f aca="false">INDEX(Monat.Wochentage.Bereich,1,WEEKDAY(E10,2))</f>
        <v>Th</v>
      </c>
      <c r="F9" s="156" t="str">
        <f aca="false">INDEX(Monat.Wochentage.Bereich,1,WEEKDAY(F10,2))</f>
        <v>Fr</v>
      </c>
      <c r="G9" s="156" t="str">
        <f aca="false">INDEX(Monat.Wochentage.Bereich,1,WEEKDAY(G10,2))</f>
        <v>Sa</v>
      </c>
      <c r="H9" s="156" t="str">
        <f aca="false">INDEX(Monat.Wochentage.Bereich,1,WEEKDAY(H10,2))</f>
        <v>Su</v>
      </c>
      <c r="I9" s="156" t="str">
        <f aca="false">INDEX(Monat.Wochentage.Bereich,1,WEEKDAY(I10,2))</f>
        <v>Mo</v>
      </c>
      <c r="J9" s="156" t="str">
        <f aca="false">INDEX(Monat.Wochentage.Bereich,1,WEEKDAY(J10,2))</f>
        <v>Tu</v>
      </c>
      <c r="K9" s="156" t="str">
        <f aca="false">INDEX(Monat.Wochentage.Bereich,1,WEEKDAY(K10,2))</f>
        <v>We</v>
      </c>
      <c r="L9" s="156" t="str">
        <f aca="false">INDEX(Monat.Wochentage.Bereich,1,WEEKDAY(L10,2))</f>
        <v>Th</v>
      </c>
      <c r="M9" s="156" t="str">
        <f aca="false">INDEX(Monat.Wochentage.Bereich,1,WEEKDAY(M10,2))</f>
        <v>Fr</v>
      </c>
      <c r="N9" s="156" t="str">
        <f aca="false">INDEX(Monat.Wochentage.Bereich,1,WEEKDAY(N10,2))</f>
        <v>Sa</v>
      </c>
      <c r="O9" s="156" t="str">
        <f aca="false">INDEX(Monat.Wochentage.Bereich,1,WEEKDAY(O10,2))</f>
        <v>Su</v>
      </c>
      <c r="P9" s="156" t="str">
        <f aca="false">INDEX(Monat.Wochentage.Bereich,1,WEEKDAY(P10,2))</f>
        <v>Mo</v>
      </c>
      <c r="Q9" s="156" t="str">
        <f aca="false">INDEX(Monat.Wochentage.Bereich,1,WEEKDAY(Q10,2))</f>
        <v>Tu</v>
      </c>
      <c r="R9" s="156" t="str">
        <f aca="false">INDEX(Monat.Wochentage.Bereich,1,WEEKDAY(R10,2))</f>
        <v>We</v>
      </c>
      <c r="S9" s="156" t="str">
        <f aca="false">INDEX(Monat.Wochentage.Bereich,1,WEEKDAY(S10,2))</f>
        <v>Th</v>
      </c>
      <c r="T9" s="156" t="str">
        <f aca="false">INDEX(Monat.Wochentage.Bereich,1,WEEKDAY(T10,2))</f>
        <v>Fr</v>
      </c>
      <c r="U9" s="156" t="str">
        <f aca="false">INDEX(Monat.Wochentage.Bereich,1,WEEKDAY(U10,2))</f>
        <v>Sa</v>
      </c>
      <c r="V9" s="156" t="str">
        <f aca="false">INDEX(Monat.Wochentage.Bereich,1,WEEKDAY(V10,2))</f>
        <v>Su</v>
      </c>
      <c r="W9" s="156" t="str">
        <f aca="false">INDEX(Monat.Wochentage.Bereich,1,WEEKDAY(W10,2))</f>
        <v>Mo</v>
      </c>
      <c r="X9" s="156" t="str">
        <f aca="false">INDEX(Monat.Wochentage.Bereich,1,WEEKDAY(X10,2))</f>
        <v>Tu</v>
      </c>
      <c r="Y9" s="156" t="str">
        <f aca="false">INDEX(Monat.Wochentage.Bereich,1,WEEKDAY(Y10,2))</f>
        <v>We</v>
      </c>
      <c r="Z9" s="156" t="str">
        <f aca="false">INDEX(Monat.Wochentage.Bereich,1,WEEKDAY(Z10,2))</f>
        <v>Th</v>
      </c>
      <c r="AA9" s="156" t="str">
        <f aca="false">INDEX(Monat.Wochentage.Bereich,1,WEEKDAY(AA10,2))</f>
        <v>Fr</v>
      </c>
      <c r="AB9" s="156" t="str">
        <f aca="false">INDEX(Monat.Wochentage.Bereich,1,WEEKDAY(AB10,2))</f>
        <v>Sa</v>
      </c>
      <c r="AC9" s="156" t="str">
        <f aca="false">INDEX(Monat.Wochentage.Bereich,1,WEEKDAY(AC10,2))</f>
        <v>Su</v>
      </c>
      <c r="AD9" s="156" t="str">
        <f aca="false">INDEX(Monat.Wochentage.Bereich,1,WEEKDAY(AD10,2))</f>
        <v>Mo</v>
      </c>
      <c r="AE9" s="156" t="str">
        <f aca="false">INDEX(Monat.Wochentage.Bereich,1,WEEKDAY(AE10,2))</f>
        <v>Tu</v>
      </c>
      <c r="AF9" s="156" t="str">
        <f aca="false">INDEX(Monat.Wochentage.Bereich,1,WEEKDAY(AF10,2))</f>
        <v>We</v>
      </c>
      <c r="AG9" s="13"/>
      <c r="AH9" s="146"/>
      <c r="AI9" s="39"/>
      <c r="AJ9" s="39"/>
      <c r="AK9" s="39"/>
      <c r="AL9" s="39"/>
      <c r="AM9" s="39"/>
      <c r="AN9" s="147"/>
      <c r="AO9" s="39"/>
      <c r="AP9" s="39"/>
      <c r="AQ9" s="39"/>
    </row>
    <row r="10" s="164" customFormat="true" ht="26" hidden="false" customHeight="false" outlineLevel="0" collapsed="false">
      <c r="A10" s="157" t="s">
        <v>121</v>
      </c>
      <c r="B10" s="158" t="n">
        <v>41639</v>
      </c>
      <c r="C10" s="158" t="n">
        <f aca="false">B10+1</f>
        <v>41640</v>
      </c>
      <c r="D10" s="158" t="n">
        <f aca="false">C10+1</f>
        <v>41641</v>
      </c>
      <c r="E10" s="158" t="n">
        <f aca="false">D10+1</f>
        <v>41642</v>
      </c>
      <c r="F10" s="158" t="n">
        <f aca="false">E10+1</f>
        <v>41643</v>
      </c>
      <c r="G10" s="158" t="n">
        <f aca="false">F10+1</f>
        <v>41644</v>
      </c>
      <c r="H10" s="158" t="n">
        <f aca="false">G10+1</f>
        <v>41645</v>
      </c>
      <c r="I10" s="158" t="n">
        <f aca="false">H10+1</f>
        <v>41646</v>
      </c>
      <c r="J10" s="158" t="n">
        <f aca="false">I10+1</f>
        <v>41647</v>
      </c>
      <c r="K10" s="158" t="n">
        <f aca="false">J10+1</f>
        <v>41648</v>
      </c>
      <c r="L10" s="158" t="n">
        <f aca="false">K10+1</f>
        <v>41649</v>
      </c>
      <c r="M10" s="158" t="n">
        <f aca="false">L10+1</f>
        <v>41650</v>
      </c>
      <c r="N10" s="158" t="n">
        <f aca="false">M10+1</f>
        <v>41651</v>
      </c>
      <c r="O10" s="158" t="n">
        <f aca="false">N10+1</f>
        <v>41652</v>
      </c>
      <c r="P10" s="158" t="n">
        <f aca="false">O10+1</f>
        <v>41653</v>
      </c>
      <c r="Q10" s="158" t="n">
        <f aca="false">P10+1</f>
        <v>41654</v>
      </c>
      <c r="R10" s="158" t="n">
        <f aca="false">Q10+1</f>
        <v>41655</v>
      </c>
      <c r="S10" s="158" t="n">
        <f aca="false">R10+1</f>
        <v>41656</v>
      </c>
      <c r="T10" s="158" t="n">
        <f aca="false">S10+1</f>
        <v>41657</v>
      </c>
      <c r="U10" s="158" t="n">
        <f aca="false">T10+1</f>
        <v>41658</v>
      </c>
      <c r="V10" s="158" t="n">
        <f aca="false">U10+1</f>
        <v>41659</v>
      </c>
      <c r="W10" s="158" t="n">
        <f aca="false">V10+1</f>
        <v>41660</v>
      </c>
      <c r="X10" s="158" t="n">
        <f aca="false">W10+1</f>
        <v>41661</v>
      </c>
      <c r="Y10" s="158" t="n">
        <f aca="false">X10+1</f>
        <v>41662</v>
      </c>
      <c r="Z10" s="158" t="n">
        <f aca="false">Y10+1</f>
        <v>41663</v>
      </c>
      <c r="AA10" s="158" t="n">
        <f aca="false">Z10+1</f>
        <v>41664</v>
      </c>
      <c r="AB10" s="158" t="n">
        <f aca="false">AA10+1</f>
        <v>41665</v>
      </c>
      <c r="AC10" s="158" t="n">
        <f aca="false">AB10+1</f>
        <v>41666</v>
      </c>
      <c r="AD10" s="158" t="n">
        <f aca="false">AC10+1</f>
        <v>41667</v>
      </c>
      <c r="AE10" s="158" t="n">
        <f aca="false">AD10+1</f>
        <v>41668</v>
      </c>
      <c r="AF10" s="158" t="n">
        <f aca="false">AE10+1</f>
        <v>41669</v>
      </c>
      <c r="AG10" s="159" t="str">
        <f aca="false">A10</f>
        <v>Day</v>
      </c>
      <c r="AH10" s="160" t="str">
        <f aca="false">"Total " &amp; INDEX(EB.Monate.Bereich,MONTH(Monat.Tag1))</f>
        <v>Total January</v>
      </c>
      <c r="AI10" s="160"/>
      <c r="AJ10" s="160" t="s">
        <v>122</v>
      </c>
      <c r="AK10" s="161" t="s">
        <v>123</v>
      </c>
      <c r="AL10" s="161" t="s">
        <v>124</v>
      </c>
      <c r="AM10" s="161" t="s">
        <v>125</v>
      </c>
      <c r="AN10" s="162" t="s">
        <v>68</v>
      </c>
      <c r="AO10" s="156" t="str">
        <f aca="true">IF(EB.Sprache="DE","Jahressaldo per" &amp; CHAR(10) &amp; "    ME       " &amp; IFERROR(TEXT(TODAY(),"[$-0007]"&amp;"TT.MM.JJ"),TEXT(TODAY(),"[$-0007]"&amp;"DD.MM.YY")), "Yearly balance by" &amp; CHAR(10) &amp; "   eom      " &amp; IFERROR(TEXT(TODAY(),"[$-0809]"&amp;"DD.MM.YY"),TEXT(TODAY(),"[$-0809]"&amp;"TT.MM.JJ")))</f>
        <v>Yearly balance by
   eom      22.05.18</v>
      </c>
      <c r="AP10" s="156"/>
      <c r="AQ10" s="163"/>
    </row>
    <row r="11" s="164" customFormat="true" ht="12" hidden="true" customHeight="true" outlineLevel="0" collapsed="false">
      <c r="A11" s="157" t="s">
        <v>126</v>
      </c>
      <c r="B11" s="165" t="n">
        <f aca="true">IFERROR(OFFSET(T.Feiertage.Bereich,MATCH(B$10,T.Feiertage.Bereich,0)-1,1,1,1),1)</f>
        <v>0</v>
      </c>
      <c r="C11" s="165" t="n">
        <f aca="true">IFERROR(OFFSET(T.Feiertage.Bereich,MATCH(C$10,T.Feiertage.Bereich,0)-1,1,1,1),1)</f>
        <v>0</v>
      </c>
      <c r="D11" s="165" t="n">
        <f aca="true">IFERROR(OFFSET(T.Feiertage.Bereich,MATCH(D$10,T.Feiertage.Bereich,0)-1,1,1,1),1)</f>
        <v>1</v>
      </c>
      <c r="E11" s="166" t="n">
        <f aca="true">IFERROR(OFFSET(T.Feiertage.Bereich,MATCH(E$10,T.Feiertage.Bereich,0)-1,1,1,1),1)</f>
        <v>1</v>
      </c>
      <c r="F11" s="165" t="n">
        <f aca="true">IFERROR(OFFSET(T.Feiertage.Bereich,MATCH(F$10,T.Feiertage.Bereich,0)-1,1,1,1),1)</f>
        <v>1</v>
      </c>
      <c r="G11" s="165" t="n">
        <f aca="true">IFERROR(OFFSET(T.Feiertage.Bereich,MATCH(G$10,T.Feiertage.Bereich,0)-1,1,1,1),1)</f>
        <v>1</v>
      </c>
      <c r="H11" s="165" t="n">
        <f aca="true">IFERROR(OFFSET(T.Feiertage.Bereich,MATCH(H$10,T.Feiertage.Bereich,0)-1,1,1,1),1)</f>
        <v>1</v>
      </c>
      <c r="I11" s="165" t="n">
        <f aca="true">IFERROR(OFFSET(T.Feiertage.Bereich,MATCH(I$10,T.Feiertage.Bereich,0)-1,1,1,1),1)</f>
        <v>1</v>
      </c>
      <c r="J11" s="166" t="n">
        <f aca="true">IFERROR(OFFSET(T.Feiertage.Bereich,MATCH(J$10,T.Feiertage.Bereich,0)-1,1,1,1),1)</f>
        <v>1</v>
      </c>
      <c r="K11" s="165" t="n">
        <f aca="true">IFERROR(OFFSET(T.Feiertage.Bereich,MATCH(K$10,T.Feiertage.Bereich,0)-1,1,1,1),1)</f>
        <v>1</v>
      </c>
      <c r="L11" s="166" t="n">
        <f aca="true">IFERROR(OFFSET(T.Feiertage.Bereich,MATCH(L$10,T.Feiertage.Bereich,0)-1,1,1,1),1)</f>
        <v>1</v>
      </c>
      <c r="M11" s="165" t="n">
        <f aca="true">IFERROR(OFFSET(T.Feiertage.Bereich,MATCH(M$10,T.Feiertage.Bereich,0)-1,1,1,1),1)</f>
        <v>1</v>
      </c>
      <c r="N11" s="165" t="n">
        <f aca="true">IFERROR(OFFSET(T.Feiertage.Bereich,MATCH(N$10,T.Feiertage.Bereich,0)-1,1,1,1),1)</f>
        <v>1</v>
      </c>
      <c r="O11" s="165" t="n">
        <f aca="true">IFERROR(OFFSET(T.Feiertage.Bereich,MATCH(O$10,T.Feiertage.Bereich,0)-1,1,1,1),1)</f>
        <v>1</v>
      </c>
      <c r="P11" s="165" t="n">
        <f aca="true">IFERROR(OFFSET(T.Feiertage.Bereich,MATCH(P$10,T.Feiertage.Bereich,0)-1,1,1,1),1)</f>
        <v>1</v>
      </c>
      <c r="Q11" s="166" t="n">
        <f aca="true">IFERROR(OFFSET(T.Feiertage.Bereich,MATCH(Q$10,T.Feiertage.Bereich,0)-1,1,1,1),1)</f>
        <v>1</v>
      </c>
      <c r="R11" s="165" t="n">
        <f aca="true">IFERROR(OFFSET(T.Feiertage.Bereich,MATCH(R$10,T.Feiertage.Bereich,0)-1,1,1,1),1)</f>
        <v>1</v>
      </c>
      <c r="S11" s="166" t="n">
        <f aca="true">IFERROR(OFFSET(T.Feiertage.Bereich,MATCH(S$10,T.Feiertage.Bereich,0)-1,1,1,1),1)</f>
        <v>1</v>
      </c>
      <c r="T11" s="166" t="n">
        <f aca="true">IFERROR(OFFSET(T.Feiertage.Bereich,MATCH(T$10,T.Feiertage.Bereich,0)-1,1,1,1),1)</f>
        <v>1</v>
      </c>
      <c r="U11" s="165" t="n">
        <f aca="true">IFERROR(OFFSET(T.Feiertage.Bereich,MATCH(U$10,T.Feiertage.Bereich,0)-1,1,1,1),1)</f>
        <v>1</v>
      </c>
      <c r="V11" s="165" t="n">
        <f aca="true">IFERROR(OFFSET(T.Feiertage.Bereich,MATCH(V$10,T.Feiertage.Bereich,0)-1,1,1,1),1)</f>
        <v>1</v>
      </c>
      <c r="W11" s="165" t="n">
        <f aca="true">IFERROR(OFFSET(T.Feiertage.Bereich,MATCH(W$10,T.Feiertage.Bereich,0)-1,1,1,1),1)</f>
        <v>1</v>
      </c>
      <c r="X11" s="166" t="n">
        <f aca="true">IFERROR(OFFSET(T.Feiertage.Bereich,MATCH(X$10,T.Feiertage.Bereich,0)-1,1,1,1),1)</f>
        <v>1</v>
      </c>
      <c r="Y11" s="165" t="n">
        <f aca="true">IFERROR(OFFSET(T.Feiertage.Bereich,MATCH(Y$10,T.Feiertage.Bereich,0)-1,1,1,1),1)</f>
        <v>1</v>
      </c>
      <c r="Z11" s="167" t="n">
        <f aca="true">IFERROR(OFFSET(T.Feiertage.Bereich,MATCH(Z$10,T.Feiertage.Bereich,0)-1,1,1,1),1)</f>
        <v>1</v>
      </c>
      <c r="AA11" s="165" t="n">
        <f aca="true">IFERROR(OFFSET(T.Feiertage.Bereich,MATCH(AA$10,T.Feiertage.Bereich,0)-1,1,1,1),1)</f>
        <v>1</v>
      </c>
      <c r="AB11" s="165" t="n">
        <f aca="true">IFERROR(OFFSET(T.Feiertage.Bereich,MATCH(AB$10,T.Feiertage.Bereich,0)-1,1,1,1),1)</f>
        <v>1</v>
      </c>
      <c r="AC11" s="165" t="n">
        <f aca="true">IFERROR(OFFSET(T.Feiertage.Bereich,MATCH(AC$10,T.Feiertage.Bereich,0)-1,1,1,1),1)</f>
        <v>1</v>
      </c>
      <c r="AD11" s="165" t="n">
        <f aca="true">IFERROR(OFFSET(T.Feiertage.Bereich,MATCH(AD$10,T.Feiertage.Bereich,0)-1,1,1,1),1)</f>
        <v>1</v>
      </c>
      <c r="AE11" s="166" t="n">
        <f aca="true">IFERROR(OFFSET(T.Feiertage.Bereich,MATCH(AE$10,T.Feiertage.Bereich,0)-1,1,1,1),1)</f>
        <v>1</v>
      </c>
      <c r="AF11" s="165" t="n">
        <f aca="true">IFERROR(OFFSET(T.Feiertage.Bereich,MATCH(AF$10,T.Feiertage.Bereich,0)-1,1,1,1),1)</f>
        <v>1</v>
      </c>
      <c r="AG11" s="168"/>
      <c r="AH11" s="146"/>
      <c r="AI11" s="169"/>
      <c r="AJ11" s="170"/>
      <c r="AK11" s="171"/>
      <c r="AL11" s="172"/>
      <c r="AM11" s="172"/>
      <c r="AN11" s="171"/>
      <c r="AO11" s="172"/>
      <c r="AP11" s="172"/>
      <c r="AQ11" s="163"/>
    </row>
    <row r="12" s="164" customFormat="true" ht="12" hidden="true" customHeight="true" outlineLevel="0" collapsed="false">
      <c r="A12" s="157" t="s">
        <v>127</v>
      </c>
      <c r="B12" s="173" t="n">
        <f aca="false">IF(OR(AND(ISNUMBER(EB.UJEintritt),EB.UJEintritt&gt;=B$10+1),AND(ISNUMBER(EB.UJAustritt),EB.UJAustritt&lt;=B$10-1)),0,1)</f>
        <v>0</v>
      </c>
      <c r="C12" s="173" t="n">
        <f aca="false">IF(OR(AND(ISNUMBER(EB.UJEintritt),EB.UJEintritt&gt;=C$10+1),AND(ISNUMBER(EB.UJAustritt),EB.UJAustritt&lt;=C$10-1)),0,1)</f>
        <v>0</v>
      </c>
      <c r="D12" s="173" t="n">
        <f aca="false">IF(OR(AND(ISNUMBER(EB.UJEintritt),EB.UJEintritt&gt;=D$10+1),AND(ISNUMBER(EB.UJAustritt),EB.UJAustritt&lt;=D$10-1)),0,1)</f>
        <v>0</v>
      </c>
      <c r="E12" s="156" t="n">
        <f aca="false">IF(OR(AND(ISNUMBER(EB.UJEintritt),EB.UJEintritt&gt;=E$10+1),AND(ISNUMBER(EB.UJAustritt),EB.UJAustritt&lt;=E$10-1)),0,1)</f>
        <v>0</v>
      </c>
      <c r="F12" s="173" t="n">
        <f aca="false">IF(OR(AND(ISNUMBER(EB.UJEintritt),EB.UJEintritt&gt;=F$10+1),AND(ISNUMBER(EB.UJAustritt),EB.UJAustritt&lt;=F$10-1)),0,1)</f>
        <v>0</v>
      </c>
      <c r="G12" s="173" t="n">
        <f aca="false">IF(OR(AND(ISNUMBER(EB.UJEintritt),EB.UJEintritt&gt;=G$10+1),AND(ISNUMBER(EB.UJAustritt),EB.UJAustritt&lt;=G$10-1)),0,1)</f>
        <v>0</v>
      </c>
      <c r="H12" s="173" t="n">
        <f aca="false">IF(OR(AND(ISNUMBER(EB.UJEintritt),EB.UJEintritt&gt;=H$10+1),AND(ISNUMBER(EB.UJAustritt),EB.UJAustritt&lt;=H$10-1)),0,1)</f>
        <v>0</v>
      </c>
      <c r="I12" s="173" t="n">
        <f aca="false">IF(OR(AND(ISNUMBER(EB.UJEintritt),EB.UJEintritt&gt;=I$10+1),AND(ISNUMBER(EB.UJAustritt),EB.UJAustritt&lt;=I$10-1)),0,1)</f>
        <v>0</v>
      </c>
      <c r="J12" s="156" t="n">
        <f aca="false">IF(OR(AND(ISNUMBER(EB.UJEintritt),EB.UJEintritt&gt;=J$10+1),AND(ISNUMBER(EB.UJAustritt),EB.UJAustritt&lt;=J$10-1)),0,1)</f>
        <v>0</v>
      </c>
      <c r="K12" s="173" t="n">
        <f aca="false">IF(OR(AND(ISNUMBER(EB.UJEintritt),EB.UJEintritt&gt;=K$10+1),AND(ISNUMBER(EB.UJAustritt),EB.UJAustritt&lt;=K$10-1)),0,1)</f>
        <v>0</v>
      </c>
      <c r="L12" s="156" t="n">
        <f aca="false">IF(OR(AND(ISNUMBER(EB.UJEintritt),EB.UJEintritt&gt;=L$10+1),AND(ISNUMBER(EB.UJAustritt),EB.UJAustritt&lt;=L$10-1)),0,1)</f>
        <v>0</v>
      </c>
      <c r="M12" s="173" t="n">
        <f aca="false">IF(OR(AND(ISNUMBER(EB.UJEintritt),EB.UJEintritt&gt;=M$10+1),AND(ISNUMBER(EB.UJAustritt),EB.UJAustritt&lt;=M$10-1)),0,1)</f>
        <v>0</v>
      </c>
      <c r="N12" s="173" t="n">
        <f aca="false">IF(OR(AND(ISNUMBER(EB.UJEintritt),EB.UJEintritt&gt;=N$10+1),AND(ISNUMBER(EB.UJAustritt),EB.UJAustritt&lt;=N$10-1)),0,1)</f>
        <v>0</v>
      </c>
      <c r="O12" s="173" t="n">
        <f aca="false">IF(OR(AND(ISNUMBER(EB.UJEintritt),EB.UJEintritt&gt;=O$10+1),AND(ISNUMBER(EB.UJAustritt),EB.UJAustritt&lt;=O$10-1)),0,1)</f>
        <v>0</v>
      </c>
      <c r="P12" s="173" t="n">
        <f aca="false">IF(OR(AND(ISNUMBER(EB.UJEintritt),EB.UJEintritt&gt;=P$10+1),AND(ISNUMBER(EB.UJAustritt),EB.UJAustritt&lt;=P$10-1)),0,1)</f>
        <v>0</v>
      </c>
      <c r="Q12" s="156" t="n">
        <f aca="false">IF(OR(AND(ISNUMBER(EB.UJEintritt),EB.UJEintritt&gt;=Q$10+1),AND(ISNUMBER(EB.UJAustritt),EB.UJAustritt&lt;=Q$10-1)),0,1)</f>
        <v>0</v>
      </c>
      <c r="R12" s="173" t="n">
        <f aca="false">IF(OR(AND(ISNUMBER(EB.UJEintritt),EB.UJEintritt&gt;=R$10+1),AND(ISNUMBER(EB.UJAustritt),EB.UJAustritt&lt;=R$10-1)),0,1)</f>
        <v>0</v>
      </c>
      <c r="S12" s="156" t="n">
        <f aca="false">IF(OR(AND(ISNUMBER(EB.UJEintritt),EB.UJEintritt&gt;=S$10+1),AND(ISNUMBER(EB.UJAustritt),EB.UJAustritt&lt;=S$10-1)),0,1)</f>
        <v>0</v>
      </c>
      <c r="T12" s="156" t="n">
        <f aca="false">IF(OR(AND(ISNUMBER(EB.UJEintritt),EB.UJEintritt&gt;=T$10+1),AND(ISNUMBER(EB.UJAustritt),EB.UJAustritt&lt;=T$10-1)),0,1)</f>
        <v>0</v>
      </c>
      <c r="U12" s="173" t="n">
        <f aca="false">IF(OR(AND(ISNUMBER(EB.UJEintritt),EB.UJEintritt&gt;=U$10+1),AND(ISNUMBER(EB.UJAustritt),EB.UJAustritt&lt;=U$10-1)),0,1)</f>
        <v>0</v>
      </c>
      <c r="V12" s="173" t="n">
        <f aca="false">IF(OR(AND(ISNUMBER(EB.UJEintritt),EB.UJEintritt&gt;=V$10+1),AND(ISNUMBER(EB.UJAustritt),EB.UJAustritt&lt;=V$10-1)),0,1)</f>
        <v>0</v>
      </c>
      <c r="W12" s="173" t="n">
        <f aca="false">IF(OR(AND(ISNUMBER(EB.UJEintritt),EB.UJEintritt&gt;=W$10+1),AND(ISNUMBER(EB.UJAustritt),EB.UJAustritt&lt;=W$10-1)),0,1)</f>
        <v>0</v>
      </c>
      <c r="X12" s="156" t="n">
        <f aca="false">IF(OR(AND(ISNUMBER(EB.UJEintritt),EB.UJEintritt&gt;=X$10+1),AND(ISNUMBER(EB.UJAustritt),EB.UJAustritt&lt;=X$10-1)),0,1)</f>
        <v>0</v>
      </c>
      <c r="Y12" s="173" t="n">
        <f aca="false">IF(OR(AND(ISNUMBER(EB.UJEintritt),EB.UJEintritt&gt;=Y$10+1),AND(ISNUMBER(EB.UJAustritt),EB.UJAustritt&lt;=Y$10-1)),0,1)</f>
        <v>0</v>
      </c>
      <c r="Z12" s="174" t="n">
        <f aca="false">IF(OR(AND(ISNUMBER(EB.UJEintritt),EB.UJEintritt&gt;=Z$10+1),AND(ISNUMBER(EB.UJAustritt),EB.UJAustritt&lt;=Z$10-1)),0,1)</f>
        <v>0</v>
      </c>
      <c r="AA12" s="173" t="n">
        <f aca="false">IF(OR(AND(ISNUMBER(EB.UJEintritt),EB.UJEintritt&gt;=AA$10+1),AND(ISNUMBER(EB.UJAustritt),EB.UJAustritt&lt;=AA$10-1)),0,1)</f>
        <v>0</v>
      </c>
      <c r="AB12" s="173" t="n">
        <f aca="false">IF(OR(AND(ISNUMBER(EB.UJEintritt),EB.UJEintritt&gt;=AB$10+1),AND(ISNUMBER(EB.UJAustritt),EB.UJAustritt&lt;=AB$10-1)),0,1)</f>
        <v>0</v>
      </c>
      <c r="AC12" s="173" t="n">
        <f aca="false">IF(OR(AND(ISNUMBER(EB.UJEintritt),EB.UJEintritt&gt;=AC$10+1),AND(ISNUMBER(EB.UJAustritt),EB.UJAustritt&lt;=AC$10-1)),0,1)</f>
        <v>0</v>
      </c>
      <c r="AD12" s="173" t="n">
        <f aca="false">IF(OR(AND(ISNUMBER(EB.UJEintritt),EB.UJEintritt&gt;=AD$10+1),AND(ISNUMBER(EB.UJAustritt),EB.UJAustritt&lt;=AD$10-1)),0,1)</f>
        <v>0</v>
      </c>
      <c r="AE12" s="156" t="n">
        <f aca="false">IF(OR(AND(ISNUMBER(EB.UJEintritt),EB.UJEintritt&gt;=AE$10+1),AND(ISNUMBER(EB.UJAustritt),EB.UJAustritt&lt;=AE$10-1)),0,1)</f>
        <v>0</v>
      </c>
      <c r="AF12" s="173" t="n">
        <f aca="false">IF(OR(AND(ISNUMBER(EB.UJEintritt),EB.UJEintritt&gt;=AF$10+1),AND(ISNUMBER(EB.UJAustritt),EB.UJAustritt&lt;=AF$10-1)),0,1)</f>
        <v>0</v>
      </c>
      <c r="AG12" s="168"/>
      <c r="AH12" s="146"/>
      <c r="AI12" s="169"/>
      <c r="AJ12" s="170"/>
      <c r="AK12" s="171"/>
      <c r="AL12" s="172"/>
      <c r="AM12" s="172"/>
      <c r="AN12" s="171"/>
      <c r="AO12" s="172"/>
      <c r="AP12" s="172"/>
      <c r="AQ12" s="163"/>
    </row>
    <row r="13" s="148" customFormat="true" ht="15" hidden="false" customHeight="true" outlineLevel="0" collapsed="false">
      <c r="A13" s="175" t="s">
        <v>128</v>
      </c>
      <c r="B13" s="176"/>
      <c r="C13" s="176"/>
      <c r="D13" s="176"/>
      <c r="E13" s="177"/>
      <c r="F13" s="176"/>
      <c r="G13" s="176"/>
      <c r="H13" s="176"/>
      <c r="I13" s="176"/>
      <c r="J13" s="177"/>
      <c r="K13" s="176"/>
      <c r="L13" s="177"/>
      <c r="M13" s="176"/>
      <c r="N13" s="176"/>
      <c r="O13" s="176"/>
      <c r="P13" s="176"/>
      <c r="Q13" s="177"/>
      <c r="R13" s="176"/>
      <c r="S13" s="177"/>
      <c r="T13" s="177"/>
      <c r="U13" s="176"/>
      <c r="V13" s="176"/>
      <c r="W13" s="176"/>
      <c r="X13" s="177"/>
      <c r="Y13" s="176"/>
      <c r="Z13" s="178"/>
      <c r="AA13" s="176"/>
      <c r="AB13" s="176"/>
      <c r="AC13" s="176"/>
      <c r="AD13" s="176"/>
      <c r="AE13" s="177"/>
      <c r="AF13" s="176"/>
      <c r="AG13" s="168" t="str">
        <f aca="false">A13</f>
        <v>in</v>
      </c>
      <c r="AH13" s="146"/>
      <c r="AI13" s="169"/>
      <c r="AJ13" s="170"/>
      <c r="AK13" s="171"/>
      <c r="AL13" s="172"/>
      <c r="AM13" s="172"/>
      <c r="AN13" s="171"/>
      <c r="AO13" s="172"/>
      <c r="AP13" s="172"/>
      <c r="AQ13" s="39"/>
    </row>
    <row r="14" s="148" customFormat="true" ht="15" hidden="false" customHeight="true" outlineLevel="0" collapsed="false">
      <c r="A14" s="175" t="s">
        <v>129</v>
      </c>
      <c r="B14" s="176"/>
      <c r="C14" s="176"/>
      <c r="D14" s="176"/>
      <c r="E14" s="177"/>
      <c r="F14" s="176"/>
      <c r="G14" s="176"/>
      <c r="H14" s="176"/>
      <c r="I14" s="176"/>
      <c r="J14" s="177"/>
      <c r="K14" s="176"/>
      <c r="L14" s="177"/>
      <c r="M14" s="176"/>
      <c r="N14" s="176"/>
      <c r="O14" s="176"/>
      <c r="P14" s="176"/>
      <c r="Q14" s="177"/>
      <c r="R14" s="176"/>
      <c r="S14" s="177"/>
      <c r="T14" s="177"/>
      <c r="U14" s="176"/>
      <c r="V14" s="176"/>
      <c r="W14" s="176"/>
      <c r="X14" s="177"/>
      <c r="Y14" s="176"/>
      <c r="Z14" s="178"/>
      <c r="AA14" s="176"/>
      <c r="AB14" s="176"/>
      <c r="AC14" s="176"/>
      <c r="AD14" s="176"/>
      <c r="AE14" s="177"/>
      <c r="AF14" s="176"/>
      <c r="AG14" s="168" t="str">
        <f aca="false">A14</f>
        <v>out</v>
      </c>
      <c r="AH14" s="146"/>
      <c r="AI14" s="169"/>
      <c r="AJ14" s="170"/>
      <c r="AK14" s="171"/>
      <c r="AL14" s="172"/>
      <c r="AM14" s="172"/>
      <c r="AN14" s="171"/>
      <c r="AO14" s="172"/>
      <c r="AP14" s="172"/>
      <c r="AQ14" s="39"/>
    </row>
    <row r="15" s="148" customFormat="true" ht="15" hidden="false" customHeight="true" outlineLevel="0" collapsed="false">
      <c r="A15" s="175" t="s">
        <v>128</v>
      </c>
      <c r="B15" s="176"/>
      <c r="C15" s="176"/>
      <c r="D15" s="176"/>
      <c r="E15" s="177"/>
      <c r="F15" s="176"/>
      <c r="G15" s="176"/>
      <c r="H15" s="176"/>
      <c r="I15" s="176"/>
      <c r="J15" s="177"/>
      <c r="K15" s="176"/>
      <c r="L15" s="177"/>
      <c r="M15" s="176"/>
      <c r="N15" s="176"/>
      <c r="O15" s="176"/>
      <c r="P15" s="176"/>
      <c r="Q15" s="177"/>
      <c r="R15" s="176"/>
      <c r="S15" s="177"/>
      <c r="T15" s="177"/>
      <c r="U15" s="176"/>
      <c r="V15" s="176"/>
      <c r="W15" s="176"/>
      <c r="X15" s="177"/>
      <c r="Y15" s="176"/>
      <c r="Z15" s="178"/>
      <c r="AA15" s="176"/>
      <c r="AB15" s="176"/>
      <c r="AC15" s="176"/>
      <c r="AD15" s="176"/>
      <c r="AE15" s="177"/>
      <c r="AF15" s="176"/>
      <c r="AG15" s="168" t="str">
        <f aca="false">A15</f>
        <v>in</v>
      </c>
      <c r="AH15" s="146"/>
      <c r="AI15" s="169"/>
      <c r="AJ15" s="170"/>
      <c r="AK15" s="171"/>
      <c r="AL15" s="172"/>
      <c r="AM15" s="172"/>
      <c r="AN15" s="171"/>
      <c r="AO15" s="172"/>
      <c r="AP15" s="172"/>
      <c r="AQ15" s="39"/>
    </row>
    <row r="16" s="148" customFormat="true" ht="15" hidden="false" customHeight="true" outlineLevel="0" collapsed="false">
      <c r="A16" s="175" t="s">
        <v>129</v>
      </c>
      <c r="B16" s="176"/>
      <c r="C16" s="176"/>
      <c r="D16" s="176"/>
      <c r="E16" s="177"/>
      <c r="F16" s="176"/>
      <c r="G16" s="176"/>
      <c r="H16" s="176"/>
      <c r="I16" s="176"/>
      <c r="J16" s="177"/>
      <c r="K16" s="176"/>
      <c r="L16" s="177"/>
      <c r="M16" s="176"/>
      <c r="N16" s="176"/>
      <c r="O16" s="176"/>
      <c r="P16" s="176"/>
      <c r="Q16" s="177"/>
      <c r="R16" s="176"/>
      <c r="S16" s="177"/>
      <c r="T16" s="177"/>
      <c r="U16" s="176"/>
      <c r="V16" s="176"/>
      <c r="W16" s="176"/>
      <c r="X16" s="177"/>
      <c r="Y16" s="176"/>
      <c r="Z16" s="178"/>
      <c r="AA16" s="176"/>
      <c r="AB16" s="176"/>
      <c r="AC16" s="176"/>
      <c r="AD16" s="176"/>
      <c r="AE16" s="177"/>
      <c r="AF16" s="176"/>
      <c r="AG16" s="168" t="str">
        <f aca="false">A16</f>
        <v>out</v>
      </c>
      <c r="AH16" s="146"/>
      <c r="AI16" s="179"/>
      <c r="AJ16" s="180"/>
      <c r="AK16" s="172"/>
      <c r="AL16" s="172"/>
      <c r="AM16" s="172"/>
      <c r="AN16" s="171"/>
      <c r="AO16" s="172"/>
      <c r="AP16" s="172"/>
      <c r="AQ16" s="39"/>
    </row>
    <row r="17" s="148" customFormat="true" ht="15" hidden="false" customHeight="true" outlineLevel="0" collapsed="false">
      <c r="A17" s="175" t="s">
        <v>128</v>
      </c>
      <c r="B17" s="176"/>
      <c r="C17" s="176"/>
      <c r="D17" s="176"/>
      <c r="E17" s="177"/>
      <c r="F17" s="176"/>
      <c r="G17" s="176"/>
      <c r="H17" s="176"/>
      <c r="I17" s="176"/>
      <c r="J17" s="177"/>
      <c r="K17" s="176"/>
      <c r="L17" s="177"/>
      <c r="M17" s="176"/>
      <c r="N17" s="176"/>
      <c r="O17" s="176"/>
      <c r="P17" s="176"/>
      <c r="Q17" s="177"/>
      <c r="R17" s="176"/>
      <c r="S17" s="177"/>
      <c r="T17" s="177"/>
      <c r="U17" s="176"/>
      <c r="V17" s="176"/>
      <c r="W17" s="176"/>
      <c r="X17" s="177"/>
      <c r="Y17" s="176"/>
      <c r="Z17" s="178"/>
      <c r="AA17" s="176"/>
      <c r="AB17" s="176"/>
      <c r="AC17" s="176"/>
      <c r="AD17" s="176"/>
      <c r="AE17" s="177"/>
      <c r="AF17" s="176"/>
      <c r="AG17" s="168" t="str">
        <f aca="false">A17</f>
        <v>in</v>
      </c>
      <c r="AH17" s="146"/>
      <c r="AI17" s="179"/>
      <c r="AJ17" s="180"/>
      <c r="AK17" s="172"/>
      <c r="AL17" s="172"/>
      <c r="AM17" s="172"/>
      <c r="AN17" s="171"/>
      <c r="AO17" s="172"/>
      <c r="AP17" s="172"/>
      <c r="AQ17" s="39"/>
    </row>
    <row r="18" s="148" customFormat="true" ht="15" hidden="false" customHeight="true" outlineLevel="0" collapsed="false">
      <c r="A18" s="175" t="s">
        <v>129</v>
      </c>
      <c r="B18" s="176"/>
      <c r="C18" s="176"/>
      <c r="D18" s="176"/>
      <c r="E18" s="177"/>
      <c r="F18" s="176"/>
      <c r="G18" s="176"/>
      <c r="H18" s="176"/>
      <c r="I18" s="176"/>
      <c r="J18" s="177"/>
      <c r="K18" s="176"/>
      <c r="L18" s="177"/>
      <c r="M18" s="176"/>
      <c r="N18" s="176"/>
      <c r="O18" s="176"/>
      <c r="P18" s="176"/>
      <c r="Q18" s="177"/>
      <c r="R18" s="176"/>
      <c r="S18" s="177"/>
      <c r="T18" s="177"/>
      <c r="U18" s="176"/>
      <c r="V18" s="176"/>
      <c r="W18" s="176"/>
      <c r="X18" s="177"/>
      <c r="Y18" s="176"/>
      <c r="Z18" s="178"/>
      <c r="AA18" s="176"/>
      <c r="AB18" s="176"/>
      <c r="AC18" s="176"/>
      <c r="AD18" s="176"/>
      <c r="AE18" s="177"/>
      <c r="AF18" s="176"/>
      <c r="AG18" s="168" t="str">
        <f aca="false">A18</f>
        <v>out</v>
      </c>
      <c r="AH18" s="146"/>
      <c r="AI18" s="179"/>
      <c r="AJ18" s="180"/>
      <c r="AK18" s="172"/>
      <c r="AL18" s="172"/>
      <c r="AM18" s="172"/>
      <c r="AN18" s="171"/>
      <c r="AO18" s="172"/>
      <c r="AP18" s="172"/>
      <c r="AQ18" s="39"/>
    </row>
    <row r="19" s="148" customFormat="true" ht="15" hidden="true" customHeight="true" outlineLevel="1" collapsed="false">
      <c r="A19" s="175" t="s">
        <v>128</v>
      </c>
      <c r="B19" s="176"/>
      <c r="C19" s="176"/>
      <c r="D19" s="176"/>
      <c r="E19" s="177"/>
      <c r="F19" s="176"/>
      <c r="G19" s="176"/>
      <c r="H19" s="176"/>
      <c r="I19" s="176"/>
      <c r="J19" s="177"/>
      <c r="K19" s="176"/>
      <c r="L19" s="177"/>
      <c r="M19" s="176"/>
      <c r="N19" s="176"/>
      <c r="O19" s="176"/>
      <c r="P19" s="176"/>
      <c r="Q19" s="177"/>
      <c r="R19" s="176"/>
      <c r="S19" s="177"/>
      <c r="T19" s="177"/>
      <c r="U19" s="176"/>
      <c r="V19" s="176"/>
      <c r="W19" s="176"/>
      <c r="X19" s="177"/>
      <c r="Y19" s="176"/>
      <c r="Z19" s="178"/>
      <c r="AA19" s="176"/>
      <c r="AB19" s="176"/>
      <c r="AC19" s="176"/>
      <c r="AD19" s="176"/>
      <c r="AE19" s="177"/>
      <c r="AF19" s="176"/>
      <c r="AG19" s="168" t="str">
        <f aca="false">A19</f>
        <v>in</v>
      </c>
      <c r="AH19" s="146"/>
      <c r="AI19" s="179"/>
      <c r="AJ19" s="180"/>
      <c r="AK19" s="172"/>
      <c r="AL19" s="172"/>
      <c r="AM19" s="172"/>
      <c r="AN19" s="171"/>
      <c r="AO19" s="172"/>
      <c r="AP19" s="172"/>
      <c r="AQ19" s="39"/>
    </row>
    <row r="20" s="148" customFormat="true" ht="15" hidden="true" customHeight="true" outlineLevel="1" collapsed="false">
      <c r="A20" s="175" t="s">
        <v>129</v>
      </c>
      <c r="B20" s="176"/>
      <c r="C20" s="176"/>
      <c r="D20" s="176"/>
      <c r="E20" s="177"/>
      <c r="F20" s="176"/>
      <c r="G20" s="176"/>
      <c r="H20" s="176"/>
      <c r="I20" s="176"/>
      <c r="J20" s="177"/>
      <c r="K20" s="176"/>
      <c r="L20" s="177"/>
      <c r="M20" s="176"/>
      <c r="N20" s="176"/>
      <c r="O20" s="176"/>
      <c r="P20" s="176"/>
      <c r="Q20" s="177"/>
      <c r="R20" s="176"/>
      <c r="S20" s="177"/>
      <c r="T20" s="177"/>
      <c r="U20" s="176"/>
      <c r="V20" s="176"/>
      <c r="W20" s="176"/>
      <c r="X20" s="177"/>
      <c r="Y20" s="176"/>
      <c r="Z20" s="178"/>
      <c r="AA20" s="176"/>
      <c r="AB20" s="176"/>
      <c r="AC20" s="176"/>
      <c r="AD20" s="176"/>
      <c r="AE20" s="177"/>
      <c r="AF20" s="176"/>
      <c r="AG20" s="168" t="str">
        <f aca="false">A20</f>
        <v>out</v>
      </c>
      <c r="AH20" s="146"/>
      <c r="AI20" s="179"/>
      <c r="AJ20" s="180"/>
      <c r="AK20" s="172"/>
      <c r="AL20" s="172"/>
      <c r="AM20" s="172"/>
      <c r="AN20" s="171"/>
      <c r="AO20" s="172"/>
      <c r="AP20" s="172"/>
      <c r="AQ20" s="39"/>
    </row>
    <row r="21" s="148" customFormat="true" ht="15" hidden="true" customHeight="true" outlineLevel="1" collapsed="false">
      <c r="A21" s="175" t="s">
        <v>128</v>
      </c>
      <c r="B21" s="176"/>
      <c r="C21" s="176"/>
      <c r="D21" s="176"/>
      <c r="E21" s="177"/>
      <c r="F21" s="176"/>
      <c r="G21" s="176"/>
      <c r="H21" s="176"/>
      <c r="I21" s="176"/>
      <c r="J21" s="177"/>
      <c r="K21" s="176"/>
      <c r="L21" s="177"/>
      <c r="M21" s="176"/>
      <c r="N21" s="176"/>
      <c r="O21" s="176"/>
      <c r="P21" s="176"/>
      <c r="Q21" s="177"/>
      <c r="R21" s="176"/>
      <c r="S21" s="177"/>
      <c r="T21" s="177"/>
      <c r="U21" s="176"/>
      <c r="V21" s="176"/>
      <c r="W21" s="176"/>
      <c r="X21" s="177"/>
      <c r="Y21" s="176"/>
      <c r="Z21" s="178"/>
      <c r="AA21" s="176"/>
      <c r="AB21" s="176"/>
      <c r="AC21" s="176"/>
      <c r="AD21" s="176"/>
      <c r="AE21" s="177"/>
      <c r="AF21" s="176"/>
      <c r="AG21" s="168" t="str">
        <f aca="false">A21</f>
        <v>in</v>
      </c>
      <c r="AH21" s="146"/>
      <c r="AI21" s="179"/>
      <c r="AJ21" s="180"/>
      <c r="AK21" s="172"/>
      <c r="AL21" s="172"/>
      <c r="AM21" s="172"/>
      <c r="AN21" s="171"/>
      <c r="AO21" s="172"/>
      <c r="AP21" s="172"/>
      <c r="AQ21" s="39"/>
    </row>
    <row r="22" s="148" customFormat="true" ht="15" hidden="true" customHeight="true" outlineLevel="1" collapsed="false">
      <c r="A22" s="175" t="s">
        <v>129</v>
      </c>
      <c r="B22" s="176"/>
      <c r="C22" s="176"/>
      <c r="D22" s="176"/>
      <c r="E22" s="177"/>
      <c r="F22" s="176"/>
      <c r="G22" s="176"/>
      <c r="H22" s="176"/>
      <c r="I22" s="176"/>
      <c r="J22" s="177"/>
      <c r="K22" s="176"/>
      <c r="L22" s="177"/>
      <c r="M22" s="176"/>
      <c r="N22" s="176"/>
      <c r="O22" s="176"/>
      <c r="P22" s="176"/>
      <c r="Q22" s="177"/>
      <c r="R22" s="176"/>
      <c r="S22" s="177"/>
      <c r="T22" s="177"/>
      <c r="U22" s="176"/>
      <c r="V22" s="176"/>
      <c r="W22" s="176"/>
      <c r="X22" s="177"/>
      <c r="Y22" s="176"/>
      <c r="Z22" s="178"/>
      <c r="AA22" s="176"/>
      <c r="AB22" s="176"/>
      <c r="AC22" s="176"/>
      <c r="AD22" s="176"/>
      <c r="AE22" s="177"/>
      <c r="AF22" s="176"/>
      <c r="AG22" s="168" t="str">
        <f aca="false">A22</f>
        <v>out</v>
      </c>
      <c r="AH22" s="146"/>
      <c r="AI22" s="179"/>
      <c r="AJ22" s="180"/>
      <c r="AK22" s="172"/>
      <c r="AL22" s="172"/>
      <c r="AM22" s="172"/>
      <c r="AN22" s="171"/>
      <c r="AO22" s="172"/>
      <c r="AP22" s="172"/>
      <c r="AQ22" s="39"/>
    </row>
    <row r="23" s="148" customFormat="true" ht="15" hidden="false" customHeight="true" outlineLevel="0" collapsed="false">
      <c r="A23" s="181" t="s">
        <v>130</v>
      </c>
      <c r="B23" s="182" t="n">
        <f aca="false">ROUND((B14-B13)+(B16-B15)+(B18-B17)+(B20-B19)+(B22-B21),9)</f>
        <v>0</v>
      </c>
      <c r="C23" s="182" t="n">
        <f aca="false">ROUND((C14-C13)+(C16-C15)+(C18-C17)+(C20-C19)+(C22-C21),9)</f>
        <v>0</v>
      </c>
      <c r="D23" s="182" t="n">
        <f aca="false">ROUND((D14-D13)+(D16-D15)+(D18-D17)+(D20-D19)+(D22-D21),9)</f>
        <v>0</v>
      </c>
      <c r="E23" s="182" t="n">
        <f aca="false">ROUND((E14-E13)+(E16-E15)+(E18-E17)+(E20-E19)+(E22-E21),9)</f>
        <v>0</v>
      </c>
      <c r="F23" s="182" t="n">
        <f aca="false">ROUND((F14-F13)+(F16-F15)+(F18-F17)+(F20-F19)+(F22-F21),9)</f>
        <v>0</v>
      </c>
      <c r="G23" s="182" t="n">
        <f aca="false">ROUND((G14-G13)+(G16-G15)+(G18-G17)+(G20-G19)+(G22-G21),9)</f>
        <v>0</v>
      </c>
      <c r="H23" s="182" t="n">
        <f aca="false">ROUND((H14-H13)+(H16-H15)+(H18-H17)+(H20-H19)+(H22-H21),9)</f>
        <v>0</v>
      </c>
      <c r="I23" s="182" t="n">
        <f aca="false">ROUND((I14-I13)+(I16-I15)+(I18-I17)+(I20-I19)+(I22-I21),9)</f>
        <v>0</v>
      </c>
      <c r="J23" s="182" t="n">
        <f aca="false">ROUND((J14-J13)+(J16-J15)+(J18-J17)+(J20-J19)+(J22-J21),9)</f>
        <v>0</v>
      </c>
      <c r="K23" s="182" t="n">
        <f aca="false">ROUND((K14-K13)+(K16-K15)+(K18-K17)+(K20-K19)+(K22-K21),9)</f>
        <v>0</v>
      </c>
      <c r="L23" s="182" t="n">
        <f aca="false">ROUND((L14-L13)+(L16-L15)+(L18-L17)+(L20-L19)+(L22-L21),9)</f>
        <v>0</v>
      </c>
      <c r="M23" s="182" t="n">
        <f aca="false">ROUND((M14-M13)+(M16-M15)+(M18-M17)+(M20-M19)+(M22-M21),9)</f>
        <v>0</v>
      </c>
      <c r="N23" s="182" t="n">
        <f aca="false">ROUND((N14-N13)+(N16-N15)+(N18-N17)+(N20-N19)+(N22-N21),9)</f>
        <v>0</v>
      </c>
      <c r="O23" s="182" t="n">
        <f aca="false">ROUND((O14-O13)+(O16-O15)+(O18-O17)+(O20-O19)+(O22-O21),9)</f>
        <v>0</v>
      </c>
      <c r="P23" s="182" t="n">
        <f aca="false">ROUND((P14-P13)+(P16-P15)+(P18-P17)+(P20-P19)+(P22-P21),9)</f>
        <v>0</v>
      </c>
      <c r="Q23" s="182" t="n">
        <f aca="false">ROUND((Q14-Q13)+(Q16-Q15)+(Q18-Q17)+(Q20-Q19)+(Q22-Q21),9)</f>
        <v>0</v>
      </c>
      <c r="R23" s="182" t="n">
        <f aca="false">ROUND((R14-R13)+(R16-R15)+(R18-R17)+(R20-R19)+(R22-R21),9)</f>
        <v>0</v>
      </c>
      <c r="S23" s="182" t="n">
        <f aca="false">ROUND((S14-S13)+(S16-S15)+(S18-S17)+(S20-S19)+(S22-S21),9)</f>
        <v>0</v>
      </c>
      <c r="T23" s="182" t="n">
        <f aca="false">ROUND((T14-T13)+(T16-T15)+(T18-T17)+(T20-T19)+(T22-T21),9)</f>
        <v>0</v>
      </c>
      <c r="U23" s="182" t="n">
        <f aca="false">ROUND((U14-U13)+(U16-U15)+(U18-U17)+(U20-U19)+(U22-U21),9)</f>
        <v>0</v>
      </c>
      <c r="V23" s="182" t="n">
        <f aca="false">ROUND((V14-V13)+(V16-V15)+(V18-V17)+(V20-V19)+(V22-V21),9)</f>
        <v>0</v>
      </c>
      <c r="W23" s="182" t="n">
        <f aca="false">ROUND((W14-W13)+(W16-W15)+(W18-W17)+(W20-W19)+(W22-W21),9)</f>
        <v>0</v>
      </c>
      <c r="X23" s="182" t="n">
        <f aca="false">ROUND((X14-X13)+(X16-X15)+(X18-X17)+(X20-X19)+(X22-X21),9)</f>
        <v>0</v>
      </c>
      <c r="Y23" s="182" t="n">
        <f aca="false">ROUND((Y14-Y13)+(Y16-Y15)+(Y18-Y17)+(Y20-Y19)+(Y22-Y21),9)</f>
        <v>0</v>
      </c>
      <c r="Z23" s="182" t="n">
        <f aca="false">ROUND((Z14-Z13)+(Z16-Z15)+(Z18-Z17)+(Z20-Z19)+(Z22-Z21),9)</f>
        <v>0</v>
      </c>
      <c r="AA23" s="182" t="n">
        <f aca="false">ROUND((AA14-AA13)+(AA16-AA15)+(AA18-AA17)+(AA20-AA19)+(AA22-AA21),9)</f>
        <v>0</v>
      </c>
      <c r="AB23" s="182" t="n">
        <f aca="false">ROUND((AB14-AB13)+(AB16-AB15)+(AB18-AB17)+(AB20-AB19)+(AB22-AB21),9)</f>
        <v>0</v>
      </c>
      <c r="AC23" s="182" t="n">
        <f aca="false">ROUND((AC14-AC13)+(AC16-AC15)+(AC18-AC17)+(AC20-AC19)+(AC22-AC21),9)</f>
        <v>0</v>
      </c>
      <c r="AD23" s="182" t="n">
        <f aca="false">ROUND((AD14-AD13)+(AD16-AD15)+(AD18-AD17)+(AD20-AD19)+(AD22-AD21),9)</f>
        <v>0</v>
      </c>
      <c r="AE23" s="182" t="n">
        <f aca="false">ROUND((AE14-AE13)+(AE16-AE15)+(AE18-AE17)+(AE20-AE19)+(AE22-AE21),9)</f>
        <v>0</v>
      </c>
      <c r="AF23" s="182" t="n">
        <f aca="false">ROUND((AF14-AF13)+(AF16-AF15)+(AF18-AF17)+(AF20-AF19)+(AF22-AF21),9)</f>
        <v>0</v>
      </c>
      <c r="AG23" s="183" t="str">
        <f aca="false">A23</f>
        <v>Total in/out</v>
      </c>
      <c r="AH23" s="184"/>
      <c r="AI23" s="185" t="n">
        <f aca="false">SUM(B23:AF23)</f>
        <v>0</v>
      </c>
      <c r="AJ23" s="180"/>
      <c r="AK23" s="172"/>
      <c r="AL23" s="172"/>
      <c r="AM23" s="172"/>
      <c r="AN23" s="171"/>
      <c r="AO23" s="172"/>
      <c r="AP23" s="172"/>
      <c r="AQ23" s="39"/>
    </row>
    <row r="24" s="148" customFormat="true" ht="3.75" hidden="true" customHeight="true" outlineLevel="1" collapsed="false">
      <c r="A24" s="186"/>
      <c r="B24" s="187"/>
      <c r="C24" s="187"/>
      <c r="D24" s="187"/>
      <c r="E24" s="187"/>
      <c r="F24" s="187"/>
      <c r="G24" s="187"/>
      <c r="H24" s="187"/>
      <c r="I24" s="187"/>
      <c r="J24" s="187"/>
      <c r="K24" s="187"/>
      <c r="L24" s="187"/>
      <c r="M24" s="187"/>
      <c r="N24" s="187"/>
      <c r="O24" s="187"/>
      <c r="P24" s="187"/>
      <c r="Q24" s="187"/>
      <c r="R24" s="187"/>
      <c r="S24" s="187"/>
      <c r="T24" s="187"/>
      <c r="U24" s="187"/>
      <c r="V24" s="187"/>
      <c r="W24" s="187"/>
      <c r="X24" s="187"/>
      <c r="Y24" s="187"/>
      <c r="Z24" s="187"/>
      <c r="AA24" s="187"/>
      <c r="AB24" s="187"/>
      <c r="AC24" s="187"/>
      <c r="AD24" s="187"/>
      <c r="AE24" s="187"/>
      <c r="AF24" s="188"/>
      <c r="AG24" s="168"/>
      <c r="AH24" s="146"/>
      <c r="AI24" s="179"/>
      <c r="AJ24" s="180"/>
      <c r="AK24" s="172"/>
      <c r="AL24" s="172"/>
      <c r="AM24" s="172"/>
      <c r="AN24" s="171"/>
      <c r="AO24" s="172"/>
      <c r="AP24" s="172"/>
      <c r="AQ24" s="39"/>
    </row>
    <row r="25" s="148" customFormat="true" ht="15" hidden="true" customHeight="true" outlineLevel="1" collapsed="false">
      <c r="A25" s="175" t="s">
        <v>131</v>
      </c>
      <c r="B25" s="176"/>
      <c r="C25" s="176"/>
      <c r="D25" s="176"/>
      <c r="E25" s="189"/>
      <c r="F25" s="176"/>
      <c r="G25" s="176"/>
      <c r="H25" s="176"/>
      <c r="I25" s="176"/>
      <c r="J25" s="176"/>
      <c r="K25" s="176"/>
      <c r="L25" s="176"/>
      <c r="M25" s="176"/>
      <c r="N25" s="176"/>
      <c r="O25" s="176"/>
      <c r="P25" s="176"/>
      <c r="Q25" s="176"/>
      <c r="R25" s="176"/>
      <c r="S25" s="176"/>
      <c r="T25" s="176"/>
      <c r="U25" s="176"/>
      <c r="V25" s="176"/>
      <c r="W25" s="176"/>
      <c r="X25" s="176"/>
      <c r="Y25" s="176"/>
      <c r="Z25" s="190"/>
      <c r="AA25" s="176"/>
      <c r="AB25" s="176"/>
      <c r="AC25" s="176"/>
      <c r="AD25" s="176"/>
      <c r="AE25" s="176"/>
      <c r="AF25" s="176"/>
      <c r="AG25" s="168" t="str">
        <f aca="false">A25</f>
        <v>paid break in</v>
      </c>
      <c r="AH25" s="146"/>
      <c r="AI25" s="179"/>
      <c r="AJ25" s="180"/>
      <c r="AK25" s="172"/>
      <c r="AL25" s="172"/>
      <c r="AM25" s="172"/>
      <c r="AN25" s="171"/>
      <c r="AO25" s="172"/>
      <c r="AP25" s="172"/>
      <c r="AQ25" s="39"/>
    </row>
    <row r="26" s="148" customFormat="true" ht="15" hidden="true" customHeight="true" outlineLevel="1" collapsed="false">
      <c r="A26" s="175" t="s">
        <v>132</v>
      </c>
      <c r="B26" s="176"/>
      <c r="C26" s="176"/>
      <c r="D26" s="176"/>
      <c r="E26" s="176"/>
      <c r="F26" s="176"/>
      <c r="G26" s="176"/>
      <c r="H26" s="176"/>
      <c r="I26" s="176"/>
      <c r="J26" s="176"/>
      <c r="K26" s="176"/>
      <c r="L26" s="176"/>
      <c r="M26" s="176"/>
      <c r="N26" s="176"/>
      <c r="O26" s="176"/>
      <c r="P26" s="176"/>
      <c r="Q26" s="176"/>
      <c r="R26" s="176"/>
      <c r="S26" s="176"/>
      <c r="T26" s="176"/>
      <c r="U26" s="176"/>
      <c r="V26" s="176"/>
      <c r="W26" s="176"/>
      <c r="X26" s="176"/>
      <c r="Y26" s="176"/>
      <c r="Z26" s="190"/>
      <c r="AA26" s="176"/>
      <c r="AB26" s="176"/>
      <c r="AC26" s="176"/>
      <c r="AD26" s="176"/>
      <c r="AE26" s="176"/>
      <c r="AF26" s="176"/>
      <c r="AG26" s="168" t="str">
        <f aca="false">A26</f>
        <v>paid break out</v>
      </c>
      <c r="AH26" s="146"/>
      <c r="AI26" s="179"/>
      <c r="AJ26" s="180"/>
      <c r="AK26" s="172"/>
      <c r="AL26" s="172"/>
      <c r="AM26" s="172"/>
      <c r="AN26" s="171"/>
      <c r="AO26" s="172"/>
      <c r="AP26" s="172"/>
      <c r="AQ26" s="39"/>
    </row>
    <row r="27" s="148" customFormat="true" ht="15" hidden="true" customHeight="true" outlineLevel="1" collapsed="false">
      <c r="A27" s="175" t="s">
        <v>131</v>
      </c>
      <c r="B27" s="176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90"/>
      <c r="AA27" s="176"/>
      <c r="AB27" s="176"/>
      <c r="AC27" s="176"/>
      <c r="AD27" s="176"/>
      <c r="AE27" s="176"/>
      <c r="AF27" s="176"/>
      <c r="AG27" s="168" t="str">
        <f aca="false">A27</f>
        <v>paid break in</v>
      </c>
      <c r="AH27" s="146"/>
      <c r="AI27" s="179"/>
      <c r="AJ27" s="180"/>
      <c r="AK27" s="172"/>
      <c r="AL27" s="172"/>
      <c r="AM27" s="172"/>
      <c r="AN27" s="171"/>
      <c r="AO27" s="172"/>
      <c r="AP27" s="172"/>
      <c r="AQ27" s="39"/>
    </row>
    <row r="28" s="148" customFormat="true" ht="15" hidden="true" customHeight="true" outlineLevel="1" collapsed="false">
      <c r="A28" s="175" t="s">
        <v>132</v>
      </c>
      <c r="B28" s="176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90"/>
      <c r="AA28" s="176"/>
      <c r="AB28" s="176"/>
      <c r="AC28" s="176"/>
      <c r="AD28" s="176"/>
      <c r="AE28" s="176"/>
      <c r="AF28" s="176"/>
      <c r="AG28" s="168" t="str">
        <f aca="false">A28</f>
        <v>paid break out</v>
      </c>
      <c r="AH28" s="146"/>
      <c r="AI28" s="179"/>
      <c r="AJ28" s="180"/>
      <c r="AK28" s="172"/>
      <c r="AL28" s="172"/>
      <c r="AM28" s="172"/>
      <c r="AN28" s="171"/>
      <c r="AO28" s="172"/>
      <c r="AP28" s="172"/>
      <c r="AQ28" s="39"/>
    </row>
    <row r="29" s="148" customFormat="true" ht="15" hidden="true" customHeight="true" outlineLevel="1" collapsed="false">
      <c r="A29" s="175" t="s">
        <v>131</v>
      </c>
      <c r="B29" s="176"/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90"/>
      <c r="AA29" s="176"/>
      <c r="AB29" s="176"/>
      <c r="AC29" s="176"/>
      <c r="AD29" s="176"/>
      <c r="AE29" s="176"/>
      <c r="AF29" s="176"/>
      <c r="AG29" s="168" t="str">
        <f aca="false">A29</f>
        <v>paid break in</v>
      </c>
      <c r="AH29" s="146"/>
      <c r="AI29" s="179"/>
      <c r="AJ29" s="180"/>
      <c r="AK29" s="172"/>
      <c r="AL29" s="172"/>
      <c r="AM29" s="172"/>
      <c r="AN29" s="171"/>
      <c r="AO29" s="172"/>
      <c r="AP29" s="172"/>
      <c r="AQ29" s="39"/>
    </row>
    <row r="30" s="148" customFormat="true" ht="15" hidden="true" customHeight="true" outlineLevel="1" collapsed="false">
      <c r="A30" s="175" t="s">
        <v>132</v>
      </c>
      <c r="B30" s="176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90"/>
      <c r="AA30" s="176"/>
      <c r="AB30" s="176"/>
      <c r="AC30" s="176"/>
      <c r="AD30" s="176"/>
      <c r="AE30" s="176"/>
      <c r="AF30" s="176"/>
      <c r="AG30" s="168" t="str">
        <f aca="false">A30</f>
        <v>paid break out</v>
      </c>
      <c r="AH30" s="146"/>
      <c r="AI30" s="179"/>
      <c r="AJ30" s="180"/>
      <c r="AK30" s="172"/>
      <c r="AL30" s="172"/>
      <c r="AM30" s="172"/>
      <c r="AN30" s="171"/>
      <c r="AO30" s="172"/>
      <c r="AP30" s="172"/>
      <c r="AQ30" s="39"/>
    </row>
    <row r="31" s="148" customFormat="true" ht="3.75" hidden="true" customHeight="true" outlineLevel="1" collapsed="false">
      <c r="A31" s="186"/>
      <c r="B31" s="191"/>
      <c r="C31" s="191"/>
      <c r="D31" s="191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  <c r="AA31" s="191"/>
      <c r="AB31" s="191"/>
      <c r="AC31" s="191"/>
      <c r="AD31" s="191"/>
      <c r="AE31" s="191"/>
      <c r="AF31" s="192"/>
      <c r="AG31" s="168"/>
      <c r="AH31" s="146"/>
      <c r="AI31" s="179"/>
      <c r="AJ31" s="180"/>
      <c r="AK31" s="172"/>
      <c r="AL31" s="172"/>
      <c r="AM31" s="172"/>
      <c r="AN31" s="171"/>
      <c r="AO31" s="172"/>
      <c r="AP31" s="172"/>
      <c r="AQ31" s="39"/>
    </row>
    <row r="32" s="148" customFormat="true" ht="15" hidden="true" customHeight="true" outlineLevel="1" collapsed="false">
      <c r="A32" s="181" t="s">
        <v>133</v>
      </c>
      <c r="B32" s="193" t="n">
        <f aca="false">ROUND(IF(MAX(0,B15-B14)&lt;1/24/60*180,MAX(0,B15-B14),0)+IF(MAX(0,B17-B16)&lt;1/24/60*180,MAX(0,B17-B16),0)+IF(MAX(0,B19-B18)&lt;1/24/60*180,MAX(0,B19-B18),0)+IF(MAX(0,B21-B20)&lt;1/24/60*180,MAX(0,B21-B20))+MAX(0,B26-B25)+MAX(0,B28-B27)+MAX(0,B30-B29),9)</f>
        <v>0</v>
      </c>
      <c r="C32" s="193" t="n">
        <f aca="false">ROUND(IF(MAX(0,C15-C14)&lt;1/24/60*180,MAX(0,C15-C14),0)+IF(MAX(0,C17-C16)&lt;1/24/60*180,MAX(0,C17-C16),0)+IF(MAX(0,C19-C18)&lt;1/24/60*180,MAX(0,C19-C18),0)+IF(MAX(0,C21-C20)&lt;1/24/60*180,MAX(0,C21-C20))+MAX(0,C26-C25)+MAX(0,C28-C27)+MAX(0,C30-C29),9)</f>
        <v>0</v>
      </c>
      <c r="D32" s="193" t="n">
        <f aca="false">ROUND(IF(MAX(0,D15-D14)&lt;1/24/60*180,MAX(0,D15-D14),0)+IF(MAX(0,D17-D16)&lt;1/24/60*180,MAX(0,D17-D16),0)+IF(MAX(0,D19-D18)&lt;1/24/60*180,MAX(0,D19-D18),0)+IF(MAX(0,D21-D20)&lt;1/24/60*180,MAX(0,D21-D20))+MAX(0,D26-D25)+MAX(0,D28-D27)+MAX(0,D30-D29),9)</f>
        <v>0</v>
      </c>
      <c r="E32" s="193" t="n">
        <f aca="false">ROUND(IF(MAX(0,E15-E14)&lt;1/24/60*180,MAX(0,E15-E14),0)+IF(MAX(0,E17-E16)&lt;1/24/60*180,MAX(0,E17-E16),0)+IF(MAX(0,E19-E18)&lt;1/24/60*180,MAX(0,E19-E18),0)+IF(MAX(0,E21-E20)&lt;1/24/60*180,MAX(0,E21-E20))+MAX(0,E26-E25)+MAX(0,E28-E27)+MAX(0,E30-E29),9)</f>
        <v>0</v>
      </c>
      <c r="F32" s="193" t="n">
        <f aca="false">ROUND(IF(MAX(0,F15-F14)&lt;1/24/60*180,MAX(0,F15-F14),0)+IF(MAX(0,F17-F16)&lt;1/24/60*180,MAX(0,F17-F16),0)+IF(MAX(0,F19-F18)&lt;1/24/60*180,MAX(0,F19-F18),0)+IF(MAX(0,F21-F20)&lt;1/24/60*180,MAX(0,F21-F20))+MAX(0,F26-F25)+MAX(0,F28-F27)+MAX(0,F30-F29),9)</f>
        <v>0</v>
      </c>
      <c r="G32" s="193" t="n">
        <f aca="false">ROUND(IF(MAX(0,G15-G14)&lt;1/24/60*180,MAX(0,G15-G14),0)+IF(MAX(0,G17-G16)&lt;1/24/60*180,MAX(0,G17-G16),0)+IF(MAX(0,G19-G18)&lt;1/24/60*180,MAX(0,G19-G18),0)+IF(MAX(0,G21-G20)&lt;1/24/60*180,MAX(0,G21-G20))+MAX(0,G26-G25)+MAX(0,G28-G27)+MAX(0,G30-G29),9)</f>
        <v>0</v>
      </c>
      <c r="H32" s="193" t="n">
        <f aca="false">ROUND(IF(MAX(0,H15-H14)&lt;1/24/60*180,MAX(0,H15-H14),0)+IF(MAX(0,H17-H16)&lt;1/24/60*180,MAX(0,H17-H16),0)+IF(MAX(0,H19-H18)&lt;1/24/60*180,MAX(0,H19-H18),0)+IF(MAX(0,H21-H20)&lt;1/24/60*180,MAX(0,H21-H20))+MAX(0,H26-H25)+MAX(0,H28-H27)+MAX(0,H30-H29),9)</f>
        <v>0</v>
      </c>
      <c r="I32" s="193" t="n">
        <f aca="false">ROUND(IF(MAX(0,I15-I14)&lt;1/24/60*180,MAX(0,I15-I14),0)+IF(MAX(0,I17-I16)&lt;1/24/60*180,MAX(0,I17-I16),0)+IF(MAX(0,I19-I18)&lt;1/24/60*180,MAX(0,I19-I18),0)+IF(MAX(0,I21-I20)&lt;1/24/60*180,MAX(0,I21-I20))+MAX(0,I26-I25)+MAX(0,I28-I27)+MAX(0,I30-I29),9)</f>
        <v>0</v>
      </c>
      <c r="J32" s="193" t="n">
        <f aca="false">ROUND(IF(MAX(0,J15-J14)&lt;1/24/60*180,MAX(0,J15-J14),0)+IF(MAX(0,J17-J16)&lt;1/24/60*180,MAX(0,J17-J16),0)+IF(MAX(0,J19-J18)&lt;1/24/60*180,MAX(0,J19-J18),0)+IF(MAX(0,J21-J20)&lt;1/24/60*180,MAX(0,J21-J20))+MAX(0,J26-J25)+MAX(0,J28-J27)+MAX(0,J30-J29),9)</f>
        <v>0</v>
      </c>
      <c r="K32" s="193" t="n">
        <f aca="false">ROUND(IF(MAX(0,K15-K14)&lt;1/24/60*180,MAX(0,K15-K14),0)+IF(MAX(0,K17-K16)&lt;1/24/60*180,MAX(0,K17-K16),0)+IF(MAX(0,K19-K18)&lt;1/24/60*180,MAX(0,K19-K18),0)+IF(MAX(0,K21-K20)&lt;1/24/60*180,MAX(0,K21-K20))+MAX(0,K26-K25)+MAX(0,K28-K27)+MAX(0,K30-K29),9)</f>
        <v>0</v>
      </c>
      <c r="L32" s="193" t="n">
        <f aca="false">ROUND(IF(MAX(0,L15-L14)&lt;1/24/60*180,MAX(0,L15-L14),0)+IF(MAX(0,L17-L16)&lt;1/24/60*180,MAX(0,L17-L16),0)+IF(MAX(0,L19-L18)&lt;1/24/60*180,MAX(0,L19-L18),0)+IF(MAX(0,L21-L20)&lt;1/24/60*180,MAX(0,L21-L20))+MAX(0,L26-L25)+MAX(0,L28-L27)+MAX(0,L30-L29),9)</f>
        <v>0</v>
      </c>
      <c r="M32" s="193" t="n">
        <f aca="false">ROUND(IF(MAX(0,M15-M14)&lt;1/24/60*180,MAX(0,M15-M14),0)+IF(MAX(0,M17-M16)&lt;1/24/60*180,MAX(0,M17-M16),0)+IF(MAX(0,M19-M18)&lt;1/24/60*180,MAX(0,M19-M18),0)+IF(MAX(0,M21-M20)&lt;1/24/60*180,MAX(0,M21-M20))+MAX(0,M26-M25)+MAX(0,M28-M27)+MAX(0,M30-M29),9)</f>
        <v>0</v>
      </c>
      <c r="N32" s="193" t="n">
        <f aca="false">ROUND(IF(MAX(0,N15-N14)&lt;1/24/60*180,MAX(0,N15-N14),0)+IF(MAX(0,N17-N16)&lt;1/24/60*180,MAX(0,N17-N16),0)+IF(MAX(0,N19-N18)&lt;1/24/60*180,MAX(0,N19-N18),0)+IF(MAX(0,N21-N20)&lt;1/24/60*180,MAX(0,N21-N20))+MAX(0,N26-N25)+MAX(0,N28-N27)+MAX(0,N30-N29),9)</f>
        <v>0</v>
      </c>
      <c r="O32" s="193" t="n">
        <f aca="false">ROUND(IF(MAX(0,O15-O14)&lt;1/24/60*180,MAX(0,O15-O14),0)+IF(MAX(0,O17-O16)&lt;1/24/60*180,MAX(0,O17-O16),0)+IF(MAX(0,O19-O18)&lt;1/24/60*180,MAX(0,O19-O18),0)+IF(MAX(0,O21-O20)&lt;1/24/60*180,MAX(0,O21-O20))+MAX(0,O26-O25)+MAX(0,O28-O27)+MAX(0,O30-O29),9)</f>
        <v>0</v>
      </c>
      <c r="P32" s="193" t="n">
        <f aca="false">ROUND(IF(MAX(0,P15-P14)&lt;1/24/60*180,MAX(0,P15-P14),0)+IF(MAX(0,P17-P16)&lt;1/24/60*180,MAX(0,P17-P16),0)+IF(MAX(0,P19-P18)&lt;1/24/60*180,MAX(0,P19-P18),0)+IF(MAX(0,P21-P20)&lt;1/24/60*180,MAX(0,P21-P20))+MAX(0,P26-P25)+MAX(0,P28-P27)+MAX(0,P30-P29),9)</f>
        <v>0</v>
      </c>
      <c r="Q32" s="193" t="n">
        <f aca="false">ROUND(IF(MAX(0,Q15-Q14)&lt;1/24/60*180,MAX(0,Q15-Q14),0)+IF(MAX(0,Q17-Q16)&lt;1/24/60*180,MAX(0,Q17-Q16),0)+IF(MAX(0,Q19-Q18)&lt;1/24/60*180,MAX(0,Q19-Q18),0)+IF(MAX(0,Q21-Q20)&lt;1/24/60*180,MAX(0,Q21-Q20))+MAX(0,Q26-Q25)+MAX(0,Q28-Q27)+MAX(0,Q30-Q29),9)</f>
        <v>0</v>
      </c>
      <c r="R32" s="193" t="n">
        <f aca="false">ROUND(IF(MAX(0,R15-R14)&lt;1/24/60*180,MAX(0,R15-R14),0)+IF(MAX(0,R17-R16)&lt;1/24/60*180,MAX(0,R17-R16),0)+IF(MAX(0,R19-R18)&lt;1/24/60*180,MAX(0,R19-R18),0)+IF(MAX(0,R21-R20)&lt;1/24/60*180,MAX(0,R21-R20))+MAX(0,R26-R25)+MAX(0,R28-R27)+MAX(0,R30-R29),9)</f>
        <v>0</v>
      </c>
      <c r="S32" s="193" t="n">
        <f aca="false">ROUND(IF(MAX(0,S15-S14)&lt;1/24/60*180,MAX(0,S15-S14),0)+IF(MAX(0,S17-S16)&lt;1/24/60*180,MAX(0,S17-S16),0)+IF(MAX(0,S19-S18)&lt;1/24/60*180,MAX(0,S19-S18),0)+IF(MAX(0,S21-S20)&lt;1/24/60*180,MAX(0,S21-S20))+MAX(0,S26-S25)+MAX(0,S28-S27)+MAX(0,S30-S29),9)</f>
        <v>0</v>
      </c>
      <c r="T32" s="193" t="n">
        <f aca="false">ROUND(IF(MAX(0,T15-T14)&lt;1/24/60*180,MAX(0,T15-T14),0)+IF(MAX(0,T17-T16)&lt;1/24/60*180,MAX(0,T17-T16),0)+IF(MAX(0,T19-T18)&lt;1/24/60*180,MAX(0,T19-T18),0)+IF(MAX(0,T21-T20)&lt;1/24/60*180,MAX(0,T21-T20))+MAX(0,T26-T25)+MAX(0,T28-T27)+MAX(0,T30-T29),9)</f>
        <v>0</v>
      </c>
      <c r="U32" s="193" t="n">
        <f aca="false">ROUND(IF(MAX(0,U15-U14)&lt;1/24/60*180,MAX(0,U15-U14),0)+IF(MAX(0,U17-U16)&lt;1/24/60*180,MAX(0,U17-U16),0)+IF(MAX(0,U19-U18)&lt;1/24/60*180,MAX(0,U19-U18),0)+IF(MAX(0,U21-U20)&lt;1/24/60*180,MAX(0,U21-U20))+MAX(0,U26-U25)+MAX(0,U28-U27)+MAX(0,U30-U29),9)</f>
        <v>0</v>
      </c>
      <c r="V32" s="193" t="n">
        <f aca="false">ROUND(IF(MAX(0,V15-V14)&lt;1/24/60*180,MAX(0,V15-V14),0)+IF(MAX(0,V17-V16)&lt;1/24/60*180,MAX(0,V17-V16),0)+IF(MAX(0,V19-V18)&lt;1/24/60*180,MAX(0,V19-V18),0)+IF(MAX(0,V21-V20)&lt;1/24/60*180,MAX(0,V21-V20))+MAX(0,V26-V25)+MAX(0,V28-V27)+MAX(0,V30-V29),9)</f>
        <v>0</v>
      </c>
      <c r="W32" s="193" t="n">
        <f aca="false">ROUND(IF(MAX(0,W15-W14)&lt;1/24/60*180,MAX(0,W15-W14),0)+IF(MAX(0,W17-W16)&lt;1/24/60*180,MAX(0,W17-W16),0)+IF(MAX(0,W19-W18)&lt;1/24/60*180,MAX(0,W19-W18),0)+IF(MAX(0,W21-W20)&lt;1/24/60*180,MAX(0,W21-W20))+MAX(0,W26-W25)+MAX(0,W28-W27)+MAX(0,W30-W29),9)</f>
        <v>0</v>
      </c>
      <c r="X32" s="193" t="n">
        <f aca="false">ROUND(IF(MAX(0,X15-X14)&lt;1/24/60*180,MAX(0,X15-X14),0)+IF(MAX(0,X17-X16)&lt;1/24/60*180,MAX(0,X17-X16),0)+IF(MAX(0,X19-X18)&lt;1/24/60*180,MAX(0,X19-X18),0)+IF(MAX(0,X21-X20)&lt;1/24/60*180,MAX(0,X21-X20))+MAX(0,X26-X25)+MAX(0,X28-X27)+MAX(0,X30-X29),9)</f>
        <v>0</v>
      </c>
      <c r="Y32" s="193" t="n">
        <f aca="false">ROUND(IF(MAX(0,Y15-Y14)&lt;1/24/60*180,MAX(0,Y15-Y14),0)+IF(MAX(0,Y17-Y16)&lt;1/24/60*180,MAX(0,Y17-Y16),0)+IF(MAX(0,Y19-Y18)&lt;1/24/60*180,MAX(0,Y19-Y18),0)+IF(MAX(0,Y21-Y20)&lt;1/24/60*180,MAX(0,Y21-Y20))+MAX(0,Y26-Y25)+MAX(0,Y28-Y27)+MAX(0,Y30-Y29),9)</f>
        <v>0</v>
      </c>
      <c r="Z32" s="193" t="n">
        <f aca="false">ROUND(IF(MAX(0,Z15-Z14)&lt;1/24/60*180,MAX(0,Z15-Z14),0)+IF(MAX(0,Z17-Z16)&lt;1/24/60*180,MAX(0,Z17-Z16),0)+IF(MAX(0,Z19-Z18)&lt;1/24/60*180,MAX(0,Z19-Z18),0)+IF(MAX(0,Z21-Z20)&lt;1/24/60*180,MAX(0,Z21-Z20))+MAX(0,Z26-Z25)+MAX(0,Z28-Z27)+MAX(0,Z30-Z29),9)</f>
        <v>0</v>
      </c>
      <c r="AA32" s="193" t="n">
        <f aca="false">ROUND(IF(MAX(0,AA15-AA14)&lt;1/24/60*180,MAX(0,AA15-AA14),0)+IF(MAX(0,AA17-AA16)&lt;1/24/60*180,MAX(0,AA17-AA16),0)+IF(MAX(0,AA19-AA18)&lt;1/24/60*180,MAX(0,AA19-AA18),0)+IF(MAX(0,AA21-AA20)&lt;1/24/60*180,MAX(0,AA21-AA20))+MAX(0,AA26-AA25)+MAX(0,AA28-AA27)+MAX(0,AA30-AA29),9)</f>
        <v>0</v>
      </c>
      <c r="AB32" s="193" t="n">
        <f aca="false">ROUND(IF(MAX(0,AB15-AB14)&lt;1/24/60*180,MAX(0,AB15-AB14),0)+IF(MAX(0,AB17-AB16)&lt;1/24/60*180,MAX(0,AB17-AB16),0)+IF(MAX(0,AB19-AB18)&lt;1/24/60*180,MAX(0,AB19-AB18),0)+IF(MAX(0,AB21-AB20)&lt;1/24/60*180,MAX(0,AB21-AB20))+MAX(0,AB26-AB25)+MAX(0,AB28-AB27)+MAX(0,AB30-AB29),9)</f>
        <v>0</v>
      </c>
      <c r="AC32" s="193" t="n">
        <f aca="false">ROUND(IF(MAX(0,AC15-AC14)&lt;1/24/60*180,MAX(0,AC15-AC14),0)+IF(MAX(0,AC17-AC16)&lt;1/24/60*180,MAX(0,AC17-AC16),0)+IF(MAX(0,AC19-AC18)&lt;1/24/60*180,MAX(0,AC19-AC18),0)+IF(MAX(0,AC21-AC20)&lt;1/24/60*180,MAX(0,AC21-AC20))+MAX(0,AC26-AC25)+MAX(0,AC28-AC27)+MAX(0,AC30-AC29),9)</f>
        <v>0</v>
      </c>
      <c r="AD32" s="193" t="n">
        <f aca="false">ROUND(IF(MAX(0,AD15-AD14)&lt;1/24/60*180,MAX(0,AD15-AD14),0)+IF(MAX(0,AD17-AD16)&lt;1/24/60*180,MAX(0,AD17-AD16),0)+IF(MAX(0,AD19-AD18)&lt;1/24/60*180,MAX(0,AD19-AD18),0)+IF(MAX(0,AD21-AD20)&lt;1/24/60*180,MAX(0,AD21-AD20))+MAX(0,AD26-AD25)+MAX(0,AD28-AD27)+MAX(0,AD30-AD29),9)</f>
        <v>0</v>
      </c>
      <c r="AE32" s="193" t="n">
        <f aca="false">ROUND(IF(MAX(0,AE15-AE14)&lt;1/24/60*180,MAX(0,AE15-AE14),0)+IF(MAX(0,AE17-AE16)&lt;1/24/60*180,MAX(0,AE17-AE16),0)+IF(MAX(0,AE19-AE18)&lt;1/24/60*180,MAX(0,AE19-AE18),0)+IF(MAX(0,AE21-AE20)&lt;1/24/60*180,MAX(0,AE21-AE20))+MAX(0,AE26-AE25)+MAX(0,AE28-AE27)+MAX(0,AE30-AE29),9)</f>
        <v>0</v>
      </c>
      <c r="AF32" s="193" t="n">
        <f aca="false">ROUND(IF(MAX(0,AF15-AF14)&lt;1/24/60*180,MAX(0,AF15-AF14),0)+IF(MAX(0,AF17-AF16)&lt;1/24/60*180,MAX(0,AF17-AF16),0)+IF(MAX(0,AF19-AF18)&lt;1/24/60*180,MAX(0,AF19-AF18),0)+IF(MAX(0,AF21-AF20)&lt;1/24/60*180,MAX(0,AF21-AF20))+MAX(0,AF26-AF25)+MAX(0,AF28-AF27)+MAX(0,AF30-AF29),9)</f>
        <v>0</v>
      </c>
      <c r="AG32" s="183" t="str">
        <f aca="false">A32</f>
        <v>Total breaks (in out/paid)</v>
      </c>
      <c r="AH32" s="184"/>
      <c r="AI32" s="185" t="n">
        <f aca="false">SUM(B32:AF32)</f>
        <v>0</v>
      </c>
      <c r="AJ32" s="180"/>
      <c r="AK32" s="172"/>
      <c r="AL32" s="172"/>
      <c r="AM32" s="172"/>
      <c r="AN32" s="171"/>
      <c r="AO32" s="172"/>
      <c r="AP32" s="172"/>
      <c r="AQ32" s="39"/>
    </row>
    <row r="33" s="148" customFormat="true" ht="3.75" hidden="false" customHeight="true" outlineLevel="0" collapsed="false">
      <c r="A33" s="186"/>
      <c r="B33" s="194"/>
      <c r="C33" s="194"/>
      <c r="D33" s="194"/>
      <c r="E33" s="194"/>
      <c r="F33" s="194"/>
      <c r="G33" s="194"/>
      <c r="H33" s="194"/>
      <c r="I33" s="194"/>
      <c r="J33" s="194"/>
      <c r="K33" s="194"/>
      <c r="L33" s="194"/>
      <c r="M33" s="194"/>
      <c r="N33" s="194"/>
      <c r="O33" s="194"/>
      <c r="P33" s="194"/>
      <c r="Q33" s="194"/>
      <c r="R33" s="194"/>
      <c r="S33" s="194"/>
      <c r="T33" s="194"/>
      <c r="U33" s="194"/>
      <c r="V33" s="194"/>
      <c r="W33" s="194"/>
      <c r="X33" s="194"/>
      <c r="Y33" s="194"/>
      <c r="Z33" s="194"/>
      <c r="AA33" s="194"/>
      <c r="AB33" s="194"/>
      <c r="AC33" s="194"/>
      <c r="AD33" s="194"/>
      <c r="AE33" s="194"/>
      <c r="AF33" s="195"/>
      <c r="AG33" s="168"/>
      <c r="AH33" s="146"/>
      <c r="AI33" s="179"/>
      <c r="AJ33" s="180"/>
      <c r="AK33" s="172"/>
      <c r="AL33" s="172"/>
      <c r="AM33" s="172"/>
      <c r="AN33" s="171"/>
      <c r="AO33" s="172"/>
      <c r="AP33" s="172"/>
      <c r="AQ33" s="39"/>
    </row>
    <row r="34" s="148" customFormat="true" ht="15" hidden="false" customHeight="true" outlineLevel="1" collapsed="false">
      <c r="A34" s="175" t="s">
        <v>134</v>
      </c>
      <c r="B34" s="196" t="str">
        <f aca="true">IF(EB.Anwendung&lt;&gt;"",IF(EB.Wochenarbeitszeit=50/24,INDEX(T.Pikett.Bereich,1),IF(DAY(B$10)=1,IF(MONTH(Monat.Tag1)=1,INDEX(T.Pikett.Bereich,1),IF(MONTH(Monat.Tag1)=2,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A34="B",INDEX(T.Pikett.Bereich,4),IF(A34="E",INDEX(T.Pikett.Bereich,1),A34)))),"")</f>
        <v>No</v>
      </c>
      <c r="C34" s="196" t="str">
        <f aca="true">IF(EB.Anwendung&lt;&gt;"",IF(EB.Wochenarbeitszeit=50/24,INDEX(T.Pikett.Bereich,1),IF(DAY(C$10)=1,IF(MONTH(Monat.Tag1)=1,INDEX(T.Pikett.Bereich,1),IF(MONTH(Monat.Tag1)=2,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B34="B",INDEX(T.Pikett.Bereich,4),IF(B34="E",INDEX(T.Pikett.Bereich,1),B34)))),"")</f>
        <v>No</v>
      </c>
      <c r="D34" s="196" t="str">
        <f aca="true">IF(EB.Anwendung&lt;&gt;"",IF(EB.Wochenarbeitszeit=50/24,INDEX(T.Pikett.Bereich,1),IF(DAY(D$10)=1,IF(MONTH(Monat.Tag1)=1,INDEX(T.Pikett.Bereich,1),IF(MONTH(Monat.Tag1)=2,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C34="B",INDEX(T.Pikett.Bereich,4),IF(C34="E",INDEX(T.Pikett.Bereich,1),C34)))),"")</f>
        <v>No</v>
      </c>
      <c r="E34" s="196" t="str">
        <f aca="true">IF(EB.Anwendung&lt;&gt;"",IF(EB.Wochenarbeitszeit=50/24,INDEX(T.Pikett.Bereich,1),IF(DAY(E$10)=1,IF(MONTH(Monat.Tag1)=1,INDEX(T.Pikett.Bereich,1),IF(MONTH(Monat.Tag1)=2,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D34="B",INDEX(T.Pikett.Bereich,4),IF(D34="E",INDEX(T.Pikett.Bereich,1),D34)))),"")</f>
        <v>No</v>
      </c>
      <c r="F34" s="196" t="str">
        <f aca="true">IF(EB.Anwendung&lt;&gt;"",IF(EB.Wochenarbeitszeit=50/24,INDEX(T.Pikett.Bereich,1),IF(DAY(F$10)=1,IF(MONTH(Monat.Tag1)=1,INDEX(T.Pikett.Bereich,1),IF(MONTH(Monat.Tag1)=2,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E34="B",INDEX(T.Pikett.Bereich,4),IF(E34="E",INDEX(T.Pikett.Bereich,1),E34)))),"")</f>
        <v>No</v>
      </c>
      <c r="G34" s="196" t="str">
        <f aca="true">IF(EB.Anwendung&lt;&gt;"",IF(EB.Wochenarbeitszeit=50/24,INDEX(T.Pikett.Bereich,1),IF(DAY(G$10)=1,IF(MONTH(Monat.Tag1)=1,INDEX(T.Pikett.Bereich,1),IF(MONTH(Monat.Tag1)=2,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F34="B",INDEX(T.Pikett.Bereich,4),IF(F34="E",INDEX(T.Pikett.Bereich,1),F34)))),"")</f>
        <v>No</v>
      </c>
      <c r="H34" s="196" t="str">
        <f aca="true">IF(EB.Anwendung&lt;&gt;"",IF(EB.Wochenarbeitszeit=50/24,INDEX(T.Pikett.Bereich,1),IF(DAY(H$10)=1,IF(MONTH(Monat.Tag1)=1,INDEX(T.Pikett.Bereich,1),IF(MONTH(Monat.Tag1)=2,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G34="B",INDEX(T.Pikett.Bereich,4),IF(G34="E",INDEX(T.Pikett.Bereich,1),G34)))),"")</f>
        <v>No</v>
      </c>
      <c r="I34" s="196" t="str">
        <f aca="true">IF(EB.Anwendung&lt;&gt;"",IF(EB.Wochenarbeitszeit=50/24,INDEX(T.Pikett.Bereich,1),IF(DAY(I$10)=1,IF(MONTH(Monat.Tag1)=1,INDEX(T.Pikett.Bereich,1),IF(MONTH(Monat.Tag1)=2,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H34="B",INDEX(T.Pikett.Bereich,4),IF(H34="E",INDEX(T.Pikett.Bereich,1),H34)))),"")</f>
        <v>No</v>
      </c>
      <c r="J34" s="196" t="str">
        <f aca="true">IF(EB.Anwendung&lt;&gt;"",IF(EB.Wochenarbeitszeit=50/24,INDEX(T.Pikett.Bereich,1),IF(DAY(J$10)=1,IF(MONTH(Monat.Tag1)=1,INDEX(T.Pikett.Bereich,1),IF(MONTH(Monat.Tag1)=2,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I34="B",INDEX(T.Pikett.Bereich,4),IF(I34="E",INDEX(T.Pikett.Bereich,1),I34)))),"")</f>
        <v>No</v>
      </c>
      <c r="K34" s="196" t="str">
        <f aca="true">IF(EB.Anwendung&lt;&gt;"",IF(EB.Wochenarbeitszeit=50/24,INDEX(T.Pikett.Bereich,1),IF(DAY(K$10)=1,IF(MONTH(Monat.Tag1)=1,INDEX(T.Pikett.Bereich,1),IF(MONTH(Monat.Tag1)=2,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J34="B",INDEX(T.Pikett.Bereich,4),IF(J34="E",INDEX(T.Pikett.Bereich,1),J34)))),"")</f>
        <v>No</v>
      </c>
      <c r="L34" s="196" t="str">
        <f aca="true">IF(EB.Anwendung&lt;&gt;"",IF(EB.Wochenarbeitszeit=50/24,INDEX(T.Pikett.Bereich,1),IF(DAY(L$10)=1,IF(MONTH(Monat.Tag1)=1,INDEX(T.Pikett.Bereich,1),IF(MONTH(Monat.Tag1)=2,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K34="B",INDEX(T.Pikett.Bereich,4),IF(K34="E",INDEX(T.Pikett.Bereich,1),K34)))),"")</f>
        <v>No</v>
      </c>
      <c r="M34" s="196" t="str">
        <f aca="true">IF(EB.Anwendung&lt;&gt;"",IF(EB.Wochenarbeitszeit=50/24,INDEX(T.Pikett.Bereich,1),IF(DAY(M$10)=1,IF(MONTH(Monat.Tag1)=1,INDEX(T.Pikett.Bereich,1),IF(MONTH(Monat.Tag1)=2,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L34="B",INDEX(T.Pikett.Bereich,4),IF(L34="E",INDEX(T.Pikett.Bereich,1),L34)))),"")</f>
        <v>No</v>
      </c>
      <c r="N34" s="196" t="str">
        <f aca="true">IF(EB.Anwendung&lt;&gt;"",IF(EB.Wochenarbeitszeit=50/24,INDEX(T.Pikett.Bereich,1),IF(DAY(N$10)=1,IF(MONTH(Monat.Tag1)=1,INDEX(T.Pikett.Bereich,1),IF(MONTH(Monat.Tag1)=2,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M34="B",INDEX(T.Pikett.Bereich,4),IF(M34="E",INDEX(T.Pikett.Bereich,1),M34)))),"")</f>
        <v>No</v>
      </c>
      <c r="O34" s="196" t="str">
        <f aca="true">IF(EB.Anwendung&lt;&gt;"",IF(EB.Wochenarbeitszeit=50/24,INDEX(T.Pikett.Bereich,1),IF(DAY(O$10)=1,IF(MONTH(Monat.Tag1)=1,INDEX(T.Pikett.Bereich,1),IF(MONTH(Monat.Tag1)=2,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N34="B",INDEX(T.Pikett.Bereich,4),IF(N34="E",INDEX(T.Pikett.Bereich,1),N34)))),"")</f>
        <v>No</v>
      </c>
      <c r="P34" s="196" t="str">
        <f aca="true">IF(EB.Anwendung&lt;&gt;"",IF(EB.Wochenarbeitszeit=50/24,INDEX(T.Pikett.Bereich,1),IF(DAY(P$10)=1,IF(MONTH(Monat.Tag1)=1,INDEX(T.Pikett.Bereich,1),IF(MONTH(Monat.Tag1)=2,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O34="B",INDEX(T.Pikett.Bereich,4),IF(O34="E",INDEX(T.Pikett.Bereich,1),O34)))),"")</f>
        <v>No</v>
      </c>
      <c r="Q34" s="196" t="str">
        <f aca="true">IF(EB.Anwendung&lt;&gt;"",IF(EB.Wochenarbeitszeit=50/24,INDEX(T.Pikett.Bereich,1),IF(DAY(Q$10)=1,IF(MONTH(Monat.Tag1)=1,INDEX(T.Pikett.Bereich,1),IF(MONTH(Monat.Tag1)=2,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P34="B",INDEX(T.Pikett.Bereich,4),IF(P34="E",INDEX(T.Pikett.Bereich,1),P34)))),"")</f>
        <v>No</v>
      </c>
      <c r="R34" s="196" t="str">
        <f aca="true">IF(EB.Anwendung&lt;&gt;"",IF(EB.Wochenarbeitszeit=50/24,INDEX(T.Pikett.Bereich,1),IF(DAY(R$10)=1,IF(MONTH(Monat.Tag1)=1,INDEX(T.Pikett.Bereich,1),IF(MONTH(Monat.Tag1)=2,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Q34="B",INDEX(T.Pikett.Bereich,4),IF(Q34="E",INDEX(T.Pikett.Bereich,1),Q34)))),"")</f>
        <v>No</v>
      </c>
      <c r="S34" s="196" t="str">
        <f aca="true">IF(EB.Anwendung&lt;&gt;"",IF(EB.Wochenarbeitszeit=50/24,INDEX(T.Pikett.Bereich,1),IF(DAY(S$10)=1,IF(MONTH(Monat.Tag1)=1,INDEX(T.Pikett.Bereich,1),IF(MONTH(Monat.Tag1)=2,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R34="B",INDEX(T.Pikett.Bereich,4),IF(R34="E",INDEX(T.Pikett.Bereich,1),R34)))),"")</f>
        <v>No</v>
      </c>
      <c r="T34" s="196" t="str">
        <f aca="true">IF(EB.Anwendung&lt;&gt;"",IF(EB.Wochenarbeitszeit=50/24,INDEX(T.Pikett.Bereich,1),IF(DAY(T$10)=1,IF(MONTH(Monat.Tag1)=1,INDEX(T.Pikett.Bereich,1),IF(MONTH(Monat.Tag1)=2,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S34="B",INDEX(T.Pikett.Bereich,4),IF(S34="E",INDEX(T.Pikett.Bereich,1),S34)))),"")</f>
        <v>No</v>
      </c>
      <c r="U34" s="196" t="str">
        <f aca="true">IF(EB.Anwendung&lt;&gt;"",IF(EB.Wochenarbeitszeit=50/24,INDEX(T.Pikett.Bereich,1),IF(DAY(U$10)=1,IF(MONTH(Monat.Tag1)=1,INDEX(T.Pikett.Bereich,1),IF(MONTH(Monat.Tag1)=2,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T34="B",INDEX(T.Pikett.Bereich,4),IF(T34="E",INDEX(T.Pikett.Bereich,1),T34)))),"")</f>
        <v>No</v>
      </c>
      <c r="V34" s="196" t="str">
        <f aca="true">IF(EB.Anwendung&lt;&gt;"",IF(EB.Wochenarbeitszeit=50/24,INDEX(T.Pikett.Bereich,1),IF(DAY(V$10)=1,IF(MONTH(Monat.Tag1)=1,INDEX(T.Pikett.Bereich,1),IF(MONTH(Monat.Tag1)=2,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U34="B",INDEX(T.Pikett.Bereich,4),IF(U34="E",INDEX(T.Pikett.Bereich,1),U34)))),"")</f>
        <v>No</v>
      </c>
      <c r="W34" s="196" t="str">
        <f aca="true">IF(EB.Anwendung&lt;&gt;"",IF(EB.Wochenarbeitszeit=50/24,INDEX(T.Pikett.Bereich,1),IF(DAY(W$10)=1,IF(MONTH(Monat.Tag1)=1,INDEX(T.Pikett.Bereich,1),IF(MONTH(Monat.Tag1)=2,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V34="B",INDEX(T.Pikett.Bereich,4),IF(V34="E",INDEX(T.Pikett.Bereich,1),V34)))),"")</f>
        <v>No</v>
      </c>
      <c r="X34" s="196" t="str">
        <f aca="true">IF(EB.Anwendung&lt;&gt;"",IF(EB.Wochenarbeitszeit=50/24,INDEX(T.Pikett.Bereich,1),IF(DAY(X$10)=1,IF(MONTH(Monat.Tag1)=1,INDEX(T.Pikett.Bereich,1),IF(MONTH(Monat.Tag1)=2,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W34="B",INDEX(T.Pikett.Bereich,4),IF(W34="E",INDEX(T.Pikett.Bereich,1),W34)))),"")</f>
        <v>No</v>
      </c>
      <c r="Y34" s="196" t="str">
        <f aca="true">IF(EB.Anwendung&lt;&gt;"",IF(EB.Wochenarbeitszeit=50/24,INDEX(T.Pikett.Bereich,1),IF(DAY(Y$10)=1,IF(MONTH(Monat.Tag1)=1,INDEX(T.Pikett.Bereich,1),IF(MONTH(Monat.Tag1)=2,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X34="B",INDEX(T.Pikett.Bereich,4),IF(X34="E",INDEX(T.Pikett.Bereich,1),X34)))),"")</f>
        <v>No</v>
      </c>
      <c r="Z34" s="196" t="str">
        <f aca="true">IF(EB.Anwendung&lt;&gt;"",IF(EB.Wochenarbeitszeit=50/24,INDEX(T.Pikett.Bereich,1),IF(DAY(Z$10)=1,IF(MONTH(Monat.Tag1)=1,INDEX(T.Pikett.Bereich,1),IF(MONTH(Monat.Tag1)=2,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Y34="B",INDEX(T.Pikett.Bereich,4),IF(Y34="E",INDEX(T.Pikett.Bereich,1),Y34)))),"")</f>
        <v>No</v>
      </c>
      <c r="AA34" s="196" t="str">
        <f aca="true">IF(EB.Anwendung&lt;&gt;"",IF(EB.Wochenarbeitszeit=50/24,INDEX(T.Pikett.Bereich,1),IF(DAY(AA$10)=1,IF(MONTH(Monat.Tag1)=1,INDEX(T.Pikett.Bereich,1),IF(MONTH(Monat.Tag1)=2,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Z34="B",INDEX(T.Pikett.Bereich,4),IF(Z34="E",INDEX(T.Pikett.Bereich,1),Z34)))),"")</f>
        <v>No</v>
      </c>
      <c r="AB34" s="196" t="str">
        <f aca="true">IF(EB.Anwendung&lt;&gt;"",IF(EB.Wochenarbeitszeit=50/24,INDEX(T.Pikett.Bereich,1),IF(DAY(AB$10)=1,IF(MONTH(Monat.Tag1)=1,INDEX(T.Pikett.Bereich,1),IF(MONTH(Monat.Tag1)=2,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AA34="B",INDEX(T.Pikett.Bereich,4),IF(AA34="E",INDEX(T.Pikett.Bereich,1),AA34)))),"")</f>
        <v>No</v>
      </c>
      <c r="AC34" s="196" t="str">
        <f aca="true">IF(EB.Anwendung&lt;&gt;"",IF(EB.Wochenarbeitszeit=50/24,INDEX(T.Pikett.Bereich,1),IF(DAY(AC$10)=1,IF(MONTH(Monat.Tag1)=1,INDEX(T.Pikett.Bereich,1),IF(MONTH(Monat.Tag1)=2,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AB34="B",INDEX(T.Pikett.Bereich,4),IF(AB34="E",INDEX(T.Pikett.Bereich,1),AB34)))),"")</f>
        <v>No</v>
      </c>
      <c r="AD34" s="196" t="str">
        <f aca="true">IF(EB.Anwendung&lt;&gt;"",IF(EB.Wochenarbeitszeit=50/24,INDEX(T.Pikett.Bereich,1),IF(DAY(AD$10)=1,IF(MONTH(Monat.Tag1)=1,INDEX(T.Pikett.Bereich,1),IF(MONTH(Monat.Tag1)=2,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AC34="B",INDEX(T.Pikett.Bereich,4),IF(AC34="E",INDEX(T.Pikett.Bereich,1),AC34)))),"")</f>
        <v>No</v>
      </c>
      <c r="AE34" s="196" t="str">
        <f aca="true">IF(EB.Anwendung&lt;&gt;"",IF(EB.Wochenarbeitszeit=50/24,INDEX(T.Pikett.Bereich,1),IF(DAY(AE$10)=1,IF(MONTH(Monat.Tag1)=1,INDEX(T.Pikett.Bereich,1),IF(MONTH(Monat.Tag1)=2,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AD34="B",INDEX(T.Pikett.Bereich,4),IF(AD34="E",INDEX(T.Pikett.Bereich,1),AD34)))),"")</f>
        <v>No</v>
      </c>
      <c r="AF34" s="196" t="str">
        <f aca="true">IF(EB.Anwendung&lt;&gt;"",IF(EB.Wochenarbeitszeit=50/24,INDEX(T.Pikett.Bereich,1),IF(DAY(AF$10)=1,IF(MONTH(Monat.Tag1)=1,INDEX(T.Pikett.Bereich,1),IF(MONTH(Monat.Tag1)=2,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AE34="B",INDEX(T.Pikett.Bereich,4),IF(AE34="E",INDEX(T.Pikett.Bereich,1),AE34)))),"")</f>
        <v>No</v>
      </c>
      <c r="AG34" s="183" t="str">
        <f aca="true">IF(OFFSET(B34,0,DAY(EOMONTH(Monat.Tag1,0))-1,1,1)="B",INDEX(T.Pikett.Bereich,4),IF(OFFSET(B34,0,DAY(EOMONTH(Monat.Tag1,0))-1,1,1)="E",INDEX(T.Pikett.Bereich,1),OFFSET(B34,0,DAY(EOMONTH(Monat.Tag1,0))-1,1,1)))</f>
        <v>No</v>
      </c>
      <c r="AH34" s="197"/>
      <c r="AI34" s="192"/>
      <c r="AJ34" s="198" t="str">
        <f aca="true">IF(T.50_Vetsuisse,IFERROR(SUMPRODUCT((B34:AF34=INDEX(T.Pikett.Bereich,4))*((B49:AF49)&lt;1/24*5)),0) &amp; " / " &amp; IFERROR(SUMPRODUCT((B34:AF34=INDEX(T.Pikett.Bereich,4))*((B49:AF49)&gt;=1/24*5)),0) &amp; " / " &amp; IFERROR(SUMPRODUCT((B34:AF34=INDEX(T.Pikett.Bereich,4))*((B49:AF49)&lt;1/24*5)),0) + IFERROR(SUMPRODUCT((B34:AF34=INDEX(T.Pikett.Bereich,4))*((B49:AF49)&gt;=1/24*5)),0), IFERROR(SUMPRODUCT((B34:AF34=INDEX(T.Pikett.Bereich,4))*(WEEKDAY(B10:AF10,2)&lt;6)*(B11:AF11&lt;&gt;0)),0) &amp; " / " &amp; IFERROR(SUMPRODUCT((B34:AF34=INDEX(T.Pikett.Bereich,4))*(WEEKDAY(B10:AF10,2)&gt;5)*(B11:AF11&lt;&gt;0))+SUMPRODUCT((B34:AF34=INDEX(T.Pikett.Bereich,4))*(B11:AF11=0)),0) &amp; " / " &amp; IFERROR(SUMPRODUCT((B34:AF34=INDEX(T.Pikett.Bereich,4))*(WEEKDAY(B10:AF10,2)&lt;6)*(B11:AF11&lt;&gt;0)),0) + IFERROR(SUMPRODUCT((B34:AF34=INDEX(T.Pikett.Bereich,4))*(WEEKDAY(B10:AF10,2)&gt;5)*(B11:AF11&lt;&gt;0))+SUMPRODUCT((B34:AF34=INDEX(T.Pikett.Bereich,4))*(B11:AF11=0)),0))</f>
        <v>0 / 0 / 0</v>
      </c>
      <c r="AK34" s="172"/>
      <c r="AL34" s="172"/>
      <c r="AM34" s="172"/>
      <c r="AN34" s="171"/>
      <c r="AO34" s="172"/>
      <c r="AP34" s="172"/>
      <c r="AQ34" s="39"/>
    </row>
    <row r="35" s="148" customFormat="true" ht="15" hidden="false" customHeight="true" outlineLevel="1" collapsed="false">
      <c r="A35" s="175" t="s">
        <v>128</v>
      </c>
      <c r="B35" s="176"/>
      <c r="C35" s="176"/>
      <c r="D35" s="176"/>
      <c r="E35" s="177"/>
      <c r="F35" s="176"/>
      <c r="G35" s="176"/>
      <c r="H35" s="176"/>
      <c r="I35" s="176"/>
      <c r="J35" s="177"/>
      <c r="K35" s="176"/>
      <c r="L35" s="177"/>
      <c r="M35" s="176"/>
      <c r="N35" s="176"/>
      <c r="O35" s="176"/>
      <c r="P35" s="176"/>
      <c r="Q35" s="177"/>
      <c r="R35" s="176"/>
      <c r="S35" s="177"/>
      <c r="T35" s="177"/>
      <c r="U35" s="176"/>
      <c r="V35" s="176"/>
      <c r="W35" s="176"/>
      <c r="X35" s="177"/>
      <c r="Y35" s="176"/>
      <c r="Z35" s="178"/>
      <c r="AA35" s="176"/>
      <c r="AB35" s="176"/>
      <c r="AC35" s="176"/>
      <c r="AD35" s="176"/>
      <c r="AE35" s="177"/>
      <c r="AF35" s="176"/>
      <c r="AG35" s="168" t="str">
        <f aca="false">A35</f>
        <v>in</v>
      </c>
      <c r="AH35" s="146"/>
      <c r="AI35" s="179"/>
      <c r="AJ35" s="180"/>
      <c r="AK35" s="172"/>
      <c r="AL35" s="172"/>
      <c r="AM35" s="172"/>
      <c r="AN35" s="171"/>
      <c r="AO35" s="172"/>
      <c r="AP35" s="172"/>
      <c r="AQ35" s="39"/>
    </row>
    <row r="36" s="148" customFormat="true" ht="15" hidden="false" customHeight="true" outlineLevel="1" collapsed="false">
      <c r="A36" s="175" t="s">
        <v>129</v>
      </c>
      <c r="B36" s="176"/>
      <c r="C36" s="176"/>
      <c r="D36" s="176"/>
      <c r="E36" s="177"/>
      <c r="F36" s="176"/>
      <c r="G36" s="176"/>
      <c r="H36" s="176"/>
      <c r="I36" s="176"/>
      <c r="J36" s="177"/>
      <c r="K36" s="176"/>
      <c r="L36" s="177"/>
      <c r="M36" s="176"/>
      <c r="N36" s="176"/>
      <c r="O36" s="176"/>
      <c r="P36" s="176"/>
      <c r="Q36" s="177"/>
      <c r="R36" s="176"/>
      <c r="S36" s="177"/>
      <c r="T36" s="177"/>
      <c r="U36" s="176"/>
      <c r="V36" s="176"/>
      <c r="W36" s="176"/>
      <c r="X36" s="177"/>
      <c r="Y36" s="176"/>
      <c r="Z36" s="178"/>
      <c r="AA36" s="176"/>
      <c r="AB36" s="176"/>
      <c r="AC36" s="176"/>
      <c r="AD36" s="176"/>
      <c r="AE36" s="177"/>
      <c r="AF36" s="176"/>
      <c r="AG36" s="168" t="str">
        <f aca="false">A36</f>
        <v>out</v>
      </c>
      <c r="AH36" s="146"/>
      <c r="AI36" s="179"/>
      <c r="AJ36" s="180"/>
      <c r="AK36" s="172"/>
      <c r="AL36" s="172"/>
      <c r="AM36" s="172"/>
      <c r="AN36" s="171"/>
      <c r="AO36" s="172"/>
      <c r="AP36" s="172"/>
      <c r="AQ36" s="39"/>
    </row>
    <row r="37" s="148" customFormat="true" ht="15" hidden="false" customHeight="true" outlineLevel="1" collapsed="false">
      <c r="A37" s="175" t="s">
        <v>128</v>
      </c>
      <c r="B37" s="176"/>
      <c r="C37" s="176"/>
      <c r="D37" s="176"/>
      <c r="E37" s="177"/>
      <c r="F37" s="176"/>
      <c r="G37" s="176"/>
      <c r="H37" s="176"/>
      <c r="I37" s="176"/>
      <c r="J37" s="177"/>
      <c r="K37" s="176"/>
      <c r="L37" s="177"/>
      <c r="M37" s="176"/>
      <c r="N37" s="176"/>
      <c r="O37" s="176"/>
      <c r="P37" s="176"/>
      <c r="Q37" s="177"/>
      <c r="R37" s="176"/>
      <c r="S37" s="177"/>
      <c r="T37" s="177"/>
      <c r="U37" s="176"/>
      <c r="V37" s="176"/>
      <c r="W37" s="176"/>
      <c r="X37" s="177"/>
      <c r="Y37" s="176"/>
      <c r="Z37" s="178"/>
      <c r="AA37" s="176"/>
      <c r="AB37" s="176"/>
      <c r="AC37" s="176"/>
      <c r="AD37" s="176"/>
      <c r="AE37" s="177"/>
      <c r="AF37" s="176"/>
      <c r="AG37" s="168" t="str">
        <f aca="false">A37</f>
        <v>in</v>
      </c>
      <c r="AH37" s="146"/>
      <c r="AI37" s="179"/>
      <c r="AJ37" s="180"/>
      <c r="AK37" s="172"/>
      <c r="AL37" s="172"/>
      <c r="AM37" s="172"/>
      <c r="AN37" s="171"/>
      <c r="AO37" s="172"/>
      <c r="AP37" s="172"/>
      <c r="AQ37" s="39"/>
    </row>
    <row r="38" s="148" customFormat="true" ht="15" hidden="false" customHeight="true" outlineLevel="1" collapsed="false">
      <c r="A38" s="175" t="s">
        <v>129</v>
      </c>
      <c r="B38" s="176"/>
      <c r="C38" s="176"/>
      <c r="D38" s="176"/>
      <c r="E38" s="177"/>
      <c r="F38" s="176"/>
      <c r="G38" s="176"/>
      <c r="H38" s="176"/>
      <c r="I38" s="176"/>
      <c r="J38" s="177"/>
      <c r="K38" s="176"/>
      <c r="L38" s="177"/>
      <c r="M38" s="176"/>
      <c r="N38" s="176"/>
      <c r="O38" s="176"/>
      <c r="P38" s="176"/>
      <c r="Q38" s="177"/>
      <c r="R38" s="176"/>
      <c r="S38" s="177"/>
      <c r="T38" s="177"/>
      <c r="U38" s="176"/>
      <c r="V38" s="176"/>
      <c r="W38" s="176"/>
      <c r="X38" s="177"/>
      <c r="Y38" s="176"/>
      <c r="Z38" s="178"/>
      <c r="AA38" s="176"/>
      <c r="AB38" s="176"/>
      <c r="AC38" s="176"/>
      <c r="AD38" s="176"/>
      <c r="AE38" s="177"/>
      <c r="AF38" s="176"/>
      <c r="AG38" s="168" t="str">
        <f aca="false">A38</f>
        <v>out</v>
      </c>
      <c r="AH38" s="146"/>
      <c r="AI38" s="179"/>
      <c r="AJ38" s="180"/>
      <c r="AK38" s="172"/>
      <c r="AL38" s="172"/>
      <c r="AM38" s="172"/>
      <c r="AN38" s="171"/>
      <c r="AO38" s="172"/>
      <c r="AP38" s="172"/>
      <c r="AQ38" s="39"/>
    </row>
    <row r="39" s="148" customFormat="true" ht="15" hidden="false" customHeight="true" outlineLevel="1" collapsed="false">
      <c r="A39" s="175" t="s">
        <v>128</v>
      </c>
      <c r="B39" s="176"/>
      <c r="C39" s="176"/>
      <c r="D39" s="176"/>
      <c r="E39" s="177"/>
      <c r="F39" s="176"/>
      <c r="G39" s="176"/>
      <c r="H39" s="176"/>
      <c r="I39" s="176"/>
      <c r="J39" s="177"/>
      <c r="K39" s="176"/>
      <c r="L39" s="177"/>
      <c r="M39" s="176"/>
      <c r="N39" s="176"/>
      <c r="O39" s="176"/>
      <c r="P39" s="176"/>
      <c r="Q39" s="177"/>
      <c r="R39" s="176"/>
      <c r="S39" s="177"/>
      <c r="T39" s="177"/>
      <c r="U39" s="176"/>
      <c r="V39" s="176"/>
      <c r="W39" s="176"/>
      <c r="X39" s="177"/>
      <c r="Y39" s="176"/>
      <c r="Z39" s="178"/>
      <c r="AA39" s="176"/>
      <c r="AB39" s="176"/>
      <c r="AC39" s="176"/>
      <c r="AD39" s="176"/>
      <c r="AE39" s="177"/>
      <c r="AF39" s="176"/>
      <c r="AG39" s="168" t="str">
        <f aca="false">A39</f>
        <v>in</v>
      </c>
      <c r="AH39" s="146"/>
      <c r="AI39" s="179"/>
      <c r="AJ39" s="180"/>
      <c r="AK39" s="172"/>
      <c r="AL39" s="172"/>
      <c r="AM39" s="172"/>
      <c r="AN39" s="171"/>
      <c r="AO39" s="172"/>
      <c r="AP39" s="172"/>
      <c r="AQ39" s="39"/>
    </row>
    <row r="40" s="148" customFormat="true" ht="15" hidden="false" customHeight="true" outlineLevel="1" collapsed="false">
      <c r="A40" s="175" t="s">
        <v>129</v>
      </c>
      <c r="B40" s="176"/>
      <c r="C40" s="176"/>
      <c r="D40" s="176"/>
      <c r="E40" s="177"/>
      <c r="F40" s="176"/>
      <c r="G40" s="176"/>
      <c r="H40" s="176"/>
      <c r="I40" s="176"/>
      <c r="J40" s="177"/>
      <c r="K40" s="176"/>
      <c r="L40" s="177"/>
      <c r="M40" s="176"/>
      <c r="N40" s="176"/>
      <c r="O40" s="176"/>
      <c r="P40" s="176"/>
      <c r="Q40" s="177"/>
      <c r="R40" s="176"/>
      <c r="S40" s="177"/>
      <c r="T40" s="177"/>
      <c r="U40" s="176"/>
      <c r="V40" s="176"/>
      <c r="W40" s="176"/>
      <c r="X40" s="177"/>
      <c r="Y40" s="176"/>
      <c r="Z40" s="178"/>
      <c r="AA40" s="176"/>
      <c r="AB40" s="176"/>
      <c r="AC40" s="176"/>
      <c r="AD40" s="176"/>
      <c r="AE40" s="177"/>
      <c r="AF40" s="176"/>
      <c r="AG40" s="168" t="str">
        <f aca="false">A40</f>
        <v>out</v>
      </c>
      <c r="AH40" s="146"/>
      <c r="AI40" s="179"/>
      <c r="AJ40" s="180"/>
      <c r="AK40" s="172"/>
      <c r="AL40" s="172"/>
      <c r="AM40" s="172"/>
      <c r="AN40" s="171"/>
      <c r="AO40" s="172"/>
      <c r="AP40" s="172"/>
      <c r="AQ40" s="39"/>
    </row>
    <row r="41" s="148" customFormat="true" ht="15" hidden="true" customHeight="true" outlineLevel="1" collapsed="false">
      <c r="A41" s="175" t="s">
        <v>128</v>
      </c>
      <c r="B41" s="176"/>
      <c r="C41" s="176"/>
      <c r="D41" s="176"/>
      <c r="E41" s="177"/>
      <c r="F41" s="176"/>
      <c r="G41" s="176"/>
      <c r="H41" s="176"/>
      <c r="I41" s="176"/>
      <c r="J41" s="177"/>
      <c r="K41" s="176"/>
      <c r="L41" s="177"/>
      <c r="M41" s="176"/>
      <c r="N41" s="176"/>
      <c r="O41" s="176"/>
      <c r="P41" s="176"/>
      <c r="Q41" s="177"/>
      <c r="R41" s="176"/>
      <c r="S41" s="177"/>
      <c r="T41" s="177"/>
      <c r="U41" s="176"/>
      <c r="V41" s="176"/>
      <c r="W41" s="176"/>
      <c r="X41" s="177"/>
      <c r="Y41" s="176"/>
      <c r="Z41" s="178"/>
      <c r="AA41" s="176"/>
      <c r="AB41" s="176"/>
      <c r="AC41" s="176"/>
      <c r="AD41" s="176"/>
      <c r="AE41" s="177"/>
      <c r="AF41" s="176"/>
      <c r="AG41" s="168" t="str">
        <f aca="false">A41</f>
        <v>in</v>
      </c>
      <c r="AH41" s="146"/>
      <c r="AI41" s="179"/>
      <c r="AJ41" s="180"/>
      <c r="AK41" s="172"/>
      <c r="AL41" s="172"/>
      <c r="AM41" s="172"/>
      <c r="AN41" s="171"/>
      <c r="AO41" s="172"/>
      <c r="AP41" s="172"/>
      <c r="AQ41" s="39"/>
    </row>
    <row r="42" s="148" customFormat="true" ht="15" hidden="true" customHeight="true" outlineLevel="1" collapsed="false">
      <c r="A42" s="175" t="s">
        <v>129</v>
      </c>
      <c r="B42" s="176"/>
      <c r="C42" s="176"/>
      <c r="D42" s="176"/>
      <c r="E42" s="177"/>
      <c r="F42" s="176"/>
      <c r="G42" s="176"/>
      <c r="H42" s="176"/>
      <c r="I42" s="176"/>
      <c r="J42" s="177"/>
      <c r="K42" s="176"/>
      <c r="L42" s="177"/>
      <c r="M42" s="176"/>
      <c r="N42" s="176"/>
      <c r="O42" s="176"/>
      <c r="P42" s="176"/>
      <c r="Q42" s="177"/>
      <c r="R42" s="176"/>
      <c r="S42" s="177"/>
      <c r="T42" s="177"/>
      <c r="U42" s="176"/>
      <c r="V42" s="176"/>
      <c r="W42" s="176"/>
      <c r="X42" s="177"/>
      <c r="Y42" s="176"/>
      <c r="Z42" s="178"/>
      <c r="AA42" s="176"/>
      <c r="AB42" s="176"/>
      <c r="AC42" s="176"/>
      <c r="AD42" s="176"/>
      <c r="AE42" s="177"/>
      <c r="AF42" s="176"/>
      <c r="AG42" s="168" t="str">
        <f aca="false">A42</f>
        <v>out</v>
      </c>
      <c r="AH42" s="146"/>
      <c r="AI42" s="179"/>
      <c r="AJ42" s="180"/>
      <c r="AK42" s="172"/>
      <c r="AL42" s="172"/>
      <c r="AM42" s="172"/>
      <c r="AN42" s="171"/>
      <c r="AO42" s="172"/>
      <c r="AP42" s="172"/>
      <c r="AQ42" s="39"/>
    </row>
    <row r="43" s="148" customFormat="true" ht="15" hidden="true" customHeight="true" outlineLevel="1" collapsed="false">
      <c r="A43" s="175" t="s">
        <v>128</v>
      </c>
      <c r="B43" s="176"/>
      <c r="C43" s="176"/>
      <c r="D43" s="176"/>
      <c r="E43" s="177"/>
      <c r="F43" s="176"/>
      <c r="G43" s="176"/>
      <c r="H43" s="176"/>
      <c r="I43" s="176"/>
      <c r="J43" s="177"/>
      <c r="K43" s="176"/>
      <c r="L43" s="177"/>
      <c r="M43" s="176"/>
      <c r="N43" s="176"/>
      <c r="O43" s="176"/>
      <c r="P43" s="176"/>
      <c r="Q43" s="177"/>
      <c r="R43" s="176"/>
      <c r="S43" s="177"/>
      <c r="T43" s="177"/>
      <c r="U43" s="176"/>
      <c r="V43" s="176"/>
      <c r="W43" s="176"/>
      <c r="X43" s="177"/>
      <c r="Y43" s="176"/>
      <c r="Z43" s="178"/>
      <c r="AA43" s="176"/>
      <c r="AB43" s="176"/>
      <c r="AC43" s="176"/>
      <c r="AD43" s="176"/>
      <c r="AE43" s="177"/>
      <c r="AF43" s="176"/>
      <c r="AG43" s="168" t="str">
        <f aca="false">A43</f>
        <v>in</v>
      </c>
      <c r="AH43" s="146"/>
      <c r="AI43" s="179"/>
      <c r="AJ43" s="180"/>
      <c r="AK43" s="172"/>
      <c r="AL43" s="172"/>
      <c r="AM43" s="172"/>
      <c r="AN43" s="171"/>
      <c r="AO43" s="172"/>
      <c r="AP43" s="172"/>
      <c r="AQ43" s="39"/>
    </row>
    <row r="44" s="148" customFormat="true" ht="15" hidden="true" customHeight="true" outlineLevel="1" collapsed="false">
      <c r="A44" s="175" t="s">
        <v>129</v>
      </c>
      <c r="B44" s="176"/>
      <c r="C44" s="176"/>
      <c r="D44" s="176"/>
      <c r="E44" s="177"/>
      <c r="F44" s="176"/>
      <c r="G44" s="176"/>
      <c r="H44" s="176"/>
      <c r="I44" s="176"/>
      <c r="J44" s="177"/>
      <c r="K44" s="176"/>
      <c r="L44" s="177"/>
      <c r="M44" s="176"/>
      <c r="N44" s="176"/>
      <c r="O44" s="176"/>
      <c r="P44" s="176"/>
      <c r="Q44" s="177"/>
      <c r="R44" s="176"/>
      <c r="S44" s="177"/>
      <c r="T44" s="177"/>
      <c r="U44" s="176"/>
      <c r="V44" s="176"/>
      <c r="W44" s="176"/>
      <c r="X44" s="177"/>
      <c r="Y44" s="176"/>
      <c r="Z44" s="178"/>
      <c r="AA44" s="176"/>
      <c r="AB44" s="176"/>
      <c r="AC44" s="176"/>
      <c r="AD44" s="176"/>
      <c r="AE44" s="177"/>
      <c r="AF44" s="176"/>
      <c r="AG44" s="168" t="str">
        <f aca="false">A44</f>
        <v>out</v>
      </c>
      <c r="AH44" s="146"/>
      <c r="AI44" s="179"/>
      <c r="AJ44" s="180"/>
      <c r="AK44" s="172"/>
      <c r="AL44" s="172"/>
      <c r="AM44" s="172"/>
      <c r="AN44" s="171"/>
      <c r="AO44" s="172"/>
      <c r="AP44" s="172"/>
      <c r="AQ44" s="39"/>
    </row>
    <row r="45" s="148" customFormat="true" ht="15" hidden="false" customHeight="true" outlineLevel="1" collapsed="false">
      <c r="A45" s="181" t="s">
        <v>135</v>
      </c>
      <c r="B45" s="182" t="n">
        <f aca="false">ROUND((B36-B35)+(B38-B37)+(B40-B39)+(B42-B41)+(B44-B43),9)</f>
        <v>0</v>
      </c>
      <c r="C45" s="182" t="n">
        <f aca="false">ROUND((C36-C35)+(C38-C37)+(C40-C39)+(C42-C41)+(C44-C43),9)</f>
        <v>0</v>
      </c>
      <c r="D45" s="182" t="n">
        <f aca="false">ROUND((D36-D35)+(D38-D37)+(D40-D39)+(D42-D41)+(D44-D43),9)</f>
        <v>0</v>
      </c>
      <c r="E45" s="182" t="n">
        <f aca="false">ROUND((E36-E35)+(E38-E37)+(E40-E39)+(E42-E41)+(E44-E43),9)</f>
        <v>0</v>
      </c>
      <c r="F45" s="182" t="n">
        <f aca="false">ROUND((F36-F35)+(F38-F37)+(F40-F39)+(F42-F41)+(F44-F43),9)</f>
        <v>0</v>
      </c>
      <c r="G45" s="182" t="n">
        <f aca="false">ROUND((G36-G35)+(G38-G37)+(G40-G39)+(G42-G41)+(G44-G43),9)</f>
        <v>0</v>
      </c>
      <c r="H45" s="182" t="n">
        <f aca="false">ROUND((H36-H35)+(H38-H37)+(H40-H39)+(H42-H41)+(H44-H43),9)</f>
        <v>0</v>
      </c>
      <c r="I45" s="182" t="n">
        <f aca="false">ROUND((I36-I35)+(I38-I37)+(I40-I39)+(I42-I41)+(I44-I43),9)</f>
        <v>0</v>
      </c>
      <c r="J45" s="182" t="n">
        <f aca="false">ROUND((J36-J35)+(J38-J37)+(J40-J39)+(J42-J41)+(J44-J43),9)</f>
        <v>0</v>
      </c>
      <c r="K45" s="182" t="n">
        <f aca="false">ROUND((K36-K35)+(K38-K37)+(K40-K39)+(K42-K41)+(K44-K43),9)</f>
        <v>0</v>
      </c>
      <c r="L45" s="182" t="n">
        <f aca="false">ROUND((L36-L35)+(L38-L37)+(L40-L39)+(L42-L41)+(L44-L43),9)</f>
        <v>0</v>
      </c>
      <c r="M45" s="182" t="n">
        <f aca="false">ROUND((M36-M35)+(M38-M37)+(M40-M39)+(M42-M41)+(M44-M43),9)</f>
        <v>0</v>
      </c>
      <c r="N45" s="182" t="n">
        <f aca="false">ROUND((N36-N35)+(N38-N37)+(N40-N39)+(N42-N41)+(N44-N43),9)</f>
        <v>0</v>
      </c>
      <c r="O45" s="182" t="n">
        <f aca="false">ROUND((O36-O35)+(O38-O37)+(O40-O39)+(O42-O41)+(O44-O43),9)</f>
        <v>0</v>
      </c>
      <c r="P45" s="182" t="n">
        <f aca="false">ROUND((P36-P35)+(P38-P37)+(P40-P39)+(P42-P41)+(P44-P43),9)</f>
        <v>0</v>
      </c>
      <c r="Q45" s="182" t="n">
        <f aca="false">ROUND((Q36-Q35)+(Q38-Q37)+(Q40-Q39)+(Q42-Q41)+(Q44-Q43),9)</f>
        <v>0</v>
      </c>
      <c r="R45" s="182" t="n">
        <f aca="false">ROUND((R36-R35)+(R38-R37)+(R40-R39)+(R42-R41)+(R44-R43),9)</f>
        <v>0</v>
      </c>
      <c r="S45" s="182" t="n">
        <f aca="false">ROUND((S36-S35)+(S38-S37)+(S40-S39)+(S42-S41)+(S44-S43),9)</f>
        <v>0</v>
      </c>
      <c r="T45" s="182" t="n">
        <f aca="false">ROUND((T36-T35)+(T38-T37)+(T40-T39)+(T42-T41)+(T44-T43),9)</f>
        <v>0</v>
      </c>
      <c r="U45" s="182" t="n">
        <f aca="false">ROUND((U36-U35)+(U38-U37)+(U40-U39)+(U42-U41)+(U44-U43),9)</f>
        <v>0</v>
      </c>
      <c r="V45" s="182" t="n">
        <f aca="false">ROUND((V36-V35)+(V38-V37)+(V40-V39)+(V42-V41)+(V44-V43),9)</f>
        <v>0</v>
      </c>
      <c r="W45" s="182" t="n">
        <f aca="false">ROUND((W36-W35)+(W38-W37)+(W40-W39)+(W42-W41)+(W44-W43),9)</f>
        <v>0</v>
      </c>
      <c r="X45" s="182" t="n">
        <f aca="false">ROUND((X36-X35)+(X38-X37)+(X40-X39)+(X42-X41)+(X44-X43),9)</f>
        <v>0</v>
      </c>
      <c r="Y45" s="182" t="n">
        <f aca="false">ROUND((Y36-Y35)+(Y38-Y37)+(Y40-Y39)+(Y42-Y41)+(Y44-Y43),9)</f>
        <v>0</v>
      </c>
      <c r="Z45" s="182" t="n">
        <f aca="false">ROUND((Z36-Z35)+(Z38-Z37)+(Z40-Z39)+(Z42-Z41)+(Z44-Z43),9)</f>
        <v>0</v>
      </c>
      <c r="AA45" s="182" t="n">
        <f aca="false">ROUND((AA36-AA35)+(AA38-AA37)+(AA40-AA39)+(AA42-AA41)+(AA44-AA43),9)</f>
        <v>0</v>
      </c>
      <c r="AB45" s="182" t="n">
        <f aca="false">ROUND((AB36-AB35)+(AB38-AB37)+(AB40-AB39)+(AB42-AB41)+(AB44-AB43),9)</f>
        <v>0</v>
      </c>
      <c r="AC45" s="182" t="n">
        <f aca="false">ROUND((AC36-AC35)+(AC38-AC37)+(AC40-AC39)+(AC42-AC41)+(AC44-AC43),9)</f>
        <v>0</v>
      </c>
      <c r="AD45" s="182" t="n">
        <f aca="false">ROUND((AD36-AD35)+(AD38-AD37)+(AD40-AD39)+(AD42-AD41)+(AD44-AD43),9)</f>
        <v>0</v>
      </c>
      <c r="AE45" s="182" t="n">
        <f aca="false">ROUND((AE36-AE35)+(AE38-AE37)+(AE40-AE39)+(AE42-AE41)+(AE44-AE43),9)</f>
        <v>0</v>
      </c>
      <c r="AF45" s="182" t="n">
        <f aca="false">ROUND((AF36-AF35)+(AF38-AF37)+(AF40-AF39)+(AF42-AF41)+(AF44-AF43),9)</f>
        <v>0</v>
      </c>
      <c r="AG45" s="183" t="str">
        <f aca="false">A45</f>
        <v>Total on call standby in/out</v>
      </c>
      <c r="AH45" s="184"/>
      <c r="AI45" s="185" t="n">
        <f aca="false">SUM(B45:AF45)</f>
        <v>0</v>
      </c>
      <c r="AJ45" s="180"/>
      <c r="AK45" s="172"/>
      <c r="AL45" s="172"/>
      <c r="AM45" s="172"/>
      <c r="AN45" s="171"/>
      <c r="AO45" s="172"/>
      <c r="AP45" s="172"/>
      <c r="AQ45" s="39"/>
    </row>
    <row r="46" s="148" customFormat="true" ht="3.75" hidden="false" customHeight="true" outlineLevel="0" collapsed="false">
      <c r="A46" s="186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179"/>
      <c r="AG46" s="168"/>
      <c r="AH46" s="146"/>
      <c r="AI46" s="179"/>
      <c r="AJ46" s="180"/>
      <c r="AK46" s="172"/>
      <c r="AL46" s="172"/>
      <c r="AM46" s="172"/>
      <c r="AN46" s="171"/>
      <c r="AO46" s="172"/>
      <c r="AP46" s="172"/>
      <c r="AQ46" s="39"/>
    </row>
    <row r="47" s="148" customFormat="true" ht="16.5" hidden="true" customHeight="true" outlineLevel="1" collapsed="false">
      <c r="A47" s="181" t="s">
        <v>136</v>
      </c>
      <c r="B47" s="182" t="n">
        <f aca="false">IF(B45&gt;0,ROUND(B45- IF(B35&lt;T.PikettVetsuissebis,MIN(T.PikettVetsuissebis-B35,B36-B35)+IF(B37&lt;T.PikettVetsuissebis,MIN(T.PikettVetsuissebis-B37,B38-B37)+IF(B39&lt;T.PikettVetsuissebis,MIN(T.PikettVetsuissebis-B39,B40-B39)+IF(B41&lt;T.PikettVetsuissebis,MIN(T.PikettVetsuissebis-B41,B42-B41)+IF(B43&lt;T.PikettVetsuissebis,MIN(T.PikettVetsuissebis-B43,B44-B43),0),0),0),0),0),9),0)</f>
        <v>0</v>
      </c>
      <c r="C47" s="182" t="n">
        <f aca="false">IF(C45&gt;0,ROUND(C45- IF(C35&lt;T.PikettVetsuissebis,MIN(T.PikettVetsuissebis-C35,C36-C35)+IF(C37&lt;T.PikettVetsuissebis,MIN(T.PikettVetsuissebis-C37,C38-C37)+IF(C39&lt;T.PikettVetsuissebis,MIN(T.PikettVetsuissebis-C39,C40-C39)+IF(C41&lt;T.PikettVetsuissebis,MIN(T.PikettVetsuissebis-C41,C42-C41)+IF(C43&lt;T.PikettVetsuissebis,MIN(T.PikettVetsuissebis-C43,C44-C43),0),0),0),0),0),9),0)</f>
        <v>0</v>
      </c>
      <c r="D47" s="182" t="n">
        <f aca="false">IF(D45&gt;0,ROUND(D45- IF(D35&lt;T.PikettVetsuissebis,MIN(T.PikettVetsuissebis-D35,D36-D35)+IF(D37&lt;T.PikettVetsuissebis,MIN(T.PikettVetsuissebis-D37,D38-D37)+IF(D39&lt;T.PikettVetsuissebis,MIN(T.PikettVetsuissebis-D39,D40-D39)+IF(D41&lt;T.PikettVetsuissebis,MIN(T.PikettVetsuissebis-D41,D42-D41)+IF(D43&lt;T.PikettVetsuissebis,MIN(T.PikettVetsuissebis-D43,D44-D43),0),0),0),0),0),9),0)</f>
        <v>0</v>
      </c>
      <c r="E47" s="182" t="n">
        <f aca="false">IF(E45&gt;0,ROUND(E45- IF(E35&lt;T.PikettVetsuissebis,MIN(T.PikettVetsuissebis-E35,E36-E35)+IF(E37&lt;T.PikettVetsuissebis,MIN(T.PikettVetsuissebis-E37,E38-E37)+IF(E39&lt;T.PikettVetsuissebis,MIN(T.PikettVetsuissebis-E39,E40-E39)+IF(E41&lt;T.PikettVetsuissebis,MIN(T.PikettVetsuissebis-E41,E42-E41)+IF(E43&lt;T.PikettVetsuissebis,MIN(T.PikettVetsuissebis-E43,E44-E43),0),0),0),0),0),9),0)</f>
        <v>0</v>
      </c>
      <c r="F47" s="182" t="n">
        <f aca="false">IF(F45&gt;0,ROUND(F45- IF(F35&lt;T.PikettVetsuissebis,MIN(T.PikettVetsuissebis-F35,F36-F35)+IF(F37&lt;T.PikettVetsuissebis,MIN(T.PikettVetsuissebis-F37,F38-F37)+IF(F39&lt;T.PikettVetsuissebis,MIN(T.PikettVetsuissebis-F39,F40-F39)+IF(F41&lt;T.PikettVetsuissebis,MIN(T.PikettVetsuissebis-F41,F42-F41)+IF(F43&lt;T.PikettVetsuissebis,MIN(T.PikettVetsuissebis-F43,F44-F43),0),0),0),0),0),9),0)</f>
        <v>0</v>
      </c>
      <c r="G47" s="182" t="n">
        <f aca="false">IF(G45&gt;0,ROUND(G45- IF(G35&lt;T.PikettVetsuissebis,MIN(T.PikettVetsuissebis-G35,G36-G35)+IF(G37&lt;T.PikettVetsuissebis,MIN(T.PikettVetsuissebis-G37,G38-G37)+IF(G39&lt;T.PikettVetsuissebis,MIN(T.PikettVetsuissebis-G39,G40-G39)+IF(G41&lt;T.PikettVetsuissebis,MIN(T.PikettVetsuissebis-G41,G42-G41)+IF(G43&lt;T.PikettVetsuissebis,MIN(T.PikettVetsuissebis-G43,G44-G43),0),0),0),0),0),9),0)</f>
        <v>0</v>
      </c>
      <c r="H47" s="182" t="n">
        <f aca="false">IF(H45&gt;0,ROUND(H45- IF(H35&lt;T.PikettVetsuissebis,MIN(T.PikettVetsuissebis-H35,H36-H35)+IF(H37&lt;T.PikettVetsuissebis,MIN(T.PikettVetsuissebis-H37,H38-H37)+IF(H39&lt;T.PikettVetsuissebis,MIN(T.PikettVetsuissebis-H39,H40-H39)+IF(H41&lt;T.PikettVetsuissebis,MIN(T.PikettVetsuissebis-H41,H42-H41)+IF(H43&lt;T.PikettVetsuissebis,MIN(T.PikettVetsuissebis-H43,H44-H43),0),0),0),0),0),9),0)</f>
        <v>0</v>
      </c>
      <c r="I47" s="182" t="n">
        <f aca="false">IF(I45&gt;0,ROUND(I45- IF(I35&lt;T.PikettVetsuissebis,MIN(T.PikettVetsuissebis-I35,I36-I35)+IF(I37&lt;T.PikettVetsuissebis,MIN(T.PikettVetsuissebis-I37,I38-I37)+IF(I39&lt;T.PikettVetsuissebis,MIN(T.PikettVetsuissebis-I39,I40-I39)+IF(I41&lt;T.PikettVetsuissebis,MIN(T.PikettVetsuissebis-I41,I42-I41)+IF(I43&lt;T.PikettVetsuissebis,MIN(T.PikettVetsuissebis-I43,I44-I43),0),0),0),0),0),9),0)</f>
        <v>0</v>
      </c>
      <c r="J47" s="182" t="n">
        <f aca="false">IF(J45&gt;0,ROUND(J45- IF(J35&lt;T.PikettVetsuissebis,MIN(T.PikettVetsuissebis-J35,J36-J35)+IF(J37&lt;T.PikettVetsuissebis,MIN(T.PikettVetsuissebis-J37,J38-J37)+IF(J39&lt;T.PikettVetsuissebis,MIN(T.PikettVetsuissebis-J39,J40-J39)+IF(J41&lt;T.PikettVetsuissebis,MIN(T.PikettVetsuissebis-J41,J42-J41)+IF(J43&lt;T.PikettVetsuissebis,MIN(T.PikettVetsuissebis-J43,J44-J43),0),0),0),0),0),9),0)</f>
        <v>0</v>
      </c>
      <c r="K47" s="182" t="n">
        <f aca="false">IF(K45&gt;0,ROUND(K45- IF(K35&lt;T.PikettVetsuissebis,MIN(T.PikettVetsuissebis-K35,K36-K35)+IF(K37&lt;T.PikettVetsuissebis,MIN(T.PikettVetsuissebis-K37,K38-K37)+IF(K39&lt;T.PikettVetsuissebis,MIN(T.PikettVetsuissebis-K39,K40-K39)+IF(K41&lt;T.PikettVetsuissebis,MIN(T.PikettVetsuissebis-K41,K42-K41)+IF(K43&lt;T.PikettVetsuissebis,MIN(T.PikettVetsuissebis-K43,K44-K43),0),0),0),0),0),9),0)</f>
        <v>0</v>
      </c>
      <c r="L47" s="182" t="n">
        <f aca="false">IF(L45&gt;0,ROUND(L45- IF(L35&lt;T.PikettVetsuissebis,MIN(T.PikettVetsuissebis-L35,L36-L35)+IF(L37&lt;T.PikettVetsuissebis,MIN(T.PikettVetsuissebis-L37,L38-L37)+IF(L39&lt;T.PikettVetsuissebis,MIN(T.PikettVetsuissebis-L39,L40-L39)+IF(L41&lt;T.PikettVetsuissebis,MIN(T.PikettVetsuissebis-L41,L42-L41)+IF(L43&lt;T.PikettVetsuissebis,MIN(T.PikettVetsuissebis-L43,L44-L43),0),0),0),0),0),9),0)</f>
        <v>0</v>
      </c>
      <c r="M47" s="182" t="n">
        <f aca="false">IF(M45&gt;0,ROUND(M45- IF(M35&lt;T.PikettVetsuissebis,MIN(T.PikettVetsuissebis-M35,M36-M35)+IF(M37&lt;T.PikettVetsuissebis,MIN(T.PikettVetsuissebis-M37,M38-M37)+IF(M39&lt;T.PikettVetsuissebis,MIN(T.PikettVetsuissebis-M39,M40-M39)+IF(M41&lt;T.PikettVetsuissebis,MIN(T.PikettVetsuissebis-M41,M42-M41)+IF(M43&lt;T.PikettVetsuissebis,MIN(T.PikettVetsuissebis-M43,M44-M43),0),0),0),0),0),9),0)</f>
        <v>0</v>
      </c>
      <c r="N47" s="182" t="n">
        <f aca="false">IF(N45&gt;0,ROUND(N45- IF(N35&lt;T.PikettVetsuissebis,MIN(T.PikettVetsuissebis-N35,N36-N35)+IF(N37&lt;T.PikettVetsuissebis,MIN(T.PikettVetsuissebis-N37,N38-N37)+IF(N39&lt;T.PikettVetsuissebis,MIN(T.PikettVetsuissebis-N39,N40-N39)+IF(N41&lt;T.PikettVetsuissebis,MIN(T.PikettVetsuissebis-N41,N42-N41)+IF(N43&lt;T.PikettVetsuissebis,MIN(T.PikettVetsuissebis-N43,N44-N43),0),0),0),0),0),9),0)</f>
        <v>0</v>
      </c>
      <c r="O47" s="182" t="n">
        <f aca="false">IF(O45&gt;0,ROUND(O45- IF(O35&lt;T.PikettVetsuissebis,MIN(T.PikettVetsuissebis-O35,O36-O35)+IF(O37&lt;T.PikettVetsuissebis,MIN(T.PikettVetsuissebis-O37,O38-O37)+IF(O39&lt;T.PikettVetsuissebis,MIN(T.PikettVetsuissebis-O39,O40-O39)+IF(O41&lt;T.PikettVetsuissebis,MIN(T.PikettVetsuissebis-O41,O42-O41)+IF(O43&lt;T.PikettVetsuissebis,MIN(T.PikettVetsuissebis-O43,O44-O43),0),0),0),0),0),9),0)</f>
        <v>0</v>
      </c>
      <c r="P47" s="182" t="n">
        <f aca="false">IF(P45&gt;0,ROUND(P45- IF(P35&lt;T.PikettVetsuissebis,MIN(T.PikettVetsuissebis-P35,P36-P35)+IF(P37&lt;T.PikettVetsuissebis,MIN(T.PikettVetsuissebis-P37,P38-P37)+IF(P39&lt;T.PikettVetsuissebis,MIN(T.PikettVetsuissebis-P39,P40-P39)+IF(P41&lt;T.PikettVetsuissebis,MIN(T.PikettVetsuissebis-P41,P42-P41)+IF(P43&lt;T.PikettVetsuissebis,MIN(T.PikettVetsuissebis-P43,P44-P43),0),0),0),0),0),9),0)</f>
        <v>0</v>
      </c>
      <c r="Q47" s="182" t="n">
        <f aca="false">IF(Q45&gt;0,ROUND(Q45- IF(Q35&lt;T.PikettVetsuissebis,MIN(T.PikettVetsuissebis-Q35,Q36-Q35)+IF(Q37&lt;T.PikettVetsuissebis,MIN(T.PikettVetsuissebis-Q37,Q38-Q37)+IF(Q39&lt;T.PikettVetsuissebis,MIN(T.PikettVetsuissebis-Q39,Q40-Q39)+IF(Q41&lt;T.PikettVetsuissebis,MIN(T.PikettVetsuissebis-Q41,Q42-Q41)+IF(Q43&lt;T.PikettVetsuissebis,MIN(T.PikettVetsuissebis-Q43,Q44-Q43),0),0),0),0),0),9),0)</f>
        <v>0</v>
      </c>
      <c r="R47" s="182" t="n">
        <f aca="false">IF(R45&gt;0,ROUND(R45- IF(R35&lt;T.PikettVetsuissebis,MIN(T.PikettVetsuissebis-R35,R36-R35)+IF(R37&lt;T.PikettVetsuissebis,MIN(T.PikettVetsuissebis-R37,R38-R37)+IF(R39&lt;T.PikettVetsuissebis,MIN(T.PikettVetsuissebis-R39,R40-R39)+IF(R41&lt;T.PikettVetsuissebis,MIN(T.PikettVetsuissebis-R41,R42-R41)+IF(R43&lt;T.PikettVetsuissebis,MIN(T.PikettVetsuissebis-R43,R44-R43),0),0),0),0),0),9),0)</f>
        <v>0</v>
      </c>
      <c r="S47" s="182" t="n">
        <f aca="false">IF(S45&gt;0,ROUND(S45- IF(S35&lt;T.PikettVetsuissebis,MIN(T.PikettVetsuissebis-S35,S36-S35)+IF(S37&lt;T.PikettVetsuissebis,MIN(T.PikettVetsuissebis-S37,S38-S37)+IF(S39&lt;T.PikettVetsuissebis,MIN(T.PikettVetsuissebis-S39,S40-S39)+IF(S41&lt;T.PikettVetsuissebis,MIN(T.PikettVetsuissebis-S41,S42-S41)+IF(S43&lt;T.PikettVetsuissebis,MIN(T.PikettVetsuissebis-S43,S44-S43),0),0),0),0),0),9),0)</f>
        <v>0</v>
      </c>
      <c r="T47" s="182" t="n">
        <f aca="false">IF(T45&gt;0,ROUND(T45- IF(T35&lt;T.PikettVetsuissebis,MIN(T.PikettVetsuissebis-T35,T36-T35)+IF(T37&lt;T.PikettVetsuissebis,MIN(T.PikettVetsuissebis-T37,T38-T37)+IF(T39&lt;T.PikettVetsuissebis,MIN(T.PikettVetsuissebis-T39,T40-T39)+IF(T41&lt;T.PikettVetsuissebis,MIN(T.PikettVetsuissebis-T41,T42-T41)+IF(T43&lt;T.PikettVetsuissebis,MIN(T.PikettVetsuissebis-T43,T44-T43),0),0),0),0),0),9),0)</f>
        <v>0</v>
      </c>
      <c r="U47" s="182" t="n">
        <f aca="false">IF(U45&gt;0,ROUND(U45- IF(U35&lt;T.PikettVetsuissebis,MIN(T.PikettVetsuissebis-U35,U36-U35)+IF(U37&lt;T.PikettVetsuissebis,MIN(T.PikettVetsuissebis-U37,U38-U37)+IF(U39&lt;T.PikettVetsuissebis,MIN(T.PikettVetsuissebis-U39,U40-U39)+IF(U41&lt;T.PikettVetsuissebis,MIN(T.PikettVetsuissebis-U41,U42-U41)+IF(U43&lt;T.PikettVetsuissebis,MIN(T.PikettVetsuissebis-U43,U44-U43),0),0),0),0),0),9),0)</f>
        <v>0</v>
      </c>
      <c r="V47" s="182" t="n">
        <f aca="false">IF(V45&gt;0,ROUND(V45- IF(V35&lt;T.PikettVetsuissebis,MIN(T.PikettVetsuissebis-V35,V36-V35)+IF(V37&lt;T.PikettVetsuissebis,MIN(T.PikettVetsuissebis-V37,V38-V37)+IF(V39&lt;T.PikettVetsuissebis,MIN(T.PikettVetsuissebis-V39,V40-V39)+IF(V41&lt;T.PikettVetsuissebis,MIN(T.PikettVetsuissebis-V41,V42-V41)+IF(V43&lt;T.PikettVetsuissebis,MIN(T.PikettVetsuissebis-V43,V44-V43),0),0),0),0),0),9),0)</f>
        <v>0</v>
      </c>
      <c r="W47" s="182" t="n">
        <f aca="false">IF(W45&gt;0,ROUND(W45- IF(W35&lt;T.PikettVetsuissebis,MIN(T.PikettVetsuissebis-W35,W36-W35)+IF(W37&lt;T.PikettVetsuissebis,MIN(T.PikettVetsuissebis-W37,W38-W37)+IF(W39&lt;T.PikettVetsuissebis,MIN(T.PikettVetsuissebis-W39,W40-W39)+IF(W41&lt;T.PikettVetsuissebis,MIN(T.PikettVetsuissebis-W41,W42-W41)+IF(W43&lt;T.PikettVetsuissebis,MIN(T.PikettVetsuissebis-W43,W44-W43),0),0),0),0),0),9),0)</f>
        <v>0</v>
      </c>
      <c r="X47" s="182" t="n">
        <f aca="false">IF(X45&gt;0,ROUND(X45- IF(X35&lt;T.PikettVetsuissebis,MIN(T.PikettVetsuissebis-X35,X36-X35)+IF(X37&lt;T.PikettVetsuissebis,MIN(T.PikettVetsuissebis-X37,X38-X37)+IF(X39&lt;T.PikettVetsuissebis,MIN(T.PikettVetsuissebis-X39,X40-X39)+IF(X41&lt;T.PikettVetsuissebis,MIN(T.PikettVetsuissebis-X41,X42-X41)+IF(X43&lt;T.PikettVetsuissebis,MIN(T.PikettVetsuissebis-X43,X44-X43),0),0),0),0),0),9),0)</f>
        <v>0</v>
      </c>
      <c r="Y47" s="182" t="n">
        <f aca="false">IF(Y45&gt;0,ROUND(Y45- IF(Y35&lt;T.PikettVetsuissebis,MIN(T.PikettVetsuissebis-Y35,Y36-Y35)+IF(Y37&lt;T.PikettVetsuissebis,MIN(T.PikettVetsuissebis-Y37,Y38-Y37)+IF(Y39&lt;T.PikettVetsuissebis,MIN(T.PikettVetsuissebis-Y39,Y40-Y39)+IF(Y41&lt;T.PikettVetsuissebis,MIN(T.PikettVetsuissebis-Y41,Y42-Y41)+IF(Y43&lt;T.PikettVetsuissebis,MIN(T.PikettVetsuissebis-Y43,Y44-Y43),0),0),0),0),0),9),0)</f>
        <v>0</v>
      </c>
      <c r="Z47" s="182" t="n">
        <f aca="false">IF(Z45&gt;0,ROUND(Z45- IF(Z35&lt;T.PikettVetsuissebis,MIN(T.PikettVetsuissebis-Z35,Z36-Z35)+IF(Z37&lt;T.PikettVetsuissebis,MIN(T.PikettVetsuissebis-Z37,Z38-Z37)+IF(Z39&lt;T.PikettVetsuissebis,MIN(T.PikettVetsuissebis-Z39,Z40-Z39)+IF(Z41&lt;T.PikettVetsuissebis,MIN(T.PikettVetsuissebis-Z41,Z42-Z41)+IF(Z43&lt;T.PikettVetsuissebis,MIN(T.PikettVetsuissebis-Z43,Z44-Z43),0),0),0),0),0),9),0)</f>
        <v>0</v>
      </c>
      <c r="AA47" s="182" t="n">
        <f aca="false">IF(AA45&gt;0,ROUND(AA45- IF(AA35&lt;T.PikettVetsuissebis,MIN(T.PikettVetsuissebis-AA35,AA36-AA35)+IF(AA37&lt;T.PikettVetsuissebis,MIN(T.PikettVetsuissebis-AA37,AA38-AA37)+IF(AA39&lt;T.PikettVetsuissebis,MIN(T.PikettVetsuissebis-AA39,AA40-AA39)+IF(AA41&lt;T.PikettVetsuissebis,MIN(T.PikettVetsuissebis-AA41,AA42-AA41)+IF(AA43&lt;T.PikettVetsuissebis,MIN(T.PikettVetsuissebis-AA43,AA44-AA43),0),0),0),0),0),9),0)</f>
        <v>0</v>
      </c>
      <c r="AB47" s="182" t="n">
        <f aca="false">IF(AB45&gt;0,ROUND(AB45- IF(AB35&lt;T.PikettVetsuissebis,MIN(T.PikettVetsuissebis-AB35,AB36-AB35)+IF(AB37&lt;T.PikettVetsuissebis,MIN(T.PikettVetsuissebis-AB37,AB38-AB37)+IF(AB39&lt;T.PikettVetsuissebis,MIN(T.PikettVetsuissebis-AB39,AB40-AB39)+IF(AB41&lt;T.PikettVetsuissebis,MIN(T.PikettVetsuissebis-AB41,AB42-AB41)+IF(AB43&lt;T.PikettVetsuissebis,MIN(T.PikettVetsuissebis-AB43,AB44-AB43),0),0),0),0),0),9),0)</f>
        <v>0</v>
      </c>
      <c r="AC47" s="182" t="n">
        <f aca="false">IF(AC45&gt;0,ROUND(AC45- IF(AC35&lt;T.PikettVetsuissebis,MIN(T.PikettVetsuissebis-AC35,AC36-AC35)+IF(AC37&lt;T.PikettVetsuissebis,MIN(T.PikettVetsuissebis-AC37,AC38-AC37)+IF(AC39&lt;T.PikettVetsuissebis,MIN(T.PikettVetsuissebis-AC39,AC40-AC39)+IF(AC41&lt;T.PikettVetsuissebis,MIN(T.PikettVetsuissebis-AC41,AC42-AC41)+IF(AC43&lt;T.PikettVetsuissebis,MIN(T.PikettVetsuissebis-AC43,AC44-AC43),0),0),0),0),0),9),0)</f>
        <v>0</v>
      </c>
      <c r="AD47" s="182" t="n">
        <f aca="false">IF(AD45&gt;0,ROUND(AD45- IF(AD35&lt;T.PikettVetsuissebis,MIN(T.PikettVetsuissebis-AD35,AD36-AD35)+IF(AD37&lt;T.PikettVetsuissebis,MIN(T.PikettVetsuissebis-AD37,AD38-AD37)+IF(AD39&lt;T.PikettVetsuissebis,MIN(T.PikettVetsuissebis-AD39,AD40-AD39)+IF(AD41&lt;T.PikettVetsuissebis,MIN(T.PikettVetsuissebis-AD41,AD42-AD41)+IF(AD43&lt;T.PikettVetsuissebis,MIN(T.PikettVetsuissebis-AD43,AD44-AD43),0),0),0),0),0),9),0)</f>
        <v>0</v>
      </c>
      <c r="AE47" s="182" t="n">
        <f aca="false">IF(AE45&gt;0,ROUND(AE45- IF(AE35&lt;T.PikettVetsuissebis,MIN(T.PikettVetsuissebis-AE35,AE36-AE35)+IF(AE37&lt;T.PikettVetsuissebis,MIN(T.PikettVetsuissebis-AE37,AE38-AE37)+IF(AE39&lt;T.PikettVetsuissebis,MIN(T.PikettVetsuissebis-AE39,AE40-AE39)+IF(AE41&lt;T.PikettVetsuissebis,MIN(T.PikettVetsuissebis-AE41,AE42-AE41)+IF(AE43&lt;T.PikettVetsuissebis,MIN(T.PikettVetsuissebis-AE43,AE44-AE43),0),0),0),0),0),9),0)</f>
        <v>0</v>
      </c>
      <c r="AF47" s="182" t="n">
        <f aca="false">IF(AF45&gt;0,ROUND(AF45- IF(AF35&lt;T.PikettVetsuissebis,MIN(T.PikettVetsuissebis-AF35,AF36-AF35)+IF(AF37&lt;T.PikettVetsuissebis,MIN(T.PikettVetsuissebis-AF37,AF38-AF37)+IF(AF39&lt;T.PikettVetsuissebis,MIN(T.PikettVetsuissebis-AF39,AF40-AF39)+IF(AF41&lt;T.PikettVetsuissebis,MIN(T.PikettVetsuissebis-AF41,AF42-AF41)+IF(AF43&lt;T.PikettVetsuissebis,MIN(T.PikettVetsuissebis-AF43,AF44-AF43),0),0),0),0),0),9),0)</f>
        <v>0</v>
      </c>
      <c r="AG47" s="183" t="str">
        <f aca="false">A47</f>
        <v>Total on call hours today</v>
      </c>
      <c r="AH47" s="146"/>
      <c r="AI47" s="179"/>
      <c r="AJ47" s="180"/>
      <c r="AK47" s="172"/>
      <c r="AL47" s="172"/>
      <c r="AM47" s="172"/>
      <c r="AN47" s="171"/>
      <c r="AO47" s="172"/>
      <c r="AP47" s="172"/>
      <c r="AQ47" s="39"/>
    </row>
    <row r="48" s="148" customFormat="true" ht="16.5" hidden="true" customHeight="true" outlineLevel="1" collapsed="false">
      <c r="A48" s="181" t="s">
        <v>137</v>
      </c>
      <c r="B48" s="193" t="n">
        <f aca="false">B45-B47</f>
        <v>0</v>
      </c>
      <c r="C48" s="193" t="n">
        <f aca="false">C45-C47</f>
        <v>0</v>
      </c>
      <c r="D48" s="193" t="n">
        <f aca="false">D45-D47</f>
        <v>0</v>
      </c>
      <c r="E48" s="193" t="n">
        <f aca="false">E45-E47</f>
        <v>0</v>
      </c>
      <c r="F48" s="193" t="n">
        <f aca="false">F45-F47</f>
        <v>0</v>
      </c>
      <c r="G48" s="193" t="n">
        <f aca="false">G45-G47</f>
        <v>0</v>
      </c>
      <c r="H48" s="193" t="n">
        <f aca="false">H45-H47</f>
        <v>0</v>
      </c>
      <c r="I48" s="193" t="n">
        <f aca="false">I45-I47</f>
        <v>0</v>
      </c>
      <c r="J48" s="193" t="n">
        <f aca="false">J45-J47</f>
        <v>0</v>
      </c>
      <c r="K48" s="193" t="n">
        <f aca="false">K45-K47</f>
        <v>0</v>
      </c>
      <c r="L48" s="193" t="n">
        <f aca="false">L45-L47</f>
        <v>0</v>
      </c>
      <c r="M48" s="193" t="n">
        <f aca="false">M45-M47</f>
        <v>0</v>
      </c>
      <c r="N48" s="193" t="n">
        <f aca="false">N45-N47</f>
        <v>0</v>
      </c>
      <c r="O48" s="193" t="n">
        <f aca="false">O45-O47</f>
        <v>0</v>
      </c>
      <c r="P48" s="193" t="n">
        <f aca="false">P45-P47</f>
        <v>0</v>
      </c>
      <c r="Q48" s="193" t="n">
        <f aca="false">Q45-Q47</f>
        <v>0</v>
      </c>
      <c r="R48" s="193" t="n">
        <f aca="false">R45-R47</f>
        <v>0</v>
      </c>
      <c r="S48" s="193" t="n">
        <f aca="false">S45-S47</f>
        <v>0</v>
      </c>
      <c r="T48" s="193" t="n">
        <f aca="false">T45-T47</f>
        <v>0</v>
      </c>
      <c r="U48" s="193" t="n">
        <f aca="false">U45-U47</f>
        <v>0</v>
      </c>
      <c r="V48" s="193" t="n">
        <f aca="false">V45-V47</f>
        <v>0</v>
      </c>
      <c r="W48" s="193" t="n">
        <f aca="false">W45-W47</f>
        <v>0</v>
      </c>
      <c r="X48" s="193" t="n">
        <f aca="false">X45-X47</f>
        <v>0</v>
      </c>
      <c r="Y48" s="193" t="n">
        <f aca="false">Y45-Y47</f>
        <v>0</v>
      </c>
      <c r="Z48" s="193" t="n">
        <f aca="false">Z45-Z47</f>
        <v>0</v>
      </c>
      <c r="AA48" s="193" t="n">
        <f aca="false">AA45-AA47</f>
        <v>0</v>
      </c>
      <c r="AB48" s="193" t="n">
        <f aca="false">AB45-AB47</f>
        <v>0</v>
      </c>
      <c r="AC48" s="193" t="n">
        <f aca="false">AC45-AC47</f>
        <v>0</v>
      </c>
      <c r="AD48" s="193" t="n">
        <f aca="false">AD45-AD47</f>
        <v>0</v>
      </c>
      <c r="AE48" s="193" t="n">
        <f aca="false">AE45-AE47</f>
        <v>0</v>
      </c>
      <c r="AF48" s="193" t="n">
        <f aca="false">AF45-AF47</f>
        <v>0</v>
      </c>
      <c r="AG48" s="183" t="str">
        <f aca="false">A48</f>
        <v>Total on call hours yesterday</v>
      </c>
      <c r="AH48" s="146"/>
      <c r="AI48" s="179"/>
      <c r="AJ48" s="180"/>
      <c r="AK48" s="172"/>
      <c r="AL48" s="172"/>
      <c r="AM48" s="199" t="n">
        <f aca="false">IF(EB.Anwendung&lt;&gt;"",IF(MONTH(Monat.Tag1)=12,0,IF(MONTH(Monat.Tag1)=1,February!Monat.PikettgesternTag1,IF(MONTH(Monat.Tag1)=2,March!Monat.PikettgesternTag1,IF(MONTH(Monat.Tag1)=3,April!Monat.PikettgesternTag1,IF(MONTH(Monat.Tag1)=4,May!Monat.PikettgesternTag1,IF(MONTH(Monat.Tag1)=5,June!Monat.PikettgesternTag1,IF(MONTH(Monat.Tag1)=6,July!Monat.PikettgesternTag1,IF(MONTH(Monat.Tag1)=7,August!Monat.PikettgesternTag1,IF(MONTH(Monat.Tag1)=8,September!Monat.PikettgesternTag1,IF(MONTH(Monat.Tag1)=9,October!Monat.PikettgesternTag1,IF(MONTH(Monat.Tag1)=10,November!Monat.PikettgesternTag1,IF(MONTH(Monat.Tag1)=11,December!Monat.PikettgesternTag1,"")))))))))))),"")</f>
        <v>0</v>
      </c>
      <c r="AN48" s="171"/>
      <c r="AO48" s="172"/>
      <c r="AP48" s="172"/>
      <c r="AQ48" s="39"/>
    </row>
    <row r="49" s="148" customFormat="true" ht="16.5" hidden="true" customHeight="true" outlineLevel="1" collapsed="false">
      <c r="A49" s="181" t="s">
        <v>138</v>
      </c>
      <c r="B49" s="182" t="n">
        <f aca="false">B47+IF(B$10=EOMONTH(B$10,0),$AM48,C48)</f>
        <v>0</v>
      </c>
      <c r="C49" s="182" t="n">
        <f aca="false">C47+IF(C$10=EOMONTH(C$10,0),$AM48,D48)</f>
        <v>0</v>
      </c>
      <c r="D49" s="182" t="n">
        <f aca="false">D47+IF(D$10=EOMONTH(D$10,0),$AM48,E48)</f>
        <v>0</v>
      </c>
      <c r="E49" s="182" t="n">
        <f aca="false">E47+IF(E$10=EOMONTH(E$10,0),$AM48,F48)</f>
        <v>0</v>
      </c>
      <c r="F49" s="182" t="n">
        <f aca="false">F47+IF(F$10=EOMONTH(F$10,0),$AM48,G48)</f>
        <v>0</v>
      </c>
      <c r="G49" s="182" t="n">
        <f aca="false">G47+IF(G$10=EOMONTH(G$10,0),$AM48,H48)</f>
        <v>0</v>
      </c>
      <c r="H49" s="182" t="n">
        <f aca="false">H47+IF(H$10=EOMONTH(H$10,0),$AM48,I48)</f>
        <v>0</v>
      </c>
      <c r="I49" s="182" t="n">
        <f aca="false">I47+IF(I$10=EOMONTH(I$10,0),$AM48,J48)</f>
        <v>0</v>
      </c>
      <c r="J49" s="182" t="n">
        <f aca="false">J47+IF(J$10=EOMONTH(J$10,0),$AM48,K48)</f>
        <v>0</v>
      </c>
      <c r="K49" s="182" t="n">
        <f aca="false">K47+IF(K$10=EOMONTH(K$10,0),$AM48,L48)</f>
        <v>0</v>
      </c>
      <c r="L49" s="182" t="n">
        <f aca="false">L47+IF(L$10=EOMONTH(L$10,0),$AM48,M48)</f>
        <v>0</v>
      </c>
      <c r="M49" s="182" t="n">
        <f aca="false">M47+IF(M$10=EOMONTH(M$10,0),$AM48,N48)</f>
        <v>0</v>
      </c>
      <c r="N49" s="182" t="n">
        <f aca="false">N47+IF(N$10=EOMONTH(N$10,0),$AM48,O48)</f>
        <v>0</v>
      </c>
      <c r="O49" s="182" t="n">
        <f aca="false">O47+IF(O$10=EOMONTH(O$10,0),$AM48,P48)</f>
        <v>0</v>
      </c>
      <c r="P49" s="182" t="n">
        <f aca="false">P47+IF(P$10=EOMONTH(P$10,0),$AM48,Q48)</f>
        <v>0</v>
      </c>
      <c r="Q49" s="182" t="n">
        <f aca="false">Q47+IF(Q$10=EOMONTH(Q$10,0),$AM48,R48)</f>
        <v>0</v>
      </c>
      <c r="R49" s="182" t="n">
        <f aca="false">R47+IF(R$10=EOMONTH(R$10,0),$AM48,S48)</f>
        <v>0</v>
      </c>
      <c r="S49" s="182" t="n">
        <f aca="false">S47+IF(S$10=EOMONTH(S$10,0),$AM48,T48)</f>
        <v>0</v>
      </c>
      <c r="T49" s="182" t="n">
        <f aca="false">T47+IF(T$10=EOMONTH(T$10,0),$AM48,U48)</f>
        <v>0</v>
      </c>
      <c r="U49" s="182" t="n">
        <f aca="false">U47+IF(U$10=EOMONTH(U$10,0),$AM48,V48)</f>
        <v>0</v>
      </c>
      <c r="V49" s="182" t="n">
        <f aca="false">V47+IF(V$10=EOMONTH(V$10,0),$AM48,W48)</f>
        <v>0</v>
      </c>
      <c r="W49" s="182" t="n">
        <f aca="false">W47+IF(W$10=EOMONTH(W$10,0),$AM48,X48)</f>
        <v>0</v>
      </c>
      <c r="X49" s="182" t="n">
        <f aca="false">X47+IF(X$10=EOMONTH(X$10,0),$AM48,Y48)</f>
        <v>0</v>
      </c>
      <c r="Y49" s="182" t="n">
        <f aca="false">Y47+IF(Y$10=EOMONTH(Y$10,0),$AM48,Z48)</f>
        <v>0</v>
      </c>
      <c r="Z49" s="182" t="n">
        <f aca="false">Z47+IF(Z$10=EOMONTH(Z$10,0),$AM48,AA48)</f>
        <v>0</v>
      </c>
      <c r="AA49" s="182" t="n">
        <f aca="false">AA47+IF(AA$10=EOMONTH(AA$10,0),$AM48,AB48)</f>
        <v>0</v>
      </c>
      <c r="AB49" s="182" t="n">
        <f aca="false">AB47+IF(AB$10=EOMONTH(AB$10,0),$AM48,AC48)</f>
        <v>0</v>
      </c>
      <c r="AC49" s="182" t="n">
        <f aca="false">AC47+IF(AC$10=EOMONTH(AC$10,0),$AM48,AD48)</f>
        <v>0</v>
      </c>
      <c r="AD49" s="182" t="n">
        <f aca="false">AD47+IF(AD$10=EOMONTH(AD$10,0),$AM48,AE48)</f>
        <v>0</v>
      </c>
      <c r="AE49" s="182" t="n">
        <f aca="false">AE47+IF(AE$10=EOMONTH(AE$10,0),$AM48,AF48)</f>
        <v>0</v>
      </c>
      <c r="AF49" s="182" t="n">
        <f aca="false">AF47+IF(AF$10=EOMONTH(AF$10,0),$AM48,AG48)</f>
        <v>0</v>
      </c>
      <c r="AG49" s="183" t="str">
        <f aca="false">A49</f>
        <v>Total on call standby hours</v>
      </c>
      <c r="AH49" s="184"/>
      <c r="AI49" s="185" t="n">
        <f aca="false">SUM(B49:AF49)</f>
        <v>0</v>
      </c>
      <c r="AJ49" s="180"/>
      <c r="AK49" s="172"/>
      <c r="AL49" s="172"/>
      <c r="AM49" s="172"/>
      <c r="AN49" s="171"/>
      <c r="AO49" s="172"/>
      <c r="AP49" s="172"/>
      <c r="AQ49" s="39"/>
    </row>
    <row r="50" s="148" customFormat="true" ht="3.75" hidden="false" customHeight="true" outlineLevel="0" collapsed="false">
      <c r="A50" s="200"/>
      <c r="B50" s="187"/>
      <c r="C50" s="187"/>
      <c r="D50" s="187"/>
      <c r="E50" s="187"/>
      <c r="F50" s="187"/>
      <c r="G50" s="187"/>
      <c r="H50" s="187"/>
      <c r="I50" s="187"/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87"/>
      <c r="U50" s="187"/>
      <c r="V50" s="187"/>
      <c r="W50" s="187"/>
      <c r="X50" s="187"/>
      <c r="Y50" s="187"/>
      <c r="Z50" s="187"/>
      <c r="AA50" s="187"/>
      <c r="AB50" s="187"/>
      <c r="AC50" s="187"/>
      <c r="AD50" s="187"/>
      <c r="AE50" s="187"/>
      <c r="AF50" s="188"/>
      <c r="AG50" s="201"/>
      <c r="AH50" s="202"/>
      <c r="AI50" s="188"/>
      <c r="AJ50" s="180"/>
      <c r="AK50" s="172"/>
      <c r="AL50" s="172"/>
      <c r="AM50" s="172"/>
      <c r="AN50" s="171"/>
      <c r="AO50" s="172"/>
      <c r="AP50" s="172"/>
      <c r="AQ50" s="39"/>
    </row>
    <row r="51" s="148" customFormat="true" ht="15" hidden="false" customHeight="true" outlineLevel="0" collapsed="false">
      <c r="A51" s="181" t="s">
        <v>139</v>
      </c>
      <c r="B51" s="203" t="n">
        <f aca="false">ROUND(B23+B45+B84+SUM(B86:B95)+IF(T.50_Vetsuisse,B71,0),9)</f>
        <v>0</v>
      </c>
      <c r="C51" s="203" t="n">
        <f aca="false">ROUND(C23+C45+C84+SUM(C86:C95)+IF(T.50_Vetsuisse,C71,0),9)</f>
        <v>0</v>
      </c>
      <c r="D51" s="203" t="n">
        <f aca="false">ROUND(D23+D45+D84+SUM(D86:D95)+IF(T.50_Vetsuisse,D71,0),9)</f>
        <v>0</v>
      </c>
      <c r="E51" s="204" t="n">
        <f aca="false">ROUND(E23+E45+E84+SUM(E86:E95)+IF(T.50_Vetsuisse,E71,0),9)</f>
        <v>0</v>
      </c>
      <c r="F51" s="203" t="n">
        <f aca="false">ROUND(F23+F45+F84+SUM(F86:F95)+IF(T.50_Vetsuisse,F71,0),9)</f>
        <v>0</v>
      </c>
      <c r="G51" s="203" t="n">
        <f aca="false">ROUND(G23+G45+G84+SUM(G86:G95)+IF(T.50_Vetsuisse,G71,0),9)</f>
        <v>0</v>
      </c>
      <c r="H51" s="203" t="n">
        <f aca="false">ROUND(H23+H45+H84+SUM(H86:H95)+IF(T.50_Vetsuisse,H71,0),9)</f>
        <v>0</v>
      </c>
      <c r="I51" s="203" t="n">
        <f aca="false">ROUND(I23+I45+I84+SUM(I86:I95)+IF(T.50_Vetsuisse,I71,0),9)</f>
        <v>0</v>
      </c>
      <c r="J51" s="205" t="n">
        <f aca="false">ROUND(J23+J45+J84+SUM(J86:J95)+IF(T.50_Vetsuisse,J71,0),9)</f>
        <v>0</v>
      </c>
      <c r="K51" s="203" t="n">
        <f aca="false">ROUND(K23+K45+K84+SUM(K86:K95)+IF(T.50_Vetsuisse,K71,0),9)</f>
        <v>0</v>
      </c>
      <c r="L51" s="205" t="n">
        <f aca="false">ROUND(L23+L45+L84+SUM(L86:L95)+IF(T.50_Vetsuisse,L71,0),9)</f>
        <v>0</v>
      </c>
      <c r="M51" s="203" t="n">
        <f aca="false">ROUND(M23+M45+M84+SUM(M86:M95)+IF(T.50_Vetsuisse,M71,0),9)</f>
        <v>0</v>
      </c>
      <c r="N51" s="203" t="n">
        <f aca="false">ROUND(N23+N45+N84+SUM(N86:N95)+IF(T.50_Vetsuisse,N71,0),9)</f>
        <v>0</v>
      </c>
      <c r="O51" s="203" t="n">
        <f aca="false">ROUND(O23+O45+O84+SUM(O86:O95)+IF(T.50_Vetsuisse,O71,0),9)</f>
        <v>0</v>
      </c>
      <c r="P51" s="203" t="n">
        <f aca="false">ROUND(P23+P45+P84+SUM(P86:P95)+IF(T.50_Vetsuisse,P71,0),9)</f>
        <v>0</v>
      </c>
      <c r="Q51" s="205" t="n">
        <f aca="false">ROUND(Q23+Q45+Q84+SUM(Q86:Q95)+IF(T.50_Vetsuisse,Q71,0),9)</f>
        <v>0</v>
      </c>
      <c r="R51" s="203" t="n">
        <f aca="false">ROUND(R23+R45+R84+SUM(R86:R95)+IF(T.50_Vetsuisse,R71,0),9)</f>
        <v>0</v>
      </c>
      <c r="S51" s="205" t="n">
        <f aca="false">ROUND(S23+S45+S84+SUM(S86:S95)+IF(T.50_Vetsuisse,S71,0),9)</f>
        <v>0</v>
      </c>
      <c r="T51" s="205" t="n">
        <f aca="false">ROUND(T23+T45+T84+SUM(T86:T95)+IF(T.50_Vetsuisse,T71,0),9)</f>
        <v>0</v>
      </c>
      <c r="U51" s="203" t="n">
        <f aca="false">ROUND(U23+U45+U84+SUM(U86:U95)+IF(T.50_Vetsuisse,U71,0),9)</f>
        <v>0</v>
      </c>
      <c r="V51" s="203" t="n">
        <f aca="false">ROUND(V23+V45+V84+SUM(V86:V95)+IF(T.50_Vetsuisse,V71,0),9)</f>
        <v>0</v>
      </c>
      <c r="W51" s="203" t="n">
        <f aca="false">ROUND(W23+W45+W84+SUM(W86:W95)+IF(T.50_Vetsuisse,W71,0),9)</f>
        <v>0</v>
      </c>
      <c r="X51" s="205" t="n">
        <f aca="false">ROUND(X23+X45+X84+SUM(X86:X95)+IF(T.50_Vetsuisse,X71,0),9)</f>
        <v>0</v>
      </c>
      <c r="Y51" s="203" t="n">
        <f aca="false">ROUND(Y23+Y45+Y84+SUM(Y86:Y95)+IF(T.50_Vetsuisse,Y71,0),9)</f>
        <v>0</v>
      </c>
      <c r="Z51" s="206" t="n">
        <f aca="false">ROUND(Z23+Z45+Z84+SUM(Z86:Z95)+IF(T.50_Vetsuisse,Z71,0),9)</f>
        <v>0</v>
      </c>
      <c r="AA51" s="203" t="n">
        <f aca="false">ROUND(AA23+AA45+AA84+SUM(AA86:AA95)+IF(T.50_Vetsuisse,AA71,0),9)</f>
        <v>0</v>
      </c>
      <c r="AB51" s="203" t="n">
        <f aca="false">ROUND(AB23+AB45+AB84+SUM(AB86:AB95)+IF(T.50_Vetsuisse,AB71,0),9)</f>
        <v>0</v>
      </c>
      <c r="AC51" s="203" t="n">
        <f aca="false">ROUND(AC23+AC45+AC84+SUM(AC86:AC95)+IF(T.50_Vetsuisse,AC71,0),9)</f>
        <v>0</v>
      </c>
      <c r="AD51" s="203" t="n">
        <f aca="false">ROUND(AD23+AD45+AD84+SUM(AD86:AD95)+IF(T.50_Vetsuisse,AD71,0),9)</f>
        <v>0</v>
      </c>
      <c r="AE51" s="205" t="n">
        <f aca="false">ROUND(AE23+AE45+AE84+SUM(AE86:AE95)+IF(T.50_Vetsuisse,AE71,0),9)</f>
        <v>0</v>
      </c>
      <c r="AF51" s="203" t="n">
        <f aca="false">ROUND(AF23+AF45+AF84+SUM(AF86:AF95)+IF(T.50_Vetsuisse,AF71,0),9)</f>
        <v>0</v>
      </c>
      <c r="AG51" s="183" t="str">
        <f aca="false">A51</f>
        <v>Actual hours worked</v>
      </c>
      <c r="AH51" s="184"/>
      <c r="AI51" s="207" t="n">
        <f aca="false">SUM(B51:AF51)</f>
        <v>0</v>
      </c>
      <c r="AJ51" s="180"/>
      <c r="AK51" s="172"/>
      <c r="AL51" s="172"/>
      <c r="AM51" s="172"/>
      <c r="AN51" s="208" t="n">
        <f aca="true">IF(WEEKDAY(EOMONTH(Monat.Tag1,0),2)=7,0,MAX(0,SUM(OFFSET(B51,0,DAY(EOMONTH(Monat.Tag1,0))-WEEKDAY(EOMONTH(Monat.Tag1,0),2),1,WEEKDAY(EOMONTH(Monat.Tag1,0),2)))))</f>
        <v>0</v>
      </c>
      <c r="AO51" s="172"/>
      <c r="AP51" s="172"/>
      <c r="AQ51" s="39"/>
    </row>
    <row r="52" s="148" customFormat="true" ht="15" hidden="false" customHeight="true" outlineLevel="1" collapsed="false">
      <c r="A52" s="175" t="s">
        <v>140</v>
      </c>
      <c r="B52" s="209" t="n">
        <f aca="false">IF(B$12=0,0,ROUND(INDEX(Monat.RAZ1_7.Bereich,WEEKDAY(B$10,2))*B$11,9))</f>
        <v>0</v>
      </c>
      <c r="C52" s="209" t="n">
        <f aca="false">IF(C$12=0,0,ROUND(INDEX(Monat.RAZ1_7.Bereich,WEEKDAY(C$10,2))*C$11,9))</f>
        <v>0</v>
      </c>
      <c r="D52" s="210" t="n">
        <f aca="false">IF(D$12=0,0,ROUND(INDEX(Monat.RAZ1_7.Bereich,WEEKDAY(D$10,2))*D$11,9))</f>
        <v>0</v>
      </c>
      <c r="E52" s="209" t="n">
        <f aca="false">IF(E$12=0,0,ROUND(INDEX(Monat.RAZ1_7.Bereich,WEEKDAY(E$10,2))*E$11,9))</f>
        <v>0</v>
      </c>
      <c r="F52" s="210" t="n">
        <f aca="false">IF(F$12=0,0,ROUND(INDEX(Monat.RAZ1_7.Bereich,WEEKDAY(F$10,2))*F$11,9))</f>
        <v>0</v>
      </c>
      <c r="G52" s="210" t="n">
        <f aca="false">IF(G$12=0,0,ROUND(INDEX(Monat.RAZ1_7.Bereich,WEEKDAY(G$10,2))*G$11,9))</f>
        <v>0</v>
      </c>
      <c r="H52" s="210" t="n">
        <f aca="false">IF(H$12=0,0,ROUND(INDEX(Monat.RAZ1_7.Bereich,WEEKDAY(H$10,2))*H$11,9))</f>
        <v>0</v>
      </c>
      <c r="I52" s="210" t="n">
        <f aca="false">IF(I$12=0,0,ROUND(INDEX(Monat.RAZ1_7.Bereich,WEEKDAY(I$10,2))*I$11,9))</f>
        <v>0</v>
      </c>
      <c r="J52" s="209" t="n">
        <f aca="false">IF(J$12=0,0,ROUND(INDEX(Monat.RAZ1_7.Bereich,WEEKDAY(J$10,2))*J$11,9))</f>
        <v>0</v>
      </c>
      <c r="K52" s="210" t="n">
        <f aca="false">IF(K$12=0,0,ROUND(INDEX(Monat.RAZ1_7.Bereich,WEEKDAY(K$10,2))*K$11,9))</f>
        <v>0</v>
      </c>
      <c r="L52" s="209" t="n">
        <f aca="false">IF(L$12=0,0,ROUND(INDEX(Monat.RAZ1_7.Bereich,WEEKDAY(L$10,2))*L$11,9))</f>
        <v>0</v>
      </c>
      <c r="M52" s="210" t="n">
        <f aca="false">IF(M$12=0,0,ROUND(INDEX(Monat.RAZ1_7.Bereich,WEEKDAY(M$10,2))*M$11,9))</f>
        <v>0</v>
      </c>
      <c r="N52" s="210" t="n">
        <f aca="false">IF(N$12=0,0,ROUND(INDEX(Monat.RAZ1_7.Bereich,WEEKDAY(N$10,2))*N$11,9))</f>
        <v>0</v>
      </c>
      <c r="O52" s="210" t="n">
        <f aca="false">IF(O$12=0,0,ROUND(INDEX(Monat.RAZ1_7.Bereich,WEEKDAY(O$10,2))*O$11,9))</f>
        <v>0</v>
      </c>
      <c r="P52" s="210" t="n">
        <f aca="false">IF(P$12=0,0,ROUND(INDEX(Monat.RAZ1_7.Bereich,WEEKDAY(P$10,2))*P$11,9))</f>
        <v>0</v>
      </c>
      <c r="Q52" s="209" t="n">
        <f aca="false">IF(Q$12=0,0,ROUND(INDEX(Monat.RAZ1_7.Bereich,WEEKDAY(Q$10,2))*Q$11,9))</f>
        <v>0</v>
      </c>
      <c r="R52" s="210" t="n">
        <f aca="false">IF(R$12=0,0,ROUND(INDEX(Monat.RAZ1_7.Bereich,WEEKDAY(R$10,2))*R$11,9))</f>
        <v>0</v>
      </c>
      <c r="S52" s="209" t="n">
        <f aca="false">IF(S$12=0,0,ROUND(INDEX(Monat.RAZ1_7.Bereich,WEEKDAY(S$10,2))*S$11,9))</f>
        <v>0</v>
      </c>
      <c r="T52" s="209" t="n">
        <f aca="false">IF(T$12=0,0,ROUND(INDEX(Monat.RAZ1_7.Bereich,WEEKDAY(T$10,2))*T$11,9))</f>
        <v>0</v>
      </c>
      <c r="U52" s="210" t="n">
        <f aca="false">IF(U$12=0,0,ROUND(INDEX(Monat.RAZ1_7.Bereich,WEEKDAY(U$10,2))*U$11,9))</f>
        <v>0</v>
      </c>
      <c r="V52" s="210" t="n">
        <f aca="false">IF(V$12=0,0,ROUND(INDEX(Monat.RAZ1_7.Bereich,WEEKDAY(V$10,2))*V$11,9))</f>
        <v>0</v>
      </c>
      <c r="W52" s="210" t="n">
        <f aca="false">IF(W$12=0,0,ROUND(INDEX(Monat.RAZ1_7.Bereich,WEEKDAY(W$10,2))*W$11,9))</f>
        <v>0</v>
      </c>
      <c r="X52" s="209" t="n">
        <f aca="false">IF(X$12=0,0,ROUND(INDEX(Monat.RAZ1_7.Bereich,WEEKDAY(X$10,2))*X$11,9))</f>
        <v>0</v>
      </c>
      <c r="Y52" s="210" t="n">
        <f aca="false">IF(Y$12=0,0,ROUND(INDEX(Monat.RAZ1_7.Bereich,WEEKDAY(Y$10,2))*Y$11,9))</f>
        <v>0</v>
      </c>
      <c r="Z52" s="211" t="n">
        <f aca="false">IF(Z$12=0,0,ROUND(INDEX(Monat.RAZ1_7.Bereich,WEEKDAY(Z$10,2))*Z$11,9))</f>
        <v>0</v>
      </c>
      <c r="AA52" s="210" t="n">
        <f aca="false">IF(AA$12=0,0,ROUND(INDEX(Monat.RAZ1_7.Bereich,WEEKDAY(AA$10,2))*AA$11,9))</f>
        <v>0</v>
      </c>
      <c r="AB52" s="210" t="n">
        <f aca="false">IF(AB$12=0,0,ROUND(INDEX(Monat.RAZ1_7.Bereich,WEEKDAY(AB$10,2))*AB$11,9))</f>
        <v>0</v>
      </c>
      <c r="AC52" s="210" t="n">
        <f aca="false">IF(AC$12=0,0,ROUND(INDEX(Monat.RAZ1_7.Bereich,WEEKDAY(AC$10,2))*AC$11,9))</f>
        <v>0</v>
      </c>
      <c r="AD52" s="210" t="n">
        <f aca="false">IF(AD$12=0,0,ROUND(INDEX(Monat.RAZ1_7.Bereich,WEEKDAY(AD$10,2))*AD$11,9))</f>
        <v>0</v>
      </c>
      <c r="AE52" s="209" t="n">
        <f aca="false">IF(AE$12=0,0,ROUND(INDEX(Monat.RAZ1_7.Bereich,WEEKDAY(AE$10,2))*AE$11,9))</f>
        <v>0</v>
      </c>
      <c r="AF52" s="210" t="n">
        <f aca="false">IF(AF$12=0,0,ROUND(INDEX(Monat.RAZ1_7.Bereich,WEEKDAY(AF$10,2))*AF$11,9))</f>
        <v>0</v>
      </c>
      <c r="AG52" s="212" t="str">
        <f aca="false">A52</f>
        <v>Standardized hours (Info)</v>
      </c>
      <c r="AH52" s="184"/>
      <c r="AI52" s="179"/>
      <c r="AJ52" s="180"/>
      <c r="AK52" s="172"/>
      <c r="AL52" s="172"/>
      <c r="AM52" s="172"/>
      <c r="AN52" s="171"/>
      <c r="AO52" s="172"/>
      <c r="AP52" s="172"/>
      <c r="AQ52" s="39"/>
    </row>
    <row r="53" s="148" customFormat="true" ht="15" hidden="false" customHeight="true" outlineLevel="0" collapsed="false">
      <c r="A53" s="175" t="s">
        <v>141</v>
      </c>
      <c r="B53" s="213" t="n">
        <f aca="false">IF(B$12=0,0,ROUND(INDEX(EB.AZSOLLTag100.Bereich,MATCH(INDEX(EB.Monate.Bereich,MONTH(Monat.Tag1)),EB.Monate.Bereich,0))*B$11*IF(WEEKDAY(B$10,2)&gt;5,0,1)*$V$2/100,9))</f>
        <v>0</v>
      </c>
      <c r="C53" s="213" t="n">
        <f aca="false">IF(C$12=0,0,ROUND(INDEX(EB.AZSOLLTag100.Bereich,MATCH(INDEX(EB.Monate.Bereich,MONTH(Monat.Tag1)),EB.Monate.Bereich,0))*C$11*IF(WEEKDAY(C$10,2)&gt;5,0,1)*$V$2/100,9))</f>
        <v>0</v>
      </c>
      <c r="D53" s="213" t="n">
        <f aca="false">IF(D$12=0,0,ROUND(INDEX(EB.AZSOLLTag100.Bereich,MATCH(INDEX(EB.Monate.Bereich,MONTH(Monat.Tag1)),EB.Monate.Bereich,0))*D$11*IF(WEEKDAY(D$10,2)&gt;5,0,1)*$V$2/100,9))</f>
        <v>0</v>
      </c>
      <c r="E53" s="213" t="n">
        <f aca="false">IF(E$12=0,0,ROUND(INDEX(EB.AZSOLLTag100.Bereich,MATCH(INDEX(EB.Monate.Bereich,MONTH(Monat.Tag1)),EB.Monate.Bereich,0))*E$11*IF(WEEKDAY(E$10,2)&gt;5,0,1)*$V$2/100,9))</f>
        <v>0</v>
      </c>
      <c r="F53" s="213" t="n">
        <f aca="false">IF(F$12=0,0,ROUND(INDEX(EB.AZSOLLTag100.Bereich,MATCH(INDEX(EB.Monate.Bereich,MONTH(Monat.Tag1)),EB.Monate.Bereich,0))*F$11*IF(WEEKDAY(F$10,2)&gt;5,0,1)*$V$2/100,9))</f>
        <v>0</v>
      </c>
      <c r="G53" s="213" t="n">
        <f aca="false">IF(G$12=0,0,ROUND(INDEX(EB.AZSOLLTag100.Bereich,MATCH(INDEX(EB.Monate.Bereich,MONTH(Monat.Tag1)),EB.Monate.Bereich,0))*G$11*IF(WEEKDAY(G$10,2)&gt;5,0,1)*$V$2/100,9))</f>
        <v>0</v>
      </c>
      <c r="H53" s="213" t="n">
        <f aca="false">IF(H$12=0,0,ROUND(INDEX(EB.AZSOLLTag100.Bereich,MATCH(INDEX(EB.Monate.Bereich,MONTH(Monat.Tag1)),EB.Monate.Bereich,0))*H$11*IF(WEEKDAY(H$10,2)&gt;5,0,1)*$V$2/100,9))</f>
        <v>0</v>
      </c>
      <c r="I53" s="213" t="n">
        <f aca="false">IF(I$12=0,0,ROUND(INDEX(EB.AZSOLLTag100.Bereich,MATCH(INDEX(EB.Monate.Bereich,MONTH(Monat.Tag1)),EB.Monate.Bereich,0))*I$11*IF(WEEKDAY(I$10,2)&gt;5,0,1)*$V$2/100,9))</f>
        <v>0</v>
      </c>
      <c r="J53" s="213" t="n">
        <f aca="false">IF(J$12=0,0,ROUND(INDEX(EB.AZSOLLTag100.Bereich,MATCH(INDEX(EB.Monate.Bereich,MONTH(Monat.Tag1)),EB.Monate.Bereich,0))*J$11*IF(WEEKDAY(J$10,2)&gt;5,0,1)*$V$2/100,9))</f>
        <v>0</v>
      </c>
      <c r="K53" s="213" t="n">
        <f aca="false">IF(K$12=0,0,ROUND(INDEX(EB.AZSOLLTag100.Bereich,MATCH(INDEX(EB.Monate.Bereich,MONTH(Monat.Tag1)),EB.Monate.Bereich,0))*K$11*IF(WEEKDAY(K$10,2)&gt;5,0,1)*$V$2/100,9))</f>
        <v>0</v>
      </c>
      <c r="L53" s="213" t="n">
        <f aca="false">IF(L$12=0,0,ROUND(INDEX(EB.AZSOLLTag100.Bereich,MATCH(INDEX(EB.Monate.Bereich,MONTH(Monat.Tag1)),EB.Monate.Bereich,0))*L$11*IF(WEEKDAY(L$10,2)&gt;5,0,1)*$V$2/100,9))</f>
        <v>0</v>
      </c>
      <c r="M53" s="213" t="n">
        <f aca="false">IF(M$12=0,0,ROUND(INDEX(EB.AZSOLLTag100.Bereich,MATCH(INDEX(EB.Monate.Bereich,MONTH(Monat.Tag1)),EB.Monate.Bereich,0))*M$11*IF(WEEKDAY(M$10,2)&gt;5,0,1)*$V$2/100,9))</f>
        <v>0</v>
      </c>
      <c r="N53" s="213" t="n">
        <f aca="false">IF(N$12=0,0,ROUND(INDEX(EB.AZSOLLTag100.Bereich,MATCH(INDEX(EB.Monate.Bereich,MONTH(Monat.Tag1)),EB.Monate.Bereich,0))*N$11*IF(WEEKDAY(N$10,2)&gt;5,0,1)*$V$2/100,9))</f>
        <v>0</v>
      </c>
      <c r="O53" s="213" t="n">
        <f aca="false">IF(O$12=0,0,ROUND(INDEX(EB.AZSOLLTag100.Bereich,MATCH(INDEX(EB.Monate.Bereich,MONTH(Monat.Tag1)),EB.Monate.Bereich,0))*O$11*IF(WEEKDAY(O$10,2)&gt;5,0,1)*$V$2/100,9))</f>
        <v>0</v>
      </c>
      <c r="P53" s="213" t="n">
        <f aca="false">IF(P$12=0,0,ROUND(INDEX(EB.AZSOLLTag100.Bereich,MATCH(INDEX(EB.Monate.Bereich,MONTH(Monat.Tag1)),EB.Monate.Bereich,0))*P$11*IF(WEEKDAY(P$10,2)&gt;5,0,1)*$V$2/100,9))</f>
        <v>0</v>
      </c>
      <c r="Q53" s="213" t="n">
        <f aca="false">IF(Q$12=0,0,ROUND(INDEX(EB.AZSOLLTag100.Bereich,MATCH(INDEX(EB.Monate.Bereich,MONTH(Monat.Tag1)),EB.Monate.Bereich,0))*Q$11*IF(WEEKDAY(Q$10,2)&gt;5,0,1)*$V$2/100,9))</f>
        <v>0</v>
      </c>
      <c r="R53" s="213" t="n">
        <f aca="false">IF(R$12=0,0,ROUND(INDEX(EB.AZSOLLTag100.Bereich,MATCH(INDEX(EB.Monate.Bereich,MONTH(Monat.Tag1)),EB.Monate.Bereich,0))*R$11*IF(WEEKDAY(R$10,2)&gt;5,0,1)*$V$2/100,9))</f>
        <v>0</v>
      </c>
      <c r="S53" s="213" t="n">
        <f aca="false">IF(S$12=0,0,ROUND(INDEX(EB.AZSOLLTag100.Bereich,MATCH(INDEX(EB.Monate.Bereich,MONTH(Monat.Tag1)),EB.Monate.Bereich,0))*S$11*IF(WEEKDAY(S$10,2)&gt;5,0,1)*$V$2/100,9))</f>
        <v>0</v>
      </c>
      <c r="T53" s="213" t="n">
        <f aca="false">IF(T$12=0,0,ROUND(INDEX(EB.AZSOLLTag100.Bereich,MATCH(INDEX(EB.Monate.Bereich,MONTH(Monat.Tag1)),EB.Monate.Bereich,0))*T$11*IF(WEEKDAY(T$10,2)&gt;5,0,1)*$V$2/100,9))</f>
        <v>0</v>
      </c>
      <c r="U53" s="213" t="n">
        <f aca="false">IF(U$12=0,0,ROUND(INDEX(EB.AZSOLLTag100.Bereich,MATCH(INDEX(EB.Monate.Bereich,MONTH(Monat.Tag1)),EB.Monate.Bereich,0))*U$11*IF(WEEKDAY(U$10,2)&gt;5,0,1)*$V$2/100,9))</f>
        <v>0</v>
      </c>
      <c r="V53" s="213" t="n">
        <f aca="false">IF(V$12=0,0,ROUND(INDEX(EB.AZSOLLTag100.Bereich,MATCH(INDEX(EB.Monate.Bereich,MONTH(Monat.Tag1)),EB.Monate.Bereich,0))*V$11*IF(WEEKDAY(V$10,2)&gt;5,0,1)*$V$2/100,9))</f>
        <v>0</v>
      </c>
      <c r="W53" s="213" t="n">
        <f aca="false">IF(W$12=0,0,ROUND(INDEX(EB.AZSOLLTag100.Bereich,MATCH(INDEX(EB.Monate.Bereich,MONTH(Monat.Tag1)),EB.Monate.Bereich,0))*W$11*IF(WEEKDAY(W$10,2)&gt;5,0,1)*$V$2/100,9))</f>
        <v>0</v>
      </c>
      <c r="X53" s="213" t="n">
        <f aca="false">IF(X$12=0,0,ROUND(INDEX(EB.AZSOLLTag100.Bereich,MATCH(INDEX(EB.Monate.Bereich,MONTH(Monat.Tag1)),EB.Monate.Bereich,0))*X$11*IF(WEEKDAY(X$10,2)&gt;5,0,1)*$V$2/100,9))</f>
        <v>0</v>
      </c>
      <c r="Y53" s="213" t="n">
        <f aca="false">IF(Y$12=0,0,ROUND(INDEX(EB.AZSOLLTag100.Bereich,MATCH(INDEX(EB.Monate.Bereich,MONTH(Monat.Tag1)),EB.Monate.Bereich,0))*Y$11*IF(WEEKDAY(Y$10,2)&gt;5,0,1)*$V$2/100,9))</f>
        <v>0</v>
      </c>
      <c r="Z53" s="213" t="n">
        <f aca="false">IF(Z$12=0,0,ROUND(INDEX(EB.AZSOLLTag100.Bereich,MATCH(INDEX(EB.Monate.Bereich,MONTH(Monat.Tag1)),EB.Monate.Bereich,0))*Z$11*IF(WEEKDAY(Z$10,2)&gt;5,0,1)*$V$2/100,9))</f>
        <v>0</v>
      </c>
      <c r="AA53" s="213" t="n">
        <f aca="false">IF(AA$12=0,0,ROUND(INDEX(EB.AZSOLLTag100.Bereich,MATCH(INDEX(EB.Monate.Bereich,MONTH(Monat.Tag1)),EB.Monate.Bereich,0))*AA$11*IF(WEEKDAY(AA$10,2)&gt;5,0,1)*$V$2/100,9))</f>
        <v>0</v>
      </c>
      <c r="AB53" s="213" t="n">
        <f aca="false">IF(AB$12=0,0,ROUND(INDEX(EB.AZSOLLTag100.Bereich,MATCH(INDEX(EB.Monate.Bereich,MONTH(Monat.Tag1)),EB.Monate.Bereich,0))*AB$11*IF(WEEKDAY(AB$10,2)&gt;5,0,1)*$V$2/100,9))</f>
        <v>0</v>
      </c>
      <c r="AC53" s="213" t="n">
        <f aca="false">IF(AC$12=0,0,ROUND(INDEX(EB.AZSOLLTag100.Bereich,MATCH(INDEX(EB.Monate.Bereich,MONTH(Monat.Tag1)),EB.Monate.Bereich,0))*AC$11*IF(WEEKDAY(AC$10,2)&gt;5,0,1)*$V$2/100,9))</f>
        <v>0</v>
      </c>
      <c r="AD53" s="213" t="n">
        <f aca="false">IF(AD$12=0,0,ROUND(INDEX(EB.AZSOLLTag100.Bereich,MATCH(INDEX(EB.Monate.Bereich,MONTH(Monat.Tag1)),EB.Monate.Bereich,0))*AD$11*IF(WEEKDAY(AD$10,2)&gt;5,0,1)*$V$2/100,9))</f>
        <v>0</v>
      </c>
      <c r="AE53" s="213" t="n">
        <f aca="false">IF(AE$12=0,0,ROUND(INDEX(EB.AZSOLLTag100.Bereich,MATCH(INDEX(EB.Monate.Bereich,MONTH(Monat.Tag1)),EB.Monate.Bereich,0))*AE$11*IF(WEEKDAY(AE$10,2)&gt;5,0,1)*$V$2/100,9))</f>
        <v>0</v>
      </c>
      <c r="AF53" s="213" t="n">
        <f aca="false">IF(AF$12=0,0,ROUND(INDEX(EB.AZSOLLTag100.Bereich,MATCH(INDEX(EB.Monate.Bereich,MONTH(Monat.Tag1)),EB.Monate.Bereich,0))*AF$11*IF(WEEKDAY(AF$10,2)&gt;5,0,1)*$V$2/100,9))</f>
        <v>0</v>
      </c>
      <c r="AG53" s="168" t="str">
        <f aca="false">A53</f>
        <v>Req. hours of work FTE</v>
      </c>
      <c r="AH53" s="184"/>
      <c r="AI53" s="207" t="n">
        <f aca="false">SUM(B53:AF53)</f>
        <v>0</v>
      </c>
      <c r="AJ53" s="180"/>
      <c r="AK53" s="172"/>
      <c r="AL53" s="172"/>
      <c r="AM53" s="172"/>
      <c r="AN53" s="171"/>
      <c r="AO53" s="172"/>
      <c r="AP53" s="172"/>
      <c r="AQ53" s="39"/>
    </row>
    <row r="54" s="148" customFormat="true" ht="15" hidden="true" customHeight="true" outlineLevel="1" collapsed="false">
      <c r="A54" s="175" t="s">
        <v>142</v>
      </c>
      <c r="B54" s="213" t="n">
        <f aca="false">ROUND(INDEX(EB.AZSOLLTag100.Bereich,MATCH(INDEX(EB.Monate.Bereich,MONTH(Monat.Tag1)),EB.Monate.Bereich,0))*B$11*IF(WEEKDAY(B$10,2)&gt;5,0,1),9)</f>
        <v>0</v>
      </c>
      <c r="C54" s="213" t="n">
        <f aca="false">ROUND(INDEX(EB.AZSOLLTag100.Bereich,MATCH(INDEX(EB.Monate.Bereich,MONTH(Monat.Tag1)),EB.Monate.Bereich,0))*C$11*IF(WEEKDAY(C$10,2)&gt;5,0,1),9)</f>
        <v>0</v>
      </c>
      <c r="D54" s="214" t="n">
        <f aca="false">ROUND(INDEX(EB.AZSOLLTag100.Bereich,MATCH(INDEX(EB.Monate.Bereich,MONTH(Monat.Tag1)),EB.Monate.Bereich,0))*D$11*IF(WEEKDAY(D$10,2)&gt;5,0,1),9)</f>
        <v>0.35</v>
      </c>
      <c r="E54" s="213" t="n">
        <f aca="false">ROUND(INDEX(EB.AZSOLLTag100.Bereich,MATCH(INDEX(EB.Monate.Bereich,MONTH(Monat.Tag1)),EB.Monate.Bereich,0))*E$11*IF(WEEKDAY(E$10,2)&gt;5,0,1),9)</f>
        <v>0.35</v>
      </c>
      <c r="F54" s="214" t="n">
        <f aca="false">ROUND(INDEX(EB.AZSOLLTag100.Bereich,MATCH(INDEX(EB.Monate.Bereich,MONTH(Monat.Tag1)),EB.Monate.Bereich,0))*F$11*IF(WEEKDAY(F$10,2)&gt;5,0,1),9)</f>
        <v>0.35</v>
      </c>
      <c r="G54" s="214" t="n">
        <f aca="false">ROUND(INDEX(EB.AZSOLLTag100.Bereich,MATCH(INDEX(EB.Monate.Bereich,MONTH(Monat.Tag1)),EB.Monate.Bereich,0))*G$11*IF(WEEKDAY(G$10,2)&gt;5,0,1),9)</f>
        <v>0</v>
      </c>
      <c r="H54" s="214" t="n">
        <f aca="false">ROUND(INDEX(EB.AZSOLLTag100.Bereich,MATCH(INDEX(EB.Monate.Bereich,MONTH(Monat.Tag1)),EB.Monate.Bereich,0))*H$11*IF(WEEKDAY(H$10,2)&gt;5,0,1),9)</f>
        <v>0</v>
      </c>
      <c r="I54" s="214" t="n">
        <f aca="false">ROUND(INDEX(EB.AZSOLLTag100.Bereich,MATCH(INDEX(EB.Monate.Bereich,MONTH(Monat.Tag1)),EB.Monate.Bereich,0))*I$11*IF(WEEKDAY(I$10,2)&gt;5,0,1),9)</f>
        <v>0.35</v>
      </c>
      <c r="J54" s="213" t="n">
        <f aca="false">ROUND(INDEX(EB.AZSOLLTag100.Bereich,MATCH(INDEX(EB.Monate.Bereich,MONTH(Monat.Tag1)),EB.Monate.Bereich,0))*J$11*IF(WEEKDAY(J$10,2)&gt;5,0,1),9)</f>
        <v>0.35</v>
      </c>
      <c r="K54" s="214" t="n">
        <f aca="false">ROUND(INDEX(EB.AZSOLLTag100.Bereich,MATCH(INDEX(EB.Monate.Bereich,MONTH(Monat.Tag1)),EB.Monate.Bereich,0))*K$11*IF(WEEKDAY(K$10,2)&gt;5,0,1),9)</f>
        <v>0.35</v>
      </c>
      <c r="L54" s="213" t="n">
        <f aca="false">ROUND(INDEX(EB.AZSOLLTag100.Bereich,MATCH(INDEX(EB.Monate.Bereich,MONTH(Monat.Tag1)),EB.Monate.Bereich,0))*L$11*IF(WEEKDAY(L$10,2)&gt;5,0,1),9)</f>
        <v>0.35</v>
      </c>
      <c r="M54" s="214" t="n">
        <f aca="false">ROUND(INDEX(EB.AZSOLLTag100.Bereich,MATCH(INDEX(EB.Monate.Bereich,MONTH(Monat.Tag1)),EB.Monate.Bereich,0))*M$11*IF(WEEKDAY(M$10,2)&gt;5,0,1),9)</f>
        <v>0.35</v>
      </c>
      <c r="N54" s="214" t="n">
        <f aca="false">ROUND(INDEX(EB.AZSOLLTag100.Bereich,MATCH(INDEX(EB.Monate.Bereich,MONTH(Monat.Tag1)),EB.Monate.Bereich,0))*N$11*IF(WEEKDAY(N$10,2)&gt;5,0,1),9)</f>
        <v>0</v>
      </c>
      <c r="O54" s="214" t="n">
        <f aca="false">ROUND(INDEX(EB.AZSOLLTag100.Bereich,MATCH(INDEX(EB.Monate.Bereich,MONTH(Monat.Tag1)),EB.Monate.Bereich,0))*O$11*IF(WEEKDAY(O$10,2)&gt;5,0,1),9)</f>
        <v>0</v>
      </c>
      <c r="P54" s="214" t="n">
        <f aca="false">ROUND(INDEX(EB.AZSOLLTag100.Bereich,MATCH(INDEX(EB.Monate.Bereich,MONTH(Monat.Tag1)),EB.Monate.Bereich,0))*P$11*IF(WEEKDAY(P$10,2)&gt;5,0,1),9)</f>
        <v>0.35</v>
      </c>
      <c r="Q54" s="213" t="n">
        <f aca="false">ROUND(INDEX(EB.AZSOLLTag100.Bereich,MATCH(INDEX(EB.Monate.Bereich,MONTH(Monat.Tag1)),EB.Monate.Bereich,0))*Q$11*IF(WEEKDAY(Q$10,2)&gt;5,0,1),9)</f>
        <v>0.35</v>
      </c>
      <c r="R54" s="214" t="n">
        <f aca="false">ROUND(INDEX(EB.AZSOLLTag100.Bereich,MATCH(INDEX(EB.Monate.Bereich,MONTH(Monat.Tag1)),EB.Monate.Bereich,0))*R$11*IF(WEEKDAY(R$10,2)&gt;5,0,1),9)</f>
        <v>0.35</v>
      </c>
      <c r="S54" s="213" t="n">
        <f aca="false">ROUND(INDEX(EB.AZSOLLTag100.Bereich,MATCH(INDEX(EB.Monate.Bereich,MONTH(Monat.Tag1)),EB.Monate.Bereich,0))*S$11*IF(WEEKDAY(S$10,2)&gt;5,0,1),9)</f>
        <v>0.35</v>
      </c>
      <c r="T54" s="213" t="n">
        <f aca="false">ROUND(INDEX(EB.AZSOLLTag100.Bereich,MATCH(INDEX(EB.Monate.Bereich,MONTH(Monat.Tag1)),EB.Monate.Bereich,0))*T$11*IF(WEEKDAY(T$10,2)&gt;5,0,1),9)</f>
        <v>0.35</v>
      </c>
      <c r="U54" s="214" t="n">
        <f aca="false">ROUND(INDEX(EB.AZSOLLTag100.Bereich,MATCH(INDEX(EB.Monate.Bereich,MONTH(Monat.Tag1)),EB.Monate.Bereich,0))*U$11*IF(WEEKDAY(U$10,2)&gt;5,0,1),9)</f>
        <v>0</v>
      </c>
      <c r="V54" s="214" t="n">
        <f aca="false">ROUND(INDEX(EB.AZSOLLTag100.Bereich,MATCH(INDEX(EB.Monate.Bereich,MONTH(Monat.Tag1)),EB.Monate.Bereich,0))*V$11*IF(WEEKDAY(V$10,2)&gt;5,0,1),9)</f>
        <v>0</v>
      </c>
      <c r="W54" s="214" t="n">
        <f aca="false">ROUND(INDEX(EB.AZSOLLTag100.Bereich,MATCH(INDEX(EB.Monate.Bereich,MONTH(Monat.Tag1)),EB.Monate.Bereich,0))*W$11*IF(WEEKDAY(W$10,2)&gt;5,0,1),9)</f>
        <v>0.35</v>
      </c>
      <c r="X54" s="213" t="n">
        <f aca="false">ROUND(INDEX(EB.AZSOLLTag100.Bereich,MATCH(INDEX(EB.Monate.Bereich,MONTH(Monat.Tag1)),EB.Monate.Bereich,0))*X$11*IF(WEEKDAY(X$10,2)&gt;5,0,1),9)</f>
        <v>0.35</v>
      </c>
      <c r="Y54" s="214" t="n">
        <f aca="false">ROUND(INDEX(EB.AZSOLLTag100.Bereich,MATCH(INDEX(EB.Monate.Bereich,MONTH(Monat.Tag1)),EB.Monate.Bereich,0))*Y$11*IF(WEEKDAY(Y$10,2)&gt;5,0,1),9)</f>
        <v>0.35</v>
      </c>
      <c r="Z54" s="215" t="n">
        <f aca="false">ROUND(INDEX(EB.AZSOLLTag100.Bereich,MATCH(INDEX(EB.Monate.Bereich,MONTH(Monat.Tag1)),EB.Monate.Bereich,0))*Z$11*IF(WEEKDAY(Z$10,2)&gt;5,0,1),9)</f>
        <v>0.35</v>
      </c>
      <c r="AA54" s="214" t="n">
        <f aca="false">ROUND(INDEX(EB.AZSOLLTag100.Bereich,MATCH(INDEX(EB.Monate.Bereich,MONTH(Monat.Tag1)),EB.Monate.Bereich,0))*AA$11*IF(WEEKDAY(AA$10,2)&gt;5,0,1),9)</f>
        <v>0.35</v>
      </c>
      <c r="AB54" s="214" t="n">
        <f aca="false">ROUND(INDEX(EB.AZSOLLTag100.Bereich,MATCH(INDEX(EB.Monate.Bereich,MONTH(Monat.Tag1)),EB.Monate.Bereich,0))*AB$11*IF(WEEKDAY(AB$10,2)&gt;5,0,1),9)</f>
        <v>0</v>
      </c>
      <c r="AC54" s="214" t="n">
        <f aca="false">ROUND(INDEX(EB.AZSOLLTag100.Bereich,MATCH(INDEX(EB.Monate.Bereich,MONTH(Monat.Tag1)),EB.Monate.Bereich,0))*AC$11*IF(WEEKDAY(AC$10,2)&gt;5,0,1),9)</f>
        <v>0</v>
      </c>
      <c r="AD54" s="214" t="n">
        <f aca="false">ROUND(INDEX(EB.AZSOLLTag100.Bereich,MATCH(INDEX(EB.Monate.Bereich,MONTH(Monat.Tag1)),EB.Monate.Bereich,0))*AD$11*IF(WEEKDAY(AD$10,2)&gt;5,0,1),9)</f>
        <v>0.35</v>
      </c>
      <c r="AE54" s="213" t="n">
        <f aca="false">ROUND(INDEX(EB.AZSOLLTag100.Bereich,MATCH(INDEX(EB.Monate.Bereich,MONTH(Monat.Tag1)),EB.Monate.Bereich,0))*AE$11*IF(WEEKDAY(AE$10,2)&gt;5,0,1),9)</f>
        <v>0.35</v>
      </c>
      <c r="AF54" s="214" t="n">
        <f aca="false">ROUND(INDEX(EB.AZSOLLTag100.Bereich,MATCH(INDEX(EB.Monate.Bereich,MONTH(Monat.Tag1)),EB.Monate.Bereich,0))*AF$11*IF(WEEKDAY(AF$10,2)&gt;5,0,1),9)</f>
        <v>0.35</v>
      </c>
      <c r="AG54" s="168" t="str">
        <f aca="false">A54</f>
        <v>Req. hours of work 100%</v>
      </c>
      <c r="AH54" s="184"/>
      <c r="AI54" s="207" t="n">
        <f aca="false">SUM(B54:AF54)</f>
        <v>7.35</v>
      </c>
      <c r="AJ54" s="180"/>
      <c r="AK54" s="172"/>
      <c r="AL54" s="172"/>
      <c r="AM54" s="172"/>
      <c r="AN54" s="171"/>
      <c r="AO54" s="172"/>
      <c r="AP54" s="172"/>
      <c r="AQ54" s="39"/>
    </row>
    <row r="55" s="148" customFormat="true" ht="15" hidden="false" customHeight="true" outlineLevel="0" collapsed="false">
      <c r="A55" s="175" t="s">
        <v>143</v>
      </c>
      <c r="B55" s="203" t="n">
        <f aca="false">ROUND(B51-B53,9)</f>
        <v>0</v>
      </c>
      <c r="C55" s="203" t="n">
        <f aca="false">ROUND(C51-C53,9)</f>
        <v>0</v>
      </c>
      <c r="D55" s="203" t="n">
        <f aca="false">ROUND(D51-D53,9)</f>
        <v>0</v>
      </c>
      <c r="E55" s="205" t="n">
        <f aca="false">ROUND(E51-E53,9)</f>
        <v>0</v>
      </c>
      <c r="F55" s="203" t="n">
        <f aca="false">ROUND(F51-F53,9)</f>
        <v>0</v>
      </c>
      <c r="G55" s="203" t="n">
        <f aca="false">ROUND(G51-G53,9)</f>
        <v>0</v>
      </c>
      <c r="H55" s="203" t="n">
        <f aca="false">ROUND(H51-H53,9)</f>
        <v>0</v>
      </c>
      <c r="I55" s="203" t="n">
        <f aca="false">ROUND(I51-I53,9)</f>
        <v>0</v>
      </c>
      <c r="J55" s="205" t="n">
        <f aca="false">ROUND(J51-J53,9)</f>
        <v>0</v>
      </c>
      <c r="K55" s="203" t="n">
        <f aca="false">ROUND(K51-K53,9)</f>
        <v>0</v>
      </c>
      <c r="L55" s="205" t="n">
        <f aca="false">ROUND(L51-L53,9)</f>
        <v>0</v>
      </c>
      <c r="M55" s="203" t="n">
        <f aca="false">ROUND(M51-M53,9)</f>
        <v>0</v>
      </c>
      <c r="N55" s="203" t="n">
        <f aca="false">ROUND(N51-N53,9)</f>
        <v>0</v>
      </c>
      <c r="O55" s="203" t="n">
        <f aca="false">ROUND(O51-O53,9)</f>
        <v>0</v>
      </c>
      <c r="P55" s="203" t="n">
        <f aca="false">ROUND(P51-P53,9)</f>
        <v>0</v>
      </c>
      <c r="Q55" s="205" t="n">
        <f aca="false">ROUND(Q51-Q53,9)</f>
        <v>0</v>
      </c>
      <c r="R55" s="203" t="n">
        <f aca="false">ROUND(R51-R53,9)</f>
        <v>0</v>
      </c>
      <c r="S55" s="205" t="n">
        <f aca="false">ROUND(S51-S53,9)</f>
        <v>0</v>
      </c>
      <c r="T55" s="205" t="n">
        <f aca="false">ROUND(T51-T53,9)</f>
        <v>0</v>
      </c>
      <c r="U55" s="203" t="n">
        <f aca="false">ROUND(U51-U53,9)</f>
        <v>0</v>
      </c>
      <c r="V55" s="203" t="n">
        <f aca="false">ROUND(V51-V53,9)</f>
        <v>0</v>
      </c>
      <c r="W55" s="203" t="n">
        <f aca="false">ROUND(W51-W53,9)</f>
        <v>0</v>
      </c>
      <c r="X55" s="205" t="n">
        <f aca="false">ROUND(X51-X53,9)</f>
        <v>0</v>
      </c>
      <c r="Y55" s="203" t="n">
        <f aca="false">ROUND(Y51-Y53,9)</f>
        <v>0</v>
      </c>
      <c r="Z55" s="206" t="n">
        <f aca="false">ROUND(Z51-Z53,9)</f>
        <v>0</v>
      </c>
      <c r="AA55" s="203" t="n">
        <f aca="false">ROUND(AA51-AA53,9)</f>
        <v>0</v>
      </c>
      <c r="AB55" s="203" t="n">
        <f aca="false">ROUND(AB51-AB53,9)</f>
        <v>0</v>
      </c>
      <c r="AC55" s="203" t="n">
        <f aca="false">ROUND(AC51-AC53,9)</f>
        <v>0</v>
      </c>
      <c r="AD55" s="203" t="n">
        <f aca="false">ROUND(AD51-AD53,9)</f>
        <v>0</v>
      </c>
      <c r="AE55" s="205" t="n">
        <f aca="false">ROUND(AE51-AE53,9)</f>
        <v>0</v>
      </c>
      <c r="AF55" s="203" t="n">
        <f aca="false">ROUND(AF51-AF53,9)</f>
        <v>0</v>
      </c>
      <c r="AG55" s="168" t="str">
        <f aca="false">A55</f>
        <v>+/- required/actual hours daily</v>
      </c>
      <c r="AH55" s="184"/>
      <c r="AI55" s="207" t="n">
        <f aca="false">SUM(B55:AF55)</f>
        <v>0</v>
      </c>
      <c r="AJ55" s="180"/>
      <c r="AK55" s="172"/>
      <c r="AL55" s="216" t="n">
        <f aca="false">IF(EB.Anwendung&lt;&gt;"",IF(MONTH(Monat.Tag1)=1,0,IF(MONTH(Monat.Tag1)=2,Monat.Soll_Ist_UeVM,IF(MONTH(Monat.Tag1)=3,February!Monat.Soll_Ist_UeVM,IF(MONTH(Monat.Tag1)=4,March!Monat.Soll_Ist_UeVM,IF(MONTH(Monat.Tag1)=5,April!Monat.Soll_Ist_UeVM,IF(MONTH(Monat.Tag1)=6,May!Monat.Soll_Ist_UeVM,IF(MONTH(Monat.Tag1)=7,June!Monat.Soll_Ist_UeVM,IF(MONTH(Monat.Tag1)=8,July!Monat.Soll_Ist_UeVM,IF(MONTH(Monat.Tag1)=9,August!Monat.Soll_Ist_UeVM,IF(MONTH(Monat.Tag1)=10,September!Monat.Soll_Ist_UeVM,IF(MONTH(Monat.Tag1)=11,October!Monat.Soll_Ist_UeVM,IF(MONTH(Monat.Tag1)=12,November!Monat.Soll_Ist_UeVM,"")))))))))))),"")</f>
        <v>0</v>
      </c>
      <c r="AM55" s="172"/>
      <c r="AN55" s="217" t="n">
        <f aca="false">IF(AH57="+",(AI55+AI57),(AI55-AI57))</f>
        <v>0</v>
      </c>
      <c r="AO55" s="217" t="n">
        <f aca="true">SUM(OFFSET(J.AZSaldo.Total,-12,0,MONTH(Monat.Tag1),1))</f>
        <v>0</v>
      </c>
      <c r="AP55" s="217" t="n">
        <f aca="false">J.AZSaldo.Total</f>
        <v>-54.918055555</v>
      </c>
      <c r="AQ55" s="39"/>
    </row>
    <row r="56" s="148" customFormat="true" ht="15" hidden="false" customHeight="true" outlineLevel="0" collapsed="false">
      <c r="A56" s="175" t="s">
        <v>144</v>
      </c>
      <c r="B56" s="218" t="n">
        <f aca="true">IF(EB.Anwendung&lt;&gt;"",IF(DAY(B$10)=1,IF(MONTH(Monat.Tag1)=1,ROUND(EB.ÜVMMS,9), IF(MONTH(Monat.Tag1)=2,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B$10&gt;TODAY(),0,B55), IF(B$10&gt;TODAY(),A56,A56+B55)),"")</f>
        <v>0</v>
      </c>
      <c r="C56" s="218" t="n">
        <f aca="true">IF(EB.Anwendung&lt;&gt;"",IF(DAY(C$10)=1,IF(MONTH(Monat.Tag1)=1,ROUND(EB.ÜVMMS,9), IF(MONTH(Monat.Tag1)=2,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C$10&gt;TODAY(),0,C55), IF(C$10&gt;TODAY(),B56,B56+C55)),"")</f>
        <v>0</v>
      </c>
      <c r="D56" s="218" t="n">
        <f aca="true">IF(EB.Anwendung&lt;&gt;"",IF(DAY(D$10)=1,IF(MONTH(Monat.Tag1)=1,ROUND(EB.ÜVMMS,9), IF(MONTH(Monat.Tag1)=2,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D$10&gt;TODAY(),0,D55), IF(D$10&gt;TODAY(),C56,C56+D55)),"")</f>
        <v>0</v>
      </c>
      <c r="E56" s="218" t="n">
        <f aca="true">IF(EB.Anwendung&lt;&gt;"",IF(DAY(E$10)=1,IF(MONTH(Monat.Tag1)=1,ROUND(EB.ÜVMMS,9), IF(MONTH(Monat.Tag1)=2,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E$10&gt;TODAY(),0,E55), IF(E$10&gt;TODAY(),D56,D56+E55)),"")</f>
        <v>0</v>
      </c>
      <c r="F56" s="218" t="n">
        <f aca="true">IF(EB.Anwendung&lt;&gt;"",IF(DAY(F$10)=1,IF(MONTH(Monat.Tag1)=1,ROUND(EB.ÜVMMS,9), IF(MONTH(Monat.Tag1)=2,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F$10&gt;TODAY(),0,F55), IF(F$10&gt;TODAY(),E56,E56+F55)),"")</f>
        <v>0</v>
      </c>
      <c r="G56" s="218" t="n">
        <f aca="true">IF(EB.Anwendung&lt;&gt;"",IF(DAY(G$10)=1,IF(MONTH(Monat.Tag1)=1,ROUND(EB.ÜVMMS,9), IF(MONTH(Monat.Tag1)=2,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G$10&gt;TODAY(),0,G55), IF(G$10&gt;TODAY(),F56,F56+G55)),"")</f>
        <v>0</v>
      </c>
      <c r="H56" s="218" t="n">
        <f aca="true">IF(EB.Anwendung&lt;&gt;"",IF(DAY(H$10)=1,IF(MONTH(Monat.Tag1)=1,ROUND(EB.ÜVMMS,9), IF(MONTH(Monat.Tag1)=2,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H$10&gt;TODAY(),0,H55), IF(H$10&gt;TODAY(),G56,G56+H55)),"")</f>
        <v>0</v>
      </c>
      <c r="I56" s="218" t="n">
        <f aca="true">IF(EB.Anwendung&lt;&gt;"",IF(DAY(I$10)=1,IF(MONTH(Monat.Tag1)=1,ROUND(EB.ÜVMMS,9), IF(MONTH(Monat.Tag1)=2,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I$10&gt;TODAY(),0,I55), IF(I$10&gt;TODAY(),H56,H56+I55)),"")</f>
        <v>0</v>
      </c>
      <c r="J56" s="218" t="n">
        <f aca="true">IF(EB.Anwendung&lt;&gt;"",IF(DAY(J$10)=1,IF(MONTH(Monat.Tag1)=1,ROUND(EB.ÜVMMS,9), IF(MONTH(Monat.Tag1)=2,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J$10&gt;TODAY(),0,J55), IF(J$10&gt;TODAY(),I56,I56+J55)),"")</f>
        <v>0</v>
      </c>
      <c r="K56" s="218" t="n">
        <f aca="true">IF(EB.Anwendung&lt;&gt;"",IF(DAY(K$10)=1,IF(MONTH(Monat.Tag1)=1,ROUND(EB.ÜVMMS,9), IF(MONTH(Monat.Tag1)=2,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K$10&gt;TODAY(),0,K55), IF(K$10&gt;TODAY(),J56,J56+K55)),"")</f>
        <v>0</v>
      </c>
      <c r="L56" s="218" t="n">
        <f aca="true">IF(EB.Anwendung&lt;&gt;"",IF(DAY(L$10)=1,IF(MONTH(Monat.Tag1)=1,ROUND(EB.ÜVMMS,9), IF(MONTH(Monat.Tag1)=2,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L$10&gt;TODAY(),0,L55), IF(L$10&gt;TODAY(),K56,K56+L55)),"")</f>
        <v>0</v>
      </c>
      <c r="M56" s="218" t="n">
        <f aca="true">IF(EB.Anwendung&lt;&gt;"",IF(DAY(M$10)=1,IF(MONTH(Monat.Tag1)=1,ROUND(EB.ÜVMMS,9), IF(MONTH(Monat.Tag1)=2,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M$10&gt;TODAY(),0,M55), IF(M$10&gt;TODAY(),L56,L56+M55)),"")</f>
        <v>0</v>
      </c>
      <c r="N56" s="218" t="n">
        <f aca="true">IF(EB.Anwendung&lt;&gt;"",IF(DAY(N$10)=1,IF(MONTH(Monat.Tag1)=1,ROUND(EB.ÜVMMS,9), IF(MONTH(Monat.Tag1)=2,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N$10&gt;TODAY(),0,N55), IF(N$10&gt;TODAY(),M56,M56+N55)),"")</f>
        <v>0</v>
      </c>
      <c r="O56" s="218" t="n">
        <f aca="true">IF(EB.Anwendung&lt;&gt;"",IF(DAY(O$10)=1,IF(MONTH(Monat.Tag1)=1,ROUND(EB.ÜVMMS,9), IF(MONTH(Monat.Tag1)=2,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O$10&gt;TODAY(),0,O55), IF(O$10&gt;TODAY(),N56,N56+O55)),"")</f>
        <v>0</v>
      </c>
      <c r="P56" s="218" t="n">
        <f aca="true">IF(EB.Anwendung&lt;&gt;"",IF(DAY(P$10)=1,IF(MONTH(Monat.Tag1)=1,ROUND(EB.ÜVMMS,9), IF(MONTH(Monat.Tag1)=2,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P$10&gt;TODAY(),0,P55), IF(P$10&gt;TODAY(),O56,O56+P55)),"")</f>
        <v>0</v>
      </c>
      <c r="Q56" s="218" t="n">
        <f aca="true">IF(EB.Anwendung&lt;&gt;"",IF(DAY(Q$10)=1,IF(MONTH(Monat.Tag1)=1,ROUND(EB.ÜVMMS,9), IF(MONTH(Monat.Tag1)=2,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Q$10&gt;TODAY(),0,Q55), IF(Q$10&gt;TODAY(),P56,P56+Q55)),"")</f>
        <v>0</v>
      </c>
      <c r="R56" s="218" t="n">
        <f aca="true">IF(EB.Anwendung&lt;&gt;"",IF(DAY(R$10)=1,IF(MONTH(Monat.Tag1)=1,ROUND(EB.ÜVMMS,9), IF(MONTH(Monat.Tag1)=2,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R$10&gt;TODAY(),0,R55), IF(R$10&gt;TODAY(),Q56,Q56+R55)),"")</f>
        <v>0</v>
      </c>
      <c r="S56" s="218" t="n">
        <f aca="true">IF(EB.Anwendung&lt;&gt;"",IF(DAY(S$10)=1,IF(MONTH(Monat.Tag1)=1,ROUND(EB.ÜVMMS,9), IF(MONTH(Monat.Tag1)=2,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S$10&gt;TODAY(),0,S55), IF(S$10&gt;TODAY(),R56,R56+S55)),"")</f>
        <v>0</v>
      </c>
      <c r="T56" s="218" t="n">
        <f aca="true">IF(EB.Anwendung&lt;&gt;"",IF(DAY(T$10)=1,IF(MONTH(Monat.Tag1)=1,ROUND(EB.ÜVMMS,9), IF(MONTH(Monat.Tag1)=2,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T$10&gt;TODAY(),0,T55), IF(T$10&gt;TODAY(),S56,S56+T55)),"")</f>
        <v>0</v>
      </c>
      <c r="U56" s="218" t="n">
        <f aca="true">IF(EB.Anwendung&lt;&gt;"",IF(DAY(U$10)=1,IF(MONTH(Monat.Tag1)=1,ROUND(EB.ÜVMMS,9), IF(MONTH(Monat.Tag1)=2,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U$10&gt;TODAY(),0,U55), IF(U$10&gt;TODAY(),T56,T56+U55)),"")</f>
        <v>0</v>
      </c>
      <c r="V56" s="218" t="n">
        <f aca="true">IF(EB.Anwendung&lt;&gt;"",IF(DAY(V$10)=1,IF(MONTH(Monat.Tag1)=1,ROUND(EB.ÜVMMS,9), IF(MONTH(Monat.Tag1)=2,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V$10&gt;TODAY(),0,V55), IF(V$10&gt;TODAY(),U56,U56+V55)),"")</f>
        <v>0</v>
      </c>
      <c r="W56" s="218" t="n">
        <f aca="true">IF(EB.Anwendung&lt;&gt;"",IF(DAY(W$10)=1,IF(MONTH(Monat.Tag1)=1,ROUND(EB.ÜVMMS,9), IF(MONTH(Monat.Tag1)=2,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W$10&gt;TODAY(),0,W55), IF(W$10&gt;TODAY(),V56,V56+W55)),"")</f>
        <v>0</v>
      </c>
      <c r="X56" s="218" t="n">
        <f aca="true">IF(EB.Anwendung&lt;&gt;"",IF(DAY(X$10)=1,IF(MONTH(Monat.Tag1)=1,ROUND(EB.ÜVMMS,9), IF(MONTH(Monat.Tag1)=2,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X$10&gt;TODAY(),0,X55), IF(X$10&gt;TODAY(),W56,W56+X55)),"")</f>
        <v>0</v>
      </c>
      <c r="Y56" s="218" t="n">
        <f aca="true">IF(EB.Anwendung&lt;&gt;"",IF(DAY(Y$10)=1,IF(MONTH(Monat.Tag1)=1,ROUND(EB.ÜVMMS,9), IF(MONTH(Monat.Tag1)=2,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Y$10&gt;TODAY(),0,Y55), IF(Y$10&gt;TODAY(),X56,X56+Y55)),"")</f>
        <v>0</v>
      </c>
      <c r="Z56" s="218" t="n">
        <f aca="true">IF(EB.Anwendung&lt;&gt;"",IF(DAY(Z$10)=1,IF(MONTH(Monat.Tag1)=1,ROUND(EB.ÜVMMS,9), IF(MONTH(Monat.Tag1)=2,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Z$10&gt;TODAY(),0,Z55), IF(Z$10&gt;TODAY(),Y56,Y56+Z55)),"")</f>
        <v>0</v>
      </c>
      <c r="AA56" s="218" t="n">
        <f aca="true">IF(EB.Anwendung&lt;&gt;"",IF(DAY(AA$10)=1,IF(MONTH(Monat.Tag1)=1,ROUND(EB.ÜVMMS,9), IF(MONTH(Monat.Tag1)=2,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AA$10&gt;TODAY(),0,AA55), IF(AA$10&gt;TODAY(),Z56,Z56+AA55)),"")</f>
        <v>0</v>
      </c>
      <c r="AB56" s="218" t="n">
        <f aca="true">IF(EB.Anwendung&lt;&gt;"",IF(DAY(AB$10)=1,IF(MONTH(Monat.Tag1)=1,ROUND(EB.ÜVMMS,9), IF(MONTH(Monat.Tag1)=2,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AB$10&gt;TODAY(),0,AB55), IF(AB$10&gt;TODAY(),AA56,AA56+AB55)),"")</f>
        <v>0</v>
      </c>
      <c r="AC56" s="218" t="n">
        <f aca="true">IF(EB.Anwendung&lt;&gt;"",IF(DAY(AC$10)=1,IF(MONTH(Monat.Tag1)=1,ROUND(EB.ÜVMMS,9), IF(MONTH(Monat.Tag1)=2,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AC$10&gt;TODAY(),0,AC55), IF(AC$10&gt;TODAY(),AB56,AB56+AC55)),"")</f>
        <v>0</v>
      </c>
      <c r="AD56" s="218" t="n">
        <f aca="true">IF(EB.Anwendung&lt;&gt;"",IF(DAY(AD$10)=1,IF(MONTH(Monat.Tag1)=1,ROUND(EB.ÜVMMS,9), IF(MONTH(Monat.Tag1)=2,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AD$10&gt;TODAY(),0,AD55), IF(AD$10&gt;TODAY(),AC56,AC56+AD55)),"")</f>
        <v>0</v>
      </c>
      <c r="AE56" s="218" t="n">
        <f aca="true">IF(EB.Anwendung&lt;&gt;"",IF(DAY(AE$10)=1,IF(MONTH(Monat.Tag1)=1,ROUND(EB.ÜVMMS,9), IF(MONTH(Monat.Tag1)=2,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AE$10&gt;TODAY(),0,AE55), IF(AE$10&gt;TODAY(),AD56,AD56+AE55)),"")</f>
        <v>0</v>
      </c>
      <c r="AF56" s="218" t="n">
        <f aca="true">IF(EB.Anwendung&lt;&gt;"",IF(DAY(AF$10)=1,IF(MONTH(Monat.Tag1)=1,ROUND(EB.ÜVMMS,9), IF(MONTH(Monat.Tag1)=2,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AF$10&gt;TODAY(),0,AF55), IF(AF$10&gt;TODAY(),AE56,AE56+AF55)),"")</f>
        <v>0</v>
      </c>
      <c r="AG56" s="168" t="str">
        <f aca="false">A56</f>
        <v>current extra/minus hours</v>
      </c>
      <c r="AH56" s="184"/>
      <c r="AI56" s="207" t="n">
        <f aca="true">OFFSET(B56,0,DAY(EOMONTH(Monat.Tag1,0))-1,1,1)</f>
        <v>0</v>
      </c>
      <c r="AJ56" s="180"/>
      <c r="AK56" s="172"/>
      <c r="AL56" s="172"/>
      <c r="AM56" s="172"/>
      <c r="AN56" s="171"/>
      <c r="AO56" s="172"/>
      <c r="AP56" s="172"/>
      <c r="AQ56" s="39"/>
    </row>
    <row r="57" s="231" customFormat="true" ht="15" hidden="false" customHeight="true" outlineLevel="1" collapsed="false">
      <c r="A57" s="219"/>
      <c r="B57" s="220"/>
      <c r="C57" s="220"/>
      <c r="D57" s="220"/>
      <c r="E57" s="152"/>
      <c r="F57" s="220"/>
      <c r="G57" s="220"/>
      <c r="H57" s="221"/>
      <c r="I57" s="220"/>
      <c r="J57" s="222"/>
      <c r="K57" s="220"/>
      <c r="L57" s="223"/>
      <c r="M57" s="220"/>
      <c r="N57" s="220"/>
      <c r="O57" s="221"/>
      <c r="P57" s="220"/>
      <c r="Q57" s="152"/>
      <c r="R57" s="220"/>
      <c r="S57" s="223"/>
      <c r="T57" s="220"/>
      <c r="U57" s="220"/>
      <c r="V57" s="221"/>
      <c r="W57" s="220"/>
      <c r="X57" s="224"/>
      <c r="Y57" s="220"/>
      <c r="Z57" s="152"/>
      <c r="AA57" s="220"/>
      <c r="AB57" s="220"/>
      <c r="AC57" s="221"/>
      <c r="AD57" s="220"/>
      <c r="AE57" s="152"/>
      <c r="AF57" s="225"/>
      <c r="AG57" s="175" t="s">
        <v>145</v>
      </c>
      <c r="AH57" s="226" t="s">
        <v>146</v>
      </c>
      <c r="AI57" s="227"/>
      <c r="AJ57" s="228"/>
      <c r="AK57" s="229"/>
      <c r="AL57" s="172"/>
      <c r="AM57" s="172"/>
      <c r="AN57" s="171"/>
      <c r="AO57" s="230"/>
      <c r="AP57" s="230"/>
      <c r="AQ57" s="96"/>
    </row>
    <row r="58" s="236" customFormat="true" ht="15" hidden="false" customHeight="true" outlineLevel="0" collapsed="false">
      <c r="A58" s="232"/>
      <c r="B58" s="223"/>
      <c r="C58" s="223"/>
      <c r="D58" s="223"/>
      <c r="E58" s="152"/>
      <c r="F58" s="223"/>
      <c r="G58" s="223"/>
      <c r="H58" s="223"/>
      <c r="I58" s="223"/>
      <c r="J58" s="152"/>
      <c r="K58" s="223"/>
      <c r="L58" s="223"/>
      <c r="M58" s="223"/>
      <c r="N58" s="223"/>
      <c r="O58" s="223"/>
      <c r="P58" s="223"/>
      <c r="Q58" s="152"/>
      <c r="R58" s="223"/>
      <c r="S58" s="223"/>
      <c r="T58" s="223"/>
      <c r="U58" s="223"/>
      <c r="V58" s="223"/>
      <c r="W58" s="223"/>
      <c r="X58" s="224"/>
      <c r="Y58" s="223"/>
      <c r="Z58" s="152"/>
      <c r="AA58" s="223"/>
      <c r="AB58" s="223"/>
      <c r="AC58" s="223"/>
      <c r="AD58" s="223"/>
      <c r="AE58" s="152"/>
      <c r="AF58" s="233"/>
      <c r="AG58" s="234" t="s">
        <v>147</v>
      </c>
      <c r="AH58" s="184"/>
      <c r="AI58" s="207" t="n">
        <f aca="false">IF(AH57="+",(Monat.ZUeZ.Total+AI57),(Monat.ZUeZ.Total-AI57))</f>
        <v>0</v>
      </c>
      <c r="AJ58" s="33"/>
      <c r="AK58" s="235"/>
      <c r="AL58" s="216" t="n">
        <f aca="false">IF(EB.Anwendung&lt;&gt;"",IF(MONTH(Monat.Tag1)=1,EB.MMS,IF(MONTH(Monat.Tag1)=2,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,"")</f>
        <v>0</v>
      </c>
      <c r="AM58" s="172"/>
      <c r="AN58" s="217" t="n">
        <f aca="false">AI58</f>
        <v>0</v>
      </c>
      <c r="AO58" s="172"/>
      <c r="AP58" s="172"/>
      <c r="AQ58" s="51"/>
    </row>
    <row r="59" s="148" customFormat="true" ht="11.25" hidden="false" customHeight="true" outlineLevel="0" collapsed="false">
      <c r="A59" s="186"/>
      <c r="B59" s="187"/>
      <c r="C59" s="187"/>
      <c r="D59" s="187"/>
      <c r="E59" s="187"/>
      <c r="F59" s="187"/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  <c r="U59" s="187"/>
      <c r="V59" s="187"/>
      <c r="W59" s="187"/>
      <c r="X59" s="187"/>
      <c r="Y59" s="187"/>
      <c r="Z59" s="187"/>
      <c r="AA59" s="187"/>
      <c r="AB59" s="187"/>
      <c r="AC59" s="187"/>
      <c r="AD59" s="187"/>
      <c r="AE59" s="187"/>
      <c r="AF59" s="188"/>
      <c r="AG59" s="168"/>
      <c r="AH59" s="146"/>
      <c r="AI59" s="179"/>
      <c r="AJ59" s="180"/>
      <c r="AK59" s="172"/>
      <c r="AL59" s="172"/>
      <c r="AM59" s="172"/>
      <c r="AN59" s="171"/>
      <c r="AO59" s="172"/>
      <c r="AP59" s="172"/>
      <c r="AQ59" s="39"/>
    </row>
    <row r="60" s="148" customFormat="true" ht="15" hidden="false" customHeight="true" outlineLevel="0" collapsed="false">
      <c r="A60" s="175" t="s">
        <v>148</v>
      </c>
      <c r="B60" s="237" t="str">
        <f aca="true">IF(EB.Wochenarbeitszeit=50/24,IF(T.50_Vetsuisse,IF(WEEKDAY(B$10,2)=7,MAX(0,SUM(OFFSET(B51,0,-MIN(6,DAY(B$10)-1),1,MIN(7,DAY(B$10))))+IF(AND(MONTH(Monat.Tag1)&lt;&gt;1,DAY(B$10)&lt;7), IF(MONTH(Monat.Tag1)=2,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-1/24*50),""),""),IF(B45=0,"",B45))</f>
        <v/>
      </c>
      <c r="C60" s="237" t="str">
        <f aca="true">IF(EB.Wochenarbeitszeit=50/24,IF(T.50_Vetsuisse,IF(WEEKDAY(C$10,2)=7,MAX(0,SUM(OFFSET(C51,0,-MIN(6,DAY(C$10)-1),1,MIN(7,DAY(C$10))))+IF(AND(MONTH(Monat.Tag1)&lt;&gt;1,DAY(C$10)&lt;7), IF(MONTH(Monat.Tag1)=2,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-1/24*50),""),""),IF(C45=0,"",C45))</f>
        <v/>
      </c>
      <c r="D60" s="237" t="str">
        <f aca="true">IF(EB.Wochenarbeitszeit=50/24,IF(T.50_Vetsuisse,IF(WEEKDAY(D$10,2)=7,MAX(0,SUM(OFFSET(D51,0,-MIN(6,DAY(D$10)-1),1,MIN(7,DAY(D$10))))+IF(AND(MONTH(Monat.Tag1)&lt;&gt;1,DAY(D$10)&lt;7), IF(MONTH(Monat.Tag1)=2,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-1/24*50),""),""),IF(D45=0,"",D45))</f>
        <v/>
      </c>
      <c r="E60" s="238" t="str">
        <f aca="true">IF(EB.Wochenarbeitszeit=50/24,IF(T.50_Vetsuisse,IF(WEEKDAY(E$10,2)=7,MAX(0,SUM(OFFSET(E51,0,-MIN(6,DAY(E$10)-1),1,MIN(7,DAY(E$10))))+IF(AND(MONTH(Monat.Tag1)&lt;&gt;1,DAY(E$10)&lt;7), IF(MONTH(Monat.Tag1)=2,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-1/24*50),""),""),IF(E45=0,"",E45))</f>
        <v/>
      </c>
      <c r="F60" s="237" t="str">
        <f aca="true">IF(EB.Wochenarbeitszeit=50/24,IF(T.50_Vetsuisse,IF(WEEKDAY(F$10,2)=7,MAX(0,SUM(OFFSET(F51,0,-MIN(6,DAY(F$10)-1),1,MIN(7,DAY(F$10))))+IF(AND(MONTH(Monat.Tag1)&lt;&gt;1,DAY(F$10)&lt;7), IF(MONTH(Monat.Tag1)=2,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-1/24*50),""),""),IF(F45=0,"",F45))</f>
        <v/>
      </c>
      <c r="G60" s="237" t="str">
        <f aca="true">IF(EB.Wochenarbeitszeit=50/24,IF(T.50_Vetsuisse,IF(WEEKDAY(G$10,2)=7,MAX(0,SUM(OFFSET(G51,0,-MIN(6,DAY(G$10)-1),1,MIN(7,DAY(G$10))))+IF(AND(MONTH(Monat.Tag1)&lt;&gt;1,DAY(G$10)&lt;7), IF(MONTH(Monat.Tag1)=2,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-1/24*50),""),""),IF(G45=0,"",G45))</f>
        <v/>
      </c>
      <c r="H60" s="237" t="str">
        <f aca="true">IF(EB.Wochenarbeitszeit=50/24,IF(T.50_Vetsuisse,IF(WEEKDAY(H$10,2)=7,MAX(0,SUM(OFFSET(H51,0,-MIN(6,DAY(H$10)-1),1,MIN(7,DAY(H$10))))+IF(AND(MONTH(Monat.Tag1)&lt;&gt;1,DAY(H$10)&lt;7), IF(MONTH(Monat.Tag1)=2,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-1/24*50),""),""),IF(H45=0,"",H45))</f>
        <v/>
      </c>
      <c r="I60" s="237" t="str">
        <f aca="true">IF(EB.Wochenarbeitszeit=50/24,IF(T.50_Vetsuisse,IF(WEEKDAY(I$10,2)=7,MAX(0,SUM(OFFSET(I51,0,-MIN(6,DAY(I$10)-1),1,MIN(7,DAY(I$10))))+IF(AND(MONTH(Monat.Tag1)&lt;&gt;1,DAY(I$10)&lt;7), IF(MONTH(Monat.Tag1)=2,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-1/24*50),""),""),IF(I45=0,"",I45))</f>
        <v/>
      </c>
      <c r="J60" s="238" t="str">
        <f aca="true">IF(EB.Wochenarbeitszeit=50/24,IF(T.50_Vetsuisse,IF(WEEKDAY(J$10,2)=7,MAX(0,SUM(OFFSET(J51,0,-MIN(6,DAY(J$10)-1),1,MIN(7,DAY(J$10))))+IF(AND(MONTH(Monat.Tag1)&lt;&gt;1,DAY(J$10)&lt;7), IF(MONTH(Monat.Tag1)=2,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-1/24*50),""),""),IF(J45=0,"",J45))</f>
        <v/>
      </c>
      <c r="K60" s="237" t="str">
        <f aca="true">IF(EB.Wochenarbeitszeit=50/24,IF(T.50_Vetsuisse,IF(WEEKDAY(K$10,2)=7,MAX(0,SUM(OFFSET(K51,0,-MIN(6,DAY(K$10)-1),1,MIN(7,DAY(K$10))))+IF(AND(MONTH(Monat.Tag1)&lt;&gt;1,DAY(K$10)&lt;7), IF(MONTH(Monat.Tag1)=2,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-1/24*50),""),""),IF(K45=0,"",K45))</f>
        <v/>
      </c>
      <c r="L60" s="238" t="str">
        <f aca="true">IF(EB.Wochenarbeitszeit=50/24,IF(T.50_Vetsuisse,IF(WEEKDAY(L$10,2)=7,MAX(0,SUM(OFFSET(L51,0,-MIN(6,DAY(L$10)-1),1,MIN(7,DAY(L$10))))+IF(AND(MONTH(Monat.Tag1)&lt;&gt;1,DAY(L$10)&lt;7), IF(MONTH(Monat.Tag1)=2,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-1/24*50),""),""),IF(L45=0,"",L45))</f>
        <v/>
      </c>
      <c r="M60" s="237" t="str">
        <f aca="true">IF(EB.Wochenarbeitszeit=50/24,IF(T.50_Vetsuisse,IF(WEEKDAY(M$10,2)=7,MAX(0,SUM(OFFSET(M51,0,-MIN(6,DAY(M$10)-1),1,MIN(7,DAY(M$10))))+IF(AND(MONTH(Monat.Tag1)&lt;&gt;1,DAY(M$10)&lt;7), IF(MONTH(Monat.Tag1)=2,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-1/24*50),""),""),IF(M45=0,"",M45))</f>
        <v/>
      </c>
      <c r="N60" s="237" t="str">
        <f aca="true">IF(EB.Wochenarbeitszeit=50/24,IF(T.50_Vetsuisse,IF(WEEKDAY(N$10,2)=7,MAX(0,SUM(OFFSET(N51,0,-MIN(6,DAY(N$10)-1),1,MIN(7,DAY(N$10))))+IF(AND(MONTH(Monat.Tag1)&lt;&gt;1,DAY(N$10)&lt;7), IF(MONTH(Monat.Tag1)=2,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-1/24*50),""),""),IF(N45=0,"",N45))</f>
        <v/>
      </c>
      <c r="O60" s="237" t="str">
        <f aca="true">IF(EB.Wochenarbeitszeit=50/24,IF(T.50_Vetsuisse,IF(WEEKDAY(O$10,2)=7,MAX(0,SUM(OFFSET(O51,0,-MIN(6,DAY(O$10)-1),1,MIN(7,DAY(O$10))))+IF(AND(MONTH(Monat.Tag1)&lt;&gt;1,DAY(O$10)&lt;7), IF(MONTH(Monat.Tag1)=2,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-1/24*50),""),""),IF(O45=0,"",O45))</f>
        <v/>
      </c>
      <c r="P60" s="237" t="str">
        <f aca="true">IF(EB.Wochenarbeitszeit=50/24,IF(T.50_Vetsuisse,IF(WEEKDAY(P$10,2)=7,MAX(0,SUM(OFFSET(P51,0,-MIN(6,DAY(P$10)-1),1,MIN(7,DAY(P$10))))+IF(AND(MONTH(Monat.Tag1)&lt;&gt;1,DAY(P$10)&lt;7), IF(MONTH(Monat.Tag1)=2,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-1/24*50),""),""),IF(P45=0,"",P45))</f>
        <v/>
      </c>
      <c r="Q60" s="238" t="str">
        <f aca="true">IF(EB.Wochenarbeitszeit=50/24,IF(T.50_Vetsuisse,IF(WEEKDAY(Q$10,2)=7,MAX(0,SUM(OFFSET(Q51,0,-MIN(6,DAY(Q$10)-1),1,MIN(7,DAY(Q$10))))+IF(AND(MONTH(Monat.Tag1)&lt;&gt;1,DAY(Q$10)&lt;7), IF(MONTH(Monat.Tag1)=2,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-1/24*50),""),""),IF(Q45=0,"",Q45))</f>
        <v/>
      </c>
      <c r="R60" s="237" t="str">
        <f aca="true">IF(EB.Wochenarbeitszeit=50/24,IF(T.50_Vetsuisse,IF(WEEKDAY(R$10,2)=7,MAX(0,SUM(OFFSET(R51,0,-MIN(6,DAY(R$10)-1),1,MIN(7,DAY(R$10))))+IF(AND(MONTH(Monat.Tag1)&lt;&gt;1,DAY(R$10)&lt;7), IF(MONTH(Monat.Tag1)=2,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-1/24*50),""),""),IF(R45=0,"",R45))</f>
        <v/>
      </c>
      <c r="S60" s="238" t="str">
        <f aca="true">IF(EB.Wochenarbeitszeit=50/24,IF(T.50_Vetsuisse,IF(WEEKDAY(S$10,2)=7,MAX(0,SUM(OFFSET(S51,0,-MIN(6,DAY(S$10)-1),1,MIN(7,DAY(S$10))))+IF(AND(MONTH(Monat.Tag1)&lt;&gt;1,DAY(S$10)&lt;7), IF(MONTH(Monat.Tag1)=2,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-1/24*50),""),""),IF(S45=0,"",S45))</f>
        <v/>
      </c>
      <c r="T60" s="238" t="str">
        <f aca="true">IF(EB.Wochenarbeitszeit=50/24,IF(T.50_Vetsuisse,IF(WEEKDAY(T$10,2)=7,MAX(0,SUM(OFFSET(T51,0,-MIN(6,DAY(T$10)-1),1,MIN(7,DAY(T$10))))+IF(AND(MONTH(Monat.Tag1)&lt;&gt;1,DAY(T$10)&lt;7), IF(MONTH(Monat.Tag1)=2,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-1/24*50),""),""),IF(T45=0,"",T45))</f>
        <v/>
      </c>
      <c r="U60" s="237" t="str">
        <f aca="true">IF(EB.Wochenarbeitszeit=50/24,IF(T.50_Vetsuisse,IF(WEEKDAY(U$10,2)=7,MAX(0,SUM(OFFSET(U51,0,-MIN(6,DAY(U$10)-1),1,MIN(7,DAY(U$10))))+IF(AND(MONTH(Monat.Tag1)&lt;&gt;1,DAY(U$10)&lt;7), IF(MONTH(Monat.Tag1)=2,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-1/24*50),""),""),IF(U45=0,"",U45))</f>
        <v/>
      </c>
      <c r="V60" s="237" t="str">
        <f aca="true">IF(EB.Wochenarbeitszeit=50/24,IF(T.50_Vetsuisse,IF(WEEKDAY(V$10,2)=7,MAX(0,SUM(OFFSET(V51,0,-MIN(6,DAY(V$10)-1),1,MIN(7,DAY(V$10))))+IF(AND(MONTH(Monat.Tag1)&lt;&gt;1,DAY(V$10)&lt;7), IF(MONTH(Monat.Tag1)=2,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-1/24*50),""),""),IF(V45=0,"",V45))</f>
        <v/>
      </c>
      <c r="W60" s="237" t="str">
        <f aca="true">IF(EB.Wochenarbeitszeit=50/24,IF(T.50_Vetsuisse,IF(WEEKDAY(W$10,2)=7,MAX(0,SUM(OFFSET(W51,0,-MIN(6,DAY(W$10)-1),1,MIN(7,DAY(W$10))))+IF(AND(MONTH(Monat.Tag1)&lt;&gt;1,DAY(W$10)&lt;7), IF(MONTH(Monat.Tag1)=2,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-1/24*50),""),""),IF(W45=0,"",W45))</f>
        <v/>
      </c>
      <c r="X60" s="238" t="str">
        <f aca="true">IF(EB.Wochenarbeitszeit=50/24,IF(T.50_Vetsuisse,IF(WEEKDAY(X$10,2)=7,MAX(0,SUM(OFFSET(X51,0,-MIN(6,DAY(X$10)-1),1,MIN(7,DAY(X$10))))+IF(AND(MONTH(Monat.Tag1)&lt;&gt;1,DAY(X$10)&lt;7), IF(MONTH(Monat.Tag1)=2,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-1/24*50),""),""),IF(X45=0,"",X45))</f>
        <v/>
      </c>
      <c r="Y60" s="237" t="str">
        <f aca="true">IF(EB.Wochenarbeitszeit=50/24,IF(T.50_Vetsuisse,IF(WEEKDAY(Y$10,2)=7,MAX(0,SUM(OFFSET(Y51,0,-MIN(6,DAY(Y$10)-1),1,MIN(7,DAY(Y$10))))+IF(AND(MONTH(Monat.Tag1)&lt;&gt;1,DAY(Y$10)&lt;7), IF(MONTH(Monat.Tag1)=2,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-1/24*50),""),""),IF(Y45=0,"",Y45))</f>
        <v/>
      </c>
      <c r="Z60" s="239" t="str">
        <f aca="true">IF(EB.Wochenarbeitszeit=50/24,IF(T.50_Vetsuisse,IF(WEEKDAY(Z$10,2)=7,MAX(0,SUM(OFFSET(Z51,0,-MIN(6,DAY(Z$10)-1),1,MIN(7,DAY(Z$10))))+IF(AND(MONTH(Monat.Tag1)&lt;&gt;1,DAY(Z$10)&lt;7), IF(MONTH(Monat.Tag1)=2,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-1/24*50),""),""),IF(Z45=0,"",Z45))</f>
        <v/>
      </c>
      <c r="AA60" s="237" t="str">
        <f aca="true">IF(EB.Wochenarbeitszeit=50/24,IF(T.50_Vetsuisse,IF(WEEKDAY(AA$10,2)=7,MAX(0,SUM(OFFSET(AA51,0,-MIN(6,DAY(AA$10)-1),1,MIN(7,DAY(AA$10))))+IF(AND(MONTH(Monat.Tag1)&lt;&gt;1,DAY(AA$10)&lt;7), IF(MONTH(Monat.Tag1)=2,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-1/24*50),""),""),IF(AA45=0,"",AA45))</f>
        <v/>
      </c>
      <c r="AB60" s="237" t="str">
        <f aca="true">IF(EB.Wochenarbeitszeit=50/24,IF(T.50_Vetsuisse,IF(WEEKDAY(AB$10,2)=7,MAX(0,SUM(OFFSET(AB51,0,-MIN(6,DAY(AB$10)-1),1,MIN(7,DAY(AB$10))))+IF(AND(MONTH(Monat.Tag1)&lt;&gt;1,DAY(AB$10)&lt;7), IF(MONTH(Monat.Tag1)=2,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-1/24*50),""),""),IF(AB45=0,"",AB45))</f>
        <v/>
      </c>
      <c r="AC60" s="237" t="str">
        <f aca="true">IF(EB.Wochenarbeitszeit=50/24,IF(T.50_Vetsuisse,IF(WEEKDAY(AC$10,2)=7,MAX(0,SUM(OFFSET(AC51,0,-MIN(6,DAY(AC$10)-1),1,MIN(7,DAY(AC$10))))+IF(AND(MONTH(Monat.Tag1)&lt;&gt;1,DAY(AC$10)&lt;7), IF(MONTH(Monat.Tag1)=2,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-1/24*50),""),""),IF(AC45=0,"",AC45))</f>
        <v/>
      </c>
      <c r="AD60" s="237" t="str">
        <f aca="true">IF(EB.Wochenarbeitszeit=50/24,IF(T.50_Vetsuisse,IF(WEEKDAY(AD$10,2)=7,MAX(0,SUM(OFFSET(AD51,0,-MIN(6,DAY(AD$10)-1),1,MIN(7,DAY(AD$10))))+IF(AND(MONTH(Monat.Tag1)&lt;&gt;1,DAY(AD$10)&lt;7), IF(MONTH(Monat.Tag1)=2,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-1/24*50),""),""),IF(AD45=0,"",AD45))</f>
        <v/>
      </c>
      <c r="AE60" s="238" t="str">
        <f aca="true">IF(EB.Wochenarbeitszeit=50/24,IF(T.50_Vetsuisse,IF(WEEKDAY(AE$10,2)=7,MAX(0,SUM(OFFSET(AE51,0,-MIN(6,DAY(AE$10)-1),1,MIN(7,DAY(AE$10))))+IF(AND(MONTH(Monat.Tag1)&lt;&gt;1,DAY(AE$10)&lt;7), IF(MONTH(Monat.Tag1)=2,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-1/24*50),""),""),IF(AE45=0,"",AE45))</f>
        <v/>
      </c>
      <c r="AF60" s="237" t="str">
        <f aca="true">IF(EB.Wochenarbeitszeit=50/24,IF(T.50_Vetsuisse,IF(WEEKDAY(AF$10,2)=7,MAX(0,SUM(OFFSET(AF51,0,-MIN(6,DAY(AF$10)-1),1,MIN(7,DAY(AF$10))))+IF(AND(MONTH(Monat.Tag1)&lt;&gt;1,DAY(AF$10)&lt;7), IF(MONTH(Monat.Tag1)=2,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-1/24*50),""),""),IF(AF45=0,"",AF45))</f>
        <v/>
      </c>
      <c r="AG60" s="168" t="str">
        <f aca="false">A60</f>
        <v>Ordered overtime</v>
      </c>
      <c r="AH60" s="184"/>
      <c r="AI60" s="207" t="n">
        <f aca="false">SUM(B60:AF60)</f>
        <v>0</v>
      </c>
      <c r="AJ60" s="180"/>
      <c r="AK60" s="172"/>
      <c r="AL60" s="216" t="n">
        <f aca="false">IF(EB.Anwendung&lt;&gt;"",IF(MONTH(Monat.Tag1)=1,0,IF(MONTH(Monat.Tag1)=2,Monat.AnUeZUeVM,IF(MONTH(Monat.Tag1)=3,February!Monat.AnUeZUeVM,IF(MONTH(Monat.Tag1)=4,March!Monat.AnUeZUeVM,IF(MONTH(Monat.Tag1)=5,April!Monat.AnUeZUeVM,IF(MONTH(Monat.Tag1)=6,May!Monat.AnUeZUeVM,IF(MONTH(Monat.Tag1)=7,June!Monat.AnUeZUeVM,IF(MONTH(Monat.Tag1)=8,July!Monat.AnUeZUeVM,IF(MONTH(Monat.Tag1)=9,August!Monat.AnUeZUeVM,IF(MONTH(Monat.Tag1)=10,September!Monat.AnUeZUeVM,IF(MONTH(Monat.Tag1)=11,October!Monat.AnUeZUeVM,IF(MONTH(Monat.Tag1)=12,November!Monat.AnUeZUeVM,"")))))))))))),"")</f>
        <v>0</v>
      </c>
      <c r="AM60" s="172"/>
      <c r="AN60" s="217" t="n">
        <f aca="false">AI60+AL60</f>
        <v>0</v>
      </c>
      <c r="AO60" s="217" t="n">
        <f aca="true">SUM(OFFSET(Jahr.AngÜZ,-12,0,MONTH(Monat.Tag1),1))</f>
        <v>0</v>
      </c>
      <c r="AP60" s="217" t="n">
        <f aca="false">Jahr.AngÜZ</f>
        <v>0</v>
      </c>
      <c r="AQ60" s="39"/>
    </row>
    <row r="61" s="148" customFormat="true" ht="15" hidden="false" customHeight="true" outlineLevel="0" collapsed="false">
      <c r="A61" s="175" t="s">
        <v>149</v>
      </c>
      <c r="B61" s="177"/>
      <c r="C61" s="177"/>
      <c r="D61" s="177"/>
      <c r="E61" s="177"/>
      <c r="F61" s="177"/>
      <c r="G61" s="177"/>
      <c r="H61" s="177"/>
      <c r="I61" s="177"/>
      <c r="J61" s="177"/>
      <c r="K61" s="177"/>
      <c r="L61" s="177"/>
      <c r="M61" s="177"/>
      <c r="N61" s="177"/>
      <c r="O61" s="177"/>
      <c r="P61" s="177"/>
      <c r="Q61" s="177"/>
      <c r="R61" s="177"/>
      <c r="S61" s="177"/>
      <c r="T61" s="177"/>
      <c r="U61" s="177"/>
      <c r="V61" s="177"/>
      <c r="W61" s="177"/>
      <c r="X61" s="177"/>
      <c r="Y61" s="177"/>
      <c r="Z61" s="178"/>
      <c r="AA61" s="177"/>
      <c r="AB61" s="177"/>
      <c r="AC61" s="177"/>
      <c r="AD61" s="177"/>
      <c r="AE61" s="177"/>
      <c r="AF61" s="177"/>
      <c r="AG61" s="168" t="str">
        <f aca="false">A61</f>
        <v>Compensation overtime</v>
      </c>
      <c r="AH61" s="184"/>
      <c r="AI61" s="207" t="n">
        <f aca="false">SUM(B61:AF61)</f>
        <v>0</v>
      </c>
      <c r="AJ61" s="180"/>
      <c r="AK61" s="172"/>
      <c r="AL61" s="172"/>
      <c r="AM61" s="172"/>
      <c r="AN61" s="171"/>
      <c r="AO61" s="172"/>
      <c r="AP61" s="172"/>
      <c r="AQ61" s="39"/>
    </row>
    <row r="62" s="231" customFormat="true" ht="15" hidden="true" customHeight="true" outlineLevel="1" collapsed="false">
      <c r="A62" s="219"/>
      <c r="B62" s="224"/>
      <c r="C62" s="224"/>
      <c r="D62" s="224"/>
      <c r="E62" s="152"/>
      <c r="F62" s="224"/>
      <c r="G62" s="224"/>
      <c r="H62" s="224"/>
      <c r="I62" s="224"/>
      <c r="J62" s="222"/>
      <c r="K62" s="224"/>
      <c r="L62" s="223"/>
      <c r="M62" s="224"/>
      <c r="N62" s="224"/>
      <c r="O62" s="224"/>
      <c r="P62" s="224"/>
      <c r="Q62" s="152"/>
      <c r="R62" s="224"/>
      <c r="S62" s="223"/>
      <c r="T62" s="224"/>
      <c r="U62" s="224"/>
      <c r="V62" s="224"/>
      <c r="W62" s="224"/>
      <c r="X62" s="224"/>
      <c r="Y62" s="224"/>
      <c r="Z62" s="152"/>
      <c r="AA62" s="224"/>
      <c r="AB62" s="224"/>
      <c r="AC62" s="224"/>
      <c r="AD62" s="224"/>
      <c r="AE62" s="152"/>
      <c r="AF62" s="240"/>
      <c r="AG62" s="241" t="s">
        <v>150</v>
      </c>
      <c r="AH62" s="242"/>
      <c r="AI62" s="207" t="n">
        <f aca="false">Monat.AnUeZ.Total-Monat.KomUeZ.Total</f>
        <v>0</v>
      </c>
      <c r="AJ62" s="180"/>
      <c r="AK62" s="230"/>
      <c r="AL62" s="230"/>
      <c r="AM62" s="172"/>
      <c r="AN62" s="230"/>
      <c r="AO62" s="230"/>
      <c r="AP62" s="230"/>
      <c r="AQ62" s="96"/>
    </row>
    <row r="63" s="148" customFormat="true" ht="15" hidden="false" customHeight="true" outlineLevel="0" collapsed="false">
      <c r="A63" s="186"/>
      <c r="B63" s="152"/>
      <c r="C63" s="152"/>
      <c r="D63" s="152"/>
      <c r="E63" s="152"/>
      <c r="F63" s="152"/>
      <c r="G63" s="152"/>
      <c r="H63" s="152"/>
      <c r="I63" s="152"/>
      <c r="J63" s="152"/>
      <c r="K63" s="152"/>
      <c r="L63" s="223"/>
      <c r="M63" s="152"/>
      <c r="N63" s="152"/>
      <c r="O63" s="152"/>
      <c r="P63" s="152"/>
      <c r="Q63" s="152"/>
      <c r="R63" s="152"/>
      <c r="S63" s="223"/>
      <c r="T63" s="152"/>
      <c r="U63" s="152"/>
      <c r="V63" s="152"/>
      <c r="W63" s="152"/>
      <c r="X63" s="224"/>
      <c r="Y63" s="152"/>
      <c r="Z63" s="152"/>
      <c r="AA63" s="152"/>
      <c r="AB63" s="152"/>
      <c r="AC63" s="152"/>
      <c r="AD63" s="152"/>
      <c r="AE63" s="152"/>
      <c r="AF63" s="243"/>
      <c r="AG63" s="175" t="s">
        <v>151</v>
      </c>
      <c r="AH63" s="184"/>
      <c r="AI63" s="207" t="n">
        <f aca="true">IF(T.50_Vetsuisse,0,IF(AND(AI62&gt;0,Monat.ÜZZSBerechtigt=INDEX(T.JaNein.Bereich,1,1)),(AI62*0.25),0))</f>
        <v>0</v>
      </c>
      <c r="AJ63" s="180"/>
      <c r="AK63" s="172"/>
      <c r="AL63" s="230"/>
      <c r="AM63" s="172"/>
      <c r="AN63" s="230"/>
      <c r="AO63" s="230"/>
      <c r="AP63" s="230"/>
      <c r="AQ63" s="39"/>
    </row>
    <row r="64" s="148" customFormat="true" ht="15" hidden="true" customHeight="true" outlineLevel="1" collapsed="false">
      <c r="A64" s="186"/>
      <c r="B64" s="152"/>
      <c r="C64" s="152"/>
      <c r="D64" s="152"/>
      <c r="E64" s="152"/>
      <c r="F64" s="152"/>
      <c r="G64" s="152"/>
      <c r="H64" s="152"/>
      <c r="I64" s="152"/>
      <c r="J64" s="152"/>
      <c r="K64" s="152"/>
      <c r="L64" s="223"/>
      <c r="M64" s="152"/>
      <c r="N64" s="152"/>
      <c r="O64" s="152"/>
      <c r="P64" s="152"/>
      <c r="Q64" s="152"/>
      <c r="R64" s="152"/>
      <c r="S64" s="223"/>
      <c r="T64" s="152"/>
      <c r="U64" s="152"/>
      <c r="V64" s="152"/>
      <c r="W64" s="152"/>
      <c r="X64" s="224"/>
      <c r="Y64" s="152"/>
      <c r="Z64" s="152"/>
      <c r="AA64" s="152"/>
      <c r="AB64" s="152"/>
      <c r="AC64" s="152"/>
      <c r="AD64" s="152"/>
      <c r="AE64" s="152"/>
      <c r="AF64" s="243"/>
      <c r="AG64" s="175" t="s">
        <v>152</v>
      </c>
      <c r="AH64" s="244" t="s">
        <v>146</v>
      </c>
      <c r="AI64" s="245"/>
      <c r="AJ64" s="246"/>
      <c r="AK64" s="172"/>
      <c r="AL64" s="230"/>
      <c r="AM64" s="172"/>
      <c r="AN64" s="230"/>
      <c r="AO64" s="230"/>
      <c r="AP64" s="230"/>
      <c r="AQ64" s="39"/>
    </row>
    <row r="65" s="231" customFormat="true" ht="15" hidden="false" customHeight="true" outlineLevel="0" collapsed="false">
      <c r="A65" s="219"/>
      <c r="B65" s="224"/>
      <c r="C65" s="224"/>
      <c r="D65" s="224"/>
      <c r="E65" s="152"/>
      <c r="F65" s="224"/>
      <c r="G65" s="224"/>
      <c r="H65" s="224"/>
      <c r="I65" s="224"/>
      <c r="J65" s="152"/>
      <c r="K65" s="224"/>
      <c r="L65" s="223"/>
      <c r="M65" s="224"/>
      <c r="N65" s="224"/>
      <c r="O65" s="224"/>
      <c r="P65" s="224"/>
      <c r="Q65" s="152"/>
      <c r="R65" s="224"/>
      <c r="S65" s="223"/>
      <c r="T65" s="224"/>
      <c r="U65" s="224"/>
      <c r="V65" s="224"/>
      <c r="W65" s="224"/>
      <c r="X65" s="224"/>
      <c r="Y65" s="224"/>
      <c r="Z65" s="152"/>
      <c r="AA65" s="224"/>
      <c r="AB65" s="224"/>
      <c r="AC65" s="224"/>
      <c r="AD65" s="224"/>
      <c r="AE65" s="152"/>
      <c r="AF65" s="240"/>
      <c r="AG65" s="234" t="s">
        <v>153</v>
      </c>
      <c r="AH65" s="242"/>
      <c r="AI65" s="207" t="n">
        <f aca="false">IF(AH64="+",(AI62+AI63+AI64),(AI62+AI63-AI64))</f>
        <v>0</v>
      </c>
      <c r="AJ65" s="33"/>
      <c r="AK65" s="247"/>
      <c r="AL65" s="216" t="n">
        <f aca="false">IF(EB.Anwendung&lt;&gt;"",IF(MONTH(Monat.Tag1)=1,EB.UeZ,IF(MONTH(Monat.Tag1)=2,Monat.UeZUeVM,IF(MONTH(Monat.Tag1)=3,February!Monat.UeZUeVM,IF(MONTH(Monat.Tag1)=4,March!Monat.UeZUeVM,IF(MONTH(Monat.Tag1)=5,April!Monat.UeZUeVM,IF(MONTH(Monat.Tag1)=6,May!Monat.UeZUeVM,IF(MONTH(Monat.Tag1)=7,June!Monat.UeZUeVM,IF(MONTH(Monat.Tag1)=8,July!Monat.UeZUeVM,IF(MONTH(Monat.Tag1)=9,August!Monat.UeZUeVM,IF(MONTH(Monat.Tag1)=10,September!Monat.UeZUeVM,IF(MONTH(Monat.Tag1)=11,October!Monat.UeZUeVM,IF(MONTH(Monat.Tag1)=12,November!Monat.UeZUeVM,"")))))))))))),"")</f>
        <v>0</v>
      </c>
      <c r="AM65" s="172"/>
      <c r="AN65" s="217" t="n">
        <f aca="false">AI65+AL65</f>
        <v>0</v>
      </c>
      <c r="AO65" s="217" t="n">
        <f aca="true">SUM(OFFSET(J.UeZ.Total,-12,0,MONTH(Monat.Tag1),1))</f>
        <v>0</v>
      </c>
      <c r="AP65" s="217" t="n">
        <f aca="false">J.UeZ.Total</f>
        <v>0</v>
      </c>
      <c r="AQ65" s="96"/>
    </row>
    <row r="66" s="148" customFormat="true" ht="11.25" hidden="false" customHeight="true" outlineLevel="1" collapsed="false">
      <c r="A66" s="186"/>
      <c r="B66" s="57"/>
      <c r="C66" s="57"/>
      <c r="D66" s="57"/>
      <c r="E66" s="152"/>
      <c r="F66" s="57"/>
      <c r="G66" s="57"/>
      <c r="H66" s="57"/>
      <c r="I66" s="57"/>
      <c r="J66" s="152"/>
      <c r="K66" s="57"/>
      <c r="L66" s="223"/>
      <c r="M66" s="57"/>
      <c r="N66" s="57"/>
      <c r="O66" s="57"/>
      <c r="P66" s="57"/>
      <c r="Q66" s="152"/>
      <c r="R66" s="57"/>
      <c r="S66" s="223"/>
      <c r="T66" s="57"/>
      <c r="U66" s="57"/>
      <c r="V66" s="57"/>
      <c r="W66" s="57"/>
      <c r="X66" s="224"/>
      <c r="Y66" s="57"/>
      <c r="Z66" s="152"/>
      <c r="AA66" s="57"/>
      <c r="AB66" s="57"/>
      <c r="AC66" s="57"/>
      <c r="AD66" s="57"/>
      <c r="AE66" s="152"/>
      <c r="AF66" s="179"/>
      <c r="AG66" s="175"/>
      <c r="AH66" s="146"/>
      <c r="AI66" s="179"/>
      <c r="AJ66" s="180"/>
      <c r="AK66" s="172"/>
      <c r="AL66" s="172"/>
      <c r="AM66" s="172"/>
      <c r="AN66" s="171"/>
      <c r="AO66" s="172"/>
      <c r="AP66" s="172"/>
      <c r="AQ66" s="39"/>
    </row>
    <row r="67" s="148" customFormat="true" ht="15" hidden="false" customHeight="true" outlineLevel="1" collapsed="false">
      <c r="A67" s="175" t="s">
        <v>154</v>
      </c>
      <c r="B67" s="177"/>
      <c r="C67" s="177"/>
      <c r="D67" s="177"/>
      <c r="E67" s="177"/>
      <c r="F67" s="177"/>
      <c r="G67" s="177"/>
      <c r="H67" s="177"/>
      <c r="I67" s="177"/>
      <c r="J67" s="177"/>
      <c r="K67" s="177"/>
      <c r="L67" s="177"/>
      <c r="M67" s="177"/>
      <c r="N67" s="177"/>
      <c r="O67" s="177"/>
      <c r="P67" s="177"/>
      <c r="Q67" s="177"/>
      <c r="R67" s="177"/>
      <c r="S67" s="177"/>
      <c r="T67" s="177"/>
      <c r="U67" s="177"/>
      <c r="V67" s="177"/>
      <c r="W67" s="177"/>
      <c r="X67" s="177"/>
      <c r="Y67" s="177"/>
      <c r="Z67" s="178"/>
      <c r="AA67" s="177"/>
      <c r="AB67" s="177"/>
      <c r="AC67" s="177"/>
      <c r="AD67" s="177"/>
      <c r="AE67" s="177"/>
      <c r="AF67" s="177"/>
      <c r="AG67" s="168" t="str">
        <f aca="false">A67</f>
        <v>Compensation working hours</v>
      </c>
      <c r="AH67" s="184"/>
      <c r="AI67" s="207" t="n">
        <f aca="false">SUM(B67:AF67)</f>
        <v>0</v>
      </c>
      <c r="AJ67" s="33"/>
      <c r="AK67" s="216" t="n">
        <f aca="true">OFFSET(EB.MKAStd.Knoten,MONTH(Monat.Tag1),0,1,1)</f>
        <v>0</v>
      </c>
      <c r="AL67" s="248" t="n">
        <f aca="false">IF(EB.Anwendung&lt;&gt;"",IF(MONTH(Monat.Tag1)=1,0,IF(MONTH(Monat.Tag1)=2,Monat.KomUeVM,IF(MONTH(Monat.Tag1)=3,February!Monat.KomUeVM,IF(MONTH(Monat.Tag1)=4,March!Monat.KomUeVM,IF(MONTH(Monat.Tag1)=5,April!Monat.KomUeVM,IF(MONTH(Monat.Tag1)=6,May!Monat.KomUeVM,IF(MONTH(Monat.Tag1)=7,June!Monat.KomUeVM,IF(MONTH(Monat.Tag1)=8,July!Monat.KomUeVM,IF(MONTH(Monat.Tag1)=9,August!Monat.KomUeVM,IF(MONTH(Monat.Tag1)=10,September!Monat.KomUeVM,IF(MONTH(Monat.Tag1)=11,October!Monat.KomUeVM,IF(MONTH(Monat.Tag1)=12,November!Monat.KomUeVM,"")))))))))))),"")</f>
        <v>0</v>
      </c>
      <c r="AM67" s="172"/>
      <c r="AN67" s="217" t="n">
        <f aca="false">AK67+AL67-Monat.KomAZ.Total</f>
        <v>0</v>
      </c>
      <c r="AO67" s="217" t="n">
        <f aca="true">Jahresabrechnung!P12-SUM(OFFSET(Jahresabrechnung!P15,0,0,MONTH(Monat.Tag1),1))</f>
        <v>3.9375</v>
      </c>
      <c r="AP67" s="217" t="n">
        <f aca="false">Jahresabrechnung!P28</f>
        <v>3.9375</v>
      </c>
      <c r="AQ67" s="39"/>
    </row>
    <row r="68" s="148" customFormat="true" ht="11.25" hidden="false" customHeight="true" outlineLevel="0" collapsed="false">
      <c r="A68" s="186"/>
      <c r="B68" s="187"/>
      <c r="C68" s="187"/>
      <c r="D68" s="187"/>
      <c r="E68" s="187"/>
      <c r="F68" s="187"/>
      <c r="G68" s="187"/>
      <c r="H68" s="187"/>
      <c r="I68" s="187"/>
      <c r="J68" s="187"/>
      <c r="K68" s="187"/>
      <c r="L68" s="187"/>
      <c r="M68" s="187"/>
      <c r="N68" s="187"/>
      <c r="O68" s="187"/>
      <c r="P68" s="187"/>
      <c r="Q68" s="187"/>
      <c r="R68" s="187"/>
      <c r="S68" s="187"/>
      <c r="T68" s="187"/>
      <c r="U68" s="187"/>
      <c r="V68" s="187"/>
      <c r="W68" s="187"/>
      <c r="X68" s="187"/>
      <c r="Y68" s="187"/>
      <c r="Z68" s="187"/>
      <c r="AA68" s="187"/>
      <c r="AB68" s="187"/>
      <c r="AC68" s="187"/>
      <c r="AD68" s="187"/>
      <c r="AE68" s="187"/>
      <c r="AF68" s="188"/>
      <c r="AG68" s="168"/>
      <c r="AH68" s="146"/>
      <c r="AI68" s="179"/>
      <c r="AJ68" s="180"/>
      <c r="AK68" s="172"/>
      <c r="AL68" s="172"/>
      <c r="AM68" s="172"/>
      <c r="AN68" s="171"/>
      <c r="AO68" s="172"/>
      <c r="AP68" s="172"/>
      <c r="AQ68" s="39"/>
    </row>
    <row r="69" s="148" customFormat="true" ht="15" hidden="true" customHeight="true" outlineLevel="0" collapsed="false">
      <c r="A69" s="175" t="s">
        <v>155</v>
      </c>
      <c r="B69" s="249" t="n">
        <f aca="true">IF(AND(T.50_Vetsuisse,B72=INDEX(T.JaNein.Bereich,1,1),B73&gt;0,MOD(IFERROR(MATCH(1,B13:B22,0),1),2)=0),1, IF(AND(T.ServiceCenterIrchel,B72=INDEX(T.JaNein.Bereich,1,1),B77&gt;0),1, IF(AND(T.50_Vetsuisse=0,T.ServiceCenterIrchel=0,B77&gt;0),1,0)))</f>
        <v>0</v>
      </c>
      <c r="C69" s="249" t="n">
        <f aca="true">IF(AND(T.50_Vetsuisse,C72=INDEX(T.JaNein.Bereich,1,1),C73&gt;0,MOD(IFERROR(MATCH(1,C13:C22,0),1),2)=0),1, IF(AND(T.ServiceCenterIrchel,C72=INDEX(T.JaNein.Bereich,1,1),C77&gt;0),1, IF(AND(T.50_Vetsuisse=0,T.ServiceCenterIrchel=0,C77&gt;0),1,0)))</f>
        <v>0</v>
      </c>
      <c r="D69" s="249" t="n">
        <f aca="true">IF(AND(T.50_Vetsuisse,D72=INDEX(T.JaNein.Bereich,1,1),D73&gt;0,MOD(IFERROR(MATCH(1,D13:D22,0),1),2)=0),1, IF(AND(T.ServiceCenterIrchel,D72=INDEX(T.JaNein.Bereich,1,1),D77&gt;0),1, IF(AND(T.50_Vetsuisse=0,T.ServiceCenterIrchel=0,D77&gt;0),1,0)))</f>
        <v>0</v>
      </c>
      <c r="E69" s="249" t="n">
        <f aca="true">IF(AND(T.50_Vetsuisse,E72=INDEX(T.JaNein.Bereich,1,1),E73&gt;0,MOD(IFERROR(MATCH(1,E13:E22,0),1),2)=0),1, IF(AND(T.ServiceCenterIrchel,E72=INDEX(T.JaNein.Bereich,1,1),E77&gt;0),1, IF(AND(T.50_Vetsuisse=0,T.ServiceCenterIrchel=0,E77&gt;0),1,0)))</f>
        <v>0</v>
      </c>
      <c r="F69" s="249" t="n">
        <f aca="true">IF(AND(T.50_Vetsuisse,F72=INDEX(T.JaNein.Bereich,1,1),F73&gt;0,MOD(IFERROR(MATCH(1,F13:F22,0),1),2)=0),1, IF(AND(T.ServiceCenterIrchel,F72=INDEX(T.JaNein.Bereich,1,1),F77&gt;0),1, IF(AND(T.50_Vetsuisse=0,T.ServiceCenterIrchel=0,F77&gt;0),1,0)))</f>
        <v>0</v>
      </c>
      <c r="G69" s="249" t="n">
        <f aca="true">IF(AND(T.50_Vetsuisse,G72=INDEX(T.JaNein.Bereich,1,1),G73&gt;0,MOD(IFERROR(MATCH(1,G13:G22,0),1),2)=0),1, IF(AND(T.ServiceCenterIrchel,G72=INDEX(T.JaNein.Bereich,1,1),G77&gt;0),1, IF(AND(T.50_Vetsuisse=0,T.ServiceCenterIrchel=0,G77&gt;0),1,0)))</f>
        <v>0</v>
      </c>
      <c r="H69" s="249" t="n">
        <f aca="true">IF(AND(T.50_Vetsuisse,H72=INDEX(T.JaNein.Bereich,1,1),H73&gt;0,MOD(IFERROR(MATCH(1,H13:H22,0),1),2)=0),1, IF(AND(T.ServiceCenterIrchel,H72=INDEX(T.JaNein.Bereich,1,1),H77&gt;0),1, IF(AND(T.50_Vetsuisse=0,T.ServiceCenterIrchel=0,H77&gt;0),1,0)))</f>
        <v>0</v>
      </c>
      <c r="I69" s="249" t="n">
        <f aca="true">IF(AND(T.50_Vetsuisse,I72=INDEX(T.JaNein.Bereich,1,1),I73&gt;0,MOD(IFERROR(MATCH(1,I13:I22,0),1),2)=0),1, IF(AND(T.ServiceCenterIrchel,I72=INDEX(T.JaNein.Bereich,1,1),I77&gt;0),1, IF(AND(T.50_Vetsuisse=0,T.ServiceCenterIrchel=0,I77&gt;0),1,0)))</f>
        <v>0</v>
      </c>
      <c r="J69" s="249" t="n">
        <f aca="true">IF(AND(T.50_Vetsuisse,J72=INDEX(T.JaNein.Bereich,1,1),J73&gt;0,MOD(IFERROR(MATCH(1,J13:J22,0),1),2)=0),1, IF(AND(T.ServiceCenterIrchel,J72=INDEX(T.JaNein.Bereich,1,1),J77&gt;0),1, IF(AND(T.50_Vetsuisse=0,T.ServiceCenterIrchel=0,J77&gt;0),1,0)))</f>
        <v>0</v>
      </c>
      <c r="K69" s="249" t="n">
        <f aca="true">IF(AND(T.50_Vetsuisse,K72=INDEX(T.JaNein.Bereich,1,1),K73&gt;0,MOD(IFERROR(MATCH(1,K13:K22,0),1),2)=0),1, IF(AND(T.ServiceCenterIrchel,K72=INDEX(T.JaNein.Bereich,1,1),K77&gt;0),1, IF(AND(T.50_Vetsuisse=0,T.ServiceCenterIrchel=0,K77&gt;0),1,0)))</f>
        <v>0</v>
      </c>
      <c r="L69" s="249" t="n">
        <f aca="true">IF(AND(T.50_Vetsuisse,L72=INDEX(T.JaNein.Bereich,1,1),L73&gt;0,MOD(IFERROR(MATCH(1,L13:L22,0),1),2)=0),1, IF(AND(T.ServiceCenterIrchel,L72=INDEX(T.JaNein.Bereich,1,1),L77&gt;0),1, IF(AND(T.50_Vetsuisse=0,T.ServiceCenterIrchel=0,L77&gt;0),1,0)))</f>
        <v>0</v>
      </c>
      <c r="M69" s="249" t="n">
        <f aca="true">IF(AND(T.50_Vetsuisse,M72=INDEX(T.JaNein.Bereich,1,1),M73&gt;0,MOD(IFERROR(MATCH(1,M13:M22,0),1),2)=0),1, IF(AND(T.ServiceCenterIrchel,M72=INDEX(T.JaNein.Bereich,1,1),M77&gt;0),1, IF(AND(T.50_Vetsuisse=0,T.ServiceCenterIrchel=0,M77&gt;0),1,0)))</f>
        <v>0</v>
      </c>
      <c r="N69" s="249" t="n">
        <f aca="true">IF(AND(T.50_Vetsuisse,N72=INDEX(T.JaNein.Bereich,1,1),N73&gt;0,MOD(IFERROR(MATCH(1,N13:N22,0),1),2)=0),1, IF(AND(T.ServiceCenterIrchel,N72=INDEX(T.JaNein.Bereich,1,1),N77&gt;0),1, IF(AND(T.50_Vetsuisse=0,T.ServiceCenterIrchel=0,N77&gt;0),1,0)))</f>
        <v>0</v>
      </c>
      <c r="O69" s="249" t="n">
        <f aca="true">IF(AND(T.50_Vetsuisse,O72=INDEX(T.JaNein.Bereich,1,1),O73&gt;0,MOD(IFERROR(MATCH(1,O13:O22,0),1),2)=0),1, IF(AND(T.ServiceCenterIrchel,O72=INDEX(T.JaNein.Bereich,1,1),O77&gt;0),1, IF(AND(T.50_Vetsuisse=0,T.ServiceCenterIrchel=0,O77&gt;0),1,0)))</f>
        <v>0</v>
      </c>
      <c r="P69" s="249" t="n">
        <f aca="true">IF(AND(T.50_Vetsuisse,P72=INDEX(T.JaNein.Bereich,1,1),P73&gt;0,MOD(IFERROR(MATCH(1,P13:P22,0),1),2)=0),1, IF(AND(T.ServiceCenterIrchel,P72=INDEX(T.JaNein.Bereich,1,1),P77&gt;0),1, IF(AND(T.50_Vetsuisse=0,T.ServiceCenterIrchel=0,P77&gt;0),1,0)))</f>
        <v>0</v>
      </c>
      <c r="Q69" s="249" t="n">
        <f aca="true">IF(AND(T.50_Vetsuisse,Q72=INDEX(T.JaNein.Bereich,1,1),Q73&gt;0,MOD(IFERROR(MATCH(1,Q13:Q22,0),1),2)=0),1, IF(AND(T.ServiceCenterIrchel,Q72=INDEX(T.JaNein.Bereich,1,1),Q77&gt;0),1, IF(AND(T.50_Vetsuisse=0,T.ServiceCenterIrchel=0,Q77&gt;0),1,0)))</f>
        <v>0</v>
      </c>
      <c r="R69" s="249" t="n">
        <f aca="true">IF(AND(T.50_Vetsuisse,R72=INDEX(T.JaNein.Bereich,1,1),R73&gt;0,MOD(IFERROR(MATCH(1,R13:R22,0),1),2)=0),1, IF(AND(T.ServiceCenterIrchel,R72=INDEX(T.JaNein.Bereich,1,1),R77&gt;0),1, IF(AND(T.50_Vetsuisse=0,T.ServiceCenterIrchel=0,R77&gt;0),1,0)))</f>
        <v>0</v>
      </c>
      <c r="S69" s="249" t="n">
        <f aca="true">IF(AND(T.50_Vetsuisse,S72=INDEX(T.JaNein.Bereich,1,1),S73&gt;0,MOD(IFERROR(MATCH(1,S13:S22,0),1),2)=0),1, IF(AND(T.ServiceCenterIrchel,S72=INDEX(T.JaNein.Bereich,1,1),S77&gt;0),1, IF(AND(T.50_Vetsuisse=0,T.ServiceCenterIrchel=0,S77&gt;0),1,0)))</f>
        <v>0</v>
      </c>
      <c r="T69" s="249" t="n">
        <f aca="true">IF(AND(T.50_Vetsuisse,T72=INDEX(T.JaNein.Bereich,1,1),T73&gt;0,MOD(IFERROR(MATCH(1,T13:T22,0),1),2)=0),1, IF(AND(T.ServiceCenterIrchel,T72=INDEX(T.JaNein.Bereich,1,1),T77&gt;0),1, IF(AND(T.50_Vetsuisse=0,T.ServiceCenterIrchel=0,T77&gt;0),1,0)))</f>
        <v>0</v>
      </c>
      <c r="U69" s="249" t="n">
        <f aca="true">IF(AND(T.50_Vetsuisse,U72=INDEX(T.JaNein.Bereich,1,1),U73&gt;0,MOD(IFERROR(MATCH(1,U13:U22,0),1),2)=0),1, IF(AND(T.ServiceCenterIrchel,U72=INDEX(T.JaNein.Bereich,1,1),U77&gt;0),1, IF(AND(T.50_Vetsuisse=0,T.ServiceCenterIrchel=0,U77&gt;0),1,0)))</f>
        <v>0</v>
      </c>
      <c r="V69" s="249" t="n">
        <f aca="true">IF(AND(T.50_Vetsuisse,V72=INDEX(T.JaNein.Bereich,1,1),V73&gt;0,MOD(IFERROR(MATCH(1,V13:V22,0),1),2)=0),1, IF(AND(T.ServiceCenterIrchel,V72=INDEX(T.JaNein.Bereich,1,1),V77&gt;0),1, IF(AND(T.50_Vetsuisse=0,T.ServiceCenterIrchel=0,V77&gt;0),1,0)))</f>
        <v>0</v>
      </c>
      <c r="W69" s="249" t="n">
        <f aca="true">IF(AND(T.50_Vetsuisse,W72=INDEX(T.JaNein.Bereich,1,1),W73&gt;0,MOD(IFERROR(MATCH(1,W13:W22,0),1),2)=0),1, IF(AND(T.ServiceCenterIrchel,W72=INDEX(T.JaNein.Bereich,1,1),W77&gt;0),1, IF(AND(T.50_Vetsuisse=0,T.ServiceCenterIrchel=0,W77&gt;0),1,0)))</f>
        <v>0</v>
      </c>
      <c r="X69" s="249" t="n">
        <f aca="true">IF(AND(T.50_Vetsuisse,X72=INDEX(T.JaNein.Bereich,1,1),X73&gt;0,MOD(IFERROR(MATCH(1,X13:X22,0),1),2)=0),1, IF(AND(T.ServiceCenterIrchel,X72=INDEX(T.JaNein.Bereich,1,1),X77&gt;0),1, IF(AND(T.50_Vetsuisse=0,T.ServiceCenterIrchel=0,X77&gt;0),1,0)))</f>
        <v>0</v>
      </c>
      <c r="Y69" s="249" t="n">
        <f aca="true">IF(AND(T.50_Vetsuisse,Y72=INDEX(T.JaNein.Bereich,1,1),Y73&gt;0,MOD(IFERROR(MATCH(1,Y13:Y22,0),1),2)=0),1, IF(AND(T.ServiceCenterIrchel,Y72=INDEX(T.JaNein.Bereich,1,1),Y77&gt;0),1, IF(AND(T.50_Vetsuisse=0,T.ServiceCenterIrchel=0,Y77&gt;0),1,0)))</f>
        <v>0</v>
      </c>
      <c r="Z69" s="249" t="n">
        <f aca="true">IF(AND(T.50_Vetsuisse,Z72=INDEX(T.JaNein.Bereich,1,1),Z73&gt;0,MOD(IFERROR(MATCH(1,Z13:Z22,0),1),2)=0),1, IF(AND(T.ServiceCenterIrchel,Z72=INDEX(T.JaNein.Bereich,1,1),Z77&gt;0),1, IF(AND(T.50_Vetsuisse=0,T.ServiceCenterIrchel=0,Z77&gt;0),1,0)))</f>
        <v>0</v>
      </c>
      <c r="AA69" s="249" t="n">
        <f aca="true">IF(AND(T.50_Vetsuisse,AA72=INDEX(T.JaNein.Bereich,1,1),AA73&gt;0,MOD(IFERROR(MATCH(1,AA13:AA22,0),1),2)=0),1, IF(AND(T.ServiceCenterIrchel,AA72=INDEX(T.JaNein.Bereich,1,1),AA77&gt;0),1, IF(AND(T.50_Vetsuisse=0,T.ServiceCenterIrchel=0,AA77&gt;0),1,0)))</f>
        <v>0</v>
      </c>
      <c r="AB69" s="249" t="n">
        <f aca="true">IF(AND(T.50_Vetsuisse,AB72=INDEX(T.JaNein.Bereich,1,1),AB73&gt;0,MOD(IFERROR(MATCH(1,AB13:AB22,0),1),2)=0),1, IF(AND(T.ServiceCenterIrchel,AB72=INDEX(T.JaNein.Bereich,1,1),AB77&gt;0),1, IF(AND(T.50_Vetsuisse=0,T.ServiceCenterIrchel=0,AB77&gt;0),1,0)))</f>
        <v>0</v>
      </c>
      <c r="AC69" s="249" t="n">
        <f aca="true">IF(AND(T.50_Vetsuisse,AC72=INDEX(T.JaNein.Bereich,1,1),AC73&gt;0,MOD(IFERROR(MATCH(1,AC13:AC22,0),1),2)=0),1, IF(AND(T.ServiceCenterIrchel,AC72=INDEX(T.JaNein.Bereich,1,1),AC77&gt;0),1, IF(AND(T.50_Vetsuisse=0,T.ServiceCenterIrchel=0,AC77&gt;0),1,0)))</f>
        <v>0</v>
      </c>
      <c r="AD69" s="249" t="n">
        <f aca="true">IF(AND(T.50_Vetsuisse,AD72=INDEX(T.JaNein.Bereich,1,1),AD73&gt;0,MOD(IFERROR(MATCH(1,AD13:AD22,0),1),2)=0),1, IF(AND(T.ServiceCenterIrchel,AD72=INDEX(T.JaNein.Bereich,1,1),AD77&gt;0),1, IF(AND(T.50_Vetsuisse=0,T.ServiceCenterIrchel=0,AD77&gt;0),1,0)))</f>
        <v>0</v>
      </c>
      <c r="AE69" s="249" t="n">
        <f aca="true">IF(AND(T.50_Vetsuisse,AE72=INDEX(T.JaNein.Bereich,1,1),AE73&gt;0,MOD(IFERROR(MATCH(1,AE13:AE22,0),1),2)=0),1, IF(AND(T.ServiceCenterIrchel,AE72=INDEX(T.JaNein.Bereich,1,1),AE77&gt;0),1, IF(AND(T.50_Vetsuisse=0,T.ServiceCenterIrchel=0,AE77&gt;0),1,0)))</f>
        <v>0</v>
      </c>
      <c r="AF69" s="249" t="n">
        <f aca="true">IF(AND(T.50_Vetsuisse,AF72=INDEX(T.JaNein.Bereich,1,1),AF73&gt;0,MOD(IFERROR(MATCH(1,AF13:AF22,0),1),2)=0),1, IF(AND(T.ServiceCenterIrchel,AF72=INDEX(T.JaNein.Bereich,1,1),AF77&gt;0),1, IF(AND(T.50_Vetsuisse=0,T.ServiceCenterIrchel=0,AF77&gt;0),1,0)))</f>
        <v>0</v>
      </c>
      <c r="AG69" s="168" t="str">
        <f aca="false">A69</f>
        <v>Counter night shift</v>
      </c>
      <c r="AH69" s="250"/>
      <c r="AI69" s="251" t="n">
        <f aca="false">SUM(B69:AF69)</f>
        <v>0</v>
      </c>
      <c r="AJ69" s="33"/>
      <c r="AK69" s="192"/>
      <c r="AL69" s="252" t="n">
        <f aca="false">IF(EB.Anwendung&lt;&gt;"",IF(MONTH(Monat.Tag1)=1,0,IF(MONTH(Monat.Tag1)=2,Monat.ZählerNDUe,IF(MONTH(Monat.Tag1)=3,February!Monat.ZählerNDUe,IF(MONTH(Monat.Tag1)=4,March!Monat.ZählerNDUe,IF(MONTH(Monat.Tag1)=5,April!Monat.ZählerNDUe,IF(MONTH(Monat.Tag1)=6,May!Monat.ZählerNDUe,IF(MONTH(Monat.Tag1)=7,June!Monat.ZählerNDUe,IF(MONTH(Monat.Tag1)=8,July!Monat.ZählerNDUe,IF(MONTH(Monat.Tag1)=9,August!Monat.ZählerNDUe,IF(MONTH(Monat.Tag1)=10,September!Monat.ZählerNDUe,IF(MONTH(Monat.Tag1)=11,October!Monat.ZählerNDUe,IF(MONTH(Monat.Tag1)=12,November!Monat.ZählerNDUe,"")))))))))))),"")</f>
        <v>0</v>
      </c>
      <c r="AM69" s="172"/>
      <c r="AN69" s="253" t="n">
        <f aca="false">AL69+AI69</f>
        <v>0</v>
      </c>
      <c r="AO69" s="171"/>
      <c r="AP69" s="171"/>
      <c r="AQ69" s="39"/>
    </row>
    <row r="70" s="148" customFormat="true" ht="15" hidden="true" customHeight="true" outlineLevel="0" collapsed="false">
      <c r="A70" s="175" t="s">
        <v>156</v>
      </c>
      <c r="B70" s="249" t="n">
        <f aca="false">IF(DAY(B$10)=1,$AL$69,A70)+B69</f>
        <v>0</v>
      </c>
      <c r="C70" s="249" t="n">
        <f aca="false">IF(DAY(C$10)=1,$AL$69,B70)+C69</f>
        <v>0</v>
      </c>
      <c r="D70" s="249" t="n">
        <f aca="false">IF(DAY(D$10)=1,$AL$69,C70)+D69</f>
        <v>0</v>
      </c>
      <c r="E70" s="249" t="n">
        <f aca="false">IF(DAY(E$10)=1,$AL$69,D70)+E69</f>
        <v>0</v>
      </c>
      <c r="F70" s="249" t="n">
        <f aca="false">IF(DAY(F$10)=1,$AL$69,E70)+F69</f>
        <v>0</v>
      </c>
      <c r="G70" s="249" t="n">
        <f aca="false">IF(DAY(G$10)=1,$AL$69,F70)+G69</f>
        <v>0</v>
      </c>
      <c r="H70" s="249" t="n">
        <f aca="false">IF(DAY(H$10)=1,$AL$69,G70)+H69</f>
        <v>0</v>
      </c>
      <c r="I70" s="249" t="n">
        <f aca="false">IF(DAY(I$10)=1,$AL$69,H70)+I69</f>
        <v>0</v>
      </c>
      <c r="J70" s="249" t="n">
        <f aca="false">IF(DAY(J$10)=1,$AL$69,I70)+J69</f>
        <v>0</v>
      </c>
      <c r="K70" s="249" t="n">
        <f aca="false">IF(DAY(K$10)=1,$AL$69,J70)+K69</f>
        <v>0</v>
      </c>
      <c r="L70" s="249" t="n">
        <f aca="false">IF(DAY(L$10)=1,$AL$69,K70)+L69</f>
        <v>0</v>
      </c>
      <c r="M70" s="249" t="n">
        <f aca="false">IF(DAY(M$10)=1,$AL$69,L70)+M69</f>
        <v>0</v>
      </c>
      <c r="N70" s="249" t="n">
        <f aca="false">IF(DAY(N$10)=1,$AL$69,M70)+N69</f>
        <v>0</v>
      </c>
      <c r="O70" s="249" t="n">
        <f aca="false">IF(DAY(O$10)=1,$AL$69,N70)+O69</f>
        <v>0</v>
      </c>
      <c r="P70" s="249" t="n">
        <f aca="false">IF(DAY(P$10)=1,$AL$69,O70)+P69</f>
        <v>0</v>
      </c>
      <c r="Q70" s="249" t="n">
        <f aca="false">IF(DAY(Q$10)=1,$AL$69,P70)+Q69</f>
        <v>0</v>
      </c>
      <c r="R70" s="249" t="n">
        <f aca="false">IF(DAY(R$10)=1,$AL$69,Q70)+R69</f>
        <v>0</v>
      </c>
      <c r="S70" s="249" t="n">
        <f aca="false">IF(DAY(S$10)=1,$AL$69,R70)+S69</f>
        <v>0</v>
      </c>
      <c r="T70" s="249" t="n">
        <f aca="false">IF(DAY(T$10)=1,$AL$69,S70)+T69</f>
        <v>0</v>
      </c>
      <c r="U70" s="249" t="n">
        <f aca="false">IF(DAY(U$10)=1,$AL$69,T70)+U69</f>
        <v>0</v>
      </c>
      <c r="V70" s="249" t="n">
        <f aca="false">IF(DAY(V$10)=1,$AL$69,U70)+V69</f>
        <v>0</v>
      </c>
      <c r="W70" s="249" t="n">
        <f aca="false">IF(DAY(W$10)=1,$AL$69,V70)+W69</f>
        <v>0</v>
      </c>
      <c r="X70" s="249" t="n">
        <f aca="false">IF(DAY(X$10)=1,$AL$69,W70)+X69</f>
        <v>0</v>
      </c>
      <c r="Y70" s="249" t="n">
        <f aca="false">IF(DAY(Y$10)=1,$AL$69,X70)+Y69</f>
        <v>0</v>
      </c>
      <c r="Z70" s="249" t="n">
        <f aca="false">IF(DAY(Z$10)=1,$AL$69,Y70)+Z69</f>
        <v>0</v>
      </c>
      <c r="AA70" s="249" t="n">
        <f aca="false">IF(DAY(AA$10)=1,$AL$69,Z70)+AA69</f>
        <v>0</v>
      </c>
      <c r="AB70" s="249" t="n">
        <f aca="false">IF(DAY(AB$10)=1,$AL$69,AA70)+AB69</f>
        <v>0</v>
      </c>
      <c r="AC70" s="249" t="n">
        <f aca="false">IF(DAY(AC$10)=1,$AL$69,AB70)+AC69</f>
        <v>0</v>
      </c>
      <c r="AD70" s="249" t="n">
        <f aca="false">IF(DAY(AD$10)=1,$AL$69,AC70)+AD69</f>
        <v>0</v>
      </c>
      <c r="AE70" s="249" t="n">
        <f aca="false">IF(DAY(AE$10)=1,$AL$69,AD70)+AE69</f>
        <v>0</v>
      </c>
      <c r="AF70" s="249" t="n">
        <f aca="false">IF(DAY(AF$10)=1,$AL$69,AE70)+AF69</f>
        <v>0</v>
      </c>
      <c r="AG70" s="168" t="str">
        <f aca="false">A70</f>
        <v>Balance counter night shift</v>
      </c>
      <c r="AH70" s="197"/>
      <c r="AI70" s="192"/>
      <c r="AJ70" s="27"/>
      <c r="AK70" s="235"/>
      <c r="AL70" s="235"/>
      <c r="AM70" s="172"/>
      <c r="AN70" s="254"/>
      <c r="AO70" s="171"/>
      <c r="AP70" s="171"/>
      <c r="AQ70" s="39"/>
    </row>
    <row r="71" s="148" customFormat="true" ht="15" hidden="true" customHeight="true" outlineLevel="1" collapsed="false">
      <c r="A71" s="175" t="s">
        <v>157</v>
      </c>
      <c r="B71" s="176"/>
      <c r="C71" s="176"/>
      <c r="D71" s="176"/>
      <c r="E71" s="177"/>
      <c r="F71" s="176"/>
      <c r="G71" s="176"/>
      <c r="H71" s="176"/>
      <c r="I71" s="176"/>
      <c r="J71" s="177"/>
      <c r="K71" s="176"/>
      <c r="L71" s="177"/>
      <c r="M71" s="176"/>
      <c r="N71" s="176"/>
      <c r="O71" s="176"/>
      <c r="P71" s="176"/>
      <c r="Q71" s="177"/>
      <c r="R71" s="176"/>
      <c r="S71" s="177"/>
      <c r="T71" s="177"/>
      <c r="U71" s="176"/>
      <c r="V71" s="176"/>
      <c r="W71" s="176"/>
      <c r="X71" s="177"/>
      <c r="Y71" s="176"/>
      <c r="Z71" s="178"/>
      <c r="AA71" s="176"/>
      <c r="AB71" s="176"/>
      <c r="AC71" s="176"/>
      <c r="AD71" s="176"/>
      <c r="AE71" s="177"/>
      <c r="AF71" s="176"/>
      <c r="AG71" s="168" t="str">
        <f aca="false">A71</f>
        <v>Compensation TS night shift</v>
      </c>
      <c r="AH71" s="184"/>
      <c r="AI71" s="207" t="n">
        <f aca="false">SUM(B71:AF71)</f>
        <v>0</v>
      </c>
      <c r="AJ71" s="33"/>
      <c r="AK71" s="235"/>
      <c r="AL71" s="216" t="n">
        <f aca="false">IF(EB.Anwendung&lt;&gt;"",IF(MONTH(Monat.Tag1)=1,0,IF(MONTH(Monat.Tag1)=2,Monat.KompZZSNDUeVM,IF(MONTH(Monat.Tag1)=3,February!Monat.KompZZSNDUeVM,IF(MONTH(Monat.Tag1)=4,March!Monat.KompZZSNDUeVM,IF(MONTH(Monat.Tag1)=5,April!Monat.KompZZSNDUeVM,IF(MONTH(Monat.Tag1)=6,May!Monat.KompZZSNDUeVM,IF(MONTH(Monat.Tag1)=7,June!Monat.KompZZSNDUeVM,IF(MONTH(Monat.Tag1)=8,July!Monat.KompZZSNDUeVM,IF(MONTH(Monat.Tag1)=9,August!Monat.KompZZSNDUeVM,IF(MONTH(Monat.Tag1)=10,September!Monat.KompZZSNDUeVM,IF(MONTH(Monat.Tag1)=11,October!Monat.KompZZSNDUeVM,IF(MONTH(Monat.Tag1)=12,November!Monat.KompZZSNDUeVM,"")))))))))))),"")</f>
        <v>0</v>
      </c>
      <c r="AM71" s="172"/>
      <c r="AN71" s="217" t="n">
        <f aca="false">AI71+AL71</f>
        <v>0</v>
      </c>
      <c r="AO71" s="217" t="n">
        <f aca="true">SUM(OFFSET(Jahr.KompZZSND,-12,0,MONTH(Monat.Tag1),1))</f>
        <v>0</v>
      </c>
      <c r="AP71" s="217" t="n">
        <f aca="false">Jahr.KompZZSND</f>
        <v>0</v>
      </c>
      <c r="AQ71" s="39"/>
    </row>
    <row r="72" s="148" customFormat="true" ht="15" hidden="true" customHeight="true" outlineLevel="1" collapsed="false">
      <c r="A72" s="175" t="s">
        <v>158</v>
      </c>
      <c r="B72" s="255"/>
      <c r="C72" s="255"/>
      <c r="D72" s="255"/>
      <c r="E72" s="255"/>
      <c r="F72" s="255"/>
      <c r="G72" s="255"/>
      <c r="H72" s="255"/>
      <c r="I72" s="255"/>
      <c r="J72" s="255"/>
      <c r="K72" s="255"/>
      <c r="L72" s="255"/>
      <c r="M72" s="255"/>
      <c r="N72" s="255"/>
      <c r="O72" s="255"/>
      <c r="P72" s="255"/>
      <c r="Q72" s="255"/>
      <c r="R72" s="255"/>
      <c r="S72" s="255"/>
      <c r="T72" s="255"/>
      <c r="U72" s="255"/>
      <c r="V72" s="255"/>
      <c r="W72" s="255"/>
      <c r="X72" s="255"/>
      <c r="Y72" s="255"/>
      <c r="Z72" s="255"/>
      <c r="AA72" s="255"/>
      <c r="AB72" s="255"/>
      <c r="AC72" s="255"/>
      <c r="AD72" s="255"/>
      <c r="AE72" s="255"/>
      <c r="AF72" s="255"/>
      <c r="AG72" s="168" t="str">
        <f aca="false">A72</f>
        <v>Start pl. night shift Yes/No</v>
      </c>
      <c r="AH72" s="184"/>
      <c r="AI72" s="192"/>
      <c r="AJ72" s="198" t="n">
        <f aca="true">IFERROR(SUMPRODUCT((B72:AF72=INDEX(T.JaNein.Bereich,1))*(B72:AF72&lt;&gt;"")),0)</f>
        <v>0</v>
      </c>
      <c r="AK72" s="235"/>
      <c r="AL72" s="198" t="n">
        <f aca="false">AL69</f>
        <v>0</v>
      </c>
      <c r="AM72" s="172"/>
      <c r="AN72" s="253" t="n">
        <f aca="false">AN69</f>
        <v>0</v>
      </c>
      <c r="AO72" s="172"/>
      <c r="AP72" s="172"/>
      <c r="AQ72" s="39"/>
    </row>
    <row r="73" s="148" customFormat="true" ht="15" hidden="false" customHeight="true" outlineLevel="1" collapsed="false">
      <c r="A73" s="175" t="s">
        <v>159</v>
      </c>
      <c r="B73" s="256" t="n">
        <f aca="false">IF(B$12=0,0,IF(OR(T.50_Vetsuisse,T.ServiceCenterIrchel),ROUND(B14-B13+MAX(0,T.Nachtab-MAX(T.Nachtbis,B14))-MAX(0,T.Nachtab-MAX(B13,T.Nachtbis))+(B13&gt;B14)*(1+T.Nachtbis-T.Nachtab)+B16-B15+MAX(0,T.Nachtab-MAX(T.Nachtbis,B16))-MAX(0,T.Nachtab-MAX(B15,T.Nachtbis))+(B15&gt;B16)*(1+T.Nachtbis-T.Nachtab)+B18-B17+MAX(0,T.Nachtab-MAX(T.Nachtbis,B18))-MAX(0,T.Nachtab-MAX(B17,T.Nachtbis))+(B17&gt;B18)*(1+T.Nachtbis-T.Nachtab)+B20-B19+MAX(0,T.Nachtab-MAX(T.Nachtbis,B20))-MAX(0,T.Nachtab-MAX(B19,T.Nachtbis))+(B19&gt;B20)*(1+T.Nachtbis-T.Nachtab)+B22-B21+MAX(0,T.Nachtab-MAX(T.Nachtbis,B22))-MAX(0,T.Nachtab-MAX(B21,T.Nachtbis))+(B21&gt;B22)*(1+T.Nachtbis-T.Nachtab),9), IF(AND(WEEKDAY(B$10,2)&lt;6,B$11&lt;&gt;0),ROUND(B36-B35+MAX(0,T.Nachtab-MAX(T.Nachtbis,B36))-MAX(0,T.Nachtab-MAX(B35,T.Nachtbis))+(B35&gt;B36)*(1+T.Nachtbis-T.Nachtab)+B38-B37+MAX(0,T.Nachtab-MAX(T.Nachtbis,B38))-MAX(0,T.Nachtab-MAX(B37,T.Nachtbis))+(B37&gt;B38)*(1+T.Nachtbis-T.Nachtab)+B40-B39+MAX(0,T.Nachtab-MAX(T.Nachtbis,B40))-MAX(0,T.Nachtab-MAX(B39,T.Nachtbis))+(B39&gt;B40)*(1+T.Nachtbis-T.Nachtab)+B42-B41+MAX(0,T.Nachtab-MAX(T.Nachtbis,B42))-MAX(0,T.Nachtab-MAX(B41,T.Nachtbis))+(B41&gt;B42)*(1+T.Nachtbis-T.Nachtab)+B44-B43+MAX(0,T.Nachtab-MAX(T.Nachtbis,B44))-MAX(0,T.Nachtab-MAX(B43,T.Nachtbis))+(B43&gt;B44)*(1+T.Nachtbis-T.Nachtab),9),0)))</f>
        <v>0</v>
      </c>
      <c r="C73" s="256" t="n">
        <f aca="false">IF(C$12=0,0,IF(OR(T.50_Vetsuisse,T.ServiceCenterIrchel),ROUND(C14-C13+MAX(0,T.Nachtab-MAX(T.Nachtbis,C14))-MAX(0,T.Nachtab-MAX(C13,T.Nachtbis))+(C13&gt;C14)*(1+T.Nachtbis-T.Nachtab)+C16-C15+MAX(0,T.Nachtab-MAX(T.Nachtbis,C16))-MAX(0,T.Nachtab-MAX(C15,T.Nachtbis))+(C15&gt;C16)*(1+T.Nachtbis-T.Nachtab)+C18-C17+MAX(0,T.Nachtab-MAX(T.Nachtbis,C18))-MAX(0,T.Nachtab-MAX(C17,T.Nachtbis))+(C17&gt;C18)*(1+T.Nachtbis-T.Nachtab)+C20-C19+MAX(0,T.Nachtab-MAX(T.Nachtbis,C20))-MAX(0,T.Nachtab-MAX(C19,T.Nachtbis))+(C19&gt;C20)*(1+T.Nachtbis-T.Nachtab)+C22-C21+MAX(0,T.Nachtab-MAX(T.Nachtbis,C22))-MAX(0,T.Nachtab-MAX(C21,T.Nachtbis))+(C21&gt;C22)*(1+T.Nachtbis-T.Nachtab),9), IF(AND(WEEKDAY(C$10,2)&lt;6,C$11&lt;&gt;0),ROUND(C36-C35+MAX(0,T.Nachtab-MAX(T.Nachtbis,C36))-MAX(0,T.Nachtab-MAX(C35,T.Nachtbis))+(C35&gt;C36)*(1+T.Nachtbis-T.Nachtab)+C38-C37+MAX(0,T.Nachtab-MAX(T.Nachtbis,C38))-MAX(0,T.Nachtab-MAX(C37,T.Nachtbis))+(C37&gt;C38)*(1+T.Nachtbis-T.Nachtab)+C40-C39+MAX(0,T.Nachtab-MAX(T.Nachtbis,C40))-MAX(0,T.Nachtab-MAX(C39,T.Nachtbis))+(C39&gt;C40)*(1+T.Nachtbis-T.Nachtab)+C42-C41+MAX(0,T.Nachtab-MAX(T.Nachtbis,C42))-MAX(0,T.Nachtab-MAX(C41,T.Nachtbis))+(C41&gt;C42)*(1+T.Nachtbis-T.Nachtab)+C44-C43+MAX(0,T.Nachtab-MAX(T.Nachtbis,C44))-MAX(0,T.Nachtab-MAX(C43,T.Nachtbis))+(C43&gt;C44)*(1+T.Nachtbis-T.Nachtab),9),0)))</f>
        <v>0</v>
      </c>
      <c r="D73" s="256" t="n">
        <f aca="false">IF(D$12=0,0,IF(OR(T.50_Vetsuisse,T.ServiceCenterIrchel),ROUND(D14-D13+MAX(0,T.Nachtab-MAX(T.Nachtbis,D14))-MAX(0,T.Nachtab-MAX(D13,T.Nachtbis))+(D13&gt;D14)*(1+T.Nachtbis-T.Nachtab)+D16-D15+MAX(0,T.Nachtab-MAX(T.Nachtbis,D16))-MAX(0,T.Nachtab-MAX(D15,T.Nachtbis))+(D15&gt;D16)*(1+T.Nachtbis-T.Nachtab)+D18-D17+MAX(0,T.Nachtab-MAX(T.Nachtbis,D18))-MAX(0,T.Nachtab-MAX(D17,T.Nachtbis))+(D17&gt;D18)*(1+T.Nachtbis-T.Nachtab)+D20-D19+MAX(0,T.Nachtab-MAX(T.Nachtbis,D20))-MAX(0,T.Nachtab-MAX(D19,T.Nachtbis))+(D19&gt;D20)*(1+T.Nachtbis-T.Nachtab)+D22-D21+MAX(0,T.Nachtab-MAX(T.Nachtbis,D22))-MAX(0,T.Nachtab-MAX(D21,T.Nachtbis))+(D21&gt;D22)*(1+T.Nachtbis-T.Nachtab),9), IF(AND(WEEKDAY(D$10,2)&lt;6,D$11&lt;&gt;0),ROUND(D36-D35+MAX(0,T.Nachtab-MAX(T.Nachtbis,D36))-MAX(0,T.Nachtab-MAX(D35,T.Nachtbis))+(D35&gt;D36)*(1+T.Nachtbis-T.Nachtab)+D38-D37+MAX(0,T.Nachtab-MAX(T.Nachtbis,D38))-MAX(0,T.Nachtab-MAX(D37,T.Nachtbis))+(D37&gt;D38)*(1+T.Nachtbis-T.Nachtab)+D40-D39+MAX(0,T.Nachtab-MAX(T.Nachtbis,D40))-MAX(0,T.Nachtab-MAX(D39,T.Nachtbis))+(D39&gt;D40)*(1+T.Nachtbis-T.Nachtab)+D42-D41+MAX(0,T.Nachtab-MAX(T.Nachtbis,D42))-MAX(0,T.Nachtab-MAX(D41,T.Nachtbis))+(D41&gt;D42)*(1+T.Nachtbis-T.Nachtab)+D44-D43+MAX(0,T.Nachtab-MAX(T.Nachtbis,D44))-MAX(0,T.Nachtab-MAX(D43,T.Nachtbis))+(D43&gt;D44)*(1+T.Nachtbis-T.Nachtab),9),0)))</f>
        <v>0</v>
      </c>
      <c r="E73" s="256" t="n">
        <f aca="false">IF(E$12=0,0,IF(OR(T.50_Vetsuisse,T.ServiceCenterIrchel),ROUND(E14-E13+MAX(0,T.Nachtab-MAX(T.Nachtbis,E14))-MAX(0,T.Nachtab-MAX(E13,T.Nachtbis))+(E13&gt;E14)*(1+T.Nachtbis-T.Nachtab)+E16-E15+MAX(0,T.Nachtab-MAX(T.Nachtbis,E16))-MAX(0,T.Nachtab-MAX(E15,T.Nachtbis))+(E15&gt;E16)*(1+T.Nachtbis-T.Nachtab)+E18-E17+MAX(0,T.Nachtab-MAX(T.Nachtbis,E18))-MAX(0,T.Nachtab-MAX(E17,T.Nachtbis))+(E17&gt;E18)*(1+T.Nachtbis-T.Nachtab)+E20-E19+MAX(0,T.Nachtab-MAX(T.Nachtbis,E20))-MAX(0,T.Nachtab-MAX(E19,T.Nachtbis))+(E19&gt;E20)*(1+T.Nachtbis-T.Nachtab)+E22-E21+MAX(0,T.Nachtab-MAX(T.Nachtbis,E22))-MAX(0,T.Nachtab-MAX(E21,T.Nachtbis))+(E21&gt;E22)*(1+T.Nachtbis-T.Nachtab),9), IF(AND(WEEKDAY(E$10,2)&lt;6,E$11&lt;&gt;0),ROUND(E36-E35+MAX(0,T.Nachtab-MAX(T.Nachtbis,E36))-MAX(0,T.Nachtab-MAX(E35,T.Nachtbis))+(E35&gt;E36)*(1+T.Nachtbis-T.Nachtab)+E38-E37+MAX(0,T.Nachtab-MAX(T.Nachtbis,E38))-MAX(0,T.Nachtab-MAX(E37,T.Nachtbis))+(E37&gt;E38)*(1+T.Nachtbis-T.Nachtab)+E40-E39+MAX(0,T.Nachtab-MAX(T.Nachtbis,E40))-MAX(0,T.Nachtab-MAX(E39,T.Nachtbis))+(E39&gt;E40)*(1+T.Nachtbis-T.Nachtab)+E42-E41+MAX(0,T.Nachtab-MAX(T.Nachtbis,E42))-MAX(0,T.Nachtab-MAX(E41,T.Nachtbis))+(E41&gt;E42)*(1+T.Nachtbis-T.Nachtab)+E44-E43+MAX(0,T.Nachtab-MAX(T.Nachtbis,E44))-MAX(0,T.Nachtab-MAX(E43,T.Nachtbis))+(E43&gt;E44)*(1+T.Nachtbis-T.Nachtab),9),0)))</f>
        <v>0</v>
      </c>
      <c r="F73" s="256" t="n">
        <f aca="false">IF(F$12=0,0,IF(OR(T.50_Vetsuisse,T.ServiceCenterIrchel),ROUND(F14-F13+MAX(0,T.Nachtab-MAX(T.Nachtbis,F14))-MAX(0,T.Nachtab-MAX(F13,T.Nachtbis))+(F13&gt;F14)*(1+T.Nachtbis-T.Nachtab)+F16-F15+MAX(0,T.Nachtab-MAX(T.Nachtbis,F16))-MAX(0,T.Nachtab-MAX(F15,T.Nachtbis))+(F15&gt;F16)*(1+T.Nachtbis-T.Nachtab)+F18-F17+MAX(0,T.Nachtab-MAX(T.Nachtbis,F18))-MAX(0,T.Nachtab-MAX(F17,T.Nachtbis))+(F17&gt;F18)*(1+T.Nachtbis-T.Nachtab)+F20-F19+MAX(0,T.Nachtab-MAX(T.Nachtbis,F20))-MAX(0,T.Nachtab-MAX(F19,T.Nachtbis))+(F19&gt;F20)*(1+T.Nachtbis-T.Nachtab)+F22-F21+MAX(0,T.Nachtab-MAX(T.Nachtbis,F22))-MAX(0,T.Nachtab-MAX(F21,T.Nachtbis))+(F21&gt;F22)*(1+T.Nachtbis-T.Nachtab),9), IF(AND(WEEKDAY(F$10,2)&lt;6,F$11&lt;&gt;0),ROUND(F36-F35+MAX(0,T.Nachtab-MAX(T.Nachtbis,F36))-MAX(0,T.Nachtab-MAX(F35,T.Nachtbis))+(F35&gt;F36)*(1+T.Nachtbis-T.Nachtab)+F38-F37+MAX(0,T.Nachtab-MAX(T.Nachtbis,F38))-MAX(0,T.Nachtab-MAX(F37,T.Nachtbis))+(F37&gt;F38)*(1+T.Nachtbis-T.Nachtab)+F40-F39+MAX(0,T.Nachtab-MAX(T.Nachtbis,F40))-MAX(0,T.Nachtab-MAX(F39,T.Nachtbis))+(F39&gt;F40)*(1+T.Nachtbis-T.Nachtab)+F42-F41+MAX(0,T.Nachtab-MAX(T.Nachtbis,F42))-MAX(0,T.Nachtab-MAX(F41,T.Nachtbis))+(F41&gt;F42)*(1+T.Nachtbis-T.Nachtab)+F44-F43+MAX(0,T.Nachtab-MAX(T.Nachtbis,F44))-MAX(0,T.Nachtab-MAX(F43,T.Nachtbis))+(F43&gt;F44)*(1+T.Nachtbis-T.Nachtab),9),0)))</f>
        <v>0</v>
      </c>
      <c r="G73" s="256" t="n">
        <f aca="false">IF(G$12=0,0,IF(OR(T.50_Vetsuisse,T.ServiceCenterIrchel),ROUND(G14-G13+MAX(0,T.Nachtab-MAX(T.Nachtbis,G14))-MAX(0,T.Nachtab-MAX(G13,T.Nachtbis))+(G13&gt;G14)*(1+T.Nachtbis-T.Nachtab)+G16-G15+MAX(0,T.Nachtab-MAX(T.Nachtbis,G16))-MAX(0,T.Nachtab-MAX(G15,T.Nachtbis))+(G15&gt;G16)*(1+T.Nachtbis-T.Nachtab)+G18-G17+MAX(0,T.Nachtab-MAX(T.Nachtbis,G18))-MAX(0,T.Nachtab-MAX(G17,T.Nachtbis))+(G17&gt;G18)*(1+T.Nachtbis-T.Nachtab)+G20-G19+MAX(0,T.Nachtab-MAX(T.Nachtbis,G20))-MAX(0,T.Nachtab-MAX(G19,T.Nachtbis))+(G19&gt;G20)*(1+T.Nachtbis-T.Nachtab)+G22-G21+MAX(0,T.Nachtab-MAX(T.Nachtbis,G22))-MAX(0,T.Nachtab-MAX(G21,T.Nachtbis))+(G21&gt;G22)*(1+T.Nachtbis-T.Nachtab),9), IF(AND(WEEKDAY(G$10,2)&lt;6,G$11&lt;&gt;0),ROUND(G36-G35+MAX(0,T.Nachtab-MAX(T.Nachtbis,G36))-MAX(0,T.Nachtab-MAX(G35,T.Nachtbis))+(G35&gt;G36)*(1+T.Nachtbis-T.Nachtab)+G38-G37+MAX(0,T.Nachtab-MAX(T.Nachtbis,G38))-MAX(0,T.Nachtab-MAX(G37,T.Nachtbis))+(G37&gt;G38)*(1+T.Nachtbis-T.Nachtab)+G40-G39+MAX(0,T.Nachtab-MAX(T.Nachtbis,G40))-MAX(0,T.Nachtab-MAX(G39,T.Nachtbis))+(G39&gt;G40)*(1+T.Nachtbis-T.Nachtab)+G42-G41+MAX(0,T.Nachtab-MAX(T.Nachtbis,G42))-MAX(0,T.Nachtab-MAX(G41,T.Nachtbis))+(G41&gt;G42)*(1+T.Nachtbis-T.Nachtab)+G44-G43+MAX(0,T.Nachtab-MAX(T.Nachtbis,G44))-MAX(0,T.Nachtab-MAX(G43,T.Nachtbis))+(G43&gt;G44)*(1+T.Nachtbis-T.Nachtab),9),0)))</f>
        <v>0</v>
      </c>
      <c r="H73" s="256" t="n">
        <f aca="false">IF(H$12=0,0,IF(OR(T.50_Vetsuisse,T.ServiceCenterIrchel),ROUND(H14-H13+MAX(0,T.Nachtab-MAX(T.Nachtbis,H14))-MAX(0,T.Nachtab-MAX(H13,T.Nachtbis))+(H13&gt;H14)*(1+T.Nachtbis-T.Nachtab)+H16-H15+MAX(0,T.Nachtab-MAX(T.Nachtbis,H16))-MAX(0,T.Nachtab-MAX(H15,T.Nachtbis))+(H15&gt;H16)*(1+T.Nachtbis-T.Nachtab)+H18-H17+MAX(0,T.Nachtab-MAX(T.Nachtbis,H18))-MAX(0,T.Nachtab-MAX(H17,T.Nachtbis))+(H17&gt;H18)*(1+T.Nachtbis-T.Nachtab)+H20-H19+MAX(0,T.Nachtab-MAX(T.Nachtbis,H20))-MAX(0,T.Nachtab-MAX(H19,T.Nachtbis))+(H19&gt;H20)*(1+T.Nachtbis-T.Nachtab)+H22-H21+MAX(0,T.Nachtab-MAX(T.Nachtbis,H22))-MAX(0,T.Nachtab-MAX(H21,T.Nachtbis))+(H21&gt;H22)*(1+T.Nachtbis-T.Nachtab),9), IF(AND(WEEKDAY(H$10,2)&lt;6,H$11&lt;&gt;0),ROUND(H36-H35+MAX(0,T.Nachtab-MAX(T.Nachtbis,H36))-MAX(0,T.Nachtab-MAX(H35,T.Nachtbis))+(H35&gt;H36)*(1+T.Nachtbis-T.Nachtab)+H38-H37+MAX(0,T.Nachtab-MAX(T.Nachtbis,H38))-MAX(0,T.Nachtab-MAX(H37,T.Nachtbis))+(H37&gt;H38)*(1+T.Nachtbis-T.Nachtab)+H40-H39+MAX(0,T.Nachtab-MAX(T.Nachtbis,H40))-MAX(0,T.Nachtab-MAX(H39,T.Nachtbis))+(H39&gt;H40)*(1+T.Nachtbis-T.Nachtab)+H42-H41+MAX(0,T.Nachtab-MAX(T.Nachtbis,H42))-MAX(0,T.Nachtab-MAX(H41,T.Nachtbis))+(H41&gt;H42)*(1+T.Nachtbis-T.Nachtab)+H44-H43+MAX(0,T.Nachtab-MAX(T.Nachtbis,H44))-MAX(0,T.Nachtab-MAX(H43,T.Nachtbis))+(H43&gt;H44)*(1+T.Nachtbis-T.Nachtab),9),0)))</f>
        <v>0</v>
      </c>
      <c r="I73" s="256" t="n">
        <f aca="false">IF(I$12=0,0,IF(OR(T.50_Vetsuisse,T.ServiceCenterIrchel),ROUND(I14-I13+MAX(0,T.Nachtab-MAX(T.Nachtbis,I14))-MAX(0,T.Nachtab-MAX(I13,T.Nachtbis))+(I13&gt;I14)*(1+T.Nachtbis-T.Nachtab)+I16-I15+MAX(0,T.Nachtab-MAX(T.Nachtbis,I16))-MAX(0,T.Nachtab-MAX(I15,T.Nachtbis))+(I15&gt;I16)*(1+T.Nachtbis-T.Nachtab)+I18-I17+MAX(0,T.Nachtab-MAX(T.Nachtbis,I18))-MAX(0,T.Nachtab-MAX(I17,T.Nachtbis))+(I17&gt;I18)*(1+T.Nachtbis-T.Nachtab)+I20-I19+MAX(0,T.Nachtab-MAX(T.Nachtbis,I20))-MAX(0,T.Nachtab-MAX(I19,T.Nachtbis))+(I19&gt;I20)*(1+T.Nachtbis-T.Nachtab)+I22-I21+MAX(0,T.Nachtab-MAX(T.Nachtbis,I22))-MAX(0,T.Nachtab-MAX(I21,T.Nachtbis))+(I21&gt;I22)*(1+T.Nachtbis-T.Nachtab),9), IF(AND(WEEKDAY(I$10,2)&lt;6,I$11&lt;&gt;0),ROUND(I36-I35+MAX(0,T.Nachtab-MAX(T.Nachtbis,I36))-MAX(0,T.Nachtab-MAX(I35,T.Nachtbis))+(I35&gt;I36)*(1+T.Nachtbis-T.Nachtab)+I38-I37+MAX(0,T.Nachtab-MAX(T.Nachtbis,I38))-MAX(0,T.Nachtab-MAX(I37,T.Nachtbis))+(I37&gt;I38)*(1+T.Nachtbis-T.Nachtab)+I40-I39+MAX(0,T.Nachtab-MAX(T.Nachtbis,I40))-MAX(0,T.Nachtab-MAX(I39,T.Nachtbis))+(I39&gt;I40)*(1+T.Nachtbis-T.Nachtab)+I42-I41+MAX(0,T.Nachtab-MAX(T.Nachtbis,I42))-MAX(0,T.Nachtab-MAX(I41,T.Nachtbis))+(I41&gt;I42)*(1+T.Nachtbis-T.Nachtab)+I44-I43+MAX(0,T.Nachtab-MAX(T.Nachtbis,I44))-MAX(0,T.Nachtab-MAX(I43,T.Nachtbis))+(I43&gt;I44)*(1+T.Nachtbis-T.Nachtab),9),0)))</f>
        <v>0</v>
      </c>
      <c r="J73" s="256" t="n">
        <f aca="false">IF(J$12=0,0,IF(OR(T.50_Vetsuisse,T.ServiceCenterIrchel),ROUND(J14-J13+MAX(0,T.Nachtab-MAX(T.Nachtbis,J14))-MAX(0,T.Nachtab-MAX(J13,T.Nachtbis))+(J13&gt;J14)*(1+T.Nachtbis-T.Nachtab)+J16-J15+MAX(0,T.Nachtab-MAX(T.Nachtbis,J16))-MAX(0,T.Nachtab-MAX(J15,T.Nachtbis))+(J15&gt;J16)*(1+T.Nachtbis-T.Nachtab)+J18-J17+MAX(0,T.Nachtab-MAX(T.Nachtbis,J18))-MAX(0,T.Nachtab-MAX(J17,T.Nachtbis))+(J17&gt;J18)*(1+T.Nachtbis-T.Nachtab)+J20-J19+MAX(0,T.Nachtab-MAX(T.Nachtbis,J20))-MAX(0,T.Nachtab-MAX(J19,T.Nachtbis))+(J19&gt;J20)*(1+T.Nachtbis-T.Nachtab)+J22-J21+MAX(0,T.Nachtab-MAX(T.Nachtbis,J22))-MAX(0,T.Nachtab-MAX(J21,T.Nachtbis))+(J21&gt;J22)*(1+T.Nachtbis-T.Nachtab),9), IF(AND(WEEKDAY(J$10,2)&lt;6,J$11&lt;&gt;0),ROUND(J36-J35+MAX(0,T.Nachtab-MAX(T.Nachtbis,J36))-MAX(0,T.Nachtab-MAX(J35,T.Nachtbis))+(J35&gt;J36)*(1+T.Nachtbis-T.Nachtab)+J38-J37+MAX(0,T.Nachtab-MAX(T.Nachtbis,J38))-MAX(0,T.Nachtab-MAX(J37,T.Nachtbis))+(J37&gt;J38)*(1+T.Nachtbis-T.Nachtab)+J40-J39+MAX(0,T.Nachtab-MAX(T.Nachtbis,J40))-MAX(0,T.Nachtab-MAX(J39,T.Nachtbis))+(J39&gt;J40)*(1+T.Nachtbis-T.Nachtab)+J42-J41+MAX(0,T.Nachtab-MAX(T.Nachtbis,J42))-MAX(0,T.Nachtab-MAX(J41,T.Nachtbis))+(J41&gt;J42)*(1+T.Nachtbis-T.Nachtab)+J44-J43+MAX(0,T.Nachtab-MAX(T.Nachtbis,J44))-MAX(0,T.Nachtab-MAX(J43,T.Nachtbis))+(J43&gt;J44)*(1+T.Nachtbis-T.Nachtab),9),0)))</f>
        <v>0</v>
      </c>
      <c r="K73" s="256" t="n">
        <f aca="false">IF(K$12=0,0,IF(OR(T.50_Vetsuisse,T.ServiceCenterIrchel),ROUND(K14-K13+MAX(0,T.Nachtab-MAX(T.Nachtbis,K14))-MAX(0,T.Nachtab-MAX(K13,T.Nachtbis))+(K13&gt;K14)*(1+T.Nachtbis-T.Nachtab)+K16-K15+MAX(0,T.Nachtab-MAX(T.Nachtbis,K16))-MAX(0,T.Nachtab-MAX(K15,T.Nachtbis))+(K15&gt;K16)*(1+T.Nachtbis-T.Nachtab)+K18-K17+MAX(0,T.Nachtab-MAX(T.Nachtbis,K18))-MAX(0,T.Nachtab-MAX(K17,T.Nachtbis))+(K17&gt;K18)*(1+T.Nachtbis-T.Nachtab)+K20-K19+MAX(0,T.Nachtab-MAX(T.Nachtbis,K20))-MAX(0,T.Nachtab-MAX(K19,T.Nachtbis))+(K19&gt;K20)*(1+T.Nachtbis-T.Nachtab)+K22-K21+MAX(0,T.Nachtab-MAX(T.Nachtbis,K22))-MAX(0,T.Nachtab-MAX(K21,T.Nachtbis))+(K21&gt;K22)*(1+T.Nachtbis-T.Nachtab),9), IF(AND(WEEKDAY(K$10,2)&lt;6,K$11&lt;&gt;0),ROUND(K36-K35+MAX(0,T.Nachtab-MAX(T.Nachtbis,K36))-MAX(0,T.Nachtab-MAX(K35,T.Nachtbis))+(K35&gt;K36)*(1+T.Nachtbis-T.Nachtab)+K38-K37+MAX(0,T.Nachtab-MAX(T.Nachtbis,K38))-MAX(0,T.Nachtab-MAX(K37,T.Nachtbis))+(K37&gt;K38)*(1+T.Nachtbis-T.Nachtab)+K40-K39+MAX(0,T.Nachtab-MAX(T.Nachtbis,K40))-MAX(0,T.Nachtab-MAX(K39,T.Nachtbis))+(K39&gt;K40)*(1+T.Nachtbis-T.Nachtab)+K42-K41+MAX(0,T.Nachtab-MAX(T.Nachtbis,K42))-MAX(0,T.Nachtab-MAX(K41,T.Nachtbis))+(K41&gt;K42)*(1+T.Nachtbis-T.Nachtab)+K44-K43+MAX(0,T.Nachtab-MAX(T.Nachtbis,K44))-MAX(0,T.Nachtab-MAX(K43,T.Nachtbis))+(K43&gt;K44)*(1+T.Nachtbis-T.Nachtab),9),0)))</f>
        <v>0</v>
      </c>
      <c r="L73" s="256" t="n">
        <f aca="false">IF(L$12=0,0,IF(OR(T.50_Vetsuisse,T.ServiceCenterIrchel),ROUND(L14-L13+MAX(0,T.Nachtab-MAX(T.Nachtbis,L14))-MAX(0,T.Nachtab-MAX(L13,T.Nachtbis))+(L13&gt;L14)*(1+T.Nachtbis-T.Nachtab)+L16-L15+MAX(0,T.Nachtab-MAX(T.Nachtbis,L16))-MAX(0,T.Nachtab-MAX(L15,T.Nachtbis))+(L15&gt;L16)*(1+T.Nachtbis-T.Nachtab)+L18-L17+MAX(0,T.Nachtab-MAX(T.Nachtbis,L18))-MAX(0,T.Nachtab-MAX(L17,T.Nachtbis))+(L17&gt;L18)*(1+T.Nachtbis-T.Nachtab)+L20-L19+MAX(0,T.Nachtab-MAX(T.Nachtbis,L20))-MAX(0,T.Nachtab-MAX(L19,T.Nachtbis))+(L19&gt;L20)*(1+T.Nachtbis-T.Nachtab)+L22-L21+MAX(0,T.Nachtab-MAX(T.Nachtbis,L22))-MAX(0,T.Nachtab-MAX(L21,T.Nachtbis))+(L21&gt;L22)*(1+T.Nachtbis-T.Nachtab),9), IF(AND(WEEKDAY(L$10,2)&lt;6,L$11&lt;&gt;0),ROUND(L36-L35+MAX(0,T.Nachtab-MAX(T.Nachtbis,L36))-MAX(0,T.Nachtab-MAX(L35,T.Nachtbis))+(L35&gt;L36)*(1+T.Nachtbis-T.Nachtab)+L38-L37+MAX(0,T.Nachtab-MAX(T.Nachtbis,L38))-MAX(0,T.Nachtab-MAX(L37,T.Nachtbis))+(L37&gt;L38)*(1+T.Nachtbis-T.Nachtab)+L40-L39+MAX(0,T.Nachtab-MAX(T.Nachtbis,L40))-MAX(0,T.Nachtab-MAX(L39,T.Nachtbis))+(L39&gt;L40)*(1+T.Nachtbis-T.Nachtab)+L42-L41+MAX(0,T.Nachtab-MAX(T.Nachtbis,L42))-MAX(0,T.Nachtab-MAX(L41,T.Nachtbis))+(L41&gt;L42)*(1+T.Nachtbis-T.Nachtab)+L44-L43+MAX(0,T.Nachtab-MAX(T.Nachtbis,L44))-MAX(0,T.Nachtab-MAX(L43,T.Nachtbis))+(L43&gt;L44)*(1+T.Nachtbis-T.Nachtab),9),0)))</f>
        <v>0</v>
      </c>
      <c r="M73" s="256" t="n">
        <f aca="false">IF(M$12=0,0,IF(OR(T.50_Vetsuisse,T.ServiceCenterIrchel),ROUND(M14-M13+MAX(0,T.Nachtab-MAX(T.Nachtbis,M14))-MAX(0,T.Nachtab-MAX(M13,T.Nachtbis))+(M13&gt;M14)*(1+T.Nachtbis-T.Nachtab)+M16-M15+MAX(0,T.Nachtab-MAX(T.Nachtbis,M16))-MAX(0,T.Nachtab-MAX(M15,T.Nachtbis))+(M15&gt;M16)*(1+T.Nachtbis-T.Nachtab)+M18-M17+MAX(0,T.Nachtab-MAX(T.Nachtbis,M18))-MAX(0,T.Nachtab-MAX(M17,T.Nachtbis))+(M17&gt;M18)*(1+T.Nachtbis-T.Nachtab)+M20-M19+MAX(0,T.Nachtab-MAX(T.Nachtbis,M20))-MAX(0,T.Nachtab-MAX(M19,T.Nachtbis))+(M19&gt;M20)*(1+T.Nachtbis-T.Nachtab)+M22-M21+MAX(0,T.Nachtab-MAX(T.Nachtbis,M22))-MAX(0,T.Nachtab-MAX(M21,T.Nachtbis))+(M21&gt;M22)*(1+T.Nachtbis-T.Nachtab),9), IF(AND(WEEKDAY(M$10,2)&lt;6,M$11&lt;&gt;0),ROUND(M36-M35+MAX(0,T.Nachtab-MAX(T.Nachtbis,M36))-MAX(0,T.Nachtab-MAX(M35,T.Nachtbis))+(M35&gt;M36)*(1+T.Nachtbis-T.Nachtab)+M38-M37+MAX(0,T.Nachtab-MAX(T.Nachtbis,M38))-MAX(0,T.Nachtab-MAX(M37,T.Nachtbis))+(M37&gt;M38)*(1+T.Nachtbis-T.Nachtab)+M40-M39+MAX(0,T.Nachtab-MAX(T.Nachtbis,M40))-MAX(0,T.Nachtab-MAX(M39,T.Nachtbis))+(M39&gt;M40)*(1+T.Nachtbis-T.Nachtab)+M42-M41+MAX(0,T.Nachtab-MAX(T.Nachtbis,M42))-MAX(0,T.Nachtab-MAX(M41,T.Nachtbis))+(M41&gt;M42)*(1+T.Nachtbis-T.Nachtab)+M44-M43+MAX(0,T.Nachtab-MAX(T.Nachtbis,M44))-MAX(0,T.Nachtab-MAX(M43,T.Nachtbis))+(M43&gt;M44)*(1+T.Nachtbis-T.Nachtab),9),0)))</f>
        <v>0</v>
      </c>
      <c r="N73" s="256" t="n">
        <f aca="false">IF(N$12=0,0,IF(OR(T.50_Vetsuisse,T.ServiceCenterIrchel),ROUND(N14-N13+MAX(0,T.Nachtab-MAX(T.Nachtbis,N14))-MAX(0,T.Nachtab-MAX(N13,T.Nachtbis))+(N13&gt;N14)*(1+T.Nachtbis-T.Nachtab)+N16-N15+MAX(0,T.Nachtab-MAX(T.Nachtbis,N16))-MAX(0,T.Nachtab-MAX(N15,T.Nachtbis))+(N15&gt;N16)*(1+T.Nachtbis-T.Nachtab)+N18-N17+MAX(0,T.Nachtab-MAX(T.Nachtbis,N18))-MAX(0,T.Nachtab-MAX(N17,T.Nachtbis))+(N17&gt;N18)*(1+T.Nachtbis-T.Nachtab)+N20-N19+MAX(0,T.Nachtab-MAX(T.Nachtbis,N20))-MAX(0,T.Nachtab-MAX(N19,T.Nachtbis))+(N19&gt;N20)*(1+T.Nachtbis-T.Nachtab)+N22-N21+MAX(0,T.Nachtab-MAX(T.Nachtbis,N22))-MAX(0,T.Nachtab-MAX(N21,T.Nachtbis))+(N21&gt;N22)*(1+T.Nachtbis-T.Nachtab),9), IF(AND(WEEKDAY(N$10,2)&lt;6,N$11&lt;&gt;0),ROUND(N36-N35+MAX(0,T.Nachtab-MAX(T.Nachtbis,N36))-MAX(0,T.Nachtab-MAX(N35,T.Nachtbis))+(N35&gt;N36)*(1+T.Nachtbis-T.Nachtab)+N38-N37+MAX(0,T.Nachtab-MAX(T.Nachtbis,N38))-MAX(0,T.Nachtab-MAX(N37,T.Nachtbis))+(N37&gt;N38)*(1+T.Nachtbis-T.Nachtab)+N40-N39+MAX(0,T.Nachtab-MAX(T.Nachtbis,N40))-MAX(0,T.Nachtab-MAX(N39,T.Nachtbis))+(N39&gt;N40)*(1+T.Nachtbis-T.Nachtab)+N42-N41+MAX(0,T.Nachtab-MAX(T.Nachtbis,N42))-MAX(0,T.Nachtab-MAX(N41,T.Nachtbis))+(N41&gt;N42)*(1+T.Nachtbis-T.Nachtab)+N44-N43+MAX(0,T.Nachtab-MAX(T.Nachtbis,N44))-MAX(0,T.Nachtab-MAX(N43,T.Nachtbis))+(N43&gt;N44)*(1+T.Nachtbis-T.Nachtab),9),0)))</f>
        <v>0</v>
      </c>
      <c r="O73" s="256" t="n">
        <f aca="false">IF(O$12=0,0,IF(OR(T.50_Vetsuisse,T.ServiceCenterIrchel),ROUND(O14-O13+MAX(0,T.Nachtab-MAX(T.Nachtbis,O14))-MAX(0,T.Nachtab-MAX(O13,T.Nachtbis))+(O13&gt;O14)*(1+T.Nachtbis-T.Nachtab)+O16-O15+MAX(0,T.Nachtab-MAX(T.Nachtbis,O16))-MAX(0,T.Nachtab-MAX(O15,T.Nachtbis))+(O15&gt;O16)*(1+T.Nachtbis-T.Nachtab)+O18-O17+MAX(0,T.Nachtab-MAX(T.Nachtbis,O18))-MAX(0,T.Nachtab-MAX(O17,T.Nachtbis))+(O17&gt;O18)*(1+T.Nachtbis-T.Nachtab)+O20-O19+MAX(0,T.Nachtab-MAX(T.Nachtbis,O20))-MAX(0,T.Nachtab-MAX(O19,T.Nachtbis))+(O19&gt;O20)*(1+T.Nachtbis-T.Nachtab)+O22-O21+MAX(0,T.Nachtab-MAX(T.Nachtbis,O22))-MAX(0,T.Nachtab-MAX(O21,T.Nachtbis))+(O21&gt;O22)*(1+T.Nachtbis-T.Nachtab),9), IF(AND(WEEKDAY(O$10,2)&lt;6,O$11&lt;&gt;0),ROUND(O36-O35+MAX(0,T.Nachtab-MAX(T.Nachtbis,O36))-MAX(0,T.Nachtab-MAX(O35,T.Nachtbis))+(O35&gt;O36)*(1+T.Nachtbis-T.Nachtab)+O38-O37+MAX(0,T.Nachtab-MAX(T.Nachtbis,O38))-MAX(0,T.Nachtab-MAX(O37,T.Nachtbis))+(O37&gt;O38)*(1+T.Nachtbis-T.Nachtab)+O40-O39+MAX(0,T.Nachtab-MAX(T.Nachtbis,O40))-MAX(0,T.Nachtab-MAX(O39,T.Nachtbis))+(O39&gt;O40)*(1+T.Nachtbis-T.Nachtab)+O42-O41+MAX(0,T.Nachtab-MAX(T.Nachtbis,O42))-MAX(0,T.Nachtab-MAX(O41,T.Nachtbis))+(O41&gt;O42)*(1+T.Nachtbis-T.Nachtab)+O44-O43+MAX(0,T.Nachtab-MAX(T.Nachtbis,O44))-MAX(0,T.Nachtab-MAX(O43,T.Nachtbis))+(O43&gt;O44)*(1+T.Nachtbis-T.Nachtab),9),0)))</f>
        <v>0</v>
      </c>
      <c r="P73" s="256" t="n">
        <f aca="false">IF(P$12=0,0,IF(OR(T.50_Vetsuisse,T.ServiceCenterIrchel),ROUND(P14-P13+MAX(0,T.Nachtab-MAX(T.Nachtbis,P14))-MAX(0,T.Nachtab-MAX(P13,T.Nachtbis))+(P13&gt;P14)*(1+T.Nachtbis-T.Nachtab)+P16-P15+MAX(0,T.Nachtab-MAX(T.Nachtbis,P16))-MAX(0,T.Nachtab-MAX(P15,T.Nachtbis))+(P15&gt;P16)*(1+T.Nachtbis-T.Nachtab)+P18-P17+MAX(0,T.Nachtab-MAX(T.Nachtbis,P18))-MAX(0,T.Nachtab-MAX(P17,T.Nachtbis))+(P17&gt;P18)*(1+T.Nachtbis-T.Nachtab)+P20-P19+MAX(0,T.Nachtab-MAX(T.Nachtbis,P20))-MAX(0,T.Nachtab-MAX(P19,T.Nachtbis))+(P19&gt;P20)*(1+T.Nachtbis-T.Nachtab)+P22-P21+MAX(0,T.Nachtab-MAX(T.Nachtbis,P22))-MAX(0,T.Nachtab-MAX(P21,T.Nachtbis))+(P21&gt;P22)*(1+T.Nachtbis-T.Nachtab),9), IF(AND(WEEKDAY(P$10,2)&lt;6,P$11&lt;&gt;0),ROUND(P36-P35+MAX(0,T.Nachtab-MAX(T.Nachtbis,P36))-MAX(0,T.Nachtab-MAX(P35,T.Nachtbis))+(P35&gt;P36)*(1+T.Nachtbis-T.Nachtab)+P38-P37+MAX(0,T.Nachtab-MAX(T.Nachtbis,P38))-MAX(0,T.Nachtab-MAX(P37,T.Nachtbis))+(P37&gt;P38)*(1+T.Nachtbis-T.Nachtab)+P40-P39+MAX(0,T.Nachtab-MAX(T.Nachtbis,P40))-MAX(0,T.Nachtab-MAX(P39,T.Nachtbis))+(P39&gt;P40)*(1+T.Nachtbis-T.Nachtab)+P42-P41+MAX(0,T.Nachtab-MAX(T.Nachtbis,P42))-MAX(0,T.Nachtab-MAX(P41,T.Nachtbis))+(P41&gt;P42)*(1+T.Nachtbis-T.Nachtab)+P44-P43+MAX(0,T.Nachtab-MAX(T.Nachtbis,P44))-MAX(0,T.Nachtab-MAX(P43,T.Nachtbis))+(P43&gt;P44)*(1+T.Nachtbis-T.Nachtab),9),0)))</f>
        <v>0</v>
      </c>
      <c r="Q73" s="256" t="n">
        <f aca="false">IF(Q$12=0,0,IF(OR(T.50_Vetsuisse,T.ServiceCenterIrchel),ROUND(Q14-Q13+MAX(0,T.Nachtab-MAX(T.Nachtbis,Q14))-MAX(0,T.Nachtab-MAX(Q13,T.Nachtbis))+(Q13&gt;Q14)*(1+T.Nachtbis-T.Nachtab)+Q16-Q15+MAX(0,T.Nachtab-MAX(T.Nachtbis,Q16))-MAX(0,T.Nachtab-MAX(Q15,T.Nachtbis))+(Q15&gt;Q16)*(1+T.Nachtbis-T.Nachtab)+Q18-Q17+MAX(0,T.Nachtab-MAX(T.Nachtbis,Q18))-MAX(0,T.Nachtab-MAX(Q17,T.Nachtbis))+(Q17&gt;Q18)*(1+T.Nachtbis-T.Nachtab)+Q20-Q19+MAX(0,T.Nachtab-MAX(T.Nachtbis,Q20))-MAX(0,T.Nachtab-MAX(Q19,T.Nachtbis))+(Q19&gt;Q20)*(1+T.Nachtbis-T.Nachtab)+Q22-Q21+MAX(0,T.Nachtab-MAX(T.Nachtbis,Q22))-MAX(0,T.Nachtab-MAX(Q21,T.Nachtbis))+(Q21&gt;Q22)*(1+T.Nachtbis-T.Nachtab),9), IF(AND(WEEKDAY(Q$10,2)&lt;6,Q$11&lt;&gt;0),ROUND(Q36-Q35+MAX(0,T.Nachtab-MAX(T.Nachtbis,Q36))-MAX(0,T.Nachtab-MAX(Q35,T.Nachtbis))+(Q35&gt;Q36)*(1+T.Nachtbis-T.Nachtab)+Q38-Q37+MAX(0,T.Nachtab-MAX(T.Nachtbis,Q38))-MAX(0,T.Nachtab-MAX(Q37,T.Nachtbis))+(Q37&gt;Q38)*(1+T.Nachtbis-T.Nachtab)+Q40-Q39+MAX(0,T.Nachtab-MAX(T.Nachtbis,Q40))-MAX(0,T.Nachtab-MAX(Q39,T.Nachtbis))+(Q39&gt;Q40)*(1+T.Nachtbis-T.Nachtab)+Q42-Q41+MAX(0,T.Nachtab-MAX(T.Nachtbis,Q42))-MAX(0,T.Nachtab-MAX(Q41,T.Nachtbis))+(Q41&gt;Q42)*(1+T.Nachtbis-T.Nachtab)+Q44-Q43+MAX(0,T.Nachtab-MAX(T.Nachtbis,Q44))-MAX(0,T.Nachtab-MAX(Q43,T.Nachtbis))+(Q43&gt;Q44)*(1+T.Nachtbis-T.Nachtab),9),0)))</f>
        <v>0</v>
      </c>
      <c r="R73" s="256" t="n">
        <f aca="false">IF(R$12=0,0,IF(OR(T.50_Vetsuisse,T.ServiceCenterIrchel),ROUND(R14-R13+MAX(0,T.Nachtab-MAX(T.Nachtbis,R14))-MAX(0,T.Nachtab-MAX(R13,T.Nachtbis))+(R13&gt;R14)*(1+T.Nachtbis-T.Nachtab)+R16-R15+MAX(0,T.Nachtab-MAX(T.Nachtbis,R16))-MAX(0,T.Nachtab-MAX(R15,T.Nachtbis))+(R15&gt;R16)*(1+T.Nachtbis-T.Nachtab)+R18-R17+MAX(0,T.Nachtab-MAX(T.Nachtbis,R18))-MAX(0,T.Nachtab-MAX(R17,T.Nachtbis))+(R17&gt;R18)*(1+T.Nachtbis-T.Nachtab)+R20-R19+MAX(0,T.Nachtab-MAX(T.Nachtbis,R20))-MAX(0,T.Nachtab-MAX(R19,T.Nachtbis))+(R19&gt;R20)*(1+T.Nachtbis-T.Nachtab)+R22-R21+MAX(0,T.Nachtab-MAX(T.Nachtbis,R22))-MAX(0,T.Nachtab-MAX(R21,T.Nachtbis))+(R21&gt;R22)*(1+T.Nachtbis-T.Nachtab),9), IF(AND(WEEKDAY(R$10,2)&lt;6,R$11&lt;&gt;0),ROUND(R36-R35+MAX(0,T.Nachtab-MAX(T.Nachtbis,R36))-MAX(0,T.Nachtab-MAX(R35,T.Nachtbis))+(R35&gt;R36)*(1+T.Nachtbis-T.Nachtab)+R38-R37+MAX(0,T.Nachtab-MAX(T.Nachtbis,R38))-MAX(0,T.Nachtab-MAX(R37,T.Nachtbis))+(R37&gt;R38)*(1+T.Nachtbis-T.Nachtab)+R40-R39+MAX(0,T.Nachtab-MAX(T.Nachtbis,R40))-MAX(0,T.Nachtab-MAX(R39,T.Nachtbis))+(R39&gt;R40)*(1+T.Nachtbis-T.Nachtab)+R42-R41+MAX(0,T.Nachtab-MAX(T.Nachtbis,R42))-MAX(0,T.Nachtab-MAX(R41,T.Nachtbis))+(R41&gt;R42)*(1+T.Nachtbis-T.Nachtab)+R44-R43+MAX(0,T.Nachtab-MAX(T.Nachtbis,R44))-MAX(0,T.Nachtab-MAX(R43,T.Nachtbis))+(R43&gt;R44)*(1+T.Nachtbis-T.Nachtab),9),0)))</f>
        <v>0</v>
      </c>
      <c r="S73" s="256" t="n">
        <f aca="false">IF(S$12=0,0,IF(OR(T.50_Vetsuisse,T.ServiceCenterIrchel),ROUND(S14-S13+MAX(0,T.Nachtab-MAX(T.Nachtbis,S14))-MAX(0,T.Nachtab-MAX(S13,T.Nachtbis))+(S13&gt;S14)*(1+T.Nachtbis-T.Nachtab)+S16-S15+MAX(0,T.Nachtab-MAX(T.Nachtbis,S16))-MAX(0,T.Nachtab-MAX(S15,T.Nachtbis))+(S15&gt;S16)*(1+T.Nachtbis-T.Nachtab)+S18-S17+MAX(0,T.Nachtab-MAX(T.Nachtbis,S18))-MAX(0,T.Nachtab-MAX(S17,T.Nachtbis))+(S17&gt;S18)*(1+T.Nachtbis-T.Nachtab)+S20-S19+MAX(0,T.Nachtab-MAX(T.Nachtbis,S20))-MAX(0,T.Nachtab-MAX(S19,T.Nachtbis))+(S19&gt;S20)*(1+T.Nachtbis-T.Nachtab)+S22-S21+MAX(0,T.Nachtab-MAX(T.Nachtbis,S22))-MAX(0,T.Nachtab-MAX(S21,T.Nachtbis))+(S21&gt;S22)*(1+T.Nachtbis-T.Nachtab),9), IF(AND(WEEKDAY(S$10,2)&lt;6,S$11&lt;&gt;0),ROUND(S36-S35+MAX(0,T.Nachtab-MAX(T.Nachtbis,S36))-MAX(0,T.Nachtab-MAX(S35,T.Nachtbis))+(S35&gt;S36)*(1+T.Nachtbis-T.Nachtab)+S38-S37+MAX(0,T.Nachtab-MAX(T.Nachtbis,S38))-MAX(0,T.Nachtab-MAX(S37,T.Nachtbis))+(S37&gt;S38)*(1+T.Nachtbis-T.Nachtab)+S40-S39+MAX(0,T.Nachtab-MAX(T.Nachtbis,S40))-MAX(0,T.Nachtab-MAX(S39,T.Nachtbis))+(S39&gt;S40)*(1+T.Nachtbis-T.Nachtab)+S42-S41+MAX(0,T.Nachtab-MAX(T.Nachtbis,S42))-MAX(0,T.Nachtab-MAX(S41,T.Nachtbis))+(S41&gt;S42)*(1+T.Nachtbis-T.Nachtab)+S44-S43+MAX(0,T.Nachtab-MAX(T.Nachtbis,S44))-MAX(0,T.Nachtab-MAX(S43,T.Nachtbis))+(S43&gt;S44)*(1+T.Nachtbis-T.Nachtab),9),0)))</f>
        <v>0</v>
      </c>
      <c r="T73" s="256" t="n">
        <f aca="false">IF(T$12=0,0,IF(OR(T.50_Vetsuisse,T.ServiceCenterIrchel),ROUND(T14-T13+MAX(0,T.Nachtab-MAX(T.Nachtbis,T14))-MAX(0,T.Nachtab-MAX(T13,T.Nachtbis))+(T13&gt;T14)*(1+T.Nachtbis-T.Nachtab)+T16-T15+MAX(0,T.Nachtab-MAX(T.Nachtbis,T16))-MAX(0,T.Nachtab-MAX(T15,T.Nachtbis))+(T15&gt;T16)*(1+T.Nachtbis-T.Nachtab)+T18-T17+MAX(0,T.Nachtab-MAX(T.Nachtbis,T18))-MAX(0,T.Nachtab-MAX(T17,T.Nachtbis))+(T17&gt;T18)*(1+T.Nachtbis-T.Nachtab)+T20-T19+MAX(0,T.Nachtab-MAX(T.Nachtbis,T20))-MAX(0,T.Nachtab-MAX(T19,T.Nachtbis))+(T19&gt;T20)*(1+T.Nachtbis-T.Nachtab)+T22-T21+MAX(0,T.Nachtab-MAX(T.Nachtbis,T22))-MAX(0,T.Nachtab-MAX(T21,T.Nachtbis))+(T21&gt;T22)*(1+T.Nachtbis-T.Nachtab),9), IF(AND(WEEKDAY(T$10,2)&lt;6,T$11&lt;&gt;0),ROUND(T36-T35+MAX(0,T.Nachtab-MAX(T.Nachtbis,T36))-MAX(0,T.Nachtab-MAX(T35,T.Nachtbis))+(T35&gt;T36)*(1+T.Nachtbis-T.Nachtab)+T38-T37+MAX(0,T.Nachtab-MAX(T.Nachtbis,T38))-MAX(0,T.Nachtab-MAX(T37,T.Nachtbis))+(T37&gt;T38)*(1+T.Nachtbis-T.Nachtab)+T40-T39+MAX(0,T.Nachtab-MAX(T.Nachtbis,T40))-MAX(0,T.Nachtab-MAX(T39,T.Nachtbis))+(T39&gt;T40)*(1+T.Nachtbis-T.Nachtab)+T42-T41+MAX(0,T.Nachtab-MAX(T.Nachtbis,T42))-MAX(0,T.Nachtab-MAX(T41,T.Nachtbis))+(T41&gt;T42)*(1+T.Nachtbis-T.Nachtab)+T44-T43+MAX(0,T.Nachtab-MAX(T.Nachtbis,T44))-MAX(0,T.Nachtab-MAX(T43,T.Nachtbis))+(T43&gt;T44)*(1+T.Nachtbis-T.Nachtab),9),0)))</f>
        <v>0</v>
      </c>
      <c r="U73" s="256" t="n">
        <f aca="false">IF(U$12=0,0,IF(OR(T.50_Vetsuisse,T.ServiceCenterIrchel),ROUND(U14-U13+MAX(0,T.Nachtab-MAX(T.Nachtbis,U14))-MAX(0,T.Nachtab-MAX(U13,T.Nachtbis))+(U13&gt;U14)*(1+T.Nachtbis-T.Nachtab)+U16-U15+MAX(0,T.Nachtab-MAX(T.Nachtbis,U16))-MAX(0,T.Nachtab-MAX(U15,T.Nachtbis))+(U15&gt;U16)*(1+T.Nachtbis-T.Nachtab)+U18-U17+MAX(0,T.Nachtab-MAX(T.Nachtbis,U18))-MAX(0,T.Nachtab-MAX(U17,T.Nachtbis))+(U17&gt;U18)*(1+T.Nachtbis-T.Nachtab)+U20-U19+MAX(0,T.Nachtab-MAX(T.Nachtbis,U20))-MAX(0,T.Nachtab-MAX(U19,T.Nachtbis))+(U19&gt;U20)*(1+T.Nachtbis-T.Nachtab)+U22-U21+MAX(0,T.Nachtab-MAX(T.Nachtbis,U22))-MAX(0,T.Nachtab-MAX(U21,T.Nachtbis))+(U21&gt;U22)*(1+T.Nachtbis-T.Nachtab),9), IF(AND(WEEKDAY(U$10,2)&lt;6,U$11&lt;&gt;0),ROUND(U36-U35+MAX(0,T.Nachtab-MAX(T.Nachtbis,U36))-MAX(0,T.Nachtab-MAX(U35,T.Nachtbis))+(U35&gt;U36)*(1+T.Nachtbis-T.Nachtab)+U38-U37+MAX(0,T.Nachtab-MAX(T.Nachtbis,U38))-MAX(0,T.Nachtab-MAX(U37,T.Nachtbis))+(U37&gt;U38)*(1+T.Nachtbis-T.Nachtab)+U40-U39+MAX(0,T.Nachtab-MAX(T.Nachtbis,U40))-MAX(0,T.Nachtab-MAX(U39,T.Nachtbis))+(U39&gt;U40)*(1+T.Nachtbis-T.Nachtab)+U42-U41+MAX(0,T.Nachtab-MAX(T.Nachtbis,U42))-MAX(0,T.Nachtab-MAX(U41,T.Nachtbis))+(U41&gt;U42)*(1+T.Nachtbis-T.Nachtab)+U44-U43+MAX(0,T.Nachtab-MAX(T.Nachtbis,U44))-MAX(0,T.Nachtab-MAX(U43,T.Nachtbis))+(U43&gt;U44)*(1+T.Nachtbis-T.Nachtab),9),0)))</f>
        <v>0</v>
      </c>
      <c r="V73" s="256" t="n">
        <f aca="false">IF(V$12=0,0,IF(OR(T.50_Vetsuisse,T.ServiceCenterIrchel),ROUND(V14-V13+MAX(0,T.Nachtab-MAX(T.Nachtbis,V14))-MAX(0,T.Nachtab-MAX(V13,T.Nachtbis))+(V13&gt;V14)*(1+T.Nachtbis-T.Nachtab)+V16-V15+MAX(0,T.Nachtab-MAX(T.Nachtbis,V16))-MAX(0,T.Nachtab-MAX(V15,T.Nachtbis))+(V15&gt;V16)*(1+T.Nachtbis-T.Nachtab)+V18-V17+MAX(0,T.Nachtab-MAX(T.Nachtbis,V18))-MAX(0,T.Nachtab-MAX(V17,T.Nachtbis))+(V17&gt;V18)*(1+T.Nachtbis-T.Nachtab)+V20-V19+MAX(0,T.Nachtab-MAX(T.Nachtbis,V20))-MAX(0,T.Nachtab-MAX(V19,T.Nachtbis))+(V19&gt;V20)*(1+T.Nachtbis-T.Nachtab)+V22-V21+MAX(0,T.Nachtab-MAX(T.Nachtbis,V22))-MAX(0,T.Nachtab-MAX(V21,T.Nachtbis))+(V21&gt;V22)*(1+T.Nachtbis-T.Nachtab),9), IF(AND(WEEKDAY(V$10,2)&lt;6,V$11&lt;&gt;0),ROUND(V36-V35+MAX(0,T.Nachtab-MAX(T.Nachtbis,V36))-MAX(0,T.Nachtab-MAX(V35,T.Nachtbis))+(V35&gt;V36)*(1+T.Nachtbis-T.Nachtab)+V38-V37+MAX(0,T.Nachtab-MAX(T.Nachtbis,V38))-MAX(0,T.Nachtab-MAX(V37,T.Nachtbis))+(V37&gt;V38)*(1+T.Nachtbis-T.Nachtab)+V40-V39+MAX(0,T.Nachtab-MAX(T.Nachtbis,V40))-MAX(0,T.Nachtab-MAX(V39,T.Nachtbis))+(V39&gt;V40)*(1+T.Nachtbis-T.Nachtab)+V42-V41+MAX(0,T.Nachtab-MAX(T.Nachtbis,V42))-MAX(0,T.Nachtab-MAX(V41,T.Nachtbis))+(V41&gt;V42)*(1+T.Nachtbis-T.Nachtab)+V44-V43+MAX(0,T.Nachtab-MAX(T.Nachtbis,V44))-MAX(0,T.Nachtab-MAX(V43,T.Nachtbis))+(V43&gt;V44)*(1+T.Nachtbis-T.Nachtab),9),0)))</f>
        <v>0</v>
      </c>
      <c r="W73" s="256" t="n">
        <f aca="false">IF(W$12=0,0,IF(OR(T.50_Vetsuisse,T.ServiceCenterIrchel),ROUND(W14-W13+MAX(0,T.Nachtab-MAX(T.Nachtbis,W14))-MAX(0,T.Nachtab-MAX(W13,T.Nachtbis))+(W13&gt;W14)*(1+T.Nachtbis-T.Nachtab)+W16-W15+MAX(0,T.Nachtab-MAX(T.Nachtbis,W16))-MAX(0,T.Nachtab-MAX(W15,T.Nachtbis))+(W15&gt;W16)*(1+T.Nachtbis-T.Nachtab)+W18-W17+MAX(0,T.Nachtab-MAX(T.Nachtbis,W18))-MAX(0,T.Nachtab-MAX(W17,T.Nachtbis))+(W17&gt;W18)*(1+T.Nachtbis-T.Nachtab)+W20-W19+MAX(0,T.Nachtab-MAX(T.Nachtbis,W20))-MAX(0,T.Nachtab-MAX(W19,T.Nachtbis))+(W19&gt;W20)*(1+T.Nachtbis-T.Nachtab)+W22-W21+MAX(0,T.Nachtab-MAX(T.Nachtbis,W22))-MAX(0,T.Nachtab-MAX(W21,T.Nachtbis))+(W21&gt;W22)*(1+T.Nachtbis-T.Nachtab),9), IF(AND(WEEKDAY(W$10,2)&lt;6,W$11&lt;&gt;0),ROUND(W36-W35+MAX(0,T.Nachtab-MAX(T.Nachtbis,W36))-MAX(0,T.Nachtab-MAX(W35,T.Nachtbis))+(W35&gt;W36)*(1+T.Nachtbis-T.Nachtab)+W38-W37+MAX(0,T.Nachtab-MAX(T.Nachtbis,W38))-MAX(0,T.Nachtab-MAX(W37,T.Nachtbis))+(W37&gt;W38)*(1+T.Nachtbis-T.Nachtab)+W40-W39+MAX(0,T.Nachtab-MAX(T.Nachtbis,W40))-MAX(0,T.Nachtab-MAX(W39,T.Nachtbis))+(W39&gt;W40)*(1+T.Nachtbis-T.Nachtab)+W42-W41+MAX(0,T.Nachtab-MAX(T.Nachtbis,W42))-MAX(0,T.Nachtab-MAX(W41,T.Nachtbis))+(W41&gt;W42)*(1+T.Nachtbis-T.Nachtab)+W44-W43+MAX(0,T.Nachtab-MAX(T.Nachtbis,W44))-MAX(0,T.Nachtab-MAX(W43,T.Nachtbis))+(W43&gt;W44)*(1+T.Nachtbis-T.Nachtab),9),0)))</f>
        <v>0</v>
      </c>
      <c r="X73" s="256" t="n">
        <f aca="false">IF(X$12=0,0,IF(OR(T.50_Vetsuisse,T.ServiceCenterIrchel),ROUND(X14-X13+MAX(0,T.Nachtab-MAX(T.Nachtbis,X14))-MAX(0,T.Nachtab-MAX(X13,T.Nachtbis))+(X13&gt;X14)*(1+T.Nachtbis-T.Nachtab)+X16-X15+MAX(0,T.Nachtab-MAX(T.Nachtbis,X16))-MAX(0,T.Nachtab-MAX(X15,T.Nachtbis))+(X15&gt;X16)*(1+T.Nachtbis-T.Nachtab)+X18-X17+MAX(0,T.Nachtab-MAX(T.Nachtbis,X18))-MAX(0,T.Nachtab-MAX(X17,T.Nachtbis))+(X17&gt;X18)*(1+T.Nachtbis-T.Nachtab)+X20-X19+MAX(0,T.Nachtab-MAX(T.Nachtbis,X20))-MAX(0,T.Nachtab-MAX(X19,T.Nachtbis))+(X19&gt;X20)*(1+T.Nachtbis-T.Nachtab)+X22-X21+MAX(0,T.Nachtab-MAX(T.Nachtbis,X22))-MAX(0,T.Nachtab-MAX(X21,T.Nachtbis))+(X21&gt;X22)*(1+T.Nachtbis-T.Nachtab),9), IF(AND(WEEKDAY(X$10,2)&lt;6,X$11&lt;&gt;0),ROUND(X36-X35+MAX(0,T.Nachtab-MAX(T.Nachtbis,X36))-MAX(0,T.Nachtab-MAX(X35,T.Nachtbis))+(X35&gt;X36)*(1+T.Nachtbis-T.Nachtab)+X38-X37+MAX(0,T.Nachtab-MAX(T.Nachtbis,X38))-MAX(0,T.Nachtab-MAX(X37,T.Nachtbis))+(X37&gt;X38)*(1+T.Nachtbis-T.Nachtab)+X40-X39+MAX(0,T.Nachtab-MAX(T.Nachtbis,X40))-MAX(0,T.Nachtab-MAX(X39,T.Nachtbis))+(X39&gt;X40)*(1+T.Nachtbis-T.Nachtab)+X42-X41+MAX(0,T.Nachtab-MAX(T.Nachtbis,X42))-MAX(0,T.Nachtab-MAX(X41,T.Nachtbis))+(X41&gt;X42)*(1+T.Nachtbis-T.Nachtab)+X44-X43+MAX(0,T.Nachtab-MAX(T.Nachtbis,X44))-MAX(0,T.Nachtab-MAX(X43,T.Nachtbis))+(X43&gt;X44)*(1+T.Nachtbis-T.Nachtab),9),0)))</f>
        <v>0</v>
      </c>
      <c r="Y73" s="256" t="n">
        <f aca="false">IF(Y$12=0,0,IF(OR(T.50_Vetsuisse,T.ServiceCenterIrchel),ROUND(Y14-Y13+MAX(0,T.Nachtab-MAX(T.Nachtbis,Y14))-MAX(0,T.Nachtab-MAX(Y13,T.Nachtbis))+(Y13&gt;Y14)*(1+T.Nachtbis-T.Nachtab)+Y16-Y15+MAX(0,T.Nachtab-MAX(T.Nachtbis,Y16))-MAX(0,T.Nachtab-MAX(Y15,T.Nachtbis))+(Y15&gt;Y16)*(1+T.Nachtbis-T.Nachtab)+Y18-Y17+MAX(0,T.Nachtab-MAX(T.Nachtbis,Y18))-MAX(0,T.Nachtab-MAX(Y17,T.Nachtbis))+(Y17&gt;Y18)*(1+T.Nachtbis-T.Nachtab)+Y20-Y19+MAX(0,T.Nachtab-MAX(T.Nachtbis,Y20))-MAX(0,T.Nachtab-MAX(Y19,T.Nachtbis))+(Y19&gt;Y20)*(1+T.Nachtbis-T.Nachtab)+Y22-Y21+MAX(0,T.Nachtab-MAX(T.Nachtbis,Y22))-MAX(0,T.Nachtab-MAX(Y21,T.Nachtbis))+(Y21&gt;Y22)*(1+T.Nachtbis-T.Nachtab),9), IF(AND(WEEKDAY(Y$10,2)&lt;6,Y$11&lt;&gt;0),ROUND(Y36-Y35+MAX(0,T.Nachtab-MAX(T.Nachtbis,Y36))-MAX(0,T.Nachtab-MAX(Y35,T.Nachtbis))+(Y35&gt;Y36)*(1+T.Nachtbis-T.Nachtab)+Y38-Y37+MAX(0,T.Nachtab-MAX(T.Nachtbis,Y38))-MAX(0,T.Nachtab-MAX(Y37,T.Nachtbis))+(Y37&gt;Y38)*(1+T.Nachtbis-T.Nachtab)+Y40-Y39+MAX(0,T.Nachtab-MAX(T.Nachtbis,Y40))-MAX(0,T.Nachtab-MAX(Y39,T.Nachtbis))+(Y39&gt;Y40)*(1+T.Nachtbis-T.Nachtab)+Y42-Y41+MAX(0,T.Nachtab-MAX(T.Nachtbis,Y42))-MAX(0,T.Nachtab-MAX(Y41,T.Nachtbis))+(Y41&gt;Y42)*(1+T.Nachtbis-T.Nachtab)+Y44-Y43+MAX(0,T.Nachtab-MAX(T.Nachtbis,Y44))-MAX(0,T.Nachtab-MAX(Y43,T.Nachtbis))+(Y43&gt;Y44)*(1+T.Nachtbis-T.Nachtab),9),0)))</f>
        <v>0</v>
      </c>
      <c r="Z73" s="256" t="n">
        <f aca="false">IF(Z$12=0,0,IF(OR(T.50_Vetsuisse,T.ServiceCenterIrchel),ROUND(Z14-Z13+MAX(0,T.Nachtab-MAX(T.Nachtbis,Z14))-MAX(0,T.Nachtab-MAX(Z13,T.Nachtbis))+(Z13&gt;Z14)*(1+T.Nachtbis-T.Nachtab)+Z16-Z15+MAX(0,T.Nachtab-MAX(T.Nachtbis,Z16))-MAX(0,T.Nachtab-MAX(Z15,T.Nachtbis))+(Z15&gt;Z16)*(1+T.Nachtbis-T.Nachtab)+Z18-Z17+MAX(0,T.Nachtab-MAX(T.Nachtbis,Z18))-MAX(0,T.Nachtab-MAX(Z17,T.Nachtbis))+(Z17&gt;Z18)*(1+T.Nachtbis-T.Nachtab)+Z20-Z19+MAX(0,T.Nachtab-MAX(T.Nachtbis,Z20))-MAX(0,T.Nachtab-MAX(Z19,T.Nachtbis))+(Z19&gt;Z20)*(1+T.Nachtbis-T.Nachtab)+Z22-Z21+MAX(0,T.Nachtab-MAX(T.Nachtbis,Z22))-MAX(0,T.Nachtab-MAX(Z21,T.Nachtbis))+(Z21&gt;Z22)*(1+T.Nachtbis-T.Nachtab),9), IF(AND(WEEKDAY(Z$10,2)&lt;6,Z$11&lt;&gt;0),ROUND(Z36-Z35+MAX(0,T.Nachtab-MAX(T.Nachtbis,Z36))-MAX(0,T.Nachtab-MAX(Z35,T.Nachtbis))+(Z35&gt;Z36)*(1+T.Nachtbis-T.Nachtab)+Z38-Z37+MAX(0,T.Nachtab-MAX(T.Nachtbis,Z38))-MAX(0,T.Nachtab-MAX(Z37,T.Nachtbis))+(Z37&gt;Z38)*(1+T.Nachtbis-T.Nachtab)+Z40-Z39+MAX(0,T.Nachtab-MAX(T.Nachtbis,Z40))-MAX(0,T.Nachtab-MAX(Z39,T.Nachtbis))+(Z39&gt;Z40)*(1+T.Nachtbis-T.Nachtab)+Z42-Z41+MAX(0,T.Nachtab-MAX(T.Nachtbis,Z42))-MAX(0,T.Nachtab-MAX(Z41,T.Nachtbis))+(Z41&gt;Z42)*(1+T.Nachtbis-T.Nachtab)+Z44-Z43+MAX(0,T.Nachtab-MAX(T.Nachtbis,Z44))-MAX(0,T.Nachtab-MAX(Z43,T.Nachtbis))+(Z43&gt;Z44)*(1+T.Nachtbis-T.Nachtab),9),0)))</f>
        <v>0</v>
      </c>
      <c r="AA73" s="256" t="n">
        <f aca="false">IF(AA$12=0,0,IF(OR(T.50_Vetsuisse,T.ServiceCenterIrchel),ROUND(AA14-AA13+MAX(0,T.Nachtab-MAX(T.Nachtbis,AA14))-MAX(0,T.Nachtab-MAX(AA13,T.Nachtbis))+(AA13&gt;AA14)*(1+T.Nachtbis-T.Nachtab)+AA16-AA15+MAX(0,T.Nachtab-MAX(T.Nachtbis,AA16))-MAX(0,T.Nachtab-MAX(AA15,T.Nachtbis))+(AA15&gt;AA16)*(1+T.Nachtbis-T.Nachtab)+AA18-AA17+MAX(0,T.Nachtab-MAX(T.Nachtbis,AA18))-MAX(0,T.Nachtab-MAX(AA17,T.Nachtbis))+(AA17&gt;AA18)*(1+T.Nachtbis-T.Nachtab)+AA20-AA19+MAX(0,T.Nachtab-MAX(T.Nachtbis,AA20))-MAX(0,T.Nachtab-MAX(AA19,T.Nachtbis))+(AA19&gt;AA20)*(1+T.Nachtbis-T.Nachtab)+AA22-AA21+MAX(0,T.Nachtab-MAX(T.Nachtbis,AA22))-MAX(0,T.Nachtab-MAX(AA21,T.Nachtbis))+(AA21&gt;AA22)*(1+T.Nachtbis-T.Nachtab),9), IF(AND(WEEKDAY(AA$10,2)&lt;6,AA$11&lt;&gt;0),ROUND(AA36-AA35+MAX(0,T.Nachtab-MAX(T.Nachtbis,AA36))-MAX(0,T.Nachtab-MAX(AA35,T.Nachtbis))+(AA35&gt;AA36)*(1+T.Nachtbis-T.Nachtab)+AA38-AA37+MAX(0,T.Nachtab-MAX(T.Nachtbis,AA38))-MAX(0,T.Nachtab-MAX(AA37,T.Nachtbis))+(AA37&gt;AA38)*(1+T.Nachtbis-T.Nachtab)+AA40-AA39+MAX(0,T.Nachtab-MAX(T.Nachtbis,AA40))-MAX(0,T.Nachtab-MAX(AA39,T.Nachtbis))+(AA39&gt;AA40)*(1+T.Nachtbis-T.Nachtab)+AA42-AA41+MAX(0,T.Nachtab-MAX(T.Nachtbis,AA42))-MAX(0,T.Nachtab-MAX(AA41,T.Nachtbis))+(AA41&gt;AA42)*(1+T.Nachtbis-T.Nachtab)+AA44-AA43+MAX(0,T.Nachtab-MAX(T.Nachtbis,AA44))-MAX(0,T.Nachtab-MAX(AA43,T.Nachtbis))+(AA43&gt;AA44)*(1+T.Nachtbis-T.Nachtab),9),0)))</f>
        <v>0</v>
      </c>
      <c r="AB73" s="256" t="n">
        <f aca="false">IF(AB$12=0,0,IF(OR(T.50_Vetsuisse,T.ServiceCenterIrchel),ROUND(AB14-AB13+MAX(0,T.Nachtab-MAX(T.Nachtbis,AB14))-MAX(0,T.Nachtab-MAX(AB13,T.Nachtbis))+(AB13&gt;AB14)*(1+T.Nachtbis-T.Nachtab)+AB16-AB15+MAX(0,T.Nachtab-MAX(T.Nachtbis,AB16))-MAX(0,T.Nachtab-MAX(AB15,T.Nachtbis))+(AB15&gt;AB16)*(1+T.Nachtbis-T.Nachtab)+AB18-AB17+MAX(0,T.Nachtab-MAX(T.Nachtbis,AB18))-MAX(0,T.Nachtab-MAX(AB17,T.Nachtbis))+(AB17&gt;AB18)*(1+T.Nachtbis-T.Nachtab)+AB20-AB19+MAX(0,T.Nachtab-MAX(T.Nachtbis,AB20))-MAX(0,T.Nachtab-MAX(AB19,T.Nachtbis))+(AB19&gt;AB20)*(1+T.Nachtbis-T.Nachtab)+AB22-AB21+MAX(0,T.Nachtab-MAX(T.Nachtbis,AB22))-MAX(0,T.Nachtab-MAX(AB21,T.Nachtbis))+(AB21&gt;AB22)*(1+T.Nachtbis-T.Nachtab),9), IF(AND(WEEKDAY(AB$10,2)&lt;6,AB$11&lt;&gt;0),ROUND(AB36-AB35+MAX(0,T.Nachtab-MAX(T.Nachtbis,AB36))-MAX(0,T.Nachtab-MAX(AB35,T.Nachtbis))+(AB35&gt;AB36)*(1+T.Nachtbis-T.Nachtab)+AB38-AB37+MAX(0,T.Nachtab-MAX(T.Nachtbis,AB38))-MAX(0,T.Nachtab-MAX(AB37,T.Nachtbis))+(AB37&gt;AB38)*(1+T.Nachtbis-T.Nachtab)+AB40-AB39+MAX(0,T.Nachtab-MAX(T.Nachtbis,AB40))-MAX(0,T.Nachtab-MAX(AB39,T.Nachtbis))+(AB39&gt;AB40)*(1+T.Nachtbis-T.Nachtab)+AB42-AB41+MAX(0,T.Nachtab-MAX(T.Nachtbis,AB42))-MAX(0,T.Nachtab-MAX(AB41,T.Nachtbis))+(AB41&gt;AB42)*(1+T.Nachtbis-T.Nachtab)+AB44-AB43+MAX(0,T.Nachtab-MAX(T.Nachtbis,AB44))-MAX(0,T.Nachtab-MAX(AB43,T.Nachtbis))+(AB43&gt;AB44)*(1+T.Nachtbis-T.Nachtab),9),0)))</f>
        <v>0</v>
      </c>
      <c r="AC73" s="256" t="n">
        <f aca="false">IF(AC$12=0,0,IF(OR(T.50_Vetsuisse,T.ServiceCenterIrchel),ROUND(AC14-AC13+MAX(0,T.Nachtab-MAX(T.Nachtbis,AC14))-MAX(0,T.Nachtab-MAX(AC13,T.Nachtbis))+(AC13&gt;AC14)*(1+T.Nachtbis-T.Nachtab)+AC16-AC15+MAX(0,T.Nachtab-MAX(T.Nachtbis,AC16))-MAX(0,T.Nachtab-MAX(AC15,T.Nachtbis))+(AC15&gt;AC16)*(1+T.Nachtbis-T.Nachtab)+AC18-AC17+MAX(0,T.Nachtab-MAX(T.Nachtbis,AC18))-MAX(0,T.Nachtab-MAX(AC17,T.Nachtbis))+(AC17&gt;AC18)*(1+T.Nachtbis-T.Nachtab)+AC20-AC19+MAX(0,T.Nachtab-MAX(T.Nachtbis,AC20))-MAX(0,T.Nachtab-MAX(AC19,T.Nachtbis))+(AC19&gt;AC20)*(1+T.Nachtbis-T.Nachtab)+AC22-AC21+MAX(0,T.Nachtab-MAX(T.Nachtbis,AC22))-MAX(0,T.Nachtab-MAX(AC21,T.Nachtbis))+(AC21&gt;AC22)*(1+T.Nachtbis-T.Nachtab),9), IF(AND(WEEKDAY(AC$10,2)&lt;6,AC$11&lt;&gt;0),ROUND(AC36-AC35+MAX(0,T.Nachtab-MAX(T.Nachtbis,AC36))-MAX(0,T.Nachtab-MAX(AC35,T.Nachtbis))+(AC35&gt;AC36)*(1+T.Nachtbis-T.Nachtab)+AC38-AC37+MAX(0,T.Nachtab-MAX(T.Nachtbis,AC38))-MAX(0,T.Nachtab-MAX(AC37,T.Nachtbis))+(AC37&gt;AC38)*(1+T.Nachtbis-T.Nachtab)+AC40-AC39+MAX(0,T.Nachtab-MAX(T.Nachtbis,AC40))-MAX(0,T.Nachtab-MAX(AC39,T.Nachtbis))+(AC39&gt;AC40)*(1+T.Nachtbis-T.Nachtab)+AC42-AC41+MAX(0,T.Nachtab-MAX(T.Nachtbis,AC42))-MAX(0,T.Nachtab-MAX(AC41,T.Nachtbis))+(AC41&gt;AC42)*(1+T.Nachtbis-T.Nachtab)+AC44-AC43+MAX(0,T.Nachtab-MAX(T.Nachtbis,AC44))-MAX(0,T.Nachtab-MAX(AC43,T.Nachtbis))+(AC43&gt;AC44)*(1+T.Nachtbis-T.Nachtab),9),0)))</f>
        <v>0</v>
      </c>
      <c r="AD73" s="256" t="n">
        <f aca="false">IF(AD$12=0,0,IF(OR(T.50_Vetsuisse,T.ServiceCenterIrchel),ROUND(AD14-AD13+MAX(0,T.Nachtab-MAX(T.Nachtbis,AD14))-MAX(0,T.Nachtab-MAX(AD13,T.Nachtbis))+(AD13&gt;AD14)*(1+T.Nachtbis-T.Nachtab)+AD16-AD15+MAX(0,T.Nachtab-MAX(T.Nachtbis,AD16))-MAX(0,T.Nachtab-MAX(AD15,T.Nachtbis))+(AD15&gt;AD16)*(1+T.Nachtbis-T.Nachtab)+AD18-AD17+MAX(0,T.Nachtab-MAX(T.Nachtbis,AD18))-MAX(0,T.Nachtab-MAX(AD17,T.Nachtbis))+(AD17&gt;AD18)*(1+T.Nachtbis-T.Nachtab)+AD20-AD19+MAX(0,T.Nachtab-MAX(T.Nachtbis,AD20))-MAX(0,T.Nachtab-MAX(AD19,T.Nachtbis))+(AD19&gt;AD20)*(1+T.Nachtbis-T.Nachtab)+AD22-AD21+MAX(0,T.Nachtab-MAX(T.Nachtbis,AD22))-MAX(0,T.Nachtab-MAX(AD21,T.Nachtbis))+(AD21&gt;AD22)*(1+T.Nachtbis-T.Nachtab),9), IF(AND(WEEKDAY(AD$10,2)&lt;6,AD$11&lt;&gt;0),ROUND(AD36-AD35+MAX(0,T.Nachtab-MAX(T.Nachtbis,AD36))-MAX(0,T.Nachtab-MAX(AD35,T.Nachtbis))+(AD35&gt;AD36)*(1+T.Nachtbis-T.Nachtab)+AD38-AD37+MAX(0,T.Nachtab-MAX(T.Nachtbis,AD38))-MAX(0,T.Nachtab-MAX(AD37,T.Nachtbis))+(AD37&gt;AD38)*(1+T.Nachtbis-T.Nachtab)+AD40-AD39+MAX(0,T.Nachtab-MAX(T.Nachtbis,AD40))-MAX(0,T.Nachtab-MAX(AD39,T.Nachtbis))+(AD39&gt;AD40)*(1+T.Nachtbis-T.Nachtab)+AD42-AD41+MAX(0,T.Nachtab-MAX(T.Nachtbis,AD42))-MAX(0,T.Nachtab-MAX(AD41,T.Nachtbis))+(AD41&gt;AD42)*(1+T.Nachtbis-T.Nachtab)+AD44-AD43+MAX(0,T.Nachtab-MAX(T.Nachtbis,AD44))-MAX(0,T.Nachtab-MAX(AD43,T.Nachtbis))+(AD43&gt;AD44)*(1+T.Nachtbis-T.Nachtab),9),0)))</f>
        <v>0</v>
      </c>
      <c r="AE73" s="256" t="n">
        <f aca="false">IF(AE$12=0,0,IF(OR(T.50_Vetsuisse,T.ServiceCenterIrchel),ROUND(AE14-AE13+MAX(0,T.Nachtab-MAX(T.Nachtbis,AE14))-MAX(0,T.Nachtab-MAX(AE13,T.Nachtbis))+(AE13&gt;AE14)*(1+T.Nachtbis-T.Nachtab)+AE16-AE15+MAX(0,T.Nachtab-MAX(T.Nachtbis,AE16))-MAX(0,T.Nachtab-MAX(AE15,T.Nachtbis))+(AE15&gt;AE16)*(1+T.Nachtbis-T.Nachtab)+AE18-AE17+MAX(0,T.Nachtab-MAX(T.Nachtbis,AE18))-MAX(0,T.Nachtab-MAX(AE17,T.Nachtbis))+(AE17&gt;AE18)*(1+T.Nachtbis-T.Nachtab)+AE20-AE19+MAX(0,T.Nachtab-MAX(T.Nachtbis,AE20))-MAX(0,T.Nachtab-MAX(AE19,T.Nachtbis))+(AE19&gt;AE20)*(1+T.Nachtbis-T.Nachtab)+AE22-AE21+MAX(0,T.Nachtab-MAX(T.Nachtbis,AE22))-MAX(0,T.Nachtab-MAX(AE21,T.Nachtbis))+(AE21&gt;AE22)*(1+T.Nachtbis-T.Nachtab),9), IF(AND(WEEKDAY(AE$10,2)&lt;6,AE$11&lt;&gt;0),ROUND(AE36-AE35+MAX(0,T.Nachtab-MAX(T.Nachtbis,AE36))-MAX(0,T.Nachtab-MAX(AE35,T.Nachtbis))+(AE35&gt;AE36)*(1+T.Nachtbis-T.Nachtab)+AE38-AE37+MAX(0,T.Nachtab-MAX(T.Nachtbis,AE38))-MAX(0,T.Nachtab-MAX(AE37,T.Nachtbis))+(AE37&gt;AE38)*(1+T.Nachtbis-T.Nachtab)+AE40-AE39+MAX(0,T.Nachtab-MAX(T.Nachtbis,AE40))-MAX(0,T.Nachtab-MAX(AE39,T.Nachtbis))+(AE39&gt;AE40)*(1+T.Nachtbis-T.Nachtab)+AE42-AE41+MAX(0,T.Nachtab-MAX(T.Nachtbis,AE42))-MAX(0,T.Nachtab-MAX(AE41,T.Nachtbis))+(AE41&gt;AE42)*(1+T.Nachtbis-T.Nachtab)+AE44-AE43+MAX(0,T.Nachtab-MAX(T.Nachtbis,AE44))-MAX(0,T.Nachtab-MAX(AE43,T.Nachtbis))+(AE43&gt;AE44)*(1+T.Nachtbis-T.Nachtab),9),0)))</f>
        <v>0</v>
      </c>
      <c r="AF73" s="256" t="n">
        <f aca="false">IF(AF$12=0,0,IF(OR(T.50_Vetsuisse,T.ServiceCenterIrchel),ROUND(AF14-AF13+MAX(0,T.Nachtab-MAX(T.Nachtbis,AF14))-MAX(0,T.Nachtab-MAX(AF13,T.Nachtbis))+(AF13&gt;AF14)*(1+T.Nachtbis-T.Nachtab)+AF16-AF15+MAX(0,T.Nachtab-MAX(T.Nachtbis,AF16))-MAX(0,T.Nachtab-MAX(AF15,T.Nachtbis))+(AF15&gt;AF16)*(1+T.Nachtbis-T.Nachtab)+AF18-AF17+MAX(0,T.Nachtab-MAX(T.Nachtbis,AF18))-MAX(0,T.Nachtab-MAX(AF17,T.Nachtbis))+(AF17&gt;AF18)*(1+T.Nachtbis-T.Nachtab)+AF20-AF19+MAX(0,T.Nachtab-MAX(T.Nachtbis,AF20))-MAX(0,T.Nachtab-MAX(AF19,T.Nachtbis))+(AF19&gt;AF20)*(1+T.Nachtbis-T.Nachtab)+AF22-AF21+MAX(0,T.Nachtab-MAX(T.Nachtbis,AF22))-MAX(0,T.Nachtab-MAX(AF21,T.Nachtbis))+(AF21&gt;AF22)*(1+T.Nachtbis-T.Nachtab),9), IF(AND(WEEKDAY(AF$10,2)&lt;6,AF$11&lt;&gt;0),ROUND(AF36-AF35+MAX(0,T.Nachtab-MAX(T.Nachtbis,AF36))-MAX(0,T.Nachtab-MAX(AF35,T.Nachtbis))+(AF35&gt;AF36)*(1+T.Nachtbis-T.Nachtab)+AF38-AF37+MAX(0,T.Nachtab-MAX(T.Nachtbis,AF38))-MAX(0,T.Nachtab-MAX(AF37,T.Nachtbis))+(AF37&gt;AF38)*(1+T.Nachtbis-T.Nachtab)+AF40-AF39+MAX(0,T.Nachtab-MAX(T.Nachtbis,AF40))-MAX(0,T.Nachtab-MAX(AF39,T.Nachtbis))+(AF39&gt;AF40)*(1+T.Nachtbis-T.Nachtab)+AF42-AF41+MAX(0,T.Nachtab-MAX(T.Nachtbis,AF42))-MAX(0,T.Nachtab-MAX(AF41,T.Nachtbis))+(AF41&gt;AF42)*(1+T.Nachtbis-T.Nachtab)+AF44-AF43+MAX(0,T.Nachtab-MAX(T.Nachtbis,AF44))-MAX(0,T.Nachtab-MAX(AF43,T.Nachtbis))+(AF43&gt;AF44)*(1+T.Nachtbis-T.Nachtab),9),0)))</f>
        <v>0</v>
      </c>
      <c r="AG73" s="168" t="str">
        <f aca="false">A73</f>
        <v>Night shift</v>
      </c>
      <c r="AH73" s="197"/>
      <c r="AI73" s="207" t="n">
        <f aca="false">SUM(B73:AF73)</f>
        <v>0</v>
      </c>
      <c r="AJ73" s="198" t="n">
        <f aca="false">IF(OR(T.50_Vetsuisse,T.ServiceCenterIrchel),AI69, IFERROR(SUMPRODUCT((B77:AF77&gt;0)*(B77:AF77&lt;&gt;"")),0))</f>
        <v>0</v>
      </c>
      <c r="AK73" s="192"/>
      <c r="AL73" s="216" t="n">
        <f aca="false">IF(EB.Anwendung&lt;&gt;"",IF(MONTH(Monat.Tag1)=1,0,IF(MONTH(Monat.Tag1)=2,Monat.NDUeVM,IF(MONTH(Monat.Tag1)=3,February!Monat.NDUeVM,IF(MONTH(Monat.Tag1)=4,March!Monat.NDUeVM,IF(MONTH(Monat.Tag1)=5,April!Monat.NDUeVM,IF(MONTH(Monat.Tag1)=6,May!Monat.NDUeVM,IF(MONTH(Monat.Tag1)=7,June!Monat.NDUeVM,IF(MONTH(Monat.Tag1)=8,July!Monat.NDUeVM,IF(MONTH(Monat.Tag1)=9,August!Monat.NDUeVM,IF(MONTH(Monat.Tag1)=10,September!Monat.NDUeVM,IF(MONTH(Monat.Tag1)=11,October!Monat.NDUeVM,IF(MONTH(Monat.Tag1)=12,November!Monat.NDUeVM,"")))))))))))),"")</f>
        <v>0</v>
      </c>
      <c r="AM73" s="172"/>
      <c r="AN73" s="217" t="n">
        <f aca="false">AI73+AL73</f>
        <v>0</v>
      </c>
      <c r="AO73" s="171"/>
      <c r="AP73" s="171"/>
      <c r="AQ73" s="39"/>
    </row>
    <row r="74" s="148" customFormat="true" ht="3.75" hidden="true" customHeight="true" outlineLevel="0" collapsed="false">
      <c r="A74" s="186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179"/>
      <c r="AG74" s="168"/>
      <c r="AH74" s="146"/>
      <c r="AI74" s="179"/>
      <c r="AJ74" s="180"/>
      <c r="AK74" s="172"/>
      <c r="AL74" s="172"/>
      <c r="AM74" s="172"/>
      <c r="AN74" s="171"/>
      <c r="AO74" s="172"/>
      <c r="AP74" s="172"/>
      <c r="AQ74" s="39"/>
    </row>
    <row r="75" s="148" customFormat="true" ht="16.5" hidden="true" customHeight="true" outlineLevel="1" collapsed="false">
      <c r="A75" s="181" t="s">
        <v>160</v>
      </c>
      <c r="B75" s="182" t="n">
        <f aca="false">IF(B73&gt;0,ROUND(B73- IF(B13&lt;T.Nachtbis,MIN(T.Nachtbis-B13,B14-B13)+IF(B15&lt;T.Nachtbis,MIN(T.Nachtbis-B15,B16-B15)+IF(B17&lt;T.Nachtbis,MIN(T.Nachtbis-B17,B18-B17)+IF(B19&lt;T.Nachtbis,MIN(T.Nachtbis-B19,B20-B19)+IF(B21&lt;T.Nachtbis,MIN(T.Nachtbis-B21,B22-B21),0),0),0),0),0),9),0)</f>
        <v>0</v>
      </c>
      <c r="C75" s="182" t="n">
        <f aca="false">IF(C73&gt;0,ROUND(C73- IF(C13&lt;T.Nachtbis,MIN(T.Nachtbis-C13,C14-C13)+IF(C15&lt;T.Nachtbis,MIN(T.Nachtbis-C15,C16-C15)+IF(C17&lt;T.Nachtbis,MIN(T.Nachtbis-C17,C18-C17)+IF(C19&lt;T.Nachtbis,MIN(T.Nachtbis-C19,C20-C19)+IF(C21&lt;T.Nachtbis,MIN(T.Nachtbis-C21,C22-C21),0),0),0),0),0),9),0)</f>
        <v>0</v>
      </c>
      <c r="D75" s="182" t="n">
        <f aca="false">IF(D73&gt;0,ROUND(D73- IF(D13&lt;T.Nachtbis,MIN(T.Nachtbis-D13,D14-D13)+IF(D15&lt;T.Nachtbis,MIN(T.Nachtbis-D15,D16-D15)+IF(D17&lt;T.Nachtbis,MIN(T.Nachtbis-D17,D18-D17)+IF(D19&lt;T.Nachtbis,MIN(T.Nachtbis-D19,D20-D19)+IF(D21&lt;T.Nachtbis,MIN(T.Nachtbis-D21,D22-D21),0),0),0),0),0),9),0)</f>
        <v>0</v>
      </c>
      <c r="E75" s="182" t="n">
        <f aca="false">IF(E73&gt;0,ROUND(E73- IF(E13&lt;T.Nachtbis,MIN(T.Nachtbis-E13,E14-E13)+IF(E15&lt;T.Nachtbis,MIN(T.Nachtbis-E15,E16-E15)+IF(E17&lt;T.Nachtbis,MIN(T.Nachtbis-E17,E18-E17)+IF(E19&lt;T.Nachtbis,MIN(T.Nachtbis-E19,E20-E19)+IF(E21&lt;T.Nachtbis,MIN(T.Nachtbis-E21,E22-E21),0),0),0),0),0),9),0)</f>
        <v>0</v>
      </c>
      <c r="F75" s="182" t="n">
        <f aca="false">IF(F73&gt;0,ROUND(F73- IF(F13&lt;T.Nachtbis,MIN(T.Nachtbis-F13,F14-F13)+IF(F15&lt;T.Nachtbis,MIN(T.Nachtbis-F15,F16-F15)+IF(F17&lt;T.Nachtbis,MIN(T.Nachtbis-F17,F18-F17)+IF(F19&lt;T.Nachtbis,MIN(T.Nachtbis-F19,F20-F19)+IF(F21&lt;T.Nachtbis,MIN(T.Nachtbis-F21,F22-F21),0),0),0),0),0),9),0)</f>
        <v>0</v>
      </c>
      <c r="G75" s="182" t="n">
        <f aca="false">IF(G73&gt;0,ROUND(G73- IF(G13&lt;T.Nachtbis,MIN(T.Nachtbis-G13,G14-G13)+IF(G15&lt;T.Nachtbis,MIN(T.Nachtbis-G15,G16-G15)+IF(G17&lt;T.Nachtbis,MIN(T.Nachtbis-G17,G18-G17)+IF(G19&lt;T.Nachtbis,MIN(T.Nachtbis-G19,G20-G19)+IF(G21&lt;T.Nachtbis,MIN(T.Nachtbis-G21,G22-G21),0),0),0),0),0),9),0)</f>
        <v>0</v>
      </c>
      <c r="H75" s="182" t="n">
        <f aca="false">IF(H73&gt;0,ROUND(H73- IF(H13&lt;T.Nachtbis,MIN(T.Nachtbis-H13,H14-H13)+IF(H15&lt;T.Nachtbis,MIN(T.Nachtbis-H15,H16-H15)+IF(H17&lt;T.Nachtbis,MIN(T.Nachtbis-H17,H18-H17)+IF(H19&lt;T.Nachtbis,MIN(T.Nachtbis-H19,H20-H19)+IF(H21&lt;T.Nachtbis,MIN(T.Nachtbis-H21,H22-H21),0),0),0),0),0),9),0)</f>
        <v>0</v>
      </c>
      <c r="I75" s="182" t="n">
        <f aca="false">IF(I73&gt;0,ROUND(I73- IF(I13&lt;T.Nachtbis,MIN(T.Nachtbis-I13,I14-I13)+IF(I15&lt;T.Nachtbis,MIN(T.Nachtbis-I15,I16-I15)+IF(I17&lt;T.Nachtbis,MIN(T.Nachtbis-I17,I18-I17)+IF(I19&lt;T.Nachtbis,MIN(T.Nachtbis-I19,I20-I19)+IF(I21&lt;T.Nachtbis,MIN(T.Nachtbis-I21,I22-I21),0),0),0),0),0),9),0)</f>
        <v>0</v>
      </c>
      <c r="J75" s="182" t="n">
        <f aca="false">IF(J73&gt;0,ROUND(J73- IF(J13&lt;T.Nachtbis,MIN(T.Nachtbis-J13,J14-J13)+IF(J15&lt;T.Nachtbis,MIN(T.Nachtbis-J15,J16-J15)+IF(J17&lt;T.Nachtbis,MIN(T.Nachtbis-J17,J18-J17)+IF(J19&lt;T.Nachtbis,MIN(T.Nachtbis-J19,J20-J19)+IF(J21&lt;T.Nachtbis,MIN(T.Nachtbis-J21,J22-J21),0),0),0),0),0),9),0)</f>
        <v>0</v>
      </c>
      <c r="K75" s="182" t="n">
        <f aca="false">IF(K73&gt;0,ROUND(K73- IF(K13&lt;T.Nachtbis,MIN(T.Nachtbis-K13,K14-K13)+IF(K15&lt;T.Nachtbis,MIN(T.Nachtbis-K15,K16-K15)+IF(K17&lt;T.Nachtbis,MIN(T.Nachtbis-K17,K18-K17)+IF(K19&lt;T.Nachtbis,MIN(T.Nachtbis-K19,K20-K19)+IF(K21&lt;T.Nachtbis,MIN(T.Nachtbis-K21,K22-K21),0),0),0),0),0),9),0)</f>
        <v>0</v>
      </c>
      <c r="L75" s="182" t="n">
        <f aca="false">IF(L73&gt;0,ROUND(L73- IF(L13&lt;T.Nachtbis,MIN(T.Nachtbis-L13,L14-L13)+IF(L15&lt;T.Nachtbis,MIN(T.Nachtbis-L15,L16-L15)+IF(L17&lt;T.Nachtbis,MIN(T.Nachtbis-L17,L18-L17)+IF(L19&lt;T.Nachtbis,MIN(T.Nachtbis-L19,L20-L19)+IF(L21&lt;T.Nachtbis,MIN(T.Nachtbis-L21,L22-L21),0),0),0),0),0),9),0)</f>
        <v>0</v>
      </c>
      <c r="M75" s="182" t="n">
        <f aca="false">IF(M73&gt;0,ROUND(M73- IF(M13&lt;T.Nachtbis,MIN(T.Nachtbis-M13,M14-M13)+IF(M15&lt;T.Nachtbis,MIN(T.Nachtbis-M15,M16-M15)+IF(M17&lt;T.Nachtbis,MIN(T.Nachtbis-M17,M18-M17)+IF(M19&lt;T.Nachtbis,MIN(T.Nachtbis-M19,M20-M19)+IF(M21&lt;T.Nachtbis,MIN(T.Nachtbis-M21,M22-M21),0),0),0),0),0),9),0)</f>
        <v>0</v>
      </c>
      <c r="N75" s="182" t="n">
        <f aca="false">IF(N73&gt;0,ROUND(N73- IF(N13&lt;T.Nachtbis,MIN(T.Nachtbis-N13,N14-N13)+IF(N15&lt;T.Nachtbis,MIN(T.Nachtbis-N15,N16-N15)+IF(N17&lt;T.Nachtbis,MIN(T.Nachtbis-N17,N18-N17)+IF(N19&lt;T.Nachtbis,MIN(T.Nachtbis-N19,N20-N19)+IF(N21&lt;T.Nachtbis,MIN(T.Nachtbis-N21,N22-N21),0),0),0),0),0),9),0)</f>
        <v>0</v>
      </c>
      <c r="O75" s="182" t="n">
        <f aca="false">IF(O73&gt;0,ROUND(O73- IF(O13&lt;T.Nachtbis,MIN(T.Nachtbis-O13,O14-O13)+IF(O15&lt;T.Nachtbis,MIN(T.Nachtbis-O15,O16-O15)+IF(O17&lt;T.Nachtbis,MIN(T.Nachtbis-O17,O18-O17)+IF(O19&lt;T.Nachtbis,MIN(T.Nachtbis-O19,O20-O19)+IF(O21&lt;T.Nachtbis,MIN(T.Nachtbis-O21,O22-O21),0),0),0),0),0),9),0)</f>
        <v>0</v>
      </c>
      <c r="P75" s="182" t="n">
        <f aca="false">IF(P73&gt;0,ROUND(P73- IF(P13&lt;T.Nachtbis,MIN(T.Nachtbis-P13,P14-P13)+IF(P15&lt;T.Nachtbis,MIN(T.Nachtbis-P15,P16-P15)+IF(P17&lt;T.Nachtbis,MIN(T.Nachtbis-P17,P18-P17)+IF(P19&lt;T.Nachtbis,MIN(T.Nachtbis-P19,P20-P19)+IF(P21&lt;T.Nachtbis,MIN(T.Nachtbis-P21,P22-P21),0),0),0),0),0),9),0)</f>
        <v>0</v>
      </c>
      <c r="Q75" s="182" t="n">
        <f aca="false">IF(Q73&gt;0,ROUND(Q73- IF(Q13&lt;T.Nachtbis,MIN(T.Nachtbis-Q13,Q14-Q13)+IF(Q15&lt;T.Nachtbis,MIN(T.Nachtbis-Q15,Q16-Q15)+IF(Q17&lt;T.Nachtbis,MIN(T.Nachtbis-Q17,Q18-Q17)+IF(Q19&lt;T.Nachtbis,MIN(T.Nachtbis-Q19,Q20-Q19)+IF(Q21&lt;T.Nachtbis,MIN(T.Nachtbis-Q21,Q22-Q21),0),0),0),0),0),9),0)</f>
        <v>0</v>
      </c>
      <c r="R75" s="182" t="n">
        <f aca="false">IF(R73&gt;0,ROUND(R73- IF(R13&lt;T.Nachtbis,MIN(T.Nachtbis-R13,R14-R13)+IF(R15&lt;T.Nachtbis,MIN(T.Nachtbis-R15,R16-R15)+IF(R17&lt;T.Nachtbis,MIN(T.Nachtbis-R17,R18-R17)+IF(R19&lt;T.Nachtbis,MIN(T.Nachtbis-R19,R20-R19)+IF(R21&lt;T.Nachtbis,MIN(T.Nachtbis-R21,R22-R21),0),0),0),0),0),9),0)</f>
        <v>0</v>
      </c>
      <c r="S75" s="182" t="n">
        <f aca="false">IF(S73&gt;0,ROUND(S73- IF(S13&lt;T.Nachtbis,MIN(T.Nachtbis-S13,S14-S13)+IF(S15&lt;T.Nachtbis,MIN(T.Nachtbis-S15,S16-S15)+IF(S17&lt;T.Nachtbis,MIN(T.Nachtbis-S17,S18-S17)+IF(S19&lt;T.Nachtbis,MIN(T.Nachtbis-S19,S20-S19)+IF(S21&lt;T.Nachtbis,MIN(T.Nachtbis-S21,S22-S21),0),0),0),0),0),9),0)</f>
        <v>0</v>
      </c>
      <c r="T75" s="182" t="n">
        <f aca="false">IF(T73&gt;0,ROUND(T73- IF(T13&lt;T.Nachtbis,MIN(T.Nachtbis-T13,T14-T13)+IF(T15&lt;T.Nachtbis,MIN(T.Nachtbis-T15,T16-T15)+IF(T17&lt;T.Nachtbis,MIN(T.Nachtbis-T17,T18-T17)+IF(T19&lt;T.Nachtbis,MIN(T.Nachtbis-T19,T20-T19)+IF(T21&lt;T.Nachtbis,MIN(T.Nachtbis-T21,T22-T21),0),0),0),0),0),9),0)</f>
        <v>0</v>
      </c>
      <c r="U75" s="182" t="n">
        <f aca="false">IF(U73&gt;0,ROUND(U73- IF(U13&lt;T.Nachtbis,MIN(T.Nachtbis-U13,U14-U13)+IF(U15&lt;T.Nachtbis,MIN(T.Nachtbis-U15,U16-U15)+IF(U17&lt;T.Nachtbis,MIN(T.Nachtbis-U17,U18-U17)+IF(U19&lt;T.Nachtbis,MIN(T.Nachtbis-U19,U20-U19)+IF(U21&lt;T.Nachtbis,MIN(T.Nachtbis-U21,U22-U21),0),0),0),0),0),9),0)</f>
        <v>0</v>
      </c>
      <c r="V75" s="182" t="n">
        <f aca="false">IF(V73&gt;0,ROUND(V73- IF(V13&lt;T.Nachtbis,MIN(T.Nachtbis-V13,V14-V13)+IF(V15&lt;T.Nachtbis,MIN(T.Nachtbis-V15,V16-V15)+IF(V17&lt;T.Nachtbis,MIN(T.Nachtbis-V17,V18-V17)+IF(V19&lt;T.Nachtbis,MIN(T.Nachtbis-V19,V20-V19)+IF(V21&lt;T.Nachtbis,MIN(T.Nachtbis-V21,V22-V21),0),0),0),0),0),9),0)</f>
        <v>0</v>
      </c>
      <c r="W75" s="182" t="n">
        <f aca="false">IF(W73&gt;0,ROUND(W73- IF(W13&lt;T.Nachtbis,MIN(T.Nachtbis-W13,W14-W13)+IF(W15&lt;T.Nachtbis,MIN(T.Nachtbis-W15,W16-W15)+IF(W17&lt;T.Nachtbis,MIN(T.Nachtbis-W17,W18-W17)+IF(W19&lt;T.Nachtbis,MIN(T.Nachtbis-W19,W20-W19)+IF(W21&lt;T.Nachtbis,MIN(T.Nachtbis-W21,W22-W21),0),0),0),0),0),9),0)</f>
        <v>0</v>
      </c>
      <c r="X75" s="182" t="n">
        <f aca="false">IF(X73&gt;0,ROUND(X73- IF(X13&lt;T.Nachtbis,MIN(T.Nachtbis-X13,X14-X13)+IF(X15&lt;T.Nachtbis,MIN(T.Nachtbis-X15,X16-X15)+IF(X17&lt;T.Nachtbis,MIN(T.Nachtbis-X17,X18-X17)+IF(X19&lt;T.Nachtbis,MIN(T.Nachtbis-X19,X20-X19)+IF(X21&lt;T.Nachtbis,MIN(T.Nachtbis-X21,X22-X21),0),0),0),0),0),9),0)</f>
        <v>0</v>
      </c>
      <c r="Y75" s="182" t="n">
        <f aca="false">IF(Y73&gt;0,ROUND(Y73- IF(Y13&lt;T.Nachtbis,MIN(T.Nachtbis-Y13,Y14-Y13)+IF(Y15&lt;T.Nachtbis,MIN(T.Nachtbis-Y15,Y16-Y15)+IF(Y17&lt;T.Nachtbis,MIN(T.Nachtbis-Y17,Y18-Y17)+IF(Y19&lt;T.Nachtbis,MIN(T.Nachtbis-Y19,Y20-Y19)+IF(Y21&lt;T.Nachtbis,MIN(T.Nachtbis-Y21,Y22-Y21),0),0),0),0),0),9),0)</f>
        <v>0</v>
      </c>
      <c r="Z75" s="182" t="n">
        <f aca="false">IF(Z73&gt;0,ROUND(Z73- IF(Z13&lt;T.Nachtbis,MIN(T.Nachtbis-Z13,Z14-Z13)+IF(Z15&lt;T.Nachtbis,MIN(T.Nachtbis-Z15,Z16-Z15)+IF(Z17&lt;T.Nachtbis,MIN(T.Nachtbis-Z17,Z18-Z17)+IF(Z19&lt;T.Nachtbis,MIN(T.Nachtbis-Z19,Z20-Z19)+IF(Z21&lt;T.Nachtbis,MIN(T.Nachtbis-Z21,Z22-Z21),0),0),0),0),0),9),0)</f>
        <v>0</v>
      </c>
      <c r="AA75" s="182" t="n">
        <f aca="false">IF(AA73&gt;0,ROUND(AA73- IF(AA13&lt;T.Nachtbis,MIN(T.Nachtbis-AA13,AA14-AA13)+IF(AA15&lt;T.Nachtbis,MIN(T.Nachtbis-AA15,AA16-AA15)+IF(AA17&lt;T.Nachtbis,MIN(T.Nachtbis-AA17,AA18-AA17)+IF(AA19&lt;T.Nachtbis,MIN(T.Nachtbis-AA19,AA20-AA19)+IF(AA21&lt;T.Nachtbis,MIN(T.Nachtbis-AA21,AA22-AA21),0),0),0),0),0),9),0)</f>
        <v>0</v>
      </c>
      <c r="AB75" s="182" t="n">
        <f aca="false">IF(AB73&gt;0,ROUND(AB73- IF(AB13&lt;T.Nachtbis,MIN(T.Nachtbis-AB13,AB14-AB13)+IF(AB15&lt;T.Nachtbis,MIN(T.Nachtbis-AB15,AB16-AB15)+IF(AB17&lt;T.Nachtbis,MIN(T.Nachtbis-AB17,AB18-AB17)+IF(AB19&lt;T.Nachtbis,MIN(T.Nachtbis-AB19,AB20-AB19)+IF(AB21&lt;T.Nachtbis,MIN(T.Nachtbis-AB21,AB22-AB21),0),0),0),0),0),9),0)</f>
        <v>0</v>
      </c>
      <c r="AC75" s="182" t="n">
        <f aca="false">IF(AC73&gt;0,ROUND(AC73- IF(AC13&lt;T.Nachtbis,MIN(T.Nachtbis-AC13,AC14-AC13)+IF(AC15&lt;T.Nachtbis,MIN(T.Nachtbis-AC15,AC16-AC15)+IF(AC17&lt;T.Nachtbis,MIN(T.Nachtbis-AC17,AC18-AC17)+IF(AC19&lt;T.Nachtbis,MIN(T.Nachtbis-AC19,AC20-AC19)+IF(AC21&lt;T.Nachtbis,MIN(T.Nachtbis-AC21,AC22-AC21),0),0),0),0),0),9),0)</f>
        <v>0</v>
      </c>
      <c r="AD75" s="182" t="n">
        <f aca="false">IF(AD73&gt;0,ROUND(AD73- IF(AD13&lt;T.Nachtbis,MIN(T.Nachtbis-AD13,AD14-AD13)+IF(AD15&lt;T.Nachtbis,MIN(T.Nachtbis-AD15,AD16-AD15)+IF(AD17&lt;T.Nachtbis,MIN(T.Nachtbis-AD17,AD18-AD17)+IF(AD19&lt;T.Nachtbis,MIN(T.Nachtbis-AD19,AD20-AD19)+IF(AD21&lt;T.Nachtbis,MIN(T.Nachtbis-AD21,AD22-AD21),0),0),0),0),0),9),0)</f>
        <v>0</v>
      </c>
      <c r="AE75" s="182" t="n">
        <f aca="false">IF(AE73&gt;0,ROUND(AE73- IF(AE13&lt;T.Nachtbis,MIN(T.Nachtbis-AE13,AE14-AE13)+IF(AE15&lt;T.Nachtbis,MIN(T.Nachtbis-AE15,AE16-AE15)+IF(AE17&lt;T.Nachtbis,MIN(T.Nachtbis-AE17,AE18-AE17)+IF(AE19&lt;T.Nachtbis,MIN(T.Nachtbis-AE19,AE20-AE19)+IF(AE21&lt;T.Nachtbis,MIN(T.Nachtbis-AE21,AE22-AE21),0),0),0),0),0),9),0)</f>
        <v>0</v>
      </c>
      <c r="AF75" s="182" t="n">
        <f aca="false">IF(AF73&gt;0,ROUND(AF73- IF(AF13&lt;T.Nachtbis,MIN(T.Nachtbis-AF13,AF14-AF13)+IF(AF15&lt;T.Nachtbis,MIN(T.Nachtbis-AF15,AF16-AF15)+IF(AF17&lt;T.Nachtbis,MIN(T.Nachtbis-AF17,AF18-AF17)+IF(AF19&lt;T.Nachtbis,MIN(T.Nachtbis-AF19,AF20-AF19)+IF(AF21&lt;T.Nachtbis,MIN(T.Nachtbis-AF21,AF22-AF21),0),0),0),0),0),9),0)</f>
        <v>0</v>
      </c>
      <c r="AG75" s="183" t="str">
        <f aca="false">A75</f>
        <v>Total NS hours today</v>
      </c>
      <c r="AH75" s="146"/>
      <c r="AI75" s="179"/>
      <c r="AJ75" s="180"/>
      <c r="AK75" s="172"/>
      <c r="AL75" s="172"/>
      <c r="AM75" s="172"/>
      <c r="AN75" s="171"/>
      <c r="AO75" s="172"/>
      <c r="AP75" s="172"/>
      <c r="AQ75" s="39"/>
    </row>
    <row r="76" s="148" customFormat="true" ht="16.5" hidden="true" customHeight="true" outlineLevel="1" collapsed="false">
      <c r="A76" s="181" t="s">
        <v>161</v>
      </c>
      <c r="B76" s="193" t="n">
        <f aca="false">B73-B75</f>
        <v>0</v>
      </c>
      <c r="C76" s="193" t="n">
        <f aca="false">C73-C75</f>
        <v>0</v>
      </c>
      <c r="D76" s="193" t="n">
        <f aca="false">D73-D75</f>
        <v>0</v>
      </c>
      <c r="E76" s="193" t="n">
        <f aca="false">E73-E75</f>
        <v>0</v>
      </c>
      <c r="F76" s="193" t="n">
        <f aca="false">F73-F75</f>
        <v>0</v>
      </c>
      <c r="G76" s="193" t="n">
        <f aca="false">G73-G75</f>
        <v>0</v>
      </c>
      <c r="H76" s="193" t="n">
        <f aca="false">H73-H75</f>
        <v>0</v>
      </c>
      <c r="I76" s="193" t="n">
        <f aca="false">I73-I75</f>
        <v>0</v>
      </c>
      <c r="J76" s="193" t="n">
        <f aca="false">J73-J75</f>
        <v>0</v>
      </c>
      <c r="K76" s="193" t="n">
        <f aca="false">K73-K75</f>
        <v>0</v>
      </c>
      <c r="L76" s="193" t="n">
        <f aca="false">L73-L75</f>
        <v>0</v>
      </c>
      <c r="M76" s="193" t="n">
        <f aca="false">M73-M75</f>
        <v>0</v>
      </c>
      <c r="N76" s="193" t="n">
        <f aca="false">N73-N75</f>
        <v>0</v>
      </c>
      <c r="O76" s="193" t="n">
        <f aca="false">O73-O75</f>
        <v>0</v>
      </c>
      <c r="P76" s="193" t="n">
        <f aca="false">P73-P75</f>
        <v>0</v>
      </c>
      <c r="Q76" s="193" t="n">
        <f aca="false">Q73-Q75</f>
        <v>0</v>
      </c>
      <c r="R76" s="193" t="n">
        <f aca="false">R73-R75</f>
        <v>0</v>
      </c>
      <c r="S76" s="193" t="n">
        <f aca="false">S73-S75</f>
        <v>0</v>
      </c>
      <c r="T76" s="193" t="n">
        <f aca="false">T73-T75</f>
        <v>0</v>
      </c>
      <c r="U76" s="193" t="n">
        <f aca="false">U73-U75</f>
        <v>0</v>
      </c>
      <c r="V76" s="193" t="n">
        <f aca="false">V73-V75</f>
        <v>0</v>
      </c>
      <c r="W76" s="193" t="n">
        <f aca="false">W73-W75</f>
        <v>0</v>
      </c>
      <c r="X76" s="193" t="n">
        <f aca="false">X73-X75</f>
        <v>0</v>
      </c>
      <c r="Y76" s="193" t="n">
        <f aca="false">Y73-Y75</f>
        <v>0</v>
      </c>
      <c r="Z76" s="193" t="n">
        <f aca="false">Z73-Z75</f>
        <v>0</v>
      </c>
      <c r="AA76" s="193" t="n">
        <f aca="false">AA73-AA75</f>
        <v>0</v>
      </c>
      <c r="AB76" s="193" t="n">
        <f aca="false">AB73-AB75</f>
        <v>0</v>
      </c>
      <c r="AC76" s="193" t="n">
        <f aca="false">AC73-AC75</f>
        <v>0</v>
      </c>
      <c r="AD76" s="193" t="n">
        <f aca="false">AD73-AD75</f>
        <v>0</v>
      </c>
      <c r="AE76" s="193" t="n">
        <f aca="false">AE73-AE75</f>
        <v>0</v>
      </c>
      <c r="AF76" s="193" t="n">
        <f aca="false">AF73-AF75</f>
        <v>0</v>
      </c>
      <c r="AG76" s="183" t="str">
        <f aca="false">A76</f>
        <v>Total NS hours yesterday</v>
      </c>
      <c r="AH76" s="146"/>
      <c r="AI76" s="179"/>
      <c r="AJ76" s="180"/>
      <c r="AK76" s="172"/>
      <c r="AL76" s="172"/>
      <c r="AM76" s="199" t="n">
        <f aca="false">IF(EB.Anwendung&lt;&gt;"",IF(MONTH(Monat.Tag1)=12,0,IF(MONTH(Monat.Tag1)=1,February!Monat.NDgesternTag1,IF(MONTH(Monat.Tag1)=2,March!Monat.NDgesternTag1,IF(MONTH(Monat.Tag1)=3,April!Monat.NDgesternTag1,IF(MONTH(Monat.Tag1)=4,May!Monat.NDgesternTag1,IF(MONTH(Monat.Tag1)=5,June!Monat.NDgesternTag1,IF(MONTH(Monat.Tag1)=6,July!Monat.NDgesternTag1,IF(MONTH(Monat.Tag1)=7,August!Monat.NDgesternTag1,IF(MONTH(Monat.Tag1)=8,September!Monat.NDgesternTag1,IF(MONTH(Monat.Tag1)=9,October!Monat.NDgesternTag1,IF(MONTH(Monat.Tag1)=10,November!Monat.NDgesternTag1,IF(MONTH(Monat.Tag1)=11,December!Monat.NDgesternTag1,"")))))))))))),"")</f>
        <v>0</v>
      </c>
      <c r="AN76" s="171"/>
      <c r="AO76" s="172"/>
      <c r="AP76" s="172"/>
      <c r="AQ76" s="39"/>
    </row>
    <row r="77" s="148" customFormat="true" ht="16.5" hidden="true" customHeight="true" outlineLevel="1" collapsed="false">
      <c r="A77" s="181" t="s">
        <v>162</v>
      </c>
      <c r="B77" s="182" t="n">
        <f aca="false">B75+IF(B$10=EOMONTH(B$10,0),$AM76,C76)</f>
        <v>0</v>
      </c>
      <c r="C77" s="182" t="n">
        <f aca="false">C75+IF(C$10=EOMONTH(C$10,0),$AM76,D76)</f>
        <v>0</v>
      </c>
      <c r="D77" s="182" t="n">
        <f aca="false">D75+IF(D$10=EOMONTH(D$10,0),$AM76,E76)</f>
        <v>0</v>
      </c>
      <c r="E77" s="182" t="n">
        <f aca="false">E75+IF(E$10=EOMONTH(E$10,0),$AM76,F76)</f>
        <v>0</v>
      </c>
      <c r="F77" s="182" t="n">
        <f aca="false">F75+IF(F$10=EOMONTH(F$10,0),$AM76,G76)</f>
        <v>0</v>
      </c>
      <c r="G77" s="182" t="n">
        <f aca="false">G75+IF(G$10=EOMONTH(G$10,0),$AM76,H76)</f>
        <v>0</v>
      </c>
      <c r="H77" s="182" t="n">
        <f aca="false">H75+IF(H$10=EOMONTH(H$10,0),$AM76,I76)</f>
        <v>0</v>
      </c>
      <c r="I77" s="182" t="n">
        <f aca="false">I75+IF(I$10=EOMONTH(I$10,0),$AM76,J76)</f>
        <v>0</v>
      </c>
      <c r="J77" s="182" t="n">
        <f aca="false">J75+IF(J$10=EOMONTH(J$10,0),$AM76,K76)</f>
        <v>0</v>
      </c>
      <c r="K77" s="182" t="n">
        <f aca="false">K75+IF(K$10=EOMONTH(K$10,0),$AM76,L76)</f>
        <v>0</v>
      </c>
      <c r="L77" s="182" t="n">
        <f aca="false">L75+IF(L$10=EOMONTH(L$10,0),$AM76,M76)</f>
        <v>0</v>
      </c>
      <c r="M77" s="182" t="n">
        <f aca="false">M75+IF(M$10=EOMONTH(M$10,0),$AM76,N76)</f>
        <v>0</v>
      </c>
      <c r="N77" s="182" t="n">
        <f aca="false">N75+IF(N$10=EOMONTH(N$10,0),$AM76,O76)</f>
        <v>0</v>
      </c>
      <c r="O77" s="182" t="n">
        <f aca="false">O75+IF(O$10=EOMONTH(O$10,0),$AM76,P76)</f>
        <v>0</v>
      </c>
      <c r="P77" s="182" t="n">
        <f aca="false">P75+IF(P$10=EOMONTH(P$10,0),$AM76,Q76)</f>
        <v>0</v>
      </c>
      <c r="Q77" s="182" t="n">
        <f aca="false">Q75+IF(Q$10=EOMONTH(Q$10,0),$AM76,R76)</f>
        <v>0</v>
      </c>
      <c r="R77" s="182" t="n">
        <f aca="false">R75+IF(R$10=EOMONTH(R$10,0),$AM76,S76)</f>
        <v>0</v>
      </c>
      <c r="S77" s="182" t="n">
        <f aca="false">S75+IF(S$10=EOMONTH(S$10,0),$AM76,T76)</f>
        <v>0</v>
      </c>
      <c r="T77" s="182" t="n">
        <f aca="false">T75+IF(T$10=EOMONTH(T$10,0),$AM76,U76)</f>
        <v>0</v>
      </c>
      <c r="U77" s="182" t="n">
        <f aca="false">U75+IF(U$10=EOMONTH(U$10,0),$AM76,V76)</f>
        <v>0</v>
      </c>
      <c r="V77" s="182" t="n">
        <f aca="false">V75+IF(V$10=EOMONTH(V$10,0),$AM76,W76)</f>
        <v>0</v>
      </c>
      <c r="W77" s="182" t="n">
        <f aca="false">W75+IF(W$10=EOMONTH(W$10,0),$AM76,X76)</f>
        <v>0</v>
      </c>
      <c r="X77" s="182" t="n">
        <f aca="false">X75+IF(X$10=EOMONTH(X$10,0),$AM76,Y76)</f>
        <v>0</v>
      </c>
      <c r="Y77" s="182" t="n">
        <f aca="false">Y75+IF(Y$10=EOMONTH(Y$10,0),$AM76,Z76)</f>
        <v>0</v>
      </c>
      <c r="Z77" s="182" t="n">
        <f aca="false">Z75+IF(Z$10=EOMONTH(Z$10,0),$AM76,AA76)</f>
        <v>0</v>
      </c>
      <c r="AA77" s="182" t="n">
        <f aca="false">AA75+IF(AA$10=EOMONTH(AA$10,0),$AM76,AB76)</f>
        <v>0</v>
      </c>
      <c r="AB77" s="182" t="n">
        <f aca="false">AB75+IF(AB$10=EOMONTH(AB$10,0),$AM76,AC76)</f>
        <v>0</v>
      </c>
      <c r="AC77" s="182" t="n">
        <f aca="false">AC75+IF(AC$10=EOMONTH(AC$10,0),$AM76,AD76)</f>
        <v>0</v>
      </c>
      <c r="AD77" s="182" t="n">
        <f aca="false">AD75+IF(AD$10=EOMONTH(AD$10,0),$AM76,AE76)</f>
        <v>0</v>
      </c>
      <c r="AE77" s="182" t="n">
        <f aca="false">AE75+IF(AE$10=EOMONTH(AE$10,0),$AM76,AF76)</f>
        <v>0</v>
      </c>
      <c r="AF77" s="182" t="n">
        <f aca="false">AF75+IF(AF$10=EOMONTH(AF$10,0),$AM76,AG76)</f>
        <v>0</v>
      </c>
      <c r="AG77" s="183" t="str">
        <f aca="false">A77</f>
        <v>Total NS hours</v>
      </c>
      <c r="AH77" s="184"/>
      <c r="AI77" s="185" t="n">
        <f aca="false">SUM(B77:AF77)</f>
        <v>0</v>
      </c>
      <c r="AJ77" s="180"/>
      <c r="AK77" s="172"/>
      <c r="AL77" s="172"/>
      <c r="AM77" s="172"/>
      <c r="AN77" s="171"/>
      <c r="AO77" s="172"/>
      <c r="AP77" s="172"/>
      <c r="AQ77" s="39"/>
    </row>
    <row r="78" s="148" customFormat="true" ht="3.75" hidden="true" customHeight="true" outlineLevel="0" collapsed="false">
      <c r="A78" s="186"/>
      <c r="B78" s="187"/>
      <c r="C78" s="187"/>
      <c r="D78" s="187"/>
      <c r="E78" s="187"/>
      <c r="F78" s="187"/>
      <c r="G78" s="187"/>
      <c r="H78" s="187"/>
      <c r="I78" s="187"/>
      <c r="J78" s="187"/>
      <c r="K78" s="187"/>
      <c r="L78" s="187"/>
      <c r="M78" s="187"/>
      <c r="N78" s="187"/>
      <c r="O78" s="187"/>
      <c r="P78" s="187"/>
      <c r="Q78" s="187"/>
      <c r="R78" s="187"/>
      <c r="S78" s="187"/>
      <c r="T78" s="187"/>
      <c r="U78" s="187"/>
      <c r="V78" s="187"/>
      <c r="W78" s="187"/>
      <c r="X78" s="187"/>
      <c r="Y78" s="187"/>
      <c r="Z78" s="187"/>
      <c r="AA78" s="187"/>
      <c r="AB78" s="187"/>
      <c r="AC78" s="187"/>
      <c r="AD78" s="187"/>
      <c r="AE78" s="187"/>
      <c r="AF78" s="188"/>
      <c r="AG78" s="168"/>
      <c r="AH78" s="202"/>
      <c r="AI78" s="188"/>
      <c r="AJ78" s="180"/>
      <c r="AK78" s="172"/>
      <c r="AL78" s="172"/>
      <c r="AM78" s="172"/>
      <c r="AN78" s="171"/>
      <c r="AO78" s="172"/>
      <c r="AP78" s="172"/>
      <c r="AQ78" s="39"/>
    </row>
    <row r="79" s="148" customFormat="true" ht="15" hidden="true" customHeight="true" outlineLevel="1" collapsed="false">
      <c r="A79" s="175" t="s">
        <v>84</v>
      </c>
      <c r="B79" s="256" t="n">
        <f aca="false">IF(AND(T.50_Vetsuisse,B70&gt;24),ROUND(B73*T.50_VetsuisseZZSND,9), IF(AND(T.ServiceCenterIrchel,B69&gt;0,B77&gt;=ROUND(1/24*8,9)),ROUND(B77*T.ServiceCenterIrchelZZSND,9),))</f>
        <v>0</v>
      </c>
      <c r="C79" s="256" t="n">
        <f aca="false">IF(AND(T.50_Vetsuisse,C70&gt;24),ROUND(C73*T.50_VetsuisseZZSND,9), IF(AND(T.ServiceCenterIrchel,C69&gt;0,C77&gt;=ROUND(1/24*8,9)),ROUND(C77*T.ServiceCenterIrchelZZSND,9),))</f>
        <v>0</v>
      </c>
      <c r="D79" s="256" t="n">
        <f aca="false">IF(AND(T.50_Vetsuisse,D70&gt;24),ROUND(D73*T.50_VetsuisseZZSND,9), IF(AND(T.ServiceCenterIrchel,D69&gt;0,D77&gt;=ROUND(1/24*8,9)),ROUND(D77*T.ServiceCenterIrchelZZSND,9),))</f>
        <v>0</v>
      </c>
      <c r="E79" s="256" t="n">
        <f aca="false">IF(AND(T.50_Vetsuisse,E70&gt;24),ROUND(E73*T.50_VetsuisseZZSND,9), IF(AND(T.ServiceCenterIrchel,E69&gt;0,E77&gt;=ROUND(1/24*8,9)),ROUND(E77*T.ServiceCenterIrchelZZSND,9),))</f>
        <v>0</v>
      </c>
      <c r="F79" s="256" t="n">
        <f aca="false">IF(AND(T.50_Vetsuisse,F70&gt;24),ROUND(F73*T.50_VetsuisseZZSND,9), IF(AND(T.ServiceCenterIrchel,F69&gt;0,F77&gt;=ROUND(1/24*8,9)),ROUND(F77*T.ServiceCenterIrchelZZSND,9),))</f>
        <v>0</v>
      </c>
      <c r="G79" s="256" t="n">
        <f aca="false">IF(AND(T.50_Vetsuisse,G70&gt;24),ROUND(G73*T.50_VetsuisseZZSND,9), IF(AND(T.ServiceCenterIrchel,G69&gt;0,G77&gt;=ROUND(1/24*8,9)),ROUND(G77*T.ServiceCenterIrchelZZSND,9),))</f>
        <v>0</v>
      </c>
      <c r="H79" s="256" t="n">
        <f aca="false">IF(AND(T.50_Vetsuisse,H70&gt;24),ROUND(H73*T.50_VetsuisseZZSND,9), IF(AND(T.ServiceCenterIrchel,H69&gt;0,H77&gt;=ROUND(1/24*8,9)),ROUND(H77*T.ServiceCenterIrchelZZSND,9),))</f>
        <v>0</v>
      </c>
      <c r="I79" s="256" t="n">
        <f aca="false">IF(AND(T.50_Vetsuisse,I70&gt;24),ROUND(I73*T.50_VetsuisseZZSND,9), IF(AND(T.ServiceCenterIrchel,I69&gt;0,I77&gt;=ROUND(1/24*8,9)),ROUND(I77*T.ServiceCenterIrchelZZSND,9),))</f>
        <v>0</v>
      </c>
      <c r="J79" s="256" t="n">
        <f aca="false">IF(AND(T.50_Vetsuisse,J70&gt;24),ROUND(J73*T.50_VetsuisseZZSND,9), IF(AND(T.ServiceCenterIrchel,J69&gt;0,J77&gt;=ROUND(1/24*8,9)),ROUND(J77*T.ServiceCenterIrchelZZSND,9),))</f>
        <v>0</v>
      </c>
      <c r="K79" s="256" t="n">
        <f aca="false">IF(AND(T.50_Vetsuisse,K70&gt;24),ROUND(K73*T.50_VetsuisseZZSND,9), IF(AND(T.ServiceCenterIrchel,K69&gt;0,K77&gt;=ROUND(1/24*8,9)),ROUND(K77*T.ServiceCenterIrchelZZSND,9),))</f>
        <v>0</v>
      </c>
      <c r="L79" s="256" t="n">
        <f aca="false">IF(AND(T.50_Vetsuisse,L70&gt;24),ROUND(L73*T.50_VetsuisseZZSND,9), IF(AND(T.ServiceCenterIrchel,L69&gt;0,L77&gt;=ROUND(1/24*8,9)),ROUND(L77*T.ServiceCenterIrchelZZSND,9),))</f>
        <v>0</v>
      </c>
      <c r="M79" s="256" t="n">
        <f aca="false">IF(AND(T.50_Vetsuisse,M70&gt;24),ROUND(M73*T.50_VetsuisseZZSND,9), IF(AND(T.ServiceCenterIrchel,M69&gt;0,M77&gt;=ROUND(1/24*8,9)),ROUND(M77*T.ServiceCenterIrchelZZSND,9),))</f>
        <v>0</v>
      </c>
      <c r="N79" s="256" t="n">
        <f aca="false">IF(AND(T.50_Vetsuisse,N70&gt;24),ROUND(N73*T.50_VetsuisseZZSND,9), IF(AND(T.ServiceCenterIrchel,N69&gt;0,N77&gt;=ROUND(1/24*8,9)),ROUND(N77*T.ServiceCenterIrchelZZSND,9),))</f>
        <v>0</v>
      </c>
      <c r="O79" s="256" t="n">
        <f aca="false">IF(AND(T.50_Vetsuisse,O70&gt;24),ROUND(O73*T.50_VetsuisseZZSND,9), IF(AND(T.ServiceCenterIrchel,O69&gt;0,O77&gt;=ROUND(1/24*8,9)),ROUND(O77*T.ServiceCenterIrchelZZSND,9),))</f>
        <v>0</v>
      </c>
      <c r="P79" s="256" t="n">
        <f aca="false">IF(AND(T.50_Vetsuisse,P70&gt;24),ROUND(P73*T.50_VetsuisseZZSND,9), IF(AND(T.ServiceCenterIrchel,P69&gt;0,P77&gt;=ROUND(1/24*8,9)),ROUND(P77*T.ServiceCenterIrchelZZSND,9),))</f>
        <v>0</v>
      </c>
      <c r="Q79" s="256" t="n">
        <f aca="false">IF(AND(T.50_Vetsuisse,Q70&gt;24),ROUND(Q73*T.50_VetsuisseZZSND,9), IF(AND(T.ServiceCenterIrchel,Q69&gt;0,Q77&gt;=ROUND(1/24*8,9)),ROUND(Q77*T.ServiceCenterIrchelZZSND,9),))</f>
        <v>0</v>
      </c>
      <c r="R79" s="256" t="n">
        <f aca="false">IF(AND(T.50_Vetsuisse,R70&gt;24),ROUND(R73*T.50_VetsuisseZZSND,9), IF(AND(T.ServiceCenterIrchel,R69&gt;0,R77&gt;=ROUND(1/24*8,9)),ROUND(R77*T.ServiceCenterIrchelZZSND,9),))</f>
        <v>0</v>
      </c>
      <c r="S79" s="256" t="n">
        <f aca="false">IF(AND(T.50_Vetsuisse,S70&gt;24),ROUND(S73*T.50_VetsuisseZZSND,9), IF(AND(T.ServiceCenterIrchel,S69&gt;0,S77&gt;=ROUND(1/24*8,9)),ROUND(S77*T.ServiceCenterIrchelZZSND,9),))</f>
        <v>0</v>
      </c>
      <c r="T79" s="256" t="n">
        <f aca="false">IF(AND(T.50_Vetsuisse,T70&gt;24),ROUND(T73*T.50_VetsuisseZZSND,9), IF(AND(T.ServiceCenterIrchel,T69&gt;0,T77&gt;=ROUND(1/24*8,9)),ROUND(T77*T.ServiceCenterIrchelZZSND,9),))</f>
        <v>0</v>
      </c>
      <c r="U79" s="256" t="n">
        <f aca="false">IF(AND(T.50_Vetsuisse,U70&gt;24),ROUND(U73*T.50_VetsuisseZZSND,9), IF(AND(T.ServiceCenterIrchel,U69&gt;0,U77&gt;=ROUND(1/24*8,9)),ROUND(U77*T.ServiceCenterIrchelZZSND,9),))</f>
        <v>0</v>
      </c>
      <c r="V79" s="256" t="n">
        <f aca="false">IF(AND(T.50_Vetsuisse,V70&gt;24),ROUND(V73*T.50_VetsuisseZZSND,9), IF(AND(T.ServiceCenterIrchel,V69&gt;0,V77&gt;=ROUND(1/24*8,9)),ROUND(V77*T.ServiceCenterIrchelZZSND,9),))</f>
        <v>0</v>
      </c>
      <c r="W79" s="256" t="n">
        <f aca="false">IF(AND(T.50_Vetsuisse,W70&gt;24),ROUND(W73*T.50_VetsuisseZZSND,9), IF(AND(T.ServiceCenterIrchel,W69&gt;0,W77&gt;=ROUND(1/24*8,9)),ROUND(W77*T.ServiceCenterIrchelZZSND,9),))</f>
        <v>0</v>
      </c>
      <c r="X79" s="256" t="n">
        <f aca="false">IF(AND(T.50_Vetsuisse,X70&gt;24),ROUND(X73*T.50_VetsuisseZZSND,9), IF(AND(T.ServiceCenterIrchel,X69&gt;0,X77&gt;=ROUND(1/24*8,9)),ROUND(X77*T.ServiceCenterIrchelZZSND,9),))</f>
        <v>0</v>
      </c>
      <c r="Y79" s="256" t="n">
        <f aca="false">IF(AND(T.50_Vetsuisse,Y70&gt;24),ROUND(Y73*T.50_VetsuisseZZSND,9), IF(AND(T.ServiceCenterIrchel,Y69&gt;0,Y77&gt;=ROUND(1/24*8,9)),ROUND(Y77*T.ServiceCenterIrchelZZSND,9),))</f>
        <v>0</v>
      </c>
      <c r="Z79" s="256" t="n">
        <f aca="false">IF(AND(T.50_Vetsuisse,Z70&gt;24),ROUND(Z73*T.50_VetsuisseZZSND,9), IF(AND(T.ServiceCenterIrchel,Z69&gt;0,Z77&gt;=ROUND(1/24*8,9)),ROUND(Z77*T.ServiceCenterIrchelZZSND,9),))</f>
        <v>0</v>
      </c>
      <c r="AA79" s="256" t="n">
        <f aca="false">IF(AND(T.50_Vetsuisse,AA70&gt;24),ROUND(AA73*T.50_VetsuisseZZSND,9), IF(AND(T.ServiceCenterIrchel,AA69&gt;0,AA77&gt;=ROUND(1/24*8,9)),ROUND(AA77*T.ServiceCenterIrchelZZSND,9),))</f>
        <v>0</v>
      </c>
      <c r="AB79" s="256" t="n">
        <f aca="false">IF(AND(T.50_Vetsuisse,AB70&gt;24),ROUND(AB73*T.50_VetsuisseZZSND,9), IF(AND(T.ServiceCenterIrchel,AB69&gt;0,AB77&gt;=ROUND(1/24*8,9)),ROUND(AB77*T.ServiceCenterIrchelZZSND,9),))</f>
        <v>0</v>
      </c>
      <c r="AC79" s="256" t="n">
        <f aca="false">IF(AND(T.50_Vetsuisse,AC70&gt;24),ROUND(AC73*T.50_VetsuisseZZSND,9), IF(AND(T.ServiceCenterIrchel,AC69&gt;0,AC77&gt;=ROUND(1/24*8,9)),ROUND(AC77*T.ServiceCenterIrchelZZSND,9),))</f>
        <v>0</v>
      </c>
      <c r="AD79" s="256" t="n">
        <f aca="false">IF(AND(T.50_Vetsuisse,AD70&gt;24),ROUND(AD73*T.50_VetsuisseZZSND,9), IF(AND(T.ServiceCenterIrchel,AD69&gt;0,AD77&gt;=ROUND(1/24*8,9)),ROUND(AD77*T.ServiceCenterIrchelZZSND,9),))</f>
        <v>0</v>
      </c>
      <c r="AE79" s="256" t="n">
        <f aca="false">IF(AND(T.50_Vetsuisse,AE70&gt;24),ROUND(AE73*T.50_VetsuisseZZSND,9), IF(AND(T.ServiceCenterIrchel,AE69&gt;0,AE77&gt;=ROUND(1/24*8,9)),ROUND(AE77*T.ServiceCenterIrchelZZSND,9),))</f>
        <v>0</v>
      </c>
      <c r="AF79" s="256" t="n">
        <f aca="false">IF(AND(T.50_Vetsuisse,AF70&gt;24),ROUND(AF73*T.50_VetsuisseZZSND,9), IF(AND(T.ServiceCenterIrchel,AF69&gt;0,AF77&gt;=ROUND(1/24*8,9)),ROUND(AF77*T.ServiceCenterIrchelZZSND,9),))</f>
        <v>0</v>
      </c>
      <c r="AG79" s="168" t="str">
        <f aca="false">A79</f>
        <v>Time supplement night shift</v>
      </c>
      <c r="AH79" s="250"/>
      <c r="AI79" s="207" t="n">
        <f aca="false">SUM(B79:AF79)</f>
        <v>0</v>
      </c>
      <c r="AJ79" s="33"/>
      <c r="AK79" s="192"/>
      <c r="AL79" s="216" t="n">
        <f aca="false">IF(EB.Anwendung&lt;&gt;"",IF(MONTH(Monat.Tag1)=1,EB.ZZNd,IF(MONTH(Monat.Tag1)=2,Monat.ZZNdUe,IF(MONTH(Monat.Tag1)=3,February!Monat.ZZNdUe,IF(MONTH(Monat.Tag1)=4,March!Monat.ZZNdUe,IF(MONTH(Monat.Tag1)=5,April!Monat.ZZNdUe,IF(MONTH(Monat.Tag1)=6,May!Monat.ZZNdUe,IF(MONTH(Monat.Tag1)=7,June!Monat.ZZNdUe,IF(MONTH(Monat.Tag1)=8,July!Monat.ZZNdUe,IF(MONTH(Monat.Tag1)=9,August!Monat.ZZNdUe,IF(MONTH(Monat.Tag1)=10,September!Monat.ZZNdUe,IF(MONTH(Monat.Tag1)=11,October!Monat.ZZNdUe,IF(MONTH(Monat.Tag1)=12,November!Monat.ZZNdUe,"")))))))))))),"")</f>
        <v>0</v>
      </c>
      <c r="AM79" s="172"/>
      <c r="AN79" s="217" t="n">
        <f aca="false">AI79+AL79-AI71</f>
        <v>0</v>
      </c>
      <c r="AO79" s="217" t="n">
        <f aca="true">OFFSET(Jahr.ZZSNDSaldo,-13+MONTH(Monat.Tag1),0,1,1)</f>
        <v>0</v>
      </c>
      <c r="AP79" s="217" t="n">
        <f aca="false">Jahr.ZZSNDSaldo</f>
        <v>0</v>
      </c>
      <c r="AQ79" s="39"/>
    </row>
    <row r="80" s="148" customFormat="true" ht="15" hidden="true" customHeight="true" outlineLevel="1" collapsed="false">
      <c r="A80" s="175" t="s">
        <v>163</v>
      </c>
      <c r="B80" s="256" t="str">
        <f aca="false">IF(T.50_Vetsuisse,IF(OR(B$12=0,B$11=0,WEEKDAY(B$10,2)&gt;5),0,ROUND(MAX(0,T.Abendbis-MAX(B13,T.Abendab))-MAX(0,T.Abendbis-MAX(T.Abendab,B14))+(B13&gt;B14)*(1+T.Abendab-T.Abendbis)+MAX(0,T.Abendbis-MAX(B15,T.Abendab))-MAX(0,T.Abendbis-MAX(T.Abendab,B16))+(B15&gt;B16)*(1+T.Abendab-T.Abendbis)+MAX(0,T.Abendbis-MAX(B17,T.Abendab))-MAX(0,T.Abendbis-MAX(T.Abendab,B18))+(B17&gt;B18)*(1+T.Abendab-T.Abendbis)+MAX(0,T.Abendbis-MAX(B19,T.Abendab))-MAX(0,T.Abendbis-MAX(T.Abendab,B20))+(B19&gt;B20)*(1+T.Abendab-T.Abendbis)+MAX(0,T.Abendbis-MAX(B21,T.Abendab))-MAX(0,T.Abendbis-MAX(T.Abendab,B22))+(B21&gt;B22)*(1+T.Abendab-T.Abendbis),9)),"")</f>
        <v/>
      </c>
      <c r="C80" s="256" t="str">
        <f aca="false">IF(T.50_Vetsuisse,IF(OR(C$12=0,C$11=0,WEEKDAY(C$10,2)&gt;5),0,ROUND(MAX(0,T.Abendbis-MAX(C13,T.Abendab))-MAX(0,T.Abendbis-MAX(T.Abendab,C14))+(C13&gt;C14)*(1+T.Abendab-T.Abendbis)+MAX(0,T.Abendbis-MAX(C15,T.Abendab))-MAX(0,T.Abendbis-MAX(T.Abendab,C16))+(C15&gt;C16)*(1+T.Abendab-T.Abendbis)+MAX(0,T.Abendbis-MAX(C17,T.Abendab))-MAX(0,T.Abendbis-MAX(T.Abendab,C18))+(C17&gt;C18)*(1+T.Abendab-T.Abendbis)+MAX(0,T.Abendbis-MAX(C19,T.Abendab))-MAX(0,T.Abendbis-MAX(T.Abendab,C20))+(C19&gt;C20)*(1+T.Abendab-T.Abendbis)+MAX(0,T.Abendbis-MAX(C21,T.Abendab))-MAX(0,T.Abendbis-MAX(T.Abendab,C22))+(C21&gt;C22)*(1+T.Abendab-T.Abendbis),9)),"")</f>
        <v/>
      </c>
      <c r="D80" s="256" t="str">
        <f aca="false">IF(T.50_Vetsuisse,IF(OR(D$12=0,D$11=0,WEEKDAY(D$10,2)&gt;5),0,ROUND(MAX(0,T.Abendbis-MAX(D13,T.Abendab))-MAX(0,T.Abendbis-MAX(T.Abendab,D14))+(D13&gt;D14)*(1+T.Abendab-T.Abendbis)+MAX(0,T.Abendbis-MAX(D15,T.Abendab))-MAX(0,T.Abendbis-MAX(T.Abendab,D16))+(D15&gt;D16)*(1+T.Abendab-T.Abendbis)+MAX(0,T.Abendbis-MAX(D17,T.Abendab))-MAX(0,T.Abendbis-MAX(T.Abendab,D18))+(D17&gt;D18)*(1+T.Abendab-T.Abendbis)+MAX(0,T.Abendbis-MAX(D19,T.Abendab))-MAX(0,T.Abendbis-MAX(T.Abendab,D20))+(D19&gt;D20)*(1+T.Abendab-T.Abendbis)+MAX(0,T.Abendbis-MAX(D21,T.Abendab))-MAX(0,T.Abendbis-MAX(T.Abendab,D22))+(D21&gt;D22)*(1+T.Abendab-T.Abendbis),9)),"")</f>
        <v/>
      </c>
      <c r="E80" s="256" t="str">
        <f aca="false">IF(T.50_Vetsuisse,IF(OR(E$12=0,E$11=0,WEEKDAY(E$10,2)&gt;5),0,ROUND(MAX(0,T.Abendbis-MAX(E13,T.Abendab))-MAX(0,T.Abendbis-MAX(T.Abendab,E14))+(E13&gt;E14)*(1+T.Abendab-T.Abendbis)+MAX(0,T.Abendbis-MAX(E15,T.Abendab))-MAX(0,T.Abendbis-MAX(T.Abendab,E16))+(E15&gt;E16)*(1+T.Abendab-T.Abendbis)+MAX(0,T.Abendbis-MAX(E17,T.Abendab))-MAX(0,T.Abendbis-MAX(T.Abendab,E18))+(E17&gt;E18)*(1+T.Abendab-T.Abendbis)+MAX(0,T.Abendbis-MAX(E19,T.Abendab))-MAX(0,T.Abendbis-MAX(T.Abendab,E20))+(E19&gt;E20)*(1+T.Abendab-T.Abendbis)+MAX(0,T.Abendbis-MAX(E21,T.Abendab))-MAX(0,T.Abendbis-MAX(T.Abendab,E22))+(E21&gt;E22)*(1+T.Abendab-T.Abendbis),9)),"")</f>
        <v/>
      </c>
      <c r="F80" s="256" t="str">
        <f aca="false">IF(T.50_Vetsuisse,IF(OR(F$12=0,F$11=0,WEEKDAY(F$10,2)&gt;5),0,ROUND(MAX(0,T.Abendbis-MAX(F13,T.Abendab))-MAX(0,T.Abendbis-MAX(T.Abendab,F14))+(F13&gt;F14)*(1+T.Abendab-T.Abendbis)+MAX(0,T.Abendbis-MAX(F15,T.Abendab))-MAX(0,T.Abendbis-MAX(T.Abendab,F16))+(F15&gt;F16)*(1+T.Abendab-T.Abendbis)+MAX(0,T.Abendbis-MAX(F17,T.Abendab))-MAX(0,T.Abendbis-MAX(T.Abendab,F18))+(F17&gt;F18)*(1+T.Abendab-T.Abendbis)+MAX(0,T.Abendbis-MAX(F19,T.Abendab))-MAX(0,T.Abendbis-MAX(T.Abendab,F20))+(F19&gt;F20)*(1+T.Abendab-T.Abendbis)+MAX(0,T.Abendbis-MAX(F21,T.Abendab))-MAX(0,T.Abendbis-MAX(T.Abendab,F22))+(F21&gt;F22)*(1+T.Abendab-T.Abendbis),9)),"")</f>
        <v/>
      </c>
      <c r="G80" s="256" t="str">
        <f aca="false">IF(T.50_Vetsuisse,IF(OR(G$12=0,G$11=0,WEEKDAY(G$10,2)&gt;5),0,ROUND(MAX(0,T.Abendbis-MAX(G13,T.Abendab))-MAX(0,T.Abendbis-MAX(T.Abendab,G14))+(G13&gt;G14)*(1+T.Abendab-T.Abendbis)+MAX(0,T.Abendbis-MAX(G15,T.Abendab))-MAX(0,T.Abendbis-MAX(T.Abendab,G16))+(G15&gt;G16)*(1+T.Abendab-T.Abendbis)+MAX(0,T.Abendbis-MAX(G17,T.Abendab))-MAX(0,T.Abendbis-MAX(T.Abendab,G18))+(G17&gt;G18)*(1+T.Abendab-T.Abendbis)+MAX(0,T.Abendbis-MAX(G19,T.Abendab))-MAX(0,T.Abendbis-MAX(T.Abendab,G20))+(G19&gt;G20)*(1+T.Abendab-T.Abendbis)+MAX(0,T.Abendbis-MAX(G21,T.Abendab))-MAX(0,T.Abendbis-MAX(T.Abendab,G22))+(G21&gt;G22)*(1+T.Abendab-T.Abendbis),9)),"")</f>
        <v/>
      </c>
      <c r="H80" s="256" t="str">
        <f aca="false">IF(T.50_Vetsuisse,IF(OR(H$12=0,H$11=0,WEEKDAY(H$10,2)&gt;5),0,ROUND(MAX(0,T.Abendbis-MAX(H13,T.Abendab))-MAX(0,T.Abendbis-MAX(T.Abendab,H14))+(H13&gt;H14)*(1+T.Abendab-T.Abendbis)+MAX(0,T.Abendbis-MAX(H15,T.Abendab))-MAX(0,T.Abendbis-MAX(T.Abendab,H16))+(H15&gt;H16)*(1+T.Abendab-T.Abendbis)+MAX(0,T.Abendbis-MAX(H17,T.Abendab))-MAX(0,T.Abendbis-MAX(T.Abendab,H18))+(H17&gt;H18)*(1+T.Abendab-T.Abendbis)+MAX(0,T.Abendbis-MAX(H19,T.Abendab))-MAX(0,T.Abendbis-MAX(T.Abendab,H20))+(H19&gt;H20)*(1+T.Abendab-T.Abendbis)+MAX(0,T.Abendbis-MAX(H21,T.Abendab))-MAX(0,T.Abendbis-MAX(T.Abendab,H22))+(H21&gt;H22)*(1+T.Abendab-T.Abendbis),9)),"")</f>
        <v/>
      </c>
      <c r="I80" s="256" t="str">
        <f aca="false">IF(T.50_Vetsuisse,IF(OR(I$12=0,I$11=0,WEEKDAY(I$10,2)&gt;5),0,ROUND(MAX(0,T.Abendbis-MAX(I13,T.Abendab))-MAX(0,T.Abendbis-MAX(T.Abendab,I14))+(I13&gt;I14)*(1+T.Abendab-T.Abendbis)+MAX(0,T.Abendbis-MAX(I15,T.Abendab))-MAX(0,T.Abendbis-MAX(T.Abendab,I16))+(I15&gt;I16)*(1+T.Abendab-T.Abendbis)+MAX(0,T.Abendbis-MAX(I17,T.Abendab))-MAX(0,T.Abendbis-MAX(T.Abendab,I18))+(I17&gt;I18)*(1+T.Abendab-T.Abendbis)+MAX(0,T.Abendbis-MAX(I19,T.Abendab))-MAX(0,T.Abendbis-MAX(T.Abendab,I20))+(I19&gt;I20)*(1+T.Abendab-T.Abendbis)+MAX(0,T.Abendbis-MAX(I21,T.Abendab))-MAX(0,T.Abendbis-MAX(T.Abendab,I22))+(I21&gt;I22)*(1+T.Abendab-T.Abendbis),9)),"")</f>
        <v/>
      </c>
      <c r="J80" s="256" t="str">
        <f aca="false">IF(T.50_Vetsuisse,IF(OR(J$12=0,J$11=0,WEEKDAY(J$10,2)&gt;5),0,ROUND(MAX(0,T.Abendbis-MAX(J13,T.Abendab))-MAX(0,T.Abendbis-MAX(T.Abendab,J14))+(J13&gt;J14)*(1+T.Abendab-T.Abendbis)+MAX(0,T.Abendbis-MAX(J15,T.Abendab))-MAX(0,T.Abendbis-MAX(T.Abendab,J16))+(J15&gt;J16)*(1+T.Abendab-T.Abendbis)+MAX(0,T.Abendbis-MAX(J17,T.Abendab))-MAX(0,T.Abendbis-MAX(T.Abendab,J18))+(J17&gt;J18)*(1+T.Abendab-T.Abendbis)+MAX(0,T.Abendbis-MAX(J19,T.Abendab))-MAX(0,T.Abendbis-MAX(T.Abendab,J20))+(J19&gt;J20)*(1+T.Abendab-T.Abendbis)+MAX(0,T.Abendbis-MAX(J21,T.Abendab))-MAX(0,T.Abendbis-MAX(T.Abendab,J22))+(J21&gt;J22)*(1+T.Abendab-T.Abendbis),9)),"")</f>
        <v/>
      </c>
      <c r="K80" s="256" t="str">
        <f aca="false">IF(T.50_Vetsuisse,IF(OR(K$12=0,K$11=0,WEEKDAY(K$10,2)&gt;5),0,ROUND(MAX(0,T.Abendbis-MAX(K13,T.Abendab))-MAX(0,T.Abendbis-MAX(T.Abendab,K14))+(K13&gt;K14)*(1+T.Abendab-T.Abendbis)+MAX(0,T.Abendbis-MAX(K15,T.Abendab))-MAX(0,T.Abendbis-MAX(T.Abendab,K16))+(K15&gt;K16)*(1+T.Abendab-T.Abendbis)+MAX(0,T.Abendbis-MAX(K17,T.Abendab))-MAX(0,T.Abendbis-MAX(T.Abendab,K18))+(K17&gt;K18)*(1+T.Abendab-T.Abendbis)+MAX(0,T.Abendbis-MAX(K19,T.Abendab))-MAX(0,T.Abendbis-MAX(T.Abendab,K20))+(K19&gt;K20)*(1+T.Abendab-T.Abendbis)+MAX(0,T.Abendbis-MAX(K21,T.Abendab))-MAX(0,T.Abendbis-MAX(T.Abendab,K22))+(K21&gt;K22)*(1+T.Abendab-T.Abendbis),9)),"")</f>
        <v/>
      </c>
      <c r="L80" s="256" t="str">
        <f aca="false">IF(T.50_Vetsuisse,IF(OR(L$12=0,L$11=0,WEEKDAY(L$10,2)&gt;5),0,ROUND(MAX(0,T.Abendbis-MAX(L13,T.Abendab))-MAX(0,T.Abendbis-MAX(T.Abendab,L14))+(L13&gt;L14)*(1+T.Abendab-T.Abendbis)+MAX(0,T.Abendbis-MAX(L15,T.Abendab))-MAX(0,T.Abendbis-MAX(T.Abendab,L16))+(L15&gt;L16)*(1+T.Abendab-T.Abendbis)+MAX(0,T.Abendbis-MAX(L17,T.Abendab))-MAX(0,T.Abendbis-MAX(T.Abendab,L18))+(L17&gt;L18)*(1+T.Abendab-T.Abendbis)+MAX(0,T.Abendbis-MAX(L19,T.Abendab))-MAX(0,T.Abendbis-MAX(T.Abendab,L20))+(L19&gt;L20)*(1+T.Abendab-T.Abendbis)+MAX(0,T.Abendbis-MAX(L21,T.Abendab))-MAX(0,T.Abendbis-MAX(T.Abendab,L22))+(L21&gt;L22)*(1+T.Abendab-T.Abendbis),9)),"")</f>
        <v/>
      </c>
      <c r="M80" s="256" t="str">
        <f aca="false">IF(T.50_Vetsuisse,IF(OR(M$12=0,M$11=0,WEEKDAY(M$10,2)&gt;5),0,ROUND(MAX(0,T.Abendbis-MAX(M13,T.Abendab))-MAX(0,T.Abendbis-MAX(T.Abendab,M14))+(M13&gt;M14)*(1+T.Abendab-T.Abendbis)+MAX(0,T.Abendbis-MAX(M15,T.Abendab))-MAX(0,T.Abendbis-MAX(T.Abendab,M16))+(M15&gt;M16)*(1+T.Abendab-T.Abendbis)+MAX(0,T.Abendbis-MAX(M17,T.Abendab))-MAX(0,T.Abendbis-MAX(T.Abendab,M18))+(M17&gt;M18)*(1+T.Abendab-T.Abendbis)+MAX(0,T.Abendbis-MAX(M19,T.Abendab))-MAX(0,T.Abendbis-MAX(T.Abendab,M20))+(M19&gt;M20)*(1+T.Abendab-T.Abendbis)+MAX(0,T.Abendbis-MAX(M21,T.Abendab))-MAX(0,T.Abendbis-MAX(T.Abendab,M22))+(M21&gt;M22)*(1+T.Abendab-T.Abendbis),9)),"")</f>
        <v/>
      </c>
      <c r="N80" s="256" t="str">
        <f aca="false">IF(T.50_Vetsuisse,IF(OR(N$12=0,N$11=0,WEEKDAY(N$10,2)&gt;5),0,ROUND(MAX(0,T.Abendbis-MAX(N13,T.Abendab))-MAX(0,T.Abendbis-MAX(T.Abendab,N14))+(N13&gt;N14)*(1+T.Abendab-T.Abendbis)+MAX(0,T.Abendbis-MAX(N15,T.Abendab))-MAX(0,T.Abendbis-MAX(T.Abendab,N16))+(N15&gt;N16)*(1+T.Abendab-T.Abendbis)+MAX(0,T.Abendbis-MAX(N17,T.Abendab))-MAX(0,T.Abendbis-MAX(T.Abendab,N18))+(N17&gt;N18)*(1+T.Abendab-T.Abendbis)+MAX(0,T.Abendbis-MAX(N19,T.Abendab))-MAX(0,T.Abendbis-MAX(T.Abendab,N20))+(N19&gt;N20)*(1+T.Abendab-T.Abendbis)+MAX(0,T.Abendbis-MAX(N21,T.Abendab))-MAX(0,T.Abendbis-MAX(T.Abendab,N22))+(N21&gt;N22)*(1+T.Abendab-T.Abendbis),9)),"")</f>
        <v/>
      </c>
      <c r="O80" s="256" t="str">
        <f aca="false">IF(T.50_Vetsuisse,IF(OR(O$12=0,O$11=0,WEEKDAY(O$10,2)&gt;5),0,ROUND(MAX(0,T.Abendbis-MAX(O13,T.Abendab))-MAX(0,T.Abendbis-MAX(T.Abendab,O14))+(O13&gt;O14)*(1+T.Abendab-T.Abendbis)+MAX(0,T.Abendbis-MAX(O15,T.Abendab))-MAX(0,T.Abendbis-MAX(T.Abendab,O16))+(O15&gt;O16)*(1+T.Abendab-T.Abendbis)+MAX(0,T.Abendbis-MAX(O17,T.Abendab))-MAX(0,T.Abendbis-MAX(T.Abendab,O18))+(O17&gt;O18)*(1+T.Abendab-T.Abendbis)+MAX(0,T.Abendbis-MAX(O19,T.Abendab))-MAX(0,T.Abendbis-MAX(T.Abendab,O20))+(O19&gt;O20)*(1+T.Abendab-T.Abendbis)+MAX(0,T.Abendbis-MAX(O21,T.Abendab))-MAX(0,T.Abendbis-MAX(T.Abendab,O22))+(O21&gt;O22)*(1+T.Abendab-T.Abendbis),9)),"")</f>
        <v/>
      </c>
      <c r="P80" s="256" t="str">
        <f aca="false">IF(T.50_Vetsuisse,IF(OR(P$12=0,P$11=0,WEEKDAY(P$10,2)&gt;5),0,ROUND(MAX(0,T.Abendbis-MAX(P13,T.Abendab))-MAX(0,T.Abendbis-MAX(T.Abendab,P14))+(P13&gt;P14)*(1+T.Abendab-T.Abendbis)+MAX(0,T.Abendbis-MAX(P15,T.Abendab))-MAX(0,T.Abendbis-MAX(T.Abendab,P16))+(P15&gt;P16)*(1+T.Abendab-T.Abendbis)+MAX(0,T.Abendbis-MAX(P17,T.Abendab))-MAX(0,T.Abendbis-MAX(T.Abendab,P18))+(P17&gt;P18)*(1+T.Abendab-T.Abendbis)+MAX(0,T.Abendbis-MAX(P19,T.Abendab))-MAX(0,T.Abendbis-MAX(T.Abendab,P20))+(P19&gt;P20)*(1+T.Abendab-T.Abendbis)+MAX(0,T.Abendbis-MAX(P21,T.Abendab))-MAX(0,T.Abendbis-MAX(T.Abendab,P22))+(P21&gt;P22)*(1+T.Abendab-T.Abendbis),9)),"")</f>
        <v/>
      </c>
      <c r="Q80" s="256" t="str">
        <f aca="false">IF(T.50_Vetsuisse,IF(OR(Q$12=0,Q$11=0,WEEKDAY(Q$10,2)&gt;5),0,ROUND(MAX(0,T.Abendbis-MAX(Q13,T.Abendab))-MAX(0,T.Abendbis-MAX(T.Abendab,Q14))+(Q13&gt;Q14)*(1+T.Abendab-T.Abendbis)+MAX(0,T.Abendbis-MAX(Q15,T.Abendab))-MAX(0,T.Abendbis-MAX(T.Abendab,Q16))+(Q15&gt;Q16)*(1+T.Abendab-T.Abendbis)+MAX(0,T.Abendbis-MAX(Q17,T.Abendab))-MAX(0,T.Abendbis-MAX(T.Abendab,Q18))+(Q17&gt;Q18)*(1+T.Abendab-T.Abendbis)+MAX(0,T.Abendbis-MAX(Q19,T.Abendab))-MAX(0,T.Abendbis-MAX(T.Abendab,Q20))+(Q19&gt;Q20)*(1+T.Abendab-T.Abendbis)+MAX(0,T.Abendbis-MAX(Q21,T.Abendab))-MAX(0,T.Abendbis-MAX(T.Abendab,Q22))+(Q21&gt;Q22)*(1+T.Abendab-T.Abendbis),9)),"")</f>
        <v/>
      </c>
      <c r="R80" s="256" t="str">
        <f aca="false">IF(T.50_Vetsuisse,IF(OR(R$12=0,R$11=0,WEEKDAY(R$10,2)&gt;5),0,ROUND(MAX(0,T.Abendbis-MAX(R13,T.Abendab))-MAX(0,T.Abendbis-MAX(T.Abendab,R14))+(R13&gt;R14)*(1+T.Abendab-T.Abendbis)+MAX(0,T.Abendbis-MAX(R15,T.Abendab))-MAX(0,T.Abendbis-MAX(T.Abendab,R16))+(R15&gt;R16)*(1+T.Abendab-T.Abendbis)+MAX(0,T.Abendbis-MAX(R17,T.Abendab))-MAX(0,T.Abendbis-MAX(T.Abendab,R18))+(R17&gt;R18)*(1+T.Abendab-T.Abendbis)+MAX(0,T.Abendbis-MAX(R19,T.Abendab))-MAX(0,T.Abendbis-MAX(T.Abendab,R20))+(R19&gt;R20)*(1+T.Abendab-T.Abendbis)+MAX(0,T.Abendbis-MAX(R21,T.Abendab))-MAX(0,T.Abendbis-MAX(T.Abendab,R22))+(R21&gt;R22)*(1+T.Abendab-T.Abendbis),9)),"")</f>
        <v/>
      </c>
      <c r="S80" s="256" t="str">
        <f aca="false">IF(T.50_Vetsuisse,IF(OR(S$12=0,S$11=0,WEEKDAY(S$10,2)&gt;5),0,ROUND(MAX(0,T.Abendbis-MAX(S13,T.Abendab))-MAX(0,T.Abendbis-MAX(T.Abendab,S14))+(S13&gt;S14)*(1+T.Abendab-T.Abendbis)+MAX(0,T.Abendbis-MAX(S15,T.Abendab))-MAX(0,T.Abendbis-MAX(T.Abendab,S16))+(S15&gt;S16)*(1+T.Abendab-T.Abendbis)+MAX(0,T.Abendbis-MAX(S17,T.Abendab))-MAX(0,T.Abendbis-MAX(T.Abendab,S18))+(S17&gt;S18)*(1+T.Abendab-T.Abendbis)+MAX(0,T.Abendbis-MAX(S19,T.Abendab))-MAX(0,T.Abendbis-MAX(T.Abendab,S20))+(S19&gt;S20)*(1+T.Abendab-T.Abendbis)+MAX(0,T.Abendbis-MAX(S21,T.Abendab))-MAX(0,T.Abendbis-MAX(T.Abendab,S22))+(S21&gt;S22)*(1+T.Abendab-T.Abendbis),9)),"")</f>
        <v/>
      </c>
      <c r="T80" s="256" t="str">
        <f aca="false">IF(T.50_Vetsuisse,IF(OR(T$12=0,T$11=0,WEEKDAY(T$10,2)&gt;5),0,ROUND(MAX(0,T.Abendbis-MAX(T13,T.Abendab))-MAX(0,T.Abendbis-MAX(T.Abendab,T14))+(T13&gt;T14)*(1+T.Abendab-T.Abendbis)+MAX(0,T.Abendbis-MAX(T15,T.Abendab))-MAX(0,T.Abendbis-MAX(T.Abendab,T16))+(T15&gt;T16)*(1+T.Abendab-T.Abendbis)+MAX(0,T.Abendbis-MAX(T17,T.Abendab))-MAX(0,T.Abendbis-MAX(T.Abendab,T18))+(T17&gt;T18)*(1+T.Abendab-T.Abendbis)+MAX(0,T.Abendbis-MAX(T19,T.Abendab))-MAX(0,T.Abendbis-MAX(T.Abendab,T20))+(T19&gt;T20)*(1+T.Abendab-T.Abendbis)+MAX(0,T.Abendbis-MAX(T21,T.Abendab))-MAX(0,T.Abendbis-MAX(T.Abendab,T22))+(T21&gt;T22)*(1+T.Abendab-T.Abendbis),9)),"")</f>
        <v/>
      </c>
      <c r="U80" s="256" t="str">
        <f aca="false">IF(T.50_Vetsuisse,IF(OR(U$12=0,U$11=0,WEEKDAY(U$10,2)&gt;5),0,ROUND(MAX(0,T.Abendbis-MAX(U13,T.Abendab))-MAX(0,T.Abendbis-MAX(T.Abendab,U14))+(U13&gt;U14)*(1+T.Abendab-T.Abendbis)+MAX(0,T.Abendbis-MAX(U15,T.Abendab))-MAX(0,T.Abendbis-MAX(T.Abendab,U16))+(U15&gt;U16)*(1+T.Abendab-T.Abendbis)+MAX(0,T.Abendbis-MAX(U17,T.Abendab))-MAX(0,T.Abendbis-MAX(T.Abendab,U18))+(U17&gt;U18)*(1+T.Abendab-T.Abendbis)+MAX(0,T.Abendbis-MAX(U19,T.Abendab))-MAX(0,T.Abendbis-MAX(T.Abendab,U20))+(U19&gt;U20)*(1+T.Abendab-T.Abendbis)+MAX(0,T.Abendbis-MAX(U21,T.Abendab))-MAX(0,T.Abendbis-MAX(T.Abendab,U22))+(U21&gt;U22)*(1+T.Abendab-T.Abendbis),9)),"")</f>
        <v/>
      </c>
      <c r="V80" s="256" t="str">
        <f aca="false">IF(T.50_Vetsuisse,IF(OR(V$12=0,V$11=0,WEEKDAY(V$10,2)&gt;5),0,ROUND(MAX(0,T.Abendbis-MAX(V13,T.Abendab))-MAX(0,T.Abendbis-MAX(T.Abendab,V14))+(V13&gt;V14)*(1+T.Abendab-T.Abendbis)+MAX(0,T.Abendbis-MAX(V15,T.Abendab))-MAX(0,T.Abendbis-MAX(T.Abendab,V16))+(V15&gt;V16)*(1+T.Abendab-T.Abendbis)+MAX(0,T.Abendbis-MAX(V17,T.Abendab))-MAX(0,T.Abendbis-MAX(T.Abendab,V18))+(V17&gt;V18)*(1+T.Abendab-T.Abendbis)+MAX(0,T.Abendbis-MAX(V19,T.Abendab))-MAX(0,T.Abendbis-MAX(T.Abendab,V20))+(V19&gt;V20)*(1+T.Abendab-T.Abendbis)+MAX(0,T.Abendbis-MAX(V21,T.Abendab))-MAX(0,T.Abendbis-MAX(T.Abendab,V22))+(V21&gt;V22)*(1+T.Abendab-T.Abendbis),9)),"")</f>
        <v/>
      </c>
      <c r="W80" s="256" t="str">
        <f aca="false">IF(T.50_Vetsuisse,IF(OR(W$12=0,W$11=0,WEEKDAY(W$10,2)&gt;5),0,ROUND(MAX(0,T.Abendbis-MAX(W13,T.Abendab))-MAX(0,T.Abendbis-MAX(T.Abendab,W14))+(W13&gt;W14)*(1+T.Abendab-T.Abendbis)+MAX(0,T.Abendbis-MAX(W15,T.Abendab))-MAX(0,T.Abendbis-MAX(T.Abendab,W16))+(W15&gt;W16)*(1+T.Abendab-T.Abendbis)+MAX(0,T.Abendbis-MAX(W17,T.Abendab))-MAX(0,T.Abendbis-MAX(T.Abendab,W18))+(W17&gt;W18)*(1+T.Abendab-T.Abendbis)+MAX(0,T.Abendbis-MAX(W19,T.Abendab))-MAX(0,T.Abendbis-MAX(T.Abendab,W20))+(W19&gt;W20)*(1+T.Abendab-T.Abendbis)+MAX(0,T.Abendbis-MAX(W21,T.Abendab))-MAX(0,T.Abendbis-MAX(T.Abendab,W22))+(W21&gt;W22)*(1+T.Abendab-T.Abendbis),9)),"")</f>
        <v/>
      </c>
      <c r="X80" s="256" t="str">
        <f aca="false">IF(T.50_Vetsuisse,IF(OR(X$12=0,X$11=0,WEEKDAY(X$10,2)&gt;5),0,ROUND(MAX(0,T.Abendbis-MAX(X13,T.Abendab))-MAX(0,T.Abendbis-MAX(T.Abendab,X14))+(X13&gt;X14)*(1+T.Abendab-T.Abendbis)+MAX(0,T.Abendbis-MAX(X15,T.Abendab))-MAX(0,T.Abendbis-MAX(T.Abendab,X16))+(X15&gt;X16)*(1+T.Abendab-T.Abendbis)+MAX(0,T.Abendbis-MAX(X17,T.Abendab))-MAX(0,T.Abendbis-MAX(T.Abendab,X18))+(X17&gt;X18)*(1+T.Abendab-T.Abendbis)+MAX(0,T.Abendbis-MAX(X19,T.Abendab))-MAX(0,T.Abendbis-MAX(T.Abendab,X20))+(X19&gt;X20)*(1+T.Abendab-T.Abendbis)+MAX(0,T.Abendbis-MAX(X21,T.Abendab))-MAX(0,T.Abendbis-MAX(T.Abendab,X22))+(X21&gt;X22)*(1+T.Abendab-T.Abendbis),9)),"")</f>
        <v/>
      </c>
      <c r="Y80" s="256" t="str">
        <f aca="false">IF(T.50_Vetsuisse,IF(OR(Y$12=0,Y$11=0,WEEKDAY(Y$10,2)&gt;5),0,ROUND(MAX(0,T.Abendbis-MAX(Y13,T.Abendab))-MAX(0,T.Abendbis-MAX(T.Abendab,Y14))+(Y13&gt;Y14)*(1+T.Abendab-T.Abendbis)+MAX(0,T.Abendbis-MAX(Y15,T.Abendab))-MAX(0,T.Abendbis-MAX(T.Abendab,Y16))+(Y15&gt;Y16)*(1+T.Abendab-T.Abendbis)+MAX(0,T.Abendbis-MAX(Y17,T.Abendab))-MAX(0,T.Abendbis-MAX(T.Abendab,Y18))+(Y17&gt;Y18)*(1+T.Abendab-T.Abendbis)+MAX(0,T.Abendbis-MAX(Y19,T.Abendab))-MAX(0,T.Abendbis-MAX(T.Abendab,Y20))+(Y19&gt;Y20)*(1+T.Abendab-T.Abendbis)+MAX(0,T.Abendbis-MAX(Y21,T.Abendab))-MAX(0,T.Abendbis-MAX(T.Abendab,Y22))+(Y21&gt;Y22)*(1+T.Abendab-T.Abendbis),9)),"")</f>
        <v/>
      </c>
      <c r="Z80" s="256" t="str">
        <f aca="false">IF(T.50_Vetsuisse,IF(OR(Z$12=0,Z$11=0,WEEKDAY(Z$10,2)&gt;5),0,ROUND(MAX(0,T.Abendbis-MAX(Z13,T.Abendab))-MAX(0,T.Abendbis-MAX(T.Abendab,Z14))+(Z13&gt;Z14)*(1+T.Abendab-T.Abendbis)+MAX(0,T.Abendbis-MAX(Z15,T.Abendab))-MAX(0,T.Abendbis-MAX(T.Abendab,Z16))+(Z15&gt;Z16)*(1+T.Abendab-T.Abendbis)+MAX(0,T.Abendbis-MAX(Z17,T.Abendab))-MAX(0,T.Abendbis-MAX(T.Abendab,Z18))+(Z17&gt;Z18)*(1+T.Abendab-T.Abendbis)+MAX(0,T.Abendbis-MAX(Z19,T.Abendab))-MAX(0,T.Abendbis-MAX(T.Abendab,Z20))+(Z19&gt;Z20)*(1+T.Abendab-T.Abendbis)+MAX(0,T.Abendbis-MAX(Z21,T.Abendab))-MAX(0,T.Abendbis-MAX(T.Abendab,Z22))+(Z21&gt;Z22)*(1+T.Abendab-T.Abendbis),9)),"")</f>
        <v/>
      </c>
      <c r="AA80" s="256" t="str">
        <f aca="false">IF(T.50_Vetsuisse,IF(OR(AA$12=0,AA$11=0,WEEKDAY(AA$10,2)&gt;5),0,ROUND(MAX(0,T.Abendbis-MAX(AA13,T.Abendab))-MAX(0,T.Abendbis-MAX(T.Abendab,AA14))+(AA13&gt;AA14)*(1+T.Abendab-T.Abendbis)+MAX(0,T.Abendbis-MAX(AA15,T.Abendab))-MAX(0,T.Abendbis-MAX(T.Abendab,AA16))+(AA15&gt;AA16)*(1+T.Abendab-T.Abendbis)+MAX(0,T.Abendbis-MAX(AA17,T.Abendab))-MAX(0,T.Abendbis-MAX(T.Abendab,AA18))+(AA17&gt;AA18)*(1+T.Abendab-T.Abendbis)+MAX(0,T.Abendbis-MAX(AA19,T.Abendab))-MAX(0,T.Abendbis-MAX(T.Abendab,AA20))+(AA19&gt;AA20)*(1+T.Abendab-T.Abendbis)+MAX(0,T.Abendbis-MAX(AA21,T.Abendab))-MAX(0,T.Abendbis-MAX(T.Abendab,AA22))+(AA21&gt;AA22)*(1+T.Abendab-T.Abendbis),9)),"")</f>
        <v/>
      </c>
      <c r="AB80" s="256" t="str">
        <f aca="false">IF(T.50_Vetsuisse,IF(OR(AB$12=0,AB$11=0,WEEKDAY(AB$10,2)&gt;5),0,ROUND(MAX(0,T.Abendbis-MAX(AB13,T.Abendab))-MAX(0,T.Abendbis-MAX(T.Abendab,AB14))+(AB13&gt;AB14)*(1+T.Abendab-T.Abendbis)+MAX(0,T.Abendbis-MAX(AB15,T.Abendab))-MAX(0,T.Abendbis-MAX(T.Abendab,AB16))+(AB15&gt;AB16)*(1+T.Abendab-T.Abendbis)+MAX(0,T.Abendbis-MAX(AB17,T.Abendab))-MAX(0,T.Abendbis-MAX(T.Abendab,AB18))+(AB17&gt;AB18)*(1+T.Abendab-T.Abendbis)+MAX(0,T.Abendbis-MAX(AB19,T.Abendab))-MAX(0,T.Abendbis-MAX(T.Abendab,AB20))+(AB19&gt;AB20)*(1+T.Abendab-T.Abendbis)+MAX(0,T.Abendbis-MAX(AB21,T.Abendab))-MAX(0,T.Abendbis-MAX(T.Abendab,AB22))+(AB21&gt;AB22)*(1+T.Abendab-T.Abendbis),9)),"")</f>
        <v/>
      </c>
      <c r="AC80" s="256" t="str">
        <f aca="false">IF(T.50_Vetsuisse,IF(OR(AC$12=0,AC$11=0,WEEKDAY(AC$10,2)&gt;5),0,ROUND(MAX(0,T.Abendbis-MAX(AC13,T.Abendab))-MAX(0,T.Abendbis-MAX(T.Abendab,AC14))+(AC13&gt;AC14)*(1+T.Abendab-T.Abendbis)+MAX(0,T.Abendbis-MAX(AC15,T.Abendab))-MAX(0,T.Abendbis-MAX(T.Abendab,AC16))+(AC15&gt;AC16)*(1+T.Abendab-T.Abendbis)+MAX(0,T.Abendbis-MAX(AC17,T.Abendab))-MAX(0,T.Abendbis-MAX(T.Abendab,AC18))+(AC17&gt;AC18)*(1+T.Abendab-T.Abendbis)+MAX(0,T.Abendbis-MAX(AC19,T.Abendab))-MAX(0,T.Abendbis-MAX(T.Abendab,AC20))+(AC19&gt;AC20)*(1+T.Abendab-T.Abendbis)+MAX(0,T.Abendbis-MAX(AC21,T.Abendab))-MAX(0,T.Abendbis-MAX(T.Abendab,AC22))+(AC21&gt;AC22)*(1+T.Abendab-T.Abendbis),9)),"")</f>
        <v/>
      </c>
      <c r="AD80" s="256" t="str">
        <f aca="false">IF(T.50_Vetsuisse,IF(OR(AD$12=0,AD$11=0,WEEKDAY(AD$10,2)&gt;5),0,ROUND(MAX(0,T.Abendbis-MAX(AD13,T.Abendab))-MAX(0,T.Abendbis-MAX(T.Abendab,AD14))+(AD13&gt;AD14)*(1+T.Abendab-T.Abendbis)+MAX(0,T.Abendbis-MAX(AD15,T.Abendab))-MAX(0,T.Abendbis-MAX(T.Abendab,AD16))+(AD15&gt;AD16)*(1+T.Abendab-T.Abendbis)+MAX(0,T.Abendbis-MAX(AD17,T.Abendab))-MAX(0,T.Abendbis-MAX(T.Abendab,AD18))+(AD17&gt;AD18)*(1+T.Abendab-T.Abendbis)+MAX(0,T.Abendbis-MAX(AD19,T.Abendab))-MAX(0,T.Abendbis-MAX(T.Abendab,AD20))+(AD19&gt;AD20)*(1+T.Abendab-T.Abendbis)+MAX(0,T.Abendbis-MAX(AD21,T.Abendab))-MAX(0,T.Abendbis-MAX(T.Abendab,AD22))+(AD21&gt;AD22)*(1+T.Abendab-T.Abendbis),9)),"")</f>
        <v/>
      </c>
      <c r="AE80" s="256" t="str">
        <f aca="false">IF(T.50_Vetsuisse,IF(OR(AE$12=0,AE$11=0,WEEKDAY(AE$10,2)&gt;5),0,ROUND(MAX(0,T.Abendbis-MAX(AE13,T.Abendab))-MAX(0,T.Abendbis-MAX(T.Abendab,AE14))+(AE13&gt;AE14)*(1+T.Abendab-T.Abendbis)+MAX(0,T.Abendbis-MAX(AE15,T.Abendab))-MAX(0,T.Abendbis-MAX(T.Abendab,AE16))+(AE15&gt;AE16)*(1+T.Abendab-T.Abendbis)+MAX(0,T.Abendbis-MAX(AE17,T.Abendab))-MAX(0,T.Abendbis-MAX(T.Abendab,AE18))+(AE17&gt;AE18)*(1+T.Abendab-T.Abendbis)+MAX(0,T.Abendbis-MAX(AE19,T.Abendab))-MAX(0,T.Abendbis-MAX(T.Abendab,AE20))+(AE19&gt;AE20)*(1+T.Abendab-T.Abendbis)+MAX(0,T.Abendbis-MAX(AE21,T.Abendab))-MAX(0,T.Abendbis-MAX(T.Abendab,AE22))+(AE21&gt;AE22)*(1+T.Abendab-T.Abendbis),9)),"")</f>
        <v/>
      </c>
      <c r="AF80" s="256" t="str">
        <f aca="false">IF(T.50_Vetsuisse,IF(OR(AF$12=0,AF$11=0,WEEKDAY(AF$10,2)&gt;5),0,ROUND(MAX(0,T.Abendbis-MAX(AF13,T.Abendab))-MAX(0,T.Abendbis-MAX(T.Abendab,AF14))+(AF13&gt;AF14)*(1+T.Abendab-T.Abendbis)+MAX(0,T.Abendbis-MAX(AF15,T.Abendab))-MAX(0,T.Abendbis-MAX(T.Abendab,AF16))+(AF15&gt;AF16)*(1+T.Abendab-T.Abendbis)+MAX(0,T.Abendbis-MAX(AF17,T.Abendab))-MAX(0,T.Abendbis-MAX(T.Abendab,AF18))+(AF17&gt;AF18)*(1+T.Abendab-T.Abendbis)+MAX(0,T.Abendbis-MAX(AF19,T.Abendab))-MAX(0,T.Abendbis-MAX(T.Abendab,AF20))+(AF19&gt;AF20)*(1+T.Abendab-T.Abendbis)+MAX(0,T.Abendbis-MAX(AF21,T.Abendab))-MAX(0,T.Abendbis-MAX(T.Abendab,AF22))+(AF21&gt;AF22)*(1+T.Abendab-T.Abendbis),9)),"")</f>
        <v/>
      </c>
      <c r="AG80" s="168" t="str">
        <f aca="false">A80</f>
        <v>Evening work</v>
      </c>
      <c r="AH80" s="250"/>
      <c r="AI80" s="207" t="n">
        <f aca="false">SUM(B80:AF80)</f>
        <v>0</v>
      </c>
      <c r="AJ80" s="33"/>
      <c r="AK80" s="192"/>
      <c r="AL80" s="216" t="n">
        <f aca="false">IF(EB.Anwendung&lt;&gt;"",IF(MONTH(Monat.Tag1)=1,0,IF(MONTH(Monat.Tag1)=2,Monat.AAUeVM,IF(MONTH(Monat.Tag1)=3,February!Monat.AAUeVM,IF(MONTH(Monat.Tag1)=4,March!Monat.AAUeVM,IF(MONTH(Monat.Tag1)=5,April!Monat.AAUeVM,IF(MONTH(Monat.Tag1)=6,May!Monat.AAUeVM,IF(MONTH(Monat.Tag1)=7,June!Monat.AAUeVM,IF(MONTH(Monat.Tag1)=8,July!Monat.AAUeVM,IF(MONTH(Monat.Tag1)=9,August!Monat.AAUeVM,IF(MONTH(Monat.Tag1)=10,September!Monat.AAUeVM,IF(MONTH(Monat.Tag1)=11,October!Monat.AAUeVM,IF(MONTH(Monat.Tag1)=12,November!Monat.AAUeVM,"")))))))))))),"")</f>
        <v>0</v>
      </c>
      <c r="AM80" s="172"/>
      <c r="AN80" s="217" t="n">
        <f aca="false">AI80+AL80</f>
        <v>0</v>
      </c>
      <c r="AO80" s="171"/>
      <c r="AP80" s="171"/>
      <c r="AQ80" s="39"/>
    </row>
    <row r="81" s="148" customFormat="true" ht="15" hidden="false" customHeight="true" outlineLevel="1" collapsed="false">
      <c r="A81" s="175" t="s">
        <v>164</v>
      </c>
      <c r="B81" s="256" t="n">
        <f aca="true">IF(EB.Wochenarbeitszeit=50/24,"",IF(B$12=0,0,IF(OR(WEEKDAY(B$10,2)&gt;5,B$11=0),IF(NOT(B$34=INDEX(T.Pikett.Bereich,1)),1,0),IF(WEEKDAY(B$10,2)&lt;6,IF(AND(OR(B$34=INDEX(T.Pikett.Bereich,2),B$34=INDEX(T.Pikett.Bereich,3)),B$11=1),8/24,0))+IF(WEEKDAY(B$10,2)&lt;6,IF(AND(OR(B$34=INDEX(T.Pikett.Bereich,2),B$34=INDEX(T.Pikett.Bereich,3)),B$11=6/8.4),10/24,0)) +IF(WEEKDAY(B$10,2)&lt;6,IF(AND(OR(B$34=INDEX(T.Pikett.Bereich,2),B$34=INDEX(T.Pikett.Bereich,3)),B$11=0.5),0.5,0)) +IF(AND(B$34=INDEX(T.Pikett.Bereich,4),B$11=6/8.4),0.75,0)+IF(AND(B$34=INDEX(T.Pikett.Bereich,4),B$11=1),16/24,0) +IF(AND(B$34=INDEX(T.Pikett.Bereich,4),B$11=0.5),20/24,0))))</f>
        <v>0</v>
      </c>
      <c r="C81" s="256" t="n">
        <f aca="true">IF(EB.Wochenarbeitszeit=50/24,"",IF(C$12=0,0,IF(OR(WEEKDAY(C$10,2)&gt;5,C$11=0),IF(NOT(C$34=INDEX(T.Pikett.Bereich,1)),1,0),IF(WEEKDAY(C$10,2)&lt;6,IF(AND(OR(C$34=INDEX(T.Pikett.Bereich,2),C$34=INDEX(T.Pikett.Bereich,3)),C$11=1),8/24,0))+IF(WEEKDAY(C$10,2)&lt;6,IF(AND(OR(C$34=INDEX(T.Pikett.Bereich,2),C$34=INDEX(T.Pikett.Bereich,3)),C$11=6/8.4),10/24,0)) +IF(WEEKDAY(C$10,2)&lt;6,IF(AND(OR(C$34=INDEX(T.Pikett.Bereich,2),C$34=INDEX(T.Pikett.Bereich,3)),C$11=0.5),0.5,0)) +IF(AND(C$34=INDEX(T.Pikett.Bereich,4),C$11=6/8.4),0.75,0)+IF(AND(C$34=INDEX(T.Pikett.Bereich,4),C$11=1),16/24,0) +IF(AND(C$34=INDEX(T.Pikett.Bereich,4),C$11=0.5),20/24,0))))</f>
        <v>0</v>
      </c>
      <c r="D81" s="256" t="n">
        <f aca="true">IF(EB.Wochenarbeitszeit=50/24,"",IF(D$12=0,0,IF(OR(WEEKDAY(D$10,2)&gt;5,D$11=0),IF(NOT(D$34=INDEX(T.Pikett.Bereich,1)),1,0),IF(WEEKDAY(D$10,2)&lt;6,IF(AND(OR(D$34=INDEX(T.Pikett.Bereich,2),D$34=INDEX(T.Pikett.Bereich,3)),D$11=1),8/24,0))+IF(WEEKDAY(D$10,2)&lt;6,IF(AND(OR(D$34=INDEX(T.Pikett.Bereich,2),D$34=INDEX(T.Pikett.Bereich,3)),D$11=6/8.4),10/24,0)) +IF(WEEKDAY(D$10,2)&lt;6,IF(AND(OR(D$34=INDEX(T.Pikett.Bereich,2),D$34=INDEX(T.Pikett.Bereich,3)),D$11=0.5),0.5,0)) +IF(AND(D$34=INDEX(T.Pikett.Bereich,4),D$11=6/8.4),0.75,0)+IF(AND(D$34=INDEX(T.Pikett.Bereich,4),D$11=1),16/24,0) +IF(AND(D$34=INDEX(T.Pikett.Bereich,4),D$11=0.5),20/24,0))))</f>
        <v>0</v>
      </c>
      <c r="E81" s="256" t="n">
        <f aca="true">IF(EB.Wochenarbeitszeit=50/24,"",IF(E$12=0,0,IF(OR(WEEKDAY(E$10,2)&gt;5,E$11=0),IF(NOT(E$34=INDEX(T.Pikett.Bereich,1)),1,0),IF(WEEKDAY(E$10,2)&lt;6,IF(AND(OR(E$34=INDEX(T.Pikett.Bereich,2),E$34=INDEX(T.Pikett.Bereich,3)),E$11=1),8/24,0))+IF(WEEKDAY(E$10,2)&lt;6,IF(AND(OR(E$34=INDEX(T.Pikett.Bereich,2),E$34=INDEX(T.Pikett.Bereich,3)),E$11=6/8.4),10/24,0)) +IF(WEEKDAY(E$10,2)&lt;6,IF(AND(OR(E$34=INDEX(T.Pikett.Bereich,2),E$34=INDEX(T.Pikett.Bereich,3)),E$11=0.5),0.5,0)) +IF(AND(E$34=INDEX(T.Pikett.Bereich,4),E$11=6/8.4),0.75,0)+IF(AND(E$34=INDEX(T.Pikett.Bereich,4),E$11=1),16/24,0) +IF(AND(E$34=INDEX(T.Pikett.Bereich,4),E$11=0.5),20/24,0))))</f>
        <v>0</v>
      </c>
      <c r="F81" s="256" t="n">
        <f aca="true">IF(EB.Wochenarbeitszeit=50/24,"",IF(F$12=0,0,IF(OR(WEEKDAY(F$10,2)&gt;5,F$11=0),IF(NOT(F$34=INDEX(T.Pikett.Bereich,1)),1,0),IF(WEEKDAY(F$10,2)&lt;6,IF(AND(OR(F$34=INDEX(T.Pikett.Bereich,2),F$34=INDEX(T.Pikett.Bereich,3)),F$11=1),8/24,0))+IF(WEEKDAY(F$10,2)&lt;6,IF(AND(OR(F$34=INDEX(T.Pikett.Bereich,2),F$34=INDEX(T.Pikett.Bereich,3)),F$11=6/8.4),10/24,0)) +IF(WEEKDAY(F$10,2)&lt;6,IF(AND(OR(F$34=INDEX(T.Pikett.Bereich,2),F$34=INDEX(T.Pikett.Bereich,3)),F$11=0.5),0.5,0)) +IF(AND(F$34=INDEX(T.Pikett.Bereich,4),F$11=6/8.4),0.75,0)+IF(AND(F$34=INDEX(T.Pikett.Bereich,4),F$11=1),16/24,0) +IF(AND(F$34=INDEX(T.Pikett.Bereich,4),F$11=0.5),20/24,0))))</f>
        <v>0</v>
      </c>
      <c r="G81" s="256" t="n">
        <f aca="true">IF(EB.Wochenarbeitszeit=50/24,"",IF(G$12=0,0,IF(OR(WEEKDAY(G$10,2)&gt;5,G$11=0),IF(NOT(G$34=INDEX(T.Pikett.Bereich,1)),1,0),IF(WEEKDAY(G$10,2)&lt;6,IF(AND(OR(G$34=INDEX(T.Pikett.Bereich,2),G$34=INDEX(T.Pikett.Bereich,3)),G$11=1),8/24,0))+IF(WEEKDAY(G$10,2)&lt;6,IF(AND(OR(G$34=INDEX(T.Pikett.Bereich,2),G$34=INDEX(T.Pikett.Bereich,3)),G$11=6/8.4),10/24,0)) +IF(WEEKDAY(G$10,2)&lt;6,IF(AND(OR(G$34=INDEX(T.Pikett.Bereich,2),G$34=INDEX(T.Pikett.Bereich,3)),G$11=0.5),0.5,0)) +IF(AND(G$34=INDEX(T.Pikett.Bereich,4),G$11=6/8.4),0.75,0)+IF(AND(G$34=INDEX(T.Pikett.Bereich,4),G$11=1),16/24,0) +IF(AND(G$34=INDEX(T.Pikett.Bereich,4),G$11=0.5),20/24,0))))</f>
        <v>0</v>
      </c>
      <c r="H81" s="256" t="n">
        <f aca="true">IF(EB.Wochenarbeitszeit=50/24,"",IF(H$12=0,0,IF(OR(WEEKDAY(H$10,2)&gt;5,H$11=0),IF(NOT(H$34=INDEX(T.Pikett.Bereich,1)),1,0),IF(WEEKDAY(H$10,2)&lt;6,IF(AND(OR(H$34=INDEX(T.Pikett.Bereich,2),H$34=INDEX(T.Pikett.Bereich,3)),H$11=1),8/24,0))+IF(WEEKDAY(H$10,2)&lt;6,IF(AND(OR(H$34=INDEX(T.Pikett.Bereich,2),H$34=INDEX(T.Pikett.Bereich,3)),H$11=6/8.4),10/24,0)) +IF(WEEKDAY(H$10,2)&lt;6,IF(AND(OR(H$34=INDEX(T.Pikett.Bereich,2),H$34=INDEX(T.Pikett.Bereich,3)),H$11=0.5),0.5,0)) +IF(AND(H$34=INDEX(T.Pikett.Bereich,4),H$11=6/8.4),0.75,0)+IF(AND(H$34=INDEX(T.Pikett.Bereich,4),H$11=1),16/24,0) +IF(AND(H$34=INDEX(T.Pikett.Bereich,4),H$11=0.5),20/24,0))))</f>
        <v>0</v>
      </c>
      <c r="I81" s="256" t="n">
        <f aca="true">IF(EB.Wochenarbeitszeit=50/24,"",IF(I$12=0,0,IF(OR(WEEKDAY(I$10,2)&gt;5,I$11=0),IF(NOT(I$34=INDEX(T.Pikett.Bereich,1)),1,0),IF(WEEKDAY(I$10,2)&lt;6,IF(AND(OR(I$34=INDEX(T.Pikett.Bereich,2),I$34=INDEX(T.Pikett.Bereich,3)),I$11=1),8/24,0))+IF(WEEKDAY(I$10,2)&lt;6,IF(AND(OR(I$34=INDEX(T.Pikett.Bereich,2),I$34=INDEX(T.Pikett.Bereich,3)),I$11=6/8.4),10/24,0)) +IF(WEEKDAY(I$10,2)&lt;6,IF(AND(OR(I$34=INDEX(T.Pikett.Bereich,2),I$34=INDEX(T.Pikett.Bereich,3)),I$11=0.5),0.5,0)) +IF(AND(I$34=INDEX(T.Pikett.Bereich,4),I$11=6/8.4),0.75,0)+IF(AND(I$34=INDEX(T.Pikett.Bereich,4),I$11=1),16/24,0) +IF(AND(I$34=INDEX(T.Pikett.Bereich,4),I$11=0.5),20/24,0))))</f>
        <v>0</v>
      </c>
      <c r="J81" s="256" t="n">
        <f aca="true">IF(EB.Wochenarbeitszeit=50/24,"",IF(J$12=0,0,IF(OR(WEEKDAY(J$10,2)&gt;5,J$11=0),IF(NOT(J$34=INDEX(T.Pikett.Bereich,1)),1,0),IF(WEEKDAY(J$10,2)&lt;6,IF(AND(OR(J$34=INDEX(T.Pikett.Bereich,2),J$34=INDEX(T.Pikett.Bereich,3)),J$11=1),8/24,0))+IF(WEEKDAY(J$10,2)&lt;6,IF(AND(OR(J$34=INDEX(T.Pikett.Bereich,2),J$34=INDEX(T.Pikett.Bereich,3)),J$11=6/8.4),10/24,0)) +IF(WEEKDAY(J$10,2)&lt;6,IF(AND(OR(J$34=INDEX(T.Pikett.Bereich,2),J$34=INDEX(T.Pikett.Bereich,3)),J$11=0.5),0.5,0)) +IF(AND(J$34=INDEX(T.Pikett.Bereich,4),J$11=6/8.4),0.75,0)+IF(AND(J$34=INDEX(T.Pikett.Bereich,4),J$11=1),16/24,0) +IF(AND(J$34=INDEX(T.Pikett.Bereich,4),J$11=0.5),20/24,0))))</f>
        <v>0</v>
      </c>
      <c r="K81" s="256" t="n">
        <f aca="true">IF(EB.Wochenarbeitszeit=50/24,"",IF(K$12=0,0,IF(OR(WEEKDAY(K$10,2)&gt;5,K$11=0),IF(NOT(K$34=INDEX(T.Pikett.Bereich,1)),1,0),IF(WEEKDAY(K$10,2)&lt;6,IF(AND(OR(K$34=INDEX(T.Pikett.Bereich,2),K$34=INDEX(T.Pikett.Bereich,3)),K$11=1),8/24,0))+IF(WEEKDAY(K$10,2)&lt;6,IF(AND(OR(K$34=INDEX(T.Pikett.Bereich,2),K$34=INDEX(T.Pikett.Bereich,3)),K$11=6/8.4),10/24,0)) +IF(WEEKDAY(K$10,2)&lt;6,IF(AND(OR(K$34=INDEX(T.Pikett.Bereich,2),K$34=INDEX(T.Pikett.Bereich,3)),K$11=0.5),0.5,0)) +IF(AND(K$34=INDEX(T.Pikett.Bereich,4),K$11=6/8.4),0.75,0)+IF(AND(K$34=INDEX(T.Pikett.Bereich,4),K$11=1),16/24,0) +IF(AND(K$34=INDEX(T.Pikett.Bereich,4),K$11=0.5),20/24,0))))</f>
        <v>0</v>
      </c>
      <c r="L81" s="256" t="n">
        <f aca="true">IF(EB.Wochenarbeitszeit=50/24,"",IF(L$12=0,0,IF(OR(WEEKDAY(L$10,2)&gt;5,L$11=0),IF(NOT(L$34=INDEX(T.Pikett.Bereich,1)),1,0),IF(WEEKDAY(L$10,2)&lt;6,IF(AND(OR(L$34=INDEX(T.Pikett.Bereich,2),L$34=INDEX(T.Pikett.Bereich,3)),L$11=1),8/24,0))+IF(WEEKDAY(L$10,2)&lt;6,IF(AND(OR(L$34=INDEX(T.Pikett.Bereich,2),L$34=INDEX(T.Pikett.Bereich,3)),L$11=6/8.4),10/24,0)) +IF(WEEKDAY(L$10,2)&lt;6,IF(AND(OR(L$34=INDEX(T.Pikett.Bereich,2),L$34=INDEX(T.Pikett.Bereich,3)),L$11=0.5),0.5,0)) +IF(AND(L$34=INDEX(T.Pikett.Bereich,4),L$11=6/8.4),0.75,0)+IF(AND(L$34=INDEX(T.Pikett.Bereich,4),L$11=1),16/24,0) +IF(AND(L$34=INDEX(T.Pikett.Bereich,4),L$11=0.5),20/24,0))))</f>
        <v>0</v>
      </c>
      <c r="M81" s="256" t="n">
        <f aca="true">IF(EB.Wochenarbeitszeit=50/24,"",IF(M$12=0,0,IF(OR(WEEKDAY(M$10,2)&gt;5,M$11=0),IF(NOT(M$34=INDEX(T.Pikett.Bereich,1)),1,0),IF(WEEKDAY(M$10,2)&lt;6,IF(AND(OR(M$34=INDEX(T.Pikett.Bereich,2),M$34=INDEX(T.Pikett.Bereich,3)),M$11=1),8/24,0))+IF(WEEKDAY(M$10,2)&lt;6,IF(AND(OR(M$34=INDEX(T.Pikett.Bereich,2),M$34=INDEX(T.Pikett.Bereich,3)),M$11=6/8.4),10/24,0)) +IF(WEEKDAY(M$10,2)&lt;6,IF(AND(OR(M$34=INDEX(T.Pikett.Bereich,2),M$34=INDEX(T.Pikett.Bereich,3)),M$11=0.5),0.5,0)) +IF(AND(M$34=INDEX(T.Pikett.Bereich,4),M$11=6/8.4),0.75,0)+IF(AND(M$34=INDEX(T.Pikett.Bereich,4),M$11=1),16/24,0) +IF(AND(M$34=INDEX(T.Pikett.Bereich,4),M$11=0.5),20/24,0))))</f>
        <v>0</v>
      </c>
      <c r="N81" s="256" t="n">
        <f aca="true">IF(EB.Wochenarbeitszeit=50/24,"",IF(N$12=0,0,IF(OR(WEEKDAY(N$10,2)&gt;5,N$11=0),IF(NOT(N$34=INDEX(T.Pikett.Bereich,1)),1,0),IF(WEEKDAY(N$10,2)&lt;6,IF(AND(OR(N$34=INDEX(T.Pikett.Bereich,2),N$34=INDEX(T.Pikett.Bereich,3)),N$11=1),8/24,0))+IF(WEEKDAY(N$10,2)&lt;6,IF(AND(OR(N$34=INDEX(T.Pikett.Bereich,2),N$34=INDEX(T.Pikett.Bereich,3)),N$11=6/8.4),10/24,0)) +IF(WEEKDAY(N$10,2)&lt;6,IF(AND(OR(N$34=INDEX(T.Pikett.Bereich,2),N$34=INDEX(T.Pikett.Bereich,3)),N$11=0.5),0.5,0)) +IF(AND(N$34=INDEX(T.Pikett.Bereich,4),N$11=6/8.4),0.75,0)+IF(AND(N$34=INDEX(T.Pikett.Bereich,4),N$11=1),16/24,0) +IF(AND(N$34=INDEX(T.Pikett.Bereich,4),N$11=0.5),20/24,0))))</f>
        <v>0</v>
      </c>
      <c r="O81" s="256" t="n">
        <f aca="true">IF(EB.Wochenarbeitszeit=50/24,"",IF(O$12=0,0,IF(OR(WEEKDAY(O$10,2)&gt;5,O$11=0),IF(NOT(O$34=INDEX(T.Pikett.Bereich,1)),1,0),IF(WEEKDAY(O$10,2)&lt;6,IF(AND(OR(O$34=INDEX(T.Pikett.Bereich,2),O$34=INDEX(T.Pikett.Bereich,3)),O$11=1),8/24,0))+IF(WEEKDAY(O$10,2)&lt;6,IF(AND(OR(O$34=INDEX(T.Pikett.Bereich,2),O$34=INDEX(T.Pikett.Bereich,3)),O$11=6/8.4),10/24,0)) +IF(WEEKDAY(O$10,2)&lt;6,IF(AND(OR(O$34=INDEX(T.Pikett.Bereich,2),O$34=INDEX(T.Pikett.Bereich,3)),O$11=0.5),0.5,0)) +IF(AND(O$34=INDEX(T.Pikett.Bereich,4),O$11=6/8.4),0.75,0)+IF(AND(O$34=INDEX(T.Pikett.Bereich,4),O$11=1),16/24,0) +IF(AND(O$34=INDEX(T.Pikett.Bereich,4),O$11=0.5),20/24,0))))</f>
        <v>0</v>
      </c>
      <c r="P81" s="256" t="n">
        <f aca="true">IF(EB.Wochenarbeitszeit=50/24,"",IF(P$12=0,0,IF(OR(WEEKDAY(P$10,2)&gt;5,P$11=0),IF(NOT(P$34=INDEX(T.Pikett.Bereich,1)),1,0),IF(WEEKDAY(P$10,2)&lt;6,IF(AND(OR(P$34=INDEX(T.Pikett.Bereich,2),P$34=INDEX(T.Pikett.Bereich,3)),P$11=1),8/24,0))+IF(WEEKDAY(P$10,2)&lt;6,IF(AND(OR(P$34=INDEX(T.Pikett.Bereich,2),P$34=INDEX(T.Pikett.Bereich,3)),P$11=6/8.4),10/24,0)) +IF(WEEKDAY(P$10,2)&lt;6,IF(AND(OR(P$34=INDEX(T.Pikett.Bereich,2),P$34=INDEX(T.Pikett.Bereich,3)),P$11=0.5),0.5,0)) +IF(AND(P$34=INDEX(T.Pikett.Bereich,4),P$11=6/8.4),0.75,0)+IF(AND(P$34=INDEX(T.Pikett.Bereich,4),P$11=1),16/24,0) +IF(AND(P$34=INDEX(T.Pikett.Bereich,4),P$11=0.5),20/24,0))))</f>
        <v>0</v>
      </c>
      <c r="Q81" s="256" t="n">
        <f aca="true">IF(EB.Wochenarbeitszeit=50/24,"",IF(Q$12=0,0,IF(OR(WEEKDAY(Q$10,2)&gt;5,Q$11=0),IF(NOT(Q$34=INDEX(T.Pikett.Bereich,1)),1,0),IF(WEEKDAY(Q$10,2)&lt;6,IF(AND(OR(Q$34=INDEX(T.Pikett.Bereich,2),Q$34=INDEX(T.Pikett.Bereich,3)),Q$11=1),8/24,0))+IF(WEEKDAY(Q$10,2)&lt;6,IF(AND(OR(Q$34=INDEX(T.Pikett.Bereich,2),Q$34=INDEX(T.Pikett.Bereich,3)),Q$11=6/8.4),10/24,0)) +IF(WEEKDAY(Q$10,2)&lt;6,IF(AND(OR(Q$34=INDEX(T.Pikett.Bereich,2),Q$34=INDEX(T.Pikett.Bereich,3)),Q$11=0.5),0.5,0)) +IF(AND(Q$34=INDEX(T.Pikett.Bereich,4),Q$11=6/8.4),0.75,0)+IF(AND(Q$34=INDEX(T.Pikett.Bereich,4),Q$11=1),16/24,0) +IF(AND(Q$34=INDEX(T.Pikett.Bereich,4),Q$11=0.5),20/24,0))))</f>
        <v>0</v>
      </c>
      <c r="R81" s="256" t="n">
        <f aca="true">IF(EB.Wochenarbeitszeit=50/24,"",IF(R$12=0,0,IF(OR(WEEKDAY(R$10,2)&gt;5,R$11=0),IF(NOT(R$34=INDEX(T.Pikett.Bereich,1)),1,0),IF(WEEKDAY(R$10,2)&lt;6,IF(AND(OR(R$34=INDEX(T.Pikett.Bereich,2),R$34=INDEX(T.Pikett.Bereich,3)),R$11=1),8/24,0))+IF(WEEKDAY(R$10,2)&lt;6,IF(AND(OR(R$34=INDEX(T.Pikett.Bereich,2),R$34=INDEX(T.Pikett.Bereich,3)),R$11=6/8.4),10/24,0)) +IF(WEEKDAY(R$10,2)&lt;6,IF(AND(OR(R$34=INDEX(T.Pikett.Bereich,2),R$34=INDEX(T.Pikett.Bereich,3)),R$11=0.5),0.5,0)) +IF(AND(R$34=INDEX(T.Pikett.Bereich,4),R$11=6/8.4),0.75,0)+IF(AND(R$34=INDEX(T.Pikett.Bereich,4),R$11=1),16/24,0) +IF(AND(R$34=INDEX(T.Pikett.Bereich,4),R$11=0.5),20/24,0))))</f>
        <v>0</v>
      </c>
      <c r="S81" s="256" t="n">
        <f aca="true">IF(EB.Wochenarbeitszeit=50/24,"",IF(S$12=0,0,IF(OR(WEEKDAY(S$10,2)&gt;5,S$11=0),IF(NOT(S$34=INDEX(T.Pikett.Bereich,1)),1,0),IF(WEEKDAY(S$10,2)&lt;6,IF(AND(OR(S$34=INDEX(T.Pikett.Bereich,2),S$34=INDEX(T.Pikett.Bereich,3)),S$11=1),8/24,0))+IF(WEEKDAY(S$10,2)&lt;6,IF(AND(OR(S$34=INDEX(T.Pikett.Bereich,2),S$34=INDEX(T.Pikett.Bereich,3)),S$11=6/8.4),10/24,0)) +IF(WEEKDAY(S$10,2)&lt;6,IF(AND(OR(S$34=INDEX(T.Pikett.Bereich,2),S$34=INDEX(T.Pikett.Bereich,3)),S$11=0.5),0.5,0)) +IF(AND(S$34=INDEX(T.Pikett.Bereich,4),S$11=6/8.4),0.75,0)+IF(AND(S$34=INDEX(T.Pikett.Bereich,4),S$11=1),16/24,0) +IF(AND(S$34=INDEX(T.Pikett.Bereich,4),S$11=0.5),20/24,0))))</f>
        <v>0</v>
      </c>
      <c r="T81" s="256" t="n">
        <f aca="true">IF(EB.Wochenarbeitszeit=50/24,"",IF(T$12=0,0,IF(OR(WEEKDAY(T$10,2)&gt;5,T$11=0),IF(NOT(T$34=INDEX(T.Pikett.Bereich,1)),1,0),IF(WEEKDAY(T$10,2)&lt;6,IF(AND(OR(T$34=INDEX(T.Pikett.Bereich,2),T$34=INDEX(T.Pikett.Bereich,3)),T$11=1),8/24,0))+IF(WEEKDAY(T$10,2)&lt;6,IF(AND(OR(T$34=INDEX(T.Pikett.Bereich,2),T$34=INDEX(T.Pikett.Bereich,3)),T$11=6/8.4),10/24,0)) +IF(WEEKDAY(T$10,2)&lt;6,IF(AND(OR(T$34=INDEX(T.Pikett.Bereich,2),T$34=INDEX(T.Pikett.Bereich,3)),T$11=0.5),0.5,0)) +IF(AND(T$34=INDEX(T.Pikett.Bereich,4),T$11=6/8.4),0.75,0)+IF(AND(T$34=INDEX(T.Pikett.Bereich,4),T$11=1),16/24,0) +IF(AND(T$34=INDEX(T.Pikett.Bereich,4),T$11=0.5),20/24,0))))</f>
        <v>0</v>
      </c>
      <c r="U81" s="256" t="n">
        <f aca="true">IF(EB.Wochenarbeitszeit=50/24,"",IF(U$12=0,0,IF(OR(WEEKDAY(U$10,2)&gt;5,U$11=0),IF(NOT(U$34=INDEX(T.Pikett.Bereich,1)),1,0),IF(WEEKDAY(U$10,2)&lt;6,IF(AND(OR(U$34=INDEX(T.Pikett.Bereich,2),U$34=INDEX(T.Pikett.Bereich,3)),U$11=1),8/24,0))+IF(WEEKDAY(U$10,2)&lt;6,IF(AND(OR(U$34=INDEX(T.Pikett.Bereich,2),U$34=INDEX(T.Pikett.Bereich,3)),U$11=6/8.4),10/24,0)) +IF(WEEKDAY(U$10,2)&lt;6,IF(AND(OR(U$34=INDEX(T.Pikett.Bereich,2),U$34=INDEX(T.Pikett.Bereich,3)),U$11=0.5),0.5,0)) +IF(AND(U$34=INDEX(T.Pikett.Bereich,4),U$11=6/8.4),0.75,0)+IF(AND(U$34=INDEX(T.Pikett.Bereich,4),U$11=1),16/24,0) +IF(AND(U$34=INDEX(T.Pikett.Bereich,4),U$11=0.5),20/24,0))))</f>
        <v>0</v>
      </c>
      <c r="V81" s="256" t="n">
        <f aca="true">IF(EB.Wochenarbeitszeit=50/24,"",IF(V$12=0,0,IF(OR(WEEKDAY(V$10,2)&gt;5,V$11=0),IF(NOT(V$34=INDEX(T.Pikett.Bereich,1)),1,0),IF(WEEKDAY(V$10,2)&lt;6,IF(AND(OR(V$34=INDEX(T.Pikett.Bereich,2),V$34=INDEX(T.Pikett.Bereich,3)),V$11=1),8/24,0))+IF(WEEKDAY(V$10,2)&lt;6,IF(AND(OR(V$34=INDEX(T.Pikett.Bereich,2),V$34=INDEX(T.Pikett.Bereich,3)),V$11=6/8.4),10/24,0)) +IF(WEEKDAY(V$10,2)&lt;6,IF(AND(OR(V$34=INDEX(T.Pikett.Bereich,2),V$34=INDEX(T.Pikett.Bereich,3)),V$11=0.5),0.5,0)) +IF(AND(V$34=INDEX(T.Pikett.Bereich,4),V$11=6/8.4),0.75,0)+IF(AND(V$34=INDEX(T.Pikett.Bereich,4),V$11=1),16/24,0) +IF(AND(V$34=INDEX(T.Pikett.Bereich,4),V$11=0.5),20/24,0))))</f>
        <v>0</v>
      </c>
      <c r="W81" s="256" t="n">
        <f aca="true">IF(EB.Wochenarbeitszeit=50/24,"",IF(W$12=0,0,IF(OR(WEEKDAY(W$10,2)&gt;5,W$11=0),IF(NOT(W$34=INDEX(T.Pikett.Bereich,1)),1,0),IF(WEEKDAY(W$10,2)&lt;6,IF(AND(OR(W$34=INDEX(T.Pikett.Bereich,2),W$34=INDEX(T.Pikett.Bereich,3)),W$11=1),8/24,0))+IF(WEEKDAY(W$10,2)&lt;6,IF(AND(OR(W$34=INDEX(T.Pikett.Bereich,2),W$34=INDEX(T.Pikett.Bereich,3)),W$11=6/8.4),10/24,0)) +IF(WEEKDAY(W$10,2)&lt;6,IF(AND(OR(W$34=INDEX(T.Pikett.Bereich,2),W$34=INDEX(T.Pikett.Bereich,3)),W$11=0.5),0.5,0)) +IF(AND(W$34=INDEX(T.Pikett.Bereich,4),W$11=6/8.4),0.75,0)+IF(AND(W$34=INDEX(T.Pikett.Bereich,4),W$11=1),16/24,0) +IF(AND(W$34=INDEX(T.Pikett.Bereich,4),W$11=0.5),20/24,0))))</f>
        <v>0</v>
      </c>
      <c r="X81" s="256" t="n">
        <f aca="true">IF(EB.Wochenarbeitszeit=50/24,"",IF(X$12=0,0,IF(OR(WEEKDAY(X$10,2)&gt;5,X$11=0),IF(NOT(X$34=INDEX(T.Pikett.Bereich,1)),1,0),IF(WEEKDAY(X$10,2)&lt;6,IF(AND(OR(X$34=INDEX(T.Pikett.Bereich,2),X$34=INDEX(T.Pikett.Bereich,3)),X$11=1),8/24,0))+IF(WEEKDAY(X$10,2)&lt;6,IF(AND(OR(X$34=INDEX(T.Pikett.Bereich,2),X$34=INDEX(T.Pikett.Bereich,3)),X$11=6/8.4),10/24,0)) +IF(WEEKDAY(X$10,2)&lt;6,IF(AND(OR(X$34=INDEX(T.Pikett.Bereich,2),X$34=INDEX(T.Pikett.Bereich,3)),X$11=0.5),0.5,0)) +IF(AND(X$34=INDEX(T.Pikett.Bereich,4),X$11=6/8.4),0.75,0)+IF(AND(X$34=INDEX(T.Pikett.Bereich,4),X$11=1),16/24,0) +IF(AND(X$34=INDEX(T.Pikett.Bereich,4),X$11=0.5),20/24,0))))</f>
        <v>0</v>
      </c>
      <c r="Y81" s="256" t="n">
        <f aca="true">IF(EB.Wochenarbeitszeit=50/24,"",IF(Y$12=0,0,IF(OR(WEEKDAY(Y$10,2)&gt;5,Y$11=0),IF(NOT(Y$34=INDEX(T.Pikett.Bereich,1)),1,0),IF(WEEKDAY(Y$10,2)&lt;6,IF(AND(OR(Y$34=INDEX(T.Pikett.Bereich,2),Y$34=INDEX(T.Pikett.Bereich,3)),Y$11=1),8/24,0))+IF(WEEKDAY(Y$10,2)&lt;6,IF(AND(OR(Y$34=INDEX(T.Pikett.Bereich,2),Y$34=INDEX(T.Pikett.Bereich,3)),Y$11=6/8.4),10/24,0)) +IF(WEEKDAY(Y$10,2)&lt;6,IF(AND(OR(Y$34=INDEX(T.Pikett.Bereich,2),Y$34=INDEX(T.Pikett.Bereich,3)),Y$11=0.5),0.5,0)) +IF(AND(Y$34=INDEX(T.Pikett.Bereich,4),Y$11=6/8.4),0.75,0)+IF(AND(Y$34=INDEX(T.Pikett.Bereich,4),Y$11=1),16/24,0) +IF(AND(Y$34=INDEX(T.Pikett.Bereich,4),Y$11=0.5),20/24,0))))</f>
        <v>0</v>
      </c>
      <c r="Z81" s="256" t="n">
        <f aca="true">IF(EB.Wochenarbeitszeit=50/24,"",IF(Z$12=0,0,IF(OR(WEEKDAY(Z$10,2)&gt;5,Z$11=0),IF(NOT(Z$34=INDEX(T.Pikett.Bereich,1)),1,0),IF(WEEKDAY(Z$10,2)&lt;6,IF(AND(OR(Z$34=INDEX(T.Pikett.Bereich,2),Z$34=INDEX(T.Pikett.Bereich,3)),Z$11=1),8/24,0))+IF(WEEKDAY(Z$10,2)&lt;6,IF(AND(OR(Z$34=INDEX(T.Pikett.Bereich,2),Z$34=INDEX(T.Pikett.Bereich,3)),Z$11=6/8.4),10/24,0)) +IF(WEEKDAY(Z$10,2)&lt;6,IF(AND(OR(Z$34=INDEX(T.Pikett.Bereich,2),Z$34=INDEX(T.Pikett.Bereich,3)),Z$11=0.5),0.5,0)) +IF(AND(Z$34=INDEX(T.Pikett.Bereich,4),Z$11=6/8.4),0.75,0)+IF(AND(Z$34=INDEX(T.Pikett.Bereich,4),Z$11=1),16/24,0) +IF(AND(Z$34=INDEX(T.Pikett.Bereich,4),Z$11=0.5),20/24,0))))</f>
        <v>0</v>
      </c>
      <c r="AA81" s="256" t="n">
        <f aca="true">IF(EB.Wochenarbeitszeit=50/24,"",IF(AA$12=0,0,IF(OR(WEEKDAY(AA$10,2)&gt;5,AA$11=0),IF(NOT(AA$34=INDEX(T.Pikett.Bereich,1)),1,0),IF(WEEKDAY(AA$10,2)&lt;6,IF(AND(OR(AA$34=INDEX(T.Pikett.Bereich,2),AA$34=INDEX(T.Pikett.Bereich,3)),AA$11=1),8/24,0))+IF(WEEKDAY(AA$10,2)&lt;6,IF(AND(OR(AA$34=INDEX(T.Pikett.Bereich,2),AA$34=INDEX(T.Pikett.Bereich,3)),AA$11=6/8.4),10/24,0)) +IF(WEEKDAY(AA$10,2)&lt;6,IF(AND(OR(AA$34=INDEX(T.Pikett.Bereich,2),AA$34=INDEX(T.Pikett.Bereich,3)),AA$11=0.5),0.5,0)) +IF(AND(AA$34=INDEX(T.Pikett.Bereich,4),AA$11=6/8.4),0.75,0)+IF(AND(AA$34=INDEX(T.Pikett.Bereich,4),AA$11=1),16/24,0) +IF(AND(AA$34=INDEX(T.Pikett.Bereich,4),AA$11=0.5),20/24,0))))</f>
        <v>0</v>
      </c>
      <c r="AB81" s="256" t="n">
        <f aca="true">IF(EB.Wochenarbeitszeit=50/24,"",IF(AB$12=0,0,IF(OR(WEEKDAY(AB$10,2)&gt;5,AB$11=0),IF(NOT(AB$34=INDEX(T.Pikett.Bereich,1)),1,0),IF(WEEKDAY(AB$10,2)&lt;6,IF(AND(OR(AB$34=INDEX(T.Pikett.Bereich,2),AB$34=INDEX(T.Pikett.Bereich,3)),AB$11=1),8/24,0))+IF(WEEKDAY(AB$10,2)&lt;6,IF(AND(OR(AB$34=INDEX(T.Pikett.Bereich,2),AB$34=INDEX(T.Pikett.Bereich,3)),AB$11=6/8.4),10/24,0)) +IF(WEEKDAY(AB$10,2)&lt;6,IF(AND(OR(AB$34=INDEX(T.Pikett.Bereich,2),AB$34=INDEX(T.Pikett.Bereich,3)),AB$11=0.5),0.5,0)) +IF(AND(AB$34=INDEX(T.Pikett.Bereich,4),AB$11=6/8.4),0.75,0)+IF(AND(AB$34=INDEX(T.Pikett.Bereich,4),AB$11=1),16/24,0) +IF(AND(AB$34=INDEX(T.Pikett.Bereich,4),AB$11=0.5),20/24,0))))</f>
        <v>0</v>
      </c>
      <c r="AC81" s="256" t="n">
        <f aca="true">IF(EB.Wochenarbeitszeit=50/24,"",IF(AC$12=0,0,IF(OR(WEEKDAY(AC$10,2)&gt;5,AC$11=0),IF(NOT(AC$34=INDEX(T.Pikett.Bereich,1)),1,0),IF(WEEKDAY(AC$10,2)&lt;6,IF(AND(OR(AC$34=INDEX(T.Pikett.Bereich,2),AC$34=INDEX(T.Pikett.Bereich,3)),AC$11=1),8/24,0))+IF(WEEKDAY(AC$10,2)&lt;6,IF(AND(OR(AC$34=INDEX(T.Pikett.Bereich,2),AC$34=INDEX(T.Pikett.Bereich,3)),AC$11=6/8.4),10/24,0)) +IF(WEEKDAY(AC$10,2)&lt;6,IF(AND(OR(AC$34=INDEX(T.Pikett.Bereich,2),AC$34=INDEX(T.Pikett.Bereich,3)),AC$11=0.5),0.5,0)) +IF(AND(AC$34=INDEX(T.Pikett.Bereich,4),AC$11=6/8.4),0.75,0)+IF(AND(AC$34=INDEX(T.Pikett.Bereich,4),AC$11=1),16/24,0) +IF(AND(AC$34=INDEX(T.Pikett.Bereich,4),AC$11=0.5),20/24,0))))</f>
        <v>0</v>
      </c>
      <c r="AD81" s="256" t="n">
        <f aca="true">IF(EB.Wochenarbeitszeit=50/24,"",IF(AD$12=0,0,IF(OR(WEEKDAY(AD$10,2)&gt;5,AD$11=0),IF(NOT(AD$34=INDEX(T.Pikett.Bereich,1)),1,0),IF(WEEKDAY(AD$10,2)&lt;6,IF(AND(OR(AD$34=INDEX(T.Pikett.Bereich,2),AD$34=INDEX(T.Pikett.Bereich,3)),AD$11=1),8/24,0))+IF(WEEKDAY(AD$10,2)&lt;6,IF(AND(OR(AD$34=INDEX(T.Pikett.Bereich,2),AD$34=INDEX(T.Pikett.Bereich,3)),AD$11=6/8.4),10/24,0)) +IF(WEEKDAY(AD$10,2)&lt;6,IF(AND(OR(AD$34=INDEX(T.Pikett.Bereich,2),AD$34=INDEX(T.Pikett.Bereich,3)),AD$11=0.5),0.5,0)) +IF(AND(AD$34=INDEX(T.Pikett.Bereich,4),AD$11=6/8.4),0.75,0)+IF(AND(AD$34=INDEX(T.Pikett.Bereich,4),AD$11=1),16/24,0) +IF(AND(AD$34=INDEX(T.Pikett.Bereich,4),AD$11=0.5),20/24,0))))</f>
        <v>0</v>
      </c>
      <c r="AE81" s="256" t="n">
        <f aca="true">IF(EB.Wochenarbeitszeit=50/24,"",IF(AE$12=0,0,IF(OR(WEEKDAY(AE$10,2)&gt;5,AE$11=0),IF(NOT(AE$34=INDEX(T.Pikett.Bereich,1)),1,0),IF(WEEKDAY(AE$10,2)&lt;6,IF(AND(OR(AE$34=INDEX(T.Pikett.Bereich,2),AE$34=INDEX(T.Pikett.Bereich,3)),AE$11=1),8/24,0))+IF(WEEKDAY(AE$10,2)&lt;6,IF(AND(OR(AE$34=INDEX(T.Pikett.Bereich,2),AE$34=INDEX(T.Pikett.Bereich,3)),AE$11=6/8.4),10/24,0)) +IF(WEEKDAY(AE$10,2)&lt;6,IF(AND(OR(AE$34=INDEX(T.Pikett.Bereich,2),AE$34=INDEX(T.Pikett.Bereich,3)),AE$11=0.5),0.5,0)) +IF(AND(AE$34=INDEX(T.Pikett.Bereich,4),AE$11=6/8.4),0.75,0)+IF(AND(AE$34=INDEX(T.Pikett.Bereich,4),AE$11=1),16/24,0) +IF(AND(AE$34=INDEX(T.Pikett.Bereich,4),AE$11=0.5),20/24,0))))</f>
        <v>0</v>
      </c>
      <c r="AF81" s="256" t="n">
        <f aca="true">IF(EB.Wochenarbeitszeit=50/24,"",IF(AF$12=0,0,IF(OR(WEEKDAY(AF$10,2)&gt;5,AF$11=0),IF(NOT(AF$34=INDEX(T.Pikett.Bereich,1)),1,0),IF(WEEKDAY(AF$10,2)&lt;6,IF(AND(OR(AF$34=INDEX(T.Pikett.Bereich,2),AF$34=INDEX(T.Pikett.Bereich,3)),AF$11=1),8/24,0))+IF(WEEKDAY(AF$10,2)&lt;6,IF(AND(OR(AF$34=INDEX(T.Pikett.Bereich,2),AF$34=INDEX(T.Pikett.Bereich,3)),AF$11=6/8.4),10/24,0)) +IF(WEEKDAY(AF$10,2)&lt;6,IF(AND(OR(AF$34=INDEX(T.Pikett.Bereich,2),AF$34=INDEX(T.Pikett.Bereich,3)),AF$11=0.5),0.5,0)) +IF(AND(AF$34=INDEX(T.Pikett.Bereich,4),AF$11=6/8.4),0.75,0)+IF(AND(AF$34=INDEX(T.Pikett.Bereich,4),AF$11=1),16/24,0) +IF(AND(AF$34=INDEX(T.Pikett.Bereich,4),AF$11=0.5),20/24,0))))</f>
        <v>0</v>
      </c>
      <c r="AG81" s="168" t="str">
        <f aca="false">A81</f>
        <v>On-call duty</v>
      </c>
      <c r="AH81" s="250"/>
      <c r="AI81" s="207" t="n">
        <f aca="false">SUM(B81:AF81)</f>
        <v>0</v>
      </c>
      <c r="AJ81" s="33"/>
      <c r="AK81" s="192"/>
      <c r="AL81" s="216" t="n">
        <f aca="false">IF(EB.Anwendung&lt;&gt;"",IF(MONTH(Monat.Tag1)=1,0,IF(MONTH(Monat.Tag1)=2,Monat.BDUeVM,IF(MONTH(Monat.Tag1)=3,February!Monat.BDUeVM,IF(MONTH(Monat.Tag1)=4,March!Monat.BDUeVM,IF(MONTH(Monat.Tag1)=5,April!Monat.BDUeVM,IF(MONTH(Monat.Tag1)=6,May!Monat.BDUeVM,IF(MONTH(Monat.Tag1)=7,June!Monat.BDUeVM,IF(MONTH(Monat.Tag1)=8,July!Monat.BDUeVM,IF(MONTH(Monat.Tag1)=9,August!Monat.BDUeVM,IF(MONTH(Monat.Tag1)=10,September!Monat.BDUeVM,IF(MONTH(Monat.Tag1)=11,October!Monat.BDUeVM,IF(MONTH(Monat.Tag1)=12,November!Monat.BDUeVM,"")))))))))))),"")</f>
        <v>0</v>
      </c>
      <c r="AM81" s="172"/>
      <c r="AN81" s="217" t="n">
        <f aca="false">AI81+AL81</f>
        <v>0</v>
      </c>
      <c r="AO81" s="171"/>
      <c r="AP81" s="171"/>
      <c r="AQ81" s="39"/>
    </row>
    <row r="82" s="148" customFormat="true" ht="15" hidden="false" customHeight="true" outlineLevel="1" collapsed="false">
      <c r="A82" s="175" t="s">
        <v>165</v>
      </c>
      <c r="B82" s="256" t="str">
        <f aca="false">IF(B$12=0,"",IF(OR(WEEKDAY(B$10,2)&gt;5,B$11=0), IF(T.50_NoVetsuisse,B45, IF(T.50_Vetsuisse,IF(B23-B73=0,"",B23-B73), IF(T.ServiceCenterIrchel,B23, B60))),))</f>
        <v/>
      </c>
      <c r="C82" s="256" t="str">
        <f aca="false">IF(C$12=0,"",IF(OR(WEEKDAY(C$10,2)&gt;5,C$11=0), IF(T.50_NoVetsuisse,C45, IF(T.50_Vetsuisse,IF(C23-C73=0,"",C23-C73), IF(T.ServiceCenterIrchel,C23, C60))),))</f>
        <v/>
      </c>
      <c r="D82" s="257" t="str">
        <f aca="false">IF(D$12=0,"",IF(OR(WEEKDAY(D$10,2)&gt;5,D$11=0), IF(T.50_NoVetsuisse,D45, IF(T.50_Vetsuisse,IF(D23-D73=0,"",D23-D73), IF(T.ServiceCenterIrchel,D23, D60))),))</f>
        <v/>
      </c>
      <c r="E82" s="256" t="str">
        <f aca="false">IF(E$12=0,"",IF(OR(WEEKDAY(E$10,2)&gt;5,E$11=0), IF(T.50_NoVetsuisse,E45, IF(T.50_Vetsuisse,IF(E23-E73=0,"",E23-E73), IF(T.ServiceCenterIrchel,E23, E60))),))</f>
        <v/>
      </c>
      <c r="F82" s="257" t="str">
        <f aca="false">IF(F$12=0,"",IF(OR(WEEKDAY(F$10,2)&gt;5,F$11=0), IF(T.50_NoVetsuisse,F45, IF(T.50_Vetsuisse,IF(F23-F73=0,"",F23-F73), IF(T.ServiceCenterIrchel,F23, F60))),))</f>
        <v/>
      </c>
      <c r="G82" s="257" t="str">
        <f aca="false">IF(G$12=0,"",IF(OR(WEEKDAY(G$10,2)&gt;5,G$11=0), IF(T.50_NoVetsuisse,G45, IF(T.50_Vetsuisse,IF(G23-G73=0,"",G23-G73), IF(T.ServiceCenterIrchel,G23, G60))),))</f>
        <v/>
      </c>
      <c r="H82" s="257" t="str">
        <f aca="false">IF(H$12=0,"",IF(OR(WEEKDAY(H$10,2)&gt;5,H$11=0), IF(T.50_NoVetsuisse,H45, IF(T.50_Vetsuisse,IF(H23-H73=0,"",H23-H73), IF(T.ServiceCenterIrchel,H23, H60))),))</f>
        <v/>
      </c>
      <c r="I82" s="257" t="str">
        <f aca="false">IF(I$12=0,"",IF(OR(WEEKDAY(I$10,2)&gt;5,I$11=0), IF(T.50_NoVetsuisse,I45, IF(T.50_Vetsuisse,IF(I23-I73=0,"",I23-I73), IF(T.ServiceCenterIrchel,I23, I60))),))</f>
        <v/>
      </c>
      <c r="J82" s="256" t="str">
        <f aca="false">IF(J$12=0,"",IF(OR(WEEKDAY(J$10,2)&gt;5,J$11=0), IF(T.50_NoVetsuisse,J45, IF(T.50_Vetsuisse,IF(J23-J73=0,"",J23-J73), IF(T.ServiceCenterIrchel,J23, J60))),))</f>
        <v/>
      </c>
      <c r="K82" s="257" t="str">
        <f aca="false">IF(K$12=0,"",IF(OR(WEEKDAY(K$10,2)&gt;5,K$11=0), IF(T.50_NoVetsuisse,K45, IF(T.50_Vetsuisse,IF(K23-K73=0,"",K23-K73), IF(T.ServiceCenterIrchel,K23, K60))),))</f>
        <v/>
      </c>
      <c r="L82" s="256" t="str">
        <f aca="false">IF(L$12=0,"",IF(OR(WEEKDAY(L$10,2)&gt;5,L$11=0), IF(T.50_NoVetsuisse,L45, IF(T.50_Vetsuisse,IF(L23-L73=0,"",L23-L73), IF(T.ServiceCenterIrchel,L23, L60))),))</f>
        <v/>
      </c>
      <c r="M82" s="257" t="str">
        <f aca="false">IF(M$12=0,"",IF(OR(WEEKDAY(M$10,2)&gt;5,M$11=0), IF(T.50_NoVetsuisse,M45, IF(T.50_Vetsuisse,IF(M23-M73=0,"",M23-M73), IF(T.ServiceCenterIrchel,M23, M60))),))</f>
        <v/>
      </c>
      <c r="N82" s="257" t="str">
        <f aca="false">IF(N$12=0,"",IF(OR(WEEKDAY(N$10,2)&gt;5,N$11=0), IF(T.50_NoVetsuisse,N45, IF(T.50_Vetsuisse,IF(N23-N73=0,"",N23-N73), IF(T.ServiceCenterIrchel,N23, N60))),))</f>
        <v/>
      </c>
      <c r="O82" s="257" t="str">
        <f aca="false">IF(O$12=0,"",IF(OR(WEEKDAY(O$10,2)&gt;5,O$11=0), IF(T.50_NoVetsuisse,O45, IF(T.50_Vetsuisse,IF(O23-O73=0,"",O23-O73), IF(T.ServiceCenterIrchel,O23, O60))),))</f>
        <v/>
      </c>
      <c r="P82" s="257" t="str">
        <f aca="false">IF(P$12=0,"",IF(OR(WEEKDAY(P$10,2)&gt;5,P$11=0), IF(T.50_NoVetsuisse,P45, IF(T.50_Vetsuisse,IF(P23-P73=0,"",P23-P73), IF(T.ServiceCenterIrchel,P23, P60))),))</f>
        <v/>
      </c>
      <c r="Q82" s="256" t="str">
        <f aca="false">IF(Q$12=0,"",IF(OR(WEEKDAY(Q$10,2)&gt;5,Q$11=0), IF(T.50_NoVetsuisse,Q45, IF(T.50_Vetsuisse,IF(Q23-Q73=0,"",Q23-Q73), IF(T.ServiceCenterIrchel,Q23, Q60))),))</f>
        <v/>
      </c>
      <c r="R82" s="257" t="str">
        <f aca="false">IF(R$12=0,"",IF(OR(WEEKDAY(R$10,2)&gt;5,R$11=0), IF(T.50_NoVetsuisse,R45, IF(T.50_Vetsuisse,IF(R23-R73=0,"",R23-R73), IF(T.ServiceCenterIrchel,R23, R60))),))</f>
        <v/>
      </c>
      <c r="S82" s="256" t="str">
        <f aca="false">IF(S$12=0,"",IF(OR(WEEKDAY(S$10,2)&gt;5,S$11=0), IF(T.50_NoVetsuisse,S45, IF(T.50_Vetsuisse,IF(S23-S73=0,"",S23-S73), IF(T.ServiceCenterIrchel,S23, S60))),))</f>
        <v/>
      </c>
      <c r="T82" s="256" t="str">
        <f aca="false">IF(T$12=0,"",IF(OR(WEEKDAY(T$10,2)&gt;5,T$11=0), IF(T.50_NoVetsuisse,T45, IF(T.50_Vetsuisse,IF(T23-T73=0,"",T23-T73), IF(T.ServiceCenterIrchel,T23, T60))),))</f>
        <v/>
      </c>
      <c r="U82" s="257" t="str">
        <f aca="false">IF(U$12=0,"",IF(OR(WEEKDAY(U$10,2)&gt;5,U$11=0), IF(T.50_NoVetsuisse,U45, IF(T.50_Vetsuisse,IF(U23-U73=0,"",U23-U73), IF(T.ServiceCenterIrchel,U23, U60))),))</f>
        <v/>
      </c>
      <c r="V82" s="257" t="str">
        <f aca="false">IF(V$12=0,"",IF(OR(WEEKDAY(V$10,2)&gt;5,V$11=0), IF(T.50_NoVetsuisse,V45, IF(T.50_Vetsuisse,IF(V23-V73=0,"",V23-V73), IF(T.ServiceCenterIrchel,V23, V60))),))</f>
        <v/>
      </c>
      <c r="W82" s="257" t="str">
        <f aca="false">IF(W$12=0,"",IF(OR(WEEKDAY(W$10,2)&gt;5,W$11=0), IF(T.50_NoVetsuisse,W45, IF(T.50_Vetsuisse,IF(W23-W73=0,"",W23-W73), IF(T.ServiceCenterIrchel,W23, W60))),))</f>
        <v/>
      </c>
      <c r="X82" s="256" t="str">
        <f aca="false">IF(X$12=0,"",IF(OR(WEEKDAY(X$10,2)&gt;5,X$11=0), IF(T.50_NoVetsuisse,X45, IF(T.50_Vetsuisse,IF(X23-X73=0,"",X23-X73), IF(T.ServiceCenterIrchel,X23, X60))),))</f>
        <v/>
      </c>
      <c r="Y82" s="257" t="str">
        <f aca="false">IF(Y$12=0,"",IF(OR(WEEKDAY(Y$10,2)&gt;5,Y$11=0), IF(T.50_NoVetsuisse,Y45, IF(T.50_Vetsuisse,IF(Y23-Y73=0,"",Y23-Y73), IF(T.ServiceCenterIrchel,Y23, Y60))),))</f>
        <v/>
      </c>
      <c r="Z82" s="258" t="str">
        <f aca="false">IF(Z$12=0,"",IF(OR(WEEKDAY(Z$10,2)&gt;5,Z$11=0), IF(T.50_NoVetsuisse,Z45, IF(T.50_Vetsuisse,IF(Z23-Z73=0,"",Z23-Z73), IF(T.ServiceCenterIrchel,Z23, Z60))),))</f>
        <v/>
      </c>
      <c r="AA82" s="257" t="str">
        <f aca="false">IF(AA$12=0,"",IF(OR(WEEKDAY(AA$10,2)&gt;5,AA$11=0), IF(T.50_NoVetsuisse,AA45, IF(T.50_Vetsuisse,IF(AA23-AA73=0,"",AA23-AA73), IF(T.ServiceCenterIrchel,AA23, AA60))),))</f>
        <v/>
      </c>
      <c r="AB82" s="257" t="str">
        <f aca="false">IF(AB$12=0,"",IF(OR(WEEKDAY(AB$10,2)&gt;5,AB$11=0), IF(T.50_NoVetsuisse,AB45, IF(T.50_Vetsuisse,IF(AB23-AB73=0,"",AB23-AB73), IF(T.ServiceCenterIrchel,AB23, AB60))),))</f>
        <v/>
      </c>
      <c r="AC82" s="257" t="str">
        <f aca="false">IF(AC$12=0,"",IF(OR(WEEKDAY(AC$10,2)&gt;5,AC$11=0), IF(T.50_NoVetsuisse,AC45, IF(T.50_Vetsuisse,IF(AC23-AC73=0,"",AC23-AC73), IF(T.ServiceCenterIrchel,AC23, AC60))),))</f>
        <v/>
      </c>
      <c r="AD82" s="257" t="str">
        <f aca="false">IF(AD$12=0,"",IF(OR(WEEKDAY(AD$10,2)&gt;5,AD$11=0), IF(T.50_NoVetsuisse,AD45, IF(T.50_Vetsuisse,IF(AD23-AD73=0,"",AD23-AD73), IF(T.ServiceCenterIrchel,AD23, AD60))),))</f>
        <v/>
      </c>
      <c r="AE82" s="256" t="str">
        <f aca="false">IF(AE$12=0,"",IF(OR(WEEKDAY(AE$10,2)&gt;5,AE$11=0), IF(T.50_NoVetsuisse,AE45, IF(T.50_Vetsuisse,IF(AE23-AE73=0,"",AE23-AE73), IF(T.ServiceCenterIrchel,AE23, AE60))),))</f>
        <v/>
      </c>
      <c r="AF82" s="257" t="str">
        <f aca="false">IF(AF$12=0,"",IF(OR(WEEKDAY(AF$10,2)&gt;5,AF$11=0), IF(T.50_NoVetsuisse,AF45, IF(T.50_Vetsuisse,IF(AF23-AF73=0,"",AF23-AF73), IF(T.ServiceCenterIrchel,AF23, AF60))),))</f>
        <v/>
      </c>
      <c r="AG82" s="168" t="str">
        <f aca="false">A82</f>
        <v>Saturday/Sunday shift</v>
      </c>
      <c r="AH82" s="197"/>
      <c r="AI82" s="207" t="n">
        <f aca="false">SUM(B82:AF82)</f>
        <v>0</v>
      </c>
      <c r="AJ82" s="198" t="n">
        <f aca="false">IFERROR(SUMPRODUCT((B82:AF82&gt;0)*(B82:AF82&lt;&gt;"")),0)</f>
        <v>0</v>
      </c>
      <c r="AK82" s="192"/>
      <c r="AL82" s="216" t="n">
        <f aca="false">IF(EB.Anwendung&lt;&gt;"",IF(MONTH(Monat.Tag1)=1,0,IF(MONTH(Monat.Tag1)=2,Monat.SDUeVM,IF(MONTH(Monat.Tag1)=3,February!Monat.SDUeVM,IF(MONTH(Monat.Tag1)=4,March!Monat.SDUeVM,IF(MONTH(Monat.Tag1)=5,April!Monat.SDUeVM,IF(MONTH(Monat.Tag1)=6,May!Monat.SDUeVM,IF(MONTH(Monat.Tag1)=7,June!Monat.SDUeVM,IF(MONTH(Monat.Tag1)=8,July!Monat.SDUeVM,IF(MONTH(Monat.Tag1)=9,August!Monat.SDUeVM,IF(MONTH(Monat.Tag1)=10,September!Monat.SDUeVM,IF(MONTH(Monat.Tag1)=11,October!Monat.SDUeVM,IF(MONTH(Monat.Tag1)=12,November!Monat.SDUeVM,"")))))))))))),"")</f>
        <v>0</v>
      </c>
      <c r="AM82" s="172"/>
      <c r="AN82" s="217" t="n">
        <f aca="false">AI82+AL82</f>
        <v>0</v>
      </c>
      <c r="AO82" s="171"/>
      <c r="AP82" s="171"/>
      <c r="AQ82" s="39"/>
    </row>
    <row r="83" s="148" customFormat="true" ht="11.25" hidden="false" customHeight="true" outlineLevel="1" collapsed="false">
      <c r="A83" s="186"/>
      <c r="B83" s="194"/>
      <c r="C83" s="194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4"/>
      <c r="O83" s="194"/>
      <c r="P83" s="194"/>
      <c r="Q83" s="194"/>
      <c r="R83" s="194"/>
      <c r="S83" s="194"/>
      <c r="T83" s="194"/>
      <c r="U83" s="194"/>
      <c r="V83" s="194"/>
      <c r="W83" s="194"/>
      <c r="X83" s="194"/>
      <c r="Y83" s="194"/>
      <c r="Z83" s="194"/>
      <c r="AA83" s="194"/>
      <c r="AB83" s="194"/>
      <c r="AC83" s="194"/>
      <c r="AD83" s="194"/>
      <c r="AE83" s="194"/>
      <c r="AF83" s="195"/>
      <c r="AG83" s="168"/>
      <c r="AH83" s="197"/>
      <c r="AI83" s="192"/>
      <c r="AJ83" s="27"/>
      <c r="AK83" s="235"/>
      <c r="AL83" s="235"/>
      <c r="AM83" s="172"/>
      <c r="AN83" s="254"/>
      <c r="AO83" s="259"/>
      <c r="AP83" s="259"/>
      <c r="AQ83" s="39"/>
    </row>
    <row r="84" s="148" customFormat="true" ht="15" hidden="false" customHeight="true" outlineLevel="0" collapsed="false">
      <c r="A84" s="175" t="s">
        <v>166</v>
      </c>
      <c r="B84" s="176"/>
      <c r="C84" s="176"/>
      <c r="D84" s="176"/>
      <c r="E84" s="176"/>
      <c r="F84" s="176"/>
      <c r="G84" s="176"/>
      <c r="H84" s="176"/>
      <c r="I84" s="176"/>
      <c r="J84" s="176"/>
      <c r="K84" s="176"/>
      <c r="L84" s="176"/>
      <c r="M84" s="176"/>
      <c r="N84" s="176"/>
      <c r="O84" s="176"/>
      <c r="P84" s="176"/>
      <c r="Q84" s="176"/>
      <c r="R84" s="176"/>
      <c r="S84" s="176"/>
      <c r="T84" s="176"/>
      <c r="U84" s="176"/>
      <c r="V84" s="176"/>
      <c r="W84" s="176"/>
      <c r="X84" s="176"/>
      <c r="Y84" s="176"/>
      <c r="Z84" s="190"/>
      <c r="AA84" s="176"/>
      <c r="AB84" s="176"/>
      <c r="AC84" s="176"/>
      <c r="AD84" s="176"/>
      <c r="AE84" s="176"/>
      <c r="AF84" s="176"/>
      <c r="AG84" s="168" t="str">
        <f aca="false">A84</f>
        <v>Vacation</v>
      </c>
      <c r="AH84" s="184"/>
      <c r="AI84" s="207" t="n">
        <f aca="false">SUM(B84:AF84)</f>
        <v>0</v>
      </c>
      <c r="AJ84" s="33"/>
      <c r="AK84" s="216" t="n">
        <f aca="true">OFFSET(EB.MFAStd.Knoten,MONTH(Monat.Tag1),0,1,1)</f>
        <v>0</v>
      </c>
      <c r="AL84" s="216" t="n">
        <f aca="false">IF(EB.Anwendung&lt;&gt;"",IF(MONTH(Monat.Tag1)=1,EB.FerienBer,IF(MONTH(Monat.Tag1)=2,Monat.FerienUeVM,IF(MONTH(Monat.Tag1)=3,February!Monat.FerienUeVM,IF(MONTH(Monat.Tag1)=4,March!Monat.FerienUeVM,IF(MONTH(Monat.Tag1)=5,April!Monat.FerienUeVM,IF(MONTH(Monat.Tag1)=6,May!Monat.FerienUeVM,IF(MONTH(Monat.Tag1)=7,June!Monat.FerienUeVM,IF(MONTH(Monat.Tag1)=8,July!Monat.FerienUeVM,IF(MONTH(Monat.Tag1)=9,August!Monat.FerienUeVM,IF(MONTH(Monat.Tag1)=10,September!Monat.FerienUeVM,IF(MONTH(Monat.Tag1)=11,October!Monat.FerienUeVM,IF(MONTH(Monat.Tag1)=12,November!Monat.FerienUeVM,"")))))))))))),"")</f>
        <v>0</v>
      </c>
      <c r="AM84" s="172"/>
      <c r="AN84" s="217" t="n">
        <f aca="false">IF(AH85="+",(AK84+AL84-Monat.Ferien.Total+AI85),(AK84+AL84-Monat.Ferien.Total-AI85))</f>
        <v>0</v>
      </c>
      <c r="AO84" s="217" t="n">
        <f aca="true">SUM(Jahresabrechnung!AC12:AC13)-SUM(OFFSET(Jahresabrechnung!AC15,0,0,MONTH(Monat.Tag1),1))</f>
        <v>5.25</v>
      </c>
      <c r="AP84" s="217" t="n">
        <f aca="false">J.FerienUE.Total</f>
        <v>5.25</v>
      </c>
      <c r="AQ84" s="39"/>
    </row>
    <row r="85" s="148" customFormat="true" ht="15" hidden="false" customHeight="true" outlineLevel="0" collapsed="false">
      <c r="A85" s="186"/>
      <c r="B85" s="191"/>
      <c r="C85" s="191"/>
      <c r="D85" s="191"/>
      <c r="E85" s="191"/>
      <c r="F85" s="191"/>
      <c r="G85" s="191"/>
      <c r="H85" s="191"/>
      <c r="I85" s="191"/>
      <c r="J85" s="191"/>
      <c r="K85" s="191"/>
      <c r="L85" s="191"/>
      <c r="M85" s="191"/>
      <c r="N85" s="191"/>
      <c r="O85" s="191"/>
      <c r="P85" s="191"/>
      <c r="Q85" s="191"/>
      <c r="R85" s="191"/>
      <c r="S85" s="191"/>
      <c r="T85" s="191"/>
      <c r="U85" s="191"/>
      <c r="V85" s="191"/>
      <c r="W85" s="191"/>
      <c r="X85" s="191"/>
      <c r="Y85" s="191"/>
      <c r="Z85" s="191"/>
      <c r="AA85" s="191"/>
      <c r="AB85" s="191"/>
      <c r="AC85" s="191"/>
      <c r="AD85" s="191"/>
      <c r="AE85" s="191"/>
      <c r="AF85" s="192"/>
      <c r="AG85" s="175" t="s">
        <v>167</v>
      </c>
      <c r="AH85" s="244" t="s">
        <v>146</v>
      </c>
      <c r="AI85" s="260"/>
      <c r="AJ85" s="246"/>
      <c r="AK85" s="172"/>
      <c r="AL85" s="172"/>
      <c r="AM85" s="172"/>
      <c r="AN85" s="171"/>
      <c r="AO85" s="261"/>
      <c r="AP85" s="261"/>
      <c r="AQ85" s="39"/>
    </row>
    <row r="86" s="148" customFormat="true" ht="15" hidden="false" customHeight="true" outlineLevel="0" collapsed="false">
      <c r="A86" s="175" t="s">
        <v>168</v>
      </c>
      <c r="B86" s="176"/>
      <c r="C86" s="176"/>
      <c r="D86" s="176"/>
      <c r="E86" s="177"/>
      <c r="F86" s="176"/>
      <c r="G86" s="176"/>
      <c r="H86" s="176"/>
      <c r="I86" s="176"/>
      <c r="J86" s="177"/>
      <c r="K86" s="176"/>
      <c r="L86" s="177"/>
      <c r="M86" s="176"/>
      <c r="N86" s="176"/>
      <c r="O86" s="176"/>
      <c r="P86" s="176"/>
      <c r="Q86" s="177"/>
      <c r="R86" s="176"/>
      <c r="S86" s="177"/>
      <c r="T86" s="177"/>
      <c r="U86" s="176"/>
      <c r="V86" s="176"/>
      <c r="W86" s="176"/>
      <c r="X86" s="177"/>
      <c r="Y86" s="176"/>
      <c r="Z86" s="178"/>
      <c r="AA86" s="176"/>
      <c r="AB86" s="176"/>
      <c r="AC86" s="176"/>
      <c r="AD86" s="176"/>
      <c r="AE86" s="177"/>
      <c r="AF86" s="176"/>
      <c r="AG86" s="168" t="str">
        <f aca="false">A86</f>
        <v>Consultation</v>
      </c>
      <c r="AH86" s="184"/>
      <c r="AI86" s="207" t="n">
        <f aca="false">SUM(B86:AF86)</f>
        <v>0</v>
      </c>
      <c r="AJ86" s="33"/>
      <c r="AK86" s="235"/>
      <c r="AL86" s="216" t="n">
        <f aca="false">IF(EB.Anwendung&lt;&gt;"",IF(MONTH(Monat.Tag1)=1,0,IF(MONTH(Monat.Tag1)=2,Monat.ArztUeVM,IF(MONTH(Monat.Tag1)=3,February!Monat.ArztUeVM,IF(MONTH(Monat.Tag1)=4,March!Monat.ArztUeVM,IF(MONTH(Monat.Tag1)=5,April!Monat.ArztUeVM,IF(MONTH(Monat.Tag1)=6,May!Monat.ArztUeVM,IF(MONTH(Monat.Tag1)=7,June!Monat.ArztUeVM,IF(MONTH(Monat.Tag1)=8,July!Monat.ArztUeVM,IF(MONTH(Monat.Tag1)=9,August!Monat.ArztUeVM,IF(MONTH(Monat.Tag1)=10,September!Monat.ArztUeVM,IF(MONTH(Monat.Tag1)=11,October!Monat.ArztUeVM,IF(MONTH(Monat.Tag1)=12,November!Monat.ArztUeVM,"")))))))))))),"")</f>
        <v>0</v>
      </c>
      <c r="AM86" s="172"/>
      <c r="AN86" s="217" t="n">
        <f aca="false">AI86+AL86</f>
        <v>0</v>
      </c>
      <c r="AO86" s="171"/>
      <c r="AP86" s="171"/>
      <c r="AQ86" s="39"/>
    </row>
    <row r="87" s="148" customFormat="true" ht="15" hidden="false" customHeight="true" outlineLevel="0" collapsed="false">
      <c r="A87" s="175" t="s">
        <v>169</v>
      </c>
      <c r="B87" s="176"/>
      <c r="C87" s="176"/>
      <c r="D87" s="176"/>
      <c r="E87" s="177"/>
      <c r="F87" s="176"/>
      <c r="G87" s="176"/>
      <c r="H87" s="176"/>
      <c r="I87" s="176"/>
      <c r="J87" s="177"/>
      <c r="K87" s="176"/>
      <c r="L87" s="177"/>
      <c r="M87" s="176"/>
      <c r="N87" s="176"/>
      <c r="O87" s="176"/>
      <c r="P87" s="176"/>
      <c r="Q87" s="177"/>
      <c r="R87" s="176"/>
      <c r="S87" s="177"/>
      <c r="T87" s="177"/>
      <c r="U87" s="176"/>
      <c r="V87" s="176"/>
      <c r="W87" s="176"/>
      <c r="X87" s="177"/>
      <c r="Y87" s="176"/>
      <c r="Z87" s="178"/>
      <c r="AA87" s="176"/>
      <c r="AB87" s="176"/>
      <c r="AC87" s="176"/>
      <c r="AD87" s="176"/>
      <c r="AE87" s="177"/>
      <c r="AF87" s="176"/>
      <c r="AG87" s="168" t="str">
        <f aca="false">A87</f>
        <v>Illness</v>
      </c>
      <c r="AH87" s="184"/>
      <c r="AI87" s="207" t="n">
        <f aca="false">SUM(B87:AF87)</f>
        <v>0</v>
      </c>
      <c r="AJ87" s="33"/>
      <c r="AK87" s="235"/>
      <c r="AL87" s="216" t="n">
        <f aca="false">IF(EB.Anwendung&lt;&gt;"",IF(MONTH(Monat.Tag1)=1,0,IF(MONTH(Monat.Tag1)=2,Monat.KrankUeVM,IF(MONTH(Monat.Tag1)=3,February!Monat.KrankUeVM,IF(MONTH(Monat.Tag1)=4,March!Monat.KrankUeVM,IF(MONTH(Monat.Tag1)=5,April!Monat.KrankUeVM,IF(MONTH(Monat.Tag1)=6,May!Monat.KrankUeVM,IF(MONTH(Monat.Tag1)=7,June!Monat.KrankUeVM,IF(MONTH(Monat.Tag1)=8,July!Monat.KrankUeVM,IF(MONTH(Monat.Tag1)=9,August!Monat.KrankUeVM,IF(MONTH(Monat.Tag1)=10,September!Monat.KrankUeVM,IF(MONTH(Monat.Tag1)=11,October!Monat.KrankUeVM,IF(MONTH(Monat.Tag1)=12,November!Monat.KrankUeVM,"")))))))))))),"")</f>
        <v>0</v>
      </c>
      <c r="AM87" s="172"/>
      <c r="AN87" s="217" t="n">
        <f aca="false">AI87+AL87</f>
        <v>0</v>
      </c>
      <c r="AO87" s="171"/>
      <c r="AP87" s="171"/>
      <c r="AQ87" s="39"/>
    </row>
    <row r="88" s="148" customFormat="true" ht="15" hidden="false" customHeight="true" outlineLevel="0" collapsed="false">
      <c r="A88" s="175" t="s">
        <v>170</v>
      </c>
      <c r="B88" s="176"/>
      <c r="C88" s="176"/>
      <c r="D88" s="176"/>
      <c r="E88" s="177"/>
      <c r="F88" s="176"/>
      <c r="G88" s="176"/>
      <c r="H88" s="176"/>
      <c r="I88" s="176"/>
      <c r="J88" s="177"/>
      <c r="K88" s="176"/>
      <c r="L88" s="177"/>
      <c r="M88" s="176"/>
      <c r="N88" s="176"/>
      <c r="O88" s="176"/>
      <c r="P88" s="176"/>
      <c r="Q88" s="177"/>
      <c r="R88" s="176"/>
      <c r="S88" s="177"/>
      <c r="T88" s="177"/>
      <c r="U88" s="176"/>
      <c r="V88" s="176"/>
      <c r="W88" s="176"/>
      <c r="X88" s="177"/>
      <c r="Y88" s="176"/>
      <c r="Z88" s="178"/>
      <c r="AA88" s="176"/>
      <c r="AB88" s="176"/>
      <c r="AC88" s="176"/>
      <c r="AD88" s="176"/>
      <c r="AE88" s="177"/>
      <c r="AF88" s="176"/>
      <c r="AG88" s="168" t="str">
        <f aca="false">A88</f>
        <v>Work-related accident</v>
      </c>
      <c r="AH88" s="184"/>
      <c r="AI88" s="207" t="n">
        <f aca="false">SUM(B88:AF88)</f>
        <v>0</v>
      </c>
      <c r="AJ88" s="33"/>
      <c r="AK88" s="235"/>
      <c r="AL88" s="216" t="n">
        <f aca="false">IF(EB.Anwendung&lt;&gt;"",IF(MONTH(Monat.Tag1)=1,0,IF(MONTH(Monat.Tag1)=2,Monat.BUUeVM,IF(MONTH(Monat.Tag1)=3,February!Monat.BUUeVM,IF(MONTH(Monat.Tag1)=4,March!Monat.BUUeVM,IF(MONTH(Monat.Tag1)=5,April!Monat.BUUeVM,IF(MONTH(Monat.Tag1)=6,May!Monat.BUUeVM,IF(MONTH(Monat.Tag1)=7,June!Monat.BUUeVM,IF(MONTH(Monat.Tag1)=8,July!Monat.BUUeVM,IF(MONTH(Monat.Tag1)=9,August!Monat.BUUeVM,IF(MONTH(Monat.Tag1)=10,September!Monat.BUUeVM,IF(MONTH(Monat.Tag1)=11,October!Monat.BUUeVM,IF(MONTH(Monat.Tag1)=12,November!Monat.BUUeVM,"")))))))))))),"")</f>
        <v>0</v>
      </c>
      <c r="AM88" s="172"/>
      <c r="AN88" s="217" t="n">
        <f aca="false">AI88+AL88</f>
        <v>0</v>
      </c>
      <c r="AO88" s="171"/>
      <c r="AP88" s="171"/>
      <c r="AQ88" s="39"/>
    </row>
    <row r="89" s="148" customFormat="true" ht="15" hidden="false" customHeight="true" outlineLevel="0" collapsed="false">
      <c r="A89" s="175" t="s">
        <v>171</v>
      </c>
      <c r="B89" s="176"/>
      <c r="C89" s="176"/>
      <c r="D89" s="176"/>
      <c r="E89" s="177"/>
      <c r="F89" s="176"/>
      <c r="G89" s="176"/>
      <c r="H89" s="176"/>
      <c r="I89" s="176"/>
      <c r="J89" s="177"/>
      <c r="K89" s="176"/>
      <c r="L89" s="177"/>
      <c r="M89" s="176"/>
      <c r="N89" s="176"/>
      <c r="O89" s="176"/>
      <c r="P89" s="176"/>
      <c r="Q89" s="177"/>
      <c r="R89" s="176"/>
      <c r="S89" s="177"/>
      <c r="T89" s="177"/>
      <c r="U89" s="176"/>
      <c r="V89" s="176"/>
      <c r="W89" s="176"/>
      <c r="X89" s="177"/>
      <c r="Y89" s="176"/>
      <c r="Z89" s="178"/>
      <c r="AA89" s="176"/>
      <c r="AB89" s="176"/>
      <c r="AC89" s="176"/>
      <c r="AD89" s="176"/>
      <c r="AE89" s="177"/>
      <c r="AF89" s="176"/>
      <c r="AG89" s="168" t="str">
        <f aca="false">A89</f>
        <v>Non-work-related accident</v>
      </c>
      <c r="AH89" s="184"/>
      <c r="AI89" s="207" t="n">
        <f aca="false">SUM(B89:AF89)</f>
        <v>0</v>
      </c>
      <c r="AJ89" s="33"/>
      <c r="AK89" s="235"/>
      <c r="AL89" s="216" t="n">
        <f aca="false">IF(EB.Anwendung&lt;&gt;"",IF(MONTH(Monat.Tag1)=1,0,IF(MONTH(Monat.Tag1)=2,Monat.NBUUeVM,IF(MONTH(Monat.Tag1)=3,February!Monat.NBUUeVM,IF(MONTH(Monat.Tag1)=4,March!Monat.NBUUeVM,IF(MONTH(Monat.Tag1)=5,April!Monat.NBUUeVM,IF(MONTH(Monat.Tag1)=6,May!Monat.NBUUeVM,IF(MONTH(Monat.Tag1)=7,June!Monat.NBUUeVM,IF(MONTH(Monat.Tag1)=8,July!Monat.NBUUeVM,IF(MONTH(Monat.Tag1)=9,August!Monat.NBUUeVM,IF(MONTH(Monat.Tag1)=10,September!Monat.NBUUeVM,IF(MONTH(Monat.Tag1)=11,October!Monat.NBUUeVM,IF(MONTH(Monat.Tag1)=12,November!Monat.NBUUeVM,"")))))))))))),"")</f>
        <v>0</v>
      </c>
      <c r="AM89" s="172"/>
      <c r="AN89" s="217" t="n">
        <f aca="false">AI89+AL89</f>
        <v>0</v>
      </c>
      <c r="AO89" s="171"/>
      <c r="AP89" s="171"/>
      <c r="AQ89" s="39"/>
    </row>
    <row r="90" s="148" customFormat="true" ht="15" hidden="false" customHeight="true" outlineLevel="0" collapsed="false">
      <c r="A90" s="175" t="s">
        <v>172</v>
      </c>
      <c r="B90" s="176"/>
      <c r="C90" s="176"/>
      <c r="D90" s="176"/>
      <c r="E90" s="177"/>
      <c r="F90" s="176"/>
      <c r="G90" s="176"/>
      <c r="H90" s="176"/>
      <c r="I90" s="176"/>
      <c r="J90" s="177"/>
      <c r="K90" s="176"/>
      <c r="L90" s="177"/>
      <c r="M90" s="176"/>
      <c r="N90" s="176"/>
      <c r="O90" s="176"/>
      <c r="P90" s="176"/>
      <c r="Q90" s="177"/>
      <c r="R90" s="176"/>
      <c r="S90" s="177"/>
      <c r="T90" s="177"/>
      <c r="U90" s="176"/>
      <c r="V90" s="176"/>
      <c r="W90" s="176"/>
      <c r="X90" s="177"/>
      <c r="Y90" s="176"/>
      <c r="Z90" s="178"/>
      <c r="AA90" s="176"/>
      <c r="AB90" s="176"/>
      <c r="AC90" s="176"/>
      <c r="AD90" s="176"/>
      <c r="AE90" s="177"/>
      <c r="AF90" s="176"/>
      <c r="AG90" s="168" t="str">
        <f aca="false">A90</f>
        <v>Military/civilian service</v>
      </c>
      <c r="AH90" s="184"/>
      <c r="AI90" s="207" t="n">
        <f aca="false">SUM(B90:AF90)</f>
        <v>0</v>
      </c>
      <c r="AJ90" s="33"/>
      <c r="AK90" s="235"/>
      <c r="AL90" s="216" t="n">
        <f aca="false">IF(EB.Anwendung&lt;&gt;"",IF(MONTH(Monat.Tag1)=1,0,IF(MONTH(Monat.Tag1)=2,Monat.MZSUeVM,IF(MONTH(Monat.Tag1)=3,February!Monat.MZSUeVM,IF(MONTH(Monat.Tag1)=4,March!Monat.MZSUeVM,IF(MONTH(Monat.Tag1)=5,April!Monat.MZSUeVM,IF(MONTH(Monat.Tag1)=6,May!Monat.MZSUeVM,IF(MONTH(Monat.Tag1)=7,June!Monat.MZSUeVM,IF(MONTH(Monat.Tag1)=8,July!Monat.MZSUeVM,IF(MONTH(Monat.Tag1)=9,August!Monat.MZSUeVM,IF(MONTH(Monat.Tag1)=10,September!Monat.MZSUeVM,IF(MONTH(Monat.Tag1)=11,October!Monat.MZSUeVM,IF(MONTH(Monat.Tag1)=12,November!Monat.MZSUeVM,"")))))))))))),"")</f>
        <v>0</v>
      </c>
      <c r="AM90" s="172"/>
      <c r="AN90" s="217" t="n">
        <f aca="false">AI90+AL90</f>
        <v>0</v>
      </c>
      <c r="AO90" s="171"/>
      <c r="AP90" s="171"/>
      <c r="AQ90" s="39"/>
    </row>
    <row r="91" s="148" customFormat="true" ht="15" hidden="false" customHeight="true" outlineLevel="0" collapsed="false">
      <c r="A91" s="175" t="s">
        <v>173</v>
      </c>
      <c r="B91" s="176"/>
      <c r="C91" s="176"/>
      <c r="D91" s="176"/>
      <c r="E91" s="177"/>
      <c r="F91" s="176"/>
      <c r="G91" s="176"/>
      <c r="H91" s="176"/>
      <c r="I91" s="176"/>
      <c r="J91" s="177"/>
      <c r="K91" s="176"/>
      <c r="L91" s="177"/>
      <c r="M91" s="176"/>
      <c r="N91" s="176"/>
      <c r="O91" s="176"/>
      <c r="P91" s="176"/>
      <c r="Q91" s="177"/>
      <c r="R91" s="176"/>
      <c r="S91" s="177"/>
      <c r="T91" s="177"/>
      <c r="U91" s="176"/>
      <c r="V91" s="176"/>
      <c r="W91" s="176"/>
      <c r="X91" s="177"/>
      <c r="Y91" s="176"/>
      <c r="Z91" s="178"/>
      <c r="AA91" s="176"/>
      <c r="AB91" s="176"/>
      <c r="AC91" s="176"/>
      <c r="AD91" s="176"/>
      <c r="AE91" s="177"/>
      <c r="AF91" s="176"/>
      <c r="AG91" s="168" t="str">
        <f aca="false">A91</f>
        <v>Continuing education</v>
      </c>
      <c r="AH91" s="184"/>
      <c r="AI91" s="207" t="n">
        <f aca="false">SUM(B91:AF91)</f>
        <v>0</v>
      </c>
      <c r="AJ91" s="33"/>
      <c r="AK91" s="235"/>
      <c r="AL91" s="216" t="n">
        <f aca="false">IF(EB.Anwendung&lt;&gt;"",IF(MONTH(Monat.Tag1)=1,0,IF(MONTH(Monat.Tag1)=2,Monat.WBUeVM,IF(MONTH(Monat.Tag1)=3,February!Monat.WBUeVM,IF(MONTH(Monat.Tag1)=4,March!Monat.WBUeVM,IF(MONTH(Monat.Tag1)=5,April!Monat.WBUeVM,IF(MONTH(Monat.Tag1)=6,May!Monat.WBUeVM,IF(MONTH(Monat.Tag1)=7,June!Monat.WBUeVM,IF(MONTH(Monat.Tag1)=8,July!Monat.WBUeVM,IF(MONTH(Monat.Tag1)=9,August!Monat.WBUeVM,IF(MONTH(Monat.Tag1)=10,September!Monat.WBUeVM,IF(MONTH(Monat.Tag1)=11,October!Monat.WBUeVM,IF(MONTH(Monat.Tag1)=12,November!Monat.WBUeVM,"")))))))))))),"")</f>
        <v>0</v>
      </c>
      <c r="AM91" s="172"/>
      <c r="AN91" s="217" t="n">
        <f aca="false">AI91+AL91</f>
        <v>0</v>
      </c>
      <c r="AO91" s="171"/>
      <c r="AP91" s="171"/>
      <c r="AQ91" s="39"/>
    </row>
    <row r="92" s="148" customFormat="true" ht="15" hidden="false" customHeight="true" outlineLevel="0" collapsed="false">
      <c r="A92" s="175" t="s">
        <v>174</v>
      </c>
      <c r="B92" s="176"/>
      <c r="C92" s="176"/>
      <c r="D92" s="176"/>
      <c r="E92" s="177"/>
      <c r="F92" s="176"/>
      <c r="G92" s="176"/>
      <c r="H92" s="176"/>
      <c r="I92" s="176"/>
      <c r="J92" s="177"/>
      <c r="K92" s="176"/>
      <c r="L92" s="177"/>
      <c r="M92" s="176"/>
      <c r="N92" s="176"/>
      <c r="O92" s="176"/>
      <c r="P92" s="176"/>
      <c r="Q92" s="177"/>
      <c r="R92" s="176"/>
      <c r="S92" s="177"/>
      <c r="T92" s="177"/>
      <c r="U92" s="176"/>
      <c r="V92" s="176"/>
      <c r="W92" s="176"/>
      <c r="X92" s="177"/>
      <c r="Y92" s="176"/>
      <c r="Z92" s="178"/>
      <c r="AA92" s="176"/>
      <c r="AB92" s="176"/>
      <c r="AC92" s="176"/>
      <c r="AD92" s="176"/>
      <c r="AE92" s="177"/>
      <c r="AF92" s="176"/>
      <c r="AG92" s="168" t="str">
        <f aca="false">A92</f>
        <v>Paid leave</v>
      </c>
      <c r="AH92" s="184"/>
      <c r="AI92" s="207" t="n">
        <f aca="false">SUM(B92:AF92)</f>
        <v>0</v>
      </c>
      <c r="AJ92" s="33"/>
      <c r="AK92" s="235"/>
      <c r="AL92" s="216" t="n">
        <f aca="false">IF(EB.Anwendung&lt;&gt;"",IF(MONTH(Monat.Tag1)=1,0,IF(MONTH(Monat.Tag1)=2,Monat.BesUrlaubUeVM,IF(MONTH(Monat.Tag1)=3,February!Monat.BesUrlaubUeVM,IF(MONTH(Monat.Tag1)=4,March!Monat.BesUrlaubUeVM,IF(MONTH(Monat.Tag1)=5,April!Monat.BesUrlaubUeVM,IF(MONTH(Monat.Tag1)=6,May!Monat.BesUrlaubUeVM,IF(MONTH(Monat.Tag1)=7,June!Monat.BesUrlaubUeVM,IF(MONTH(Monat.Tag1)=8,July!Monat.BesUrlaubUeVM,IF(MONTH(Monat.Tag1)=9,August!Monat.BesUrlaubUeVM,IF(MONTH(Monat.Tag1)=10,September!Monat.BesUrlaubUeVM,IF(MONTH(Monat.Tag1)=11,October!Monat.BesUrlaubUeVM,IF(MONTH(Monat.Tag1)=12,November!Monat.BesUrlaubUeVM,"")))))))))))),"")</f>
        <v>0</v>
      </c>
      <c r="AM92" s="172"/>
      <c r="AN92" s="217" t="n">
        <f aca="false">AI92+AL92</f>
        <v>0</v>
      </c>
      <c r="AO92" s="171"/>
      <c r="AP92" s="171"/>
      <c r="AQ92" s="39"/>
    </row>
    <row r="93" s="148" customFormat="true" ht="15" hidden="false" customHeight="true" outlineLevel="0" collapsed="false">
      <c r="A93" s="175" t="s">
        <v>175</v>
      </c>
      <c r="B93" s="176"/>
      <c r="C93" s="176"/>
      <c r="D93" s="176"/>
      <c r="E93" s="177"/>
      <c r="F93" s="176"/>
      <c r="G93" s="176"/>
      <c r="H93" s="176"/>
      <c r="I93" s="176"/>
      <c r="J93" s="177"/>
      <c r="K93" s="176"/>
      <c r="L93" s="177"/>
      <c r="M93" s="176"/>
      <c r="N93" s="176"/>
      <c r="O93" s="176"/>
      <c r="P93" s="176"/>
      <c r="Q93" s="177"/>
      <c r="R93" s="176"/>
      <c r="S93" s="177"/>
      <c r="T93" s="177"/>
      <c r="U93" s="176"/>
      <c r="V93" s="176"/>
      <c r="W93" s="176"/>
      <c r="X93" s="177"/>
      <c r="Y93" s="176"/>
      <c r="Z93" s="178"/>
      <c r="AA93" s="176"/>
      <c r="AB93" s="176"/>
      <c r="AC93" s="176"/>
      <c r="AD93" s="176"/>
      <c r="AE93" s="177"/>
      <c r="AF93" s="176"/>
      <c r="AG93" s="168" t="str">
        <f aca="false">A93</f>
        <v>Unpaid leave</v>
      </c>
      <c r="AH93" s="184"/>
      <c r="AI93" s="207" t="n">
        <f aca="false">SUM(B93:AF93)</f>
        <v>0</v>
      </c>
      <c r="AJ93" s="33"/>
      <c r="AK93" s="235"/>
      <c r="AL93" s="216" t="n">
        <f aca="false">IF(EB.Anwendung&lt;&gt;"",IF(MONTH(Monat.Tag1)=1,0,IF(MONTH(Monat.Tag1)=2,Monat.UnbesUrlaubUeVM,IF(MONTH(Monat.Tag1)=3,February!Monat.UnbesUrlaubUeVM,IF(MONTH(Monat.Tag1)=4,March!Monat.UnbesUrlaubUeVM,IF(MONTH(Monat.Tag1)=5,April!Monat.UnbesUrlaubUeVM,IF(MONTH(Monat.Tag1)=6,May!Monat.UnbesUrlaubUeVM,IF(MONTH(Monat.Tag1)=7,June!Monat.UnbesUrlaubUeVM,IF(MONTH(Monat.Tag1)=8,July!Monat.UnbesUrlaubUeVM,IF(MONTH(Monat.Tag1)=9,August!Monat.UnbesUrlaubUeVM,IF(MONTH(Monat.Tag1)=10,September!Monat.UnbesUrlaubUeVM,IF(MONTH(Monat.Tag1)=11,October!Monat.UnbesUrlaubUeVM,IF(MONTH(Monat.Tag1)=12,November!Monat.UnbesUrlaubUeVM,"")))))))))))),"")</f>
        <v>0</v>
      </c>
      <c r="AM93" s="172"/>
      <c r="AN93" s="217" t="n">
        <f aca="false">AI93+AL93</f>
        <v>0</v>
      </c>
      <c r="AO93" s="171"/>
      <c r="AP93" s="171"/>
      <c r="AQ93" s="39"/>
    </row>
    <row r="94" s="148" customFormat="true" ht="15" hidden="true" customHeight="true" outlineLevel="1" collapsed="false">
      <c r="A94" s="175" t="s">
        <v>176</v>
      </c>
      <c r="B94" s="176"/>
      <c r="C94" s="176"/>
      <c r="D94" s="176"/>
      <c r="E94" s="177"/>
      <c r="F94" s="176"/>
      <c r="G94" s="176"/>
      <c r="H94" s="176"/>
      <c r="I94" s="176"/>
      <c r="J94" s="177"/>
      <c r="K94" s="176"/>
      <c r="L94" s="177"/>
      <c r="M94" s="176"/>
      <c r="N94" s="176"/>
      <c r="O94" s="176"/>
      <c r="P94" s="176"/>
      <c r="Q94" s="177"/>
      <c r="R94" s="176"/>
      <c r="S94" s="177"/>
      <c r="T94" s="177"/>
      <c r="U94" s="176"/>
      <c r="V94" s="176"/>
      <c r="W94" s="176"/>
      <c r="X94" s="177"/>
      <c r="Y94" s="176"/>
      <c r="Z94" s="178"/>
      <c r="AA94" s="176"/>
      <c r="AB94" s="176"/>
      <c r="AC94" s="176"/>
      <c r="AD94" s="176"/>
      <c r="AE94" s="177"/>
      <c r="AF94" s="176"/>
      <c r="AG94" s="168" t="str">
        <f aca="false">A94</f>
        <v>Secondary employment</v>
      </c>
      <c r="AH94" s="184"/>
      <c r="AI94" s="207" t="n">
        <f aca="false">SUM(B94:AF94)</f>
        <v>0</v>
      </c>
      <c r="AJ94" s="33"/>
      <c r="AK94" s="235"/>
      <c r="AL94" s="216" t="n">
        <f aca="false">IF(EB.Anwendung&lt;&gt;"",IF(MONTH(Monat.Tag1)=1,0,IF(MONTH(Monat.Tag1)=2,Monat.NBUeVM,IF(MONTH(Monat.Tag1)=3,February!Monat.NBUeVM,IF(MONTH(Monat.Tag1)=4,March!Monat.NBUeVM,IF(MONTH(Monat.Tag1)=5,April!Monat.NBUeVM,IF(MONTH(Monat.Tag1)=6,May!Monat.NBUeVM,IF(MONTH(Monat.Tag1)=7,June!Monat.NBUeVM,IF(MONTH(Monat.Tag1)=8,July!Monat.NBUeVM,IF(MONTH(Monat.Tag1)=9,August!Monat.NBUeVM,IF(MONTH(Monat.Tag1)=10,September!Monat.NBUeVM,IF(MONTH(Monat.Tag1)=11,October!Monat.NBUeVM,IF(MONTH(Monat.Tag1)=12,November!Monat.NBUeVM,"")))))))))))),"")</f>
        <v>0</v>
      </c>
      <c r="AM94" s="172"/>
      <c r="AN94" s="217" t="n">
        <f aca="false">AI94+AL94</f>
        <v>0</v>
      </c>
      <c r="AO94" s="171"/>
      <c r="AP94" s="171"/>
      <c r="AQ94" s="39"/>
    </row>
    <row r="95" s="148" customFormat="true" ht="15" hidden="false" customHeight="true" outlineLevel="0" collapsed="false">
      <c r="A95" s="175" t="s">
        <v>86</v>
      </c>
      <c r="B95" s="176"/>
      <c r="C95" s="176"/>
      <c r="D95" s="176"/>
      <c r="E95" s="177"/>
      <c r="F95" s="176"/>
      <c r="G95" s="176"/>
      <c r="H95" s="176"/>
      <c r="I95" s="176"/>
      <c r="J95" s="177"/>
      <c r="K95" s="176"/>
      <c r="L95" s="177"/>
      <c r="M95" s="176"/>
      <c r="N95" s="176"/>
      <c r="O95" s="176"/>
      <c r="P95" s="176"/>
      <c r="Q95" s="177"/>
      <c r="R95" s="176"/>
      <c r="S95" s="177"/>
      <c r="T95" s="177"/>
      <c r="U95" s="176"/>
      <c r="V95" s="176"/>
      <c r="W95" s="176"/>
      <c r="X95" s="177"/>
      <c r="Y95" s="176"/>
      <c r="Z95" s="178"/>
      <c r="AA95" s="176"/>
      <c r="AB95" s="176"/>
      <c r="AC95" s="176"/>
      <c r="AD95" s="176"/>
      <c r="AE95" s="177"/>
      <c r="AF95" s="176"/>
      <c r="AG95" s="168" t="str">
        <f aca="false">A95</f>
        <v>Seniority allowance</v>
      </c>
      <c r="AH95" s="184"/>
      <c r="AI95" s="207" t="n">
        <f aca="false">SUM(B95:AF95)</f>
        <v>0</v>
      </c>
      <c r="AJ95" s="33"/>
      <c r="AK95" s="235"/>
      <c r="AL95" s="216" t="n">
        <f aca="false">IF(EB.Anwendung&lt;&gt;"",IF(MONTH(Monat.Tag1)=1,EB.DAG,IF(MONTH(Monat.Tag1)=2,Monat.DAGUeVM,IF(MONTH(Monat.Tag1)=3,February!Monat.DAGUeVM,IF(MONTH(Monat.Tag1)=4,March!Monat.DAGUeVM,IF(MONTH(Monat.Tag1)=5,April!Monat.DAGUeVM,IF(MONTH(Monat.Tag1)=6,May!Monat.DAGUeVM,IF(MONTH(Monat.Tag1)=7,June!Monat.DAGUeVM,IF(MONTH(Monat.Tag1)=8,July!Monat.DAGUeVM,IF(MONTH(Monat.Tag1)=9,August!Monat.DAGUeVM,IF(MONTH(Monat.Tag1)=10,September!Monat.DAGUeVM,IF(MONTH(Monat.Tag1)=11,October!Monat.DAGUeVM,IF(MONTH(Monat.Tag1)=12,November!Monat.DAGUeVM,"")))))))))))),"")</f>
        <v>0</v>
      </c>
      <c r="AM95" s="172"/>
      <c r="AN95" s="217" t="n">
        <f aca="false">AL95-AI95</f>
        <v>0</v>
      </c>
      <c r="AO95" s="171"/>
      <c r="AP95" s="171"/>
      <c r="AQ95" s="39"/>
    </row>
    <row r="96" s="148" customFormat="true" ht="11.25" hidden="false" customHeight="true" outlineLevel="0" collapsed="false">
      <c r="A96" s="186"/>
      <c r="B96" s="191"/>
      <c r="C96" s="191"/>
      <c r="D96" s="191"/>
      <c r="E96" s="191"/>
      <c r="F96" s="191"/>
      <c r="G96" s="191"/>
      <c r="H96" s="191"/>
      <c r="I96" s="191"/>
      <c r="J96" s="191"/>
      <c r="K96" s="191"/>
      <c r="L96" s="191"/>
      <c r="M96" s="191"/>
      <c r="N96" s="191"/>
      <c r="O96" s="191"/>
      <c r="P96" s="191"/>
      <c r="Q96" s="191"/>
      <c r="R96" s="191"/>
      <c r="S96" s="191"/>
      <c r="T96" s="191"/>
      <c r="U96" s="191"/>
      <c r="V96" s="191"/>
      <c r="W96" s="191"/>
      <c r="X96" s="191"/>
      <c r="Y96" s="191"/>
      <c r="Z96" s="191"/>
      <c r="AA96" s="191"/>
      <c r="AB96" s="191"/>
      <c r="AC96" s="191"/>
      <c r="AD96" s="191"/>
      <c r="AE96" s="191"/>
      <c r="AF96" s="192"/>
      <c r="AG96" s="168"/>
      <c r="AH96" s="197"/>
      <c r="AI96" s="192"/>
      <c r="AJ96" s="27"/>
      <c r="AK96" s="235"/>
      <c r="AL96" s="235"/>
      <c r="AM96" s="172"/>
      <c r="AN96" s="254"/>
      <c r="AO96" s="179"/>
      <c r="AP96" s="179"/>
      <c r="AQ96" s="39"/>
    </row>
    <row r="97" s="148" customFormat="true" ht="15" hidden="false" customHeight="true" outlineLevel="0" collapsed="false">
      <c r="A97" s="181" t="str">
        <f aca="true">IF(ROW(A97)-ROW(INDEX(Monat.Projekte.Zeilen,1))+1&gt;EB.AnzProjekte,"",OFFSET(EB.Projekte.Knoten,ROW(A97)-ROW(INDEX(Monat.Projekte.Zeilen,1))+1,0,1,1))</f>
        <v/>
      </c>
      <c r="B97" s="176"/>
      <c r="C97" s="176"/>
      <c r="D97" s="176"/>
      <c r="E97" s="177"/>
      <c r="F97" s="176"/>
      <c r="G97" s="176"/>
      <c r="H97" s="176"/>
      <c r="I97" s="176"/>
      <c r="J97" s="177"/>
      <c r="K97" s="176"/>
      <c r="L97" s="177"/>
      <c r="M97" s="176"/>
      <c r="N97" s="176"/>
      <c r="O97" s="176"/>
      <c r="P97" s="176"/>
      <c r="Q97" s="177"/>
      <c r="R97" s="176"/>
      <c r="S97" s="177"/>
      <c r="T97" s="177"/>
      <c r="U97" s="176"/>
      <c r="V97" s="176"/>
      <c r="W97" s="176"/>
      <c r="X97" s="177"/>
      <c r="Y97" s="176"/>
      <c r="Z97" s="178"/>
      <c r="AA97" s="176"/>
      <c r="AB97" s="176"/>
      <c r="AC97" s="176"/>
      <c r="AD97" s="176"/>
      <c r="AE97" s="177"/>
      <c r="AF97" s="176"/>
      <c r="AG97" s="168" t="str">
        <f aca="false">A97</f>
        <v/>
      </c>
      <c r="AH97" s="202"/>
      <c r="AI97" s="262" t="n">
        <f aca="false">SUM(B97:AF97)</f>
        <v>0</v>
      </c>
      <c r="AJ97" s="33"/>
      <c r="AK97" s="192"/>
      <c r="AL97" s="216" t="n">
        <f aca="false">IF(EB.Anwendung&lt;&gt;"",IF(MONTH(Monat.Tag1)=1,0,IF(MONTH(Monat.Tag1)=2,Monat.P1UeVM,IF(MONTH(Monat.Tag1)=3,February!Monat.P1UeVM,IF(MONTH(Monat.Tag1)=4,March!Monat.P1UeVM,IF(MONTH(Monat.Tag1)=5,April!Monat.P1UeVM,IF(MONTH(Monat.Tag1)=6,May!Monat.P1UeVM,IF(MONTH(Monat.Tag1)=7,June!Monat.P1UeVM,IF(MONTH(Monat.Tag1)=8,July!Monat.P1UeVM,IF(MONTH(Monat.Tag1)=9,August!Monat.P1UeVM,IF(MONTH(Monat.Tag1)=10,September!Monat.P1UeVM,IF(MONTH(Monat.Tag1)=11,October!Monat.P1UeVM,IF(MONTH(Monat.Tag1)=12,November!Monat.P1UeVM,"")))))))))))),"")</f>
        <v>0</v>
      </c>
      <c r="AM97" s="172"/>
      <c r="AN97" s="217" t="n">
        <f aca="false">AI97+AL97</f>
        <v>0</v>
      </c>
      <c r="AO97" s="171"/>
      <c r="AP97" s="171"/>
      <c r="AQ97" s="39"/>
    </row>
    <row r="98" s="148" customFormat="true" ht="15" hidden="false" customHeight="true" outlineLevel="0" collapsed="false">
      <c r="A98" s="181" t="str">
        <f aca="true">IF(ROW(A98)-ROW(INDEX(Monat.Projekte.Zeilen,1))+1&gt;EB.AnzProjekte,"",OFFSET(EB.Projekte.Knoten,ROW(A98)-ROW(INDEX(Monat.Projekte.Zeilen,1))+1,0,1,1))</f>
        <v/>
      </c>
      <c r="B98" s="176"/>
      <c r="C98" s="176"/>
      <c r="D98" s="176"/>
      <c r="E98" s="177"/>
      <c r="F98" s="176"/>
      <c r="G98" s="176"/>
      <c r="H98" s="176"/>
      <c r="I98" s="176"/>
      <c r="J98" s="177"/>
      <c r="K98" s="176"/>
      <c r="L98" s="177"/>
      <c r="M98" s="176"/>
      <c r="N98" s="176"/>
      <c r="O98" s="176"/>
      <c r="P98" s="176"/>
      <c r="Q98" s="177"/>
      <c r="R98" s="176"/>
      <c r="S98" s="177"/>
      <c r="T98" s="177"/>
      <c r="U98" s="176"/>
      <c r="V98" s="176"/>
      <c r="W98" s="176"/>
      <c r="X98" s="177"/>
      <c r="Y98" s="176"/>
      <c r="Z98" s="178"/>
      <c r="AA98" s="176"/>
      <c r="AB98" s="176"/>
      <c r="AC98" s="176"/>
      <c r="AD98" s="176"/>
      <c r="AE98" s="177"/>
      <c r="AF98" s="176"/>
      <c r="AG98" s="168" t="str">
        <f aca="false">A98</f>
        <v/>
      </c>
      <c r="AH98" s="184"/>
      <c r="AI98" s="207" t="n">
        <f aca="false">SUM(B98:AF98)</f>
        <v>0</v>
      </c>
      <c r="AJ98" s="33"/>
      <c r="AK98" s="192"/>
      <c r="AL98" s="216" t="n">
        <f aca="false">IF(EB.Anwendung&lt;&gt;"",IF(MONTH(Monat.Tag1)=1,0,IF(MONTH(Monat.Tag1)=2,Monat.P2UeVM,IF(MONTH(Monat.Tag1)=3,February!Monat.P2UeVM,IF(MONTH(Monat.Tag1)=4,March!Monat.P2UeVM,IF(MONTH(Monat.Tag1)=5,April!Monat.P2UeVM,IF(MONTH(Monat.Tag1)=6,May!Monat.P2UeVM,IF(MONTH(Monat.Tag1)=7,June!Monat.P2UeVM,IF(MONTH(Monat.Tag1)=8,July!Monat.P2UeVM,IF(MONTH(Monat.Tag1)=9,August!Monat.P2UeVM,IF(MONTH(Monat.Tag1)=10,September!Monat.P2UeVM,IF(MONTH(Monat.Tag1)=11,October!Monat.P2UeVM,IF(MONTH(Monat.Tag1)=12,November!Monat.P2UeVM,"")))))))))))),"")</f>
        <v>0</v>
      </c>
      <c r="AM98" s="172"/>
      <c r="AN98" s="217" t="n">
        <f aca="false">AI98+AL98</f>
        <v>0</v>
      </c>
      <c r="AO98" s="171"/>
      <c r="AP98" s="171"/>
      <c r="AQ98" s="39"/>
    </row>
    <row r="99" s="148" customFormat="true" ht="15" hidden="false" customHeight="true" outlineLevel="0" collapsed="false">
      <c r="A99" s="181" t="str">
        <f aca="true">IF(ROW(A99)-ROW(INDEX(Monat.Projekte.Zeilen,1))+1&gt;EB.AnzProjekte,"",OFFSET(EB.Projekte.Knoten,ROW(A99)-ROW(INDEX(Monat.Projekte.Zeilen,1))+1,0,1,1))</f>
        <v/>
      </c>
      <c r="B99" s="176"/>
      <c r="C99" s="176"/>
      <c r="D99" s="176"/>
      <c r="E99" s="177"/>
      <c r="F99" s="176"/>
      <c r="G99" s="176"/>
      <c r="H99" s="176"/>
      <c r="I99" s="176"/>
      <c r="J99" s="177"/>
      <c r="K99" s="176"/>
      <c r="L99" s="177"/>
      <c r="M99" s="176"/>
      <c r="N99" s="176"/>
      <c r="O99" s="176"/>
      <c r="P99" s="176"/>
      <c r="Q99" s="177"/>
      <c r="R99" s="176"/>
      <c r="S99" s="177"/>
      <c r="T99" s="177"/>
      <c r="U99" s="176"/>
      <c r="V99" s="176"/>
      <c r="W99" s="176"/>
      <c r="X99" s="177"/>
      <c r="Y99" s="176"/>
      <c r="Z99" s="178"/>
      <c r="AA99" s="176"/>
      <c r="AB99" s="176"/>
      <c r="AC99" s="176"/>
      <c r="AD99" s="176"/>
      <c r="AE99" s="177"/>
      <c r="AF99" s="176"/>
      <c r="AG99" s="168" t="str">
        <f aca="false">A99</f>
        <v/>
      </c>
      <c r="AH99" s="263"/>
      <c r="AI99" s="207" t="n">
        <f aca="false">SUM(B99:AF99)</f>
        <v>0</v>
      </c>
      <c r="AJ99" s="33"/>
      <c r="AK99" s="192"/>
      <c r="AL99" s="216" t="n">
        <f aca="false">IF(EB.Anwendung&lt;&gt;"",IF(MONTH(Monat.Tag1)=1,0,IF(MONTH(Monat.Tag1)=2,Monat.P3UeVM,IF(MONTH(Monat.Tag1)=3,February!Monat.P3UeVM,IF(MONTH(Monat.Tag1)=4,March!Monat.P3UeVM,IF(MONTH(Monat.Tag1)=5,April!Monat.P3UeVM,IF(MONTH(Monat.Tag1)=6,May!Monat.P3UeVM,IF(MONTH(Monat.Tag1)=7,June!Monat.P3UeVM,IF(MONTH(Monat.Tag1)=8,July!Monat.P3UeVM,IF(MONTH(Monat.Tag1)=9,August!Monat.P3UeVM,IF(MONTH(Monat.Tag1)=10,September!Monat.P3UeVM,IF(MONTH(Monat.Tag1)=11,October!Monat.P3UeVM,IF(MONTH(Monat.Tag1)=12,November!Monat.P3UeVM,"")))))))))))),"")</f>
        <v>0</v>
      </c>
      <c r="AM99" s="172"/>
      <c r="AN99" s="217" t="n">
        <f aca="false">AI99+AL99</f>
        <v>0</v>
      </c>
      <c r="AO99" s="171"/>
      <c r="AP99" s="171"/>
      <c r="AQ99" s="39"/>
    </row>
    <row r="100" s="148" customFormat="true" ht="15" hidden="false" customHeight="true" outlineLevel="0" collapsed="false">
      <c r="A100" s="181" t="str">
        <f aca="true">IF(ROW(A100)-ROW(INDEX(Monat.Projekte.Zeilen,1))+1&gt;EB.AnzProjekte,"",OFFSET(EB.Projekte.Knoten,ROW(A100)-ROW(INDEX(Monat.Projekte.Zeilen,1))+1,0,1,1))</f>
        <v/>
      </c>
      <c r="B100" s="176"/>
      <c r="C100" s="176"/>
      <c r="D100" s="176"/>
      <c r="E100" s="177"/>
      <c r="F100" s="176"/>
      <c r="G100" s="176"/>
      <c r="H100" s="176"/>
      <c r="I100" s="176"/>
      <c r="J100" s="177"/>
      <c r="K100" s="176"/>
      <c r="L100" s="177"/>
      <c r="M100" s="176"/>
      <c r="N100" s="176"/>
      <c r="O100" s="176"/>
      <c r="P100" s="176"/>
      <c r="Q100" s="177"/>
      <c r="R100" s="176"/>
      <c r="S100" s="177"/>
      <c r="T100" s="177"/>
      <c r="U100" s="176"/>
      <c r="V100" s="176"/>
      <c r="W100" s="176"/>
      <c r="X100" s="177"/>
      <c r="Y100" s="176"/>
      <c r="Z100" s="178"/>
      <c r="AA100" s="176"/>
      <c r="AB100" s="176"/>
      <c r="AC100" s="176"/>
      <c r="AD100" s="176"/>
      <c r="AE100" s="177"/>
      <c r="AF100" s="176"/>
      <c r="AG100" s="168" t="str">
        <f aca="false">A100</f>
        <v/>
      </c>
      <c r="AH100" s="197"/>
      <c r="AI100" s="207" t="n">
        <f aca="false">SUM(B100:AF100)</f>
        <v>0</v>
      </c>
      <c r="AJ100" s="33"/>
      <c r="AK100" s="192"/>
      <c r="AL100" s="216" t="n">
        <f aca="false">IF(EB.Anwendung&lt;&gt;"",IF(MONTH(Monat.Tag1)=1,0,IF(MONTH(Monat.Tag1)=2,Monat.P4UeVM,IF(MONTH(Monat.Tag1)=3,February!Monat.P4UeVM,IF(MONTH(Monat.Tag1)=4,March!Monat.P4UeVM,IF(MONTH(Monat.Tag1)=5,April!Monat.P4UeVM,IF(MONTH(Monat.Tag1)=6,May!Monat.P4UeVM,IF(MONTH(Monat.Tag1)=7,June!Monat.P4UeVM,IF(MONTH(Monat.Tag1)=8,July!Monat.P4UeVM,IF(MONTH(Monat.Tag1)=9,August!Monat.P4UeVM,IF(MONTH(Monat.Tag1)=10,September!Monat.P4UeVM,IF(MONTH(Monat.Tag1)=11,October!Monat.P4UeVM,IF(MONTH(Monat.Tag1)=12,November!Monat.P4UeVM,"")))))))))))),"")</f>
        <v>0</v>
      </c>
      <c r="AM100" s="172"/>
      <c r="AN100" s="217" t="n">
        <f aca="false">AI100+AL100</f>
        <v>0</v>
      </c>
      <c r="AO100" s="171"/>
      <c r="AP100" s="171"/>
      <c r="AQ100" s="39"/>
    </row>
    <row r="101" s="148" customFormat="true" ht="15" hidden="false" customHeight="true" outlineLevel="0" collapsed="false">
      <c r="A101" s="181" t="str">
        <f aca="true">IF(ROW(A101)-ROW(INDEX(Monat.Projekte.Zeilen,1))+1&gt;EB.AnzProjekte,"",OFFSET(EB.Projekte.Knoten,ROW(A101)-ROW(INDEX(Monat.Projekte.Zeilen,1))+1,0,1,1))</f>
        <v/>
      </c>
      <c r="B101" s="176"/>
      <c r="C101" s="176"/>
      <c r="D101" s="176"/>
      <c r="E101" s="177"/>
      <c r="F101" s="176"/>
      <c r="G101" s="176"/>
      <c r="H101" s="176"/>
      <c r="I101" s="176"/>
      <c r="J101" s="177"/>
      <c r="K101" s="176"/>
      <c r="L101" s="177"/>
      <c r="M101" s="176"/>
      <c r="N101" s="176"/>
      <c r="O101" s="176"/>
      <c r="P101" s="176"/>
      <c r="Q101" s="177"/>
      <c r="R101" s="176"/>
      <c r="S101" s="177"/>
      <c r="T101" s="177"/>
      <c r="U101" s="176"/>
      <c r="V101" s="176"/>
      <c r="W101" s="176"/>
      <c r="X101" s="177"/>
      <c r="Y101" s="176"/>
      <c r="Z101" s="178"/>
      <c r="AA101" s="176"/>
      <c r="AB101" s="176"/>
      <c r="AC101" s="176"/>
      <c r="AD101" s="176"/>
      <c r="AE101" s="177"/>
      <c r="AF101" s="176"/>
      <c r="AG101" s="168" t="str">
        <f aca="false">A101</f>
        <v/>
      </c>
      <c r="AH101" s="184"/>
      <c r="AI101" s="207" t="n">
        <f aca="false">SUM(B101:AF101)</f>
        <v>0</v>
      </c>
      <c r="AJ101" s="33"/>
      <c r="AK101" s="192"/>
      <c r="AL101" s="216" t="n">
        <f aca="false">IF(EB.Anwendung&lt;&gt;"",IF(MONTH(Monat.Tag1)=1,0,IF(MONTH(Monat.Tag1)=2,Monat.P5UeVM,IF(MONTH(Monat.Tag1)=3,February!Monat.P5UeVM,IF(MONTH(Monat.Tag1)=4,March!Monat.P5UeVM,IF(MONTH(Monat.Tag1)=5,April!Monat.P5UeVM,IF(MONTH(Monat.Tag1)=6,May!Monat.P5UeVM,IF(MONTH(Monat.Tag1)=7,June!Monat.P5UeVM,IF(MONTH(Monat.Tag1)=8,July!Monat.P5UeVM,IF(MONTH(Monat.Tag1)=9,August!Monat.P5UeVM,IF(MONTH(Monat.Tag1)=10,September!Monat.P5UeVM,IF(MONTH(Monat.Tag1)=11,October!Monat.P5UeVM,IF(MONTH(Monat.Tag1)=12,November!Monat.P5UeVM,"")))))))))))),"")</f>
        <v>0</v>
      </c>
      <c r="AM101" s="172"/>
      <c r="AN101" s="217" t="n">
        <f aca="false">AI101+AL101</f>
        <v>0</v>
      </c>
      <c r="AO101" s="171"/>
      <c r="AP101" s="171"/>
      <c r="AQ101" s="39"/>
    </row>
    <row r="102" s="148" customFormat="true" ht="15" hidden="true" customHeight="true" outlineLevel="1" collapsed="false">
      <c r="A102" s="181" t="str">
        <f aca="true">IF(ROW(A102)-ROW(INDEX(Monat.Projekte.Zeilen,1))+1&gt;EB.AnzProjekte,"",OFFSET(EB.Projekte.Knoten,ROW(A102)-ROW(INDEX(Monat.Projekte.Zeilen,1))+1,0,1,1))</f>
        <v/>
      </c>
      <c r="B102" s="176"/>
      <c r="C102" s="176"/>
      <c r="D102" s="176"/>
      <c r="E102" s="177"/>
      <c r="F102" s="176"/>
      <c r="G102" s="176"/>
      <c r="H102" s="176"/>
      <c r="I102" s="176"/>
      <c r="J102" s="177"/>
      <c r="K102" s="176"/>
      <c r="L102" s="177"/>
      <c r="M102" s="176"/>
      <c r="N102" s="176"/>
      <c r="O102" s="176"/>
      <c r="P102" s="176"/>
      <c r="Q102" s="177"/>
      <c r="R102" s="176"/>
      <c r="S102" s="177"/>
      <c r="T102" s="177"/>
      <c r="U102" s="176"/>
      <c r="V102" s="176"/>
      <c r="W102" s="176"/>
      <c r="X102" s="177"/>
      <c r="Y102" s="176"/>
      <c r="Z102" s="178"/>
      <c r="AA102" s="176"/>
      <c r="AB102" s="176"/>
      <c r="AC102" s="176"/>
      <c r="AD102" s="176"/>
      <c r="AE102" s="177"/>
      <c r="AF102" s="176"/>
      <c r="AG102" s="168" t="str">
        <f aca="false">A102</f>
        <v/>
      </c>
      <c r="AH102" s="263"/>
      <c r="AI102" s="207" t="n">
        <f aca="false">SUM(B102:AF102)</f>
        <v>0</v>
      </c>
      <c r="AJ102" s="33"/>
      <c r="AK102" s="192"/>
      <c r="AL102" s="216" t="n">
        <f aca="false">IF(EB.Anwendung&lt;&gt;"",IF(MONTH(Monat.Tag1)=1,0,IF(MONTH(Monat.Tag1)=2,Monat.P6UeVM,IF(MONTH(Monat.Tag1)=3,February!Monat.P6UeVM,IF(MONTH(Monat.Tag1)=4,March!Monat.P6UeVM,IF(MONTH(Monat.Tag1)=5,April!Monat.P6UeVM,IF(MONTH(Monat.Tag1)=6,May!Monat.P6UeVM,IF(MONTH(Monat.Tag1)=7,June!Monat.P6UeVM,IF(MONTH(Monat.Tag1)=8,July!Monat.P6UeVM,IF(MONTH(Monat.Tag1)=9,August!Monat.P6UeVM,IF(MONTH(Monat.Tag1)=10,September!Monat.P6UeVM,IF(MONTH(Monat.Tag1)=11,October!Monat.P6UeVM,IF(MONTH(Monat.Tag1)=12,November!Monat.P6UeVM,"")))))))))))),"")</f>
        <v>0</v>
      </c>
      <c r="AM102" s="172"/>
      <c r="AN102" s="217" t="n">
        <f aca="false">AI102+AL102</f>
        <v>0</v>
      </c>
      <c r="AO102" s="171"/>
      <c r="AP102" s="171"/>
      <c r="AQ102" s="39"/>
    </row>
    <row r="103" s="148" customFormat="true" ht="15" hidden="true" customHeight="true" outlineLevel="1" collapsed="false">
      <c r="A103" s="181" t="str">
        <f aca="true">IF(ROW(A103)-ROW(INDEX(Monat.Projekte.Zeilen,1))+1&gt;EB.AnzProjekte,"",OFFSET(EB.Projekte.Knoten,ROW(A103)-ROW(INDEX(Monat.Projekte.Zeilen,1))+1,0,1,1))</f>
        <v/>
      </c>
      <c r="B103" s="176"/>
      <c r="C103" s="176"/>
      <c r="D103" s="176"/>
      <c r="E103" s="177"/>
      <c r="F103" s="176"/>
      <c r="G103" s="176"/>
      <c r="H103" s="176"/>
      <c r="I103" s="176"/>
      <c r="J103" s="177"/>
      <c r="K103" s="176"/>
      <c r="L103" s="177"/>
      <c r="M103" s="176"/>
      <c r="N103" s="176"/>
      <c r="O103" s="176"/>
      <c r="P103" s="176"/>
      <c r="Q103" s="177"/>
      <c r="R103" s="176"/>
      <c r="S103" s="177"/>
      <c r="T103" s="177"/>
      <c r="U103" s="176"/>
      <c r="V103" s="176"/>
      <c r="W103" s="176"/>
      <c r="X103" s="177"/>
      <c r="Y103" s="176"/>
      <c r="Z103" s="178"/>
      <c r="AA103" s="176"/>
      <c r="AB103" s="176"/>
      <c r="AC103" s="176"/>
      <c r="AD103" s="176"/>
      <c r="AE103" s="177"/>
      <c r="AF103" s="176"/>
      <c r="AG103" s="168" t="str">
        <f aca="false">A103</f>
        <v/>
      </c>
      <c r="AH103" s="197"/>
      <c r="AI103" s="207" t="n">
        <f aca="false">SUM(B103:AF103)</f>
        <v>0</v>
      </c>
      <c r="AJ103" s="33"/>
      <c r="AK103" s="192"/>
      <c r="AL103" s="216" t="n">
        <f aca="false">IF(EB.Anwendung&lt;&gt;"",IF(MONTH(Monat.Tag1)=1,0,IF(MONTH(Monat.Tag1)=2,Monat.P7UeVM,IF(MONTH(Monat.Tag1)=3,February!Monat.P7UeVM,IF(MONTH(Monat.Tag1)=4,March!Monat.P7UeVM,IF(MONTH(Monat.Tag1)=5,April!Monat.P7UeVM,IF(MONTH(Monat.Tag1)=6,May!Monat.P7UeVM,IF(MONTH(Monat.Tag1)=7,June!Monat.P7UeVM,IF(MONTH(Monat.Tag1)=8,July!Monat.P7UeVM,IF(MONTH(Monat.Tag1)=9,August!Monat.P7UeVM,IF(MONTH(Monat.Tag1)=10,September!Monat.P7UeVM,IF(MONTH(Monat.Tag1)=11,October!Monat.P7UeVM,IF(MONTH(Monat.Tag1)=12,November!Monat.P7UeVM,"")))))))))))),"")</f>
        <v>0</v>
      </c>
      <c r="AM103" s="172"/>
      <c r="AN103" s="217" t="n">
        <f aca="false">AI103+AL103</f>
        <v>0</v>
      </c>
      <c r="AO103" s="171"/>
      <c r="AP103" s="171"/>
      <c r="AQ103" s="39"/>
    </row>
    <row r="104" s="148" customFormat="true" ht="15" hidden="true" customHeight="true" outlineLevel="1" collapsed="false">
      <c r="A104" s="181" t="str">
        <f aca="true">IF(ROW(A104)-ROW(INDEX(Monat.Projekte.Zeilen,1))+1&gt;EB.AnzProjekte,"",OFFSET(EB.Projekte.Knoten,ROW(A104)-ROW(INDEX(Monat.Projekte.Zeilen,1))+1,0,1,1))</f>
        <v/>
      </c>
      <c r="B104" s="176"/>
      <c r="C104" s="176"/>
      <c r="D104" s="176"/>
      <c r="E104" s="177"/>
      <c r="F104" s="176"/>
      <c r="G104" s="176"/>
      <c r="H104" s="176"/>
      <c r="I104" s="176"/>
      <c r="J104" s="177"/>
      <c r="K104" s="176"/>
      <c r="L104" s="177"/>
      <c r="M104" s="176"/>
      <c r="N104" s="176"/>
      <c r="O104" s="176"/>
      <c r="P104" s="176"/>
      <c r="Q104" s="177"/>
      <c r="R104" s="176"/>
      <c r="S104" s="177"/>
      <c r="T104" s="177"/>
      <c r="U104" s="176"/>
      <c r="V104" s="176"/>
      <c r="W104" s="176"/>
      <c r="X104" s="177"/>
      <c r="Y104" s="176"/>
      <c r="Z104" s="178"/>
      <c r="AA104" s="176"/>
      <c r="AB104" s="176"/>
      <c r="AC104" s="176"/>
      <c r="AD104" s="176"/>
      <c r="AE104" s="177"/>
      <c r="AF104" s="176"/>
      <c r="AG104" s="168" t="str">
        <f aca="false">A104</f>
        <v/>
      </c>
      <c r="AH104" s="202"/>
      <c r="AI104" s="207" t="n">
        <f aca="false">SUM(B104:AF104)</f>
        <v>0</v>
      </c>
      <c r="AJ104" s="33"/>
      <c r="AK104" s="192"/>
      <c r="AL104" s="216" t="n">
        <f aca="false">IF(EB.Anwendung&lt;&gt;"",IF(MONTH(Monat.Tag1)=1,0,IF(MONTH(Monat.Tag1)=2,Monat.P8UeVM,IF(MONTH(Monat.Tag1)=3,February!Monat.P8UeVM,IF(MONTH(Monat.Tag1)=4,March!Monat.P8UeVM,IF(MONTH(Monat.Tag1)=5,April!Monat.P8UeVM,IF(MONTH(Monat.Tag1)=6,May!Monat.P8UeVM,IF(MONTH(Monat.Tag1)=7,June!Monat.P8UeVM,IF(MONTH(Monat.Tag1)=8,July!Monat.P8UeVM,IF(MONTH(Monat.Tag1)=9,August!Monat.P8UeVM,IF(MONTH(Monat.Tag1)=10,September!Monat.P8UeVM,IF(MONTH(Monat.Tag1)=11,October!Monat.P8UeVM,IF(MONTH(Monat.Tag1)=12,November!Monat.P8UeVM,"")))))))))))),"")</f>
        <v>0</v>
      </c>
      <c r="AM104" s="172"/>
      <c r="AN104" s="217" t="n">
        <f aca="false">AI104+AL104</f>
        <v>0</v>
      </c>
      <c r="AO104" s="171"/>
      <c r="AP104" s="171"/>
      <c r="AQ104" s="39"/>
    </row>
    <row r="105" s="148" customFormat="true" ht="15" hidden="true" customHeight="true" outlineLevel="1" collapsed="false">
      <c r="A105" s="181" t="str">
        <f aca="true">IF(ROW(A105)-ROW(INDEX(Monat.Projekte.Zeilen,1))+1&gt;EB.AnzProjekte,"",OFFSET(EB.Projekte.Knoten,ROW(A105)-ROW(INDEX(Monat.Projekte.Zeilen,1))+1,0,1,1))</f>
        <v/>
      </c>
      <c r="B105" s="176"/>
      <c r="C105" s="176"/>
      <c r="D105" s="176"/>
      <c r="E105" s="177"/>
      <c r="F105" s="176"/>
      <c r="G105" s="176"/>
      <c r="H105" s="176"/>
      <c r="I105" s="176"/>
      <c r="J105" s="177"/>
      <c r="K105" s="176"/>
      <c r="L105" s="177"/>
      <c r="M105" s="176"/>
      <c r="N105" s="176"/>
      <c r="O105" s="176"/>
      <c r="P105" s="176"/>
      <c r="Q105" s="177"/>
      <c r="R105" s="176"/>
      <c r="S105" s="177"/>
      <c r="T105" s="177"/>
      <c r="U105" s="176"/>
      <c r="V105" s="176"/>
      <c r="W105" s="176"/>
      <c r="X105" s="177"/>
      <c r="Y105" s="176"/>
      <c r="Z105" s="178"/>
      <c r="AA105" s="176"/>
      <c r="AB105" s="176"/>
      <c r="AC105" s="176"/>
      <c r="AD105" s="176"/>
      <c r="AE105" s="177"/>
      <c r="AF105" s="176"/>
      <c r="AG105" s="168" t="str">
        <f aca="false">A105</f>
        <v/>
      </c>
      <c r="AH105" s="184"/>
      <c r="AI105" s="207" t="n">
        <f aca="false">SUM(B105:AF105)</f>
        <v>0</v>
      </c>
      <c r="AJ105" s="33"/>
      <c r="AK105" s="192"/>
      <c r="AL105" s="216" t="n">
        <f aca="false">IF(EB.Anwendung&lt;&gt;"",IF(MONTH(Monat.Tag1)=1,0,IF(MONTH(Monat.Tag1)=2,Monat.P9UeVM,IF(MONTH(Monat.Tag1)=3,February!Monat.P9UeVM,IF(MONTH(Monat.Tag1)=4,March!Monat.P9UeVM,IF(MONTH(Monat.Tag1)=5,April!Monat.P9UeVM,IF(MONTH(Monat.Tag1)=6,May!Monat.P9UeVM,IF(MONTH(Monat.Tag1)=7,June!Monat.P9UeVM,IF(MONTH(Monat.Tag1)=8,July!Monat.P9UeVM,IF(MONTH(Monat.Tag1)=9,August!Monat.P9UeVM,IF(MONTH(Monat.Tag1)=10,September!Monat.P9UeVM,IF(MONTH(Monat.Tag1)=11,October!Monat.P9UeVM,IF(MONTH(Monat.Tag1)=12,November!Monat.P9UeVM,"")))))))))))),"")</f>
        <v>0</v>
      </c>
      <c r="AM105" s="172"/>
      <c r="AN105" s="217" t="n">
        <f aca="false">AI105+AL105</f>
        <v>0</v>
      </c>
      <c r="AO105" s="171"/>
      <c r="AP105" s="171"/>
      <c r="AQ105" s="39"/>
    </row>
    <row r="106" s="148" customFormat="true" ht="15" hidden="true" customHeight="true" outlineLevel="1" collapsed="false">
      <c r="A106" s="181" t="str">
        <f aca="true">IF(ROW(A106)-ROW(INDEX(Monat.Projekte.Zeilen,1))+1&gt;EB.AnzProjekte,"",OFFSET(EB.Projekte.Knoten,ROW(A106)-ROW(INDEX(Monat.Projekte.Zeilen,1))+1,0,1,1))</f>
        <v/>
      </c>
      <c r="B106" s="176"/>
      <c r="C106" s="176"/>
      <c r="D106" s="176"/>
      <c r="E106" s="177"/>
      <c r="F106" s="176"/>
      <c r="G106" s="176"/>
      <c r="H106" s="176"/>
      <c r="I106" s="176"/>
      <c r="J106" s="177"/>
      <c r="K106" s="176"/>
      <c r="L106" s="177"/>
      <c r="M106" s="176"/>
      <c r="N106" s="176"/>
      <c r="O106" s="176"/>
      <c r="P106" s="176"/>
      <c r="Q106" s="177"/>
      <c r="R106" s="176"/>
      <c r="S106" s="177"/>
      <c r="T106" s="177"/>
      <c r="U106" s="176"/>
      <c r="V106" s="176"/>
      <c r="W106" s="176"/>
      <c r="X106" s="177"/>
      <c r="Y106" s="176"/>
      <c r="Z106" s="178"/>
      <c r="AA106" s="176"/>
      <c r="AB106" s="176"/>
      <c r="AC106" s="176"/>
      <c r="AD106" s="176"/>
      <c r="AE106" s="177"/>
      <c r="AF106" s="176"/>
      <c r="AG106" s="168" t="str">
        <f aca="false">A106</f>
        <v/>
      </c>
      <c r="AH106" s="184"/>
      <c r="AI106" s="207" t="n">
        <f aca="false">SUM(B106:AF106)</f>
        <v>0</v>
      </c>
      <c r="AJ106" s="33"/>
      <c r="AK106" s="192"/>
      <c r="AL106" s="216" t="n">
        <f aca="false">IF(EB.Anwendung&lt;&gt;"",IF(MONTH(Monat.Tag1)=1,0,IF(MONTH(Monat.Tag1)=2,Monat.P10UeVM,IF(MONTH(Monat.Tag1)=3,February!Monat.P10UeVM,IF(MONTH(Monat.Tag1)=4,March!Monat.P10UeVM,IF(MONTH(Monat.Tag1)=5,April!Monat.P10UeVM,IF(MONTH(Monat.Tag1)=6,May!Monat.P10UeVM,IF(MONTH(Monat.Tag1)=7,June!Monat.P10UeVM,IF(MONTH(Monat.Tag1)=8,July!Monat.P10UeVM,IF(MONTH(Monat.Tag1)=9,August!Monat.P10UeVM,IF(MONTH(Monat.Tag1)=10,September!Monat.P10UeVM,IF(MONTH(Monat.Tag1)=11,October!Monat.P10UeVM,IF(MONTH(Monat.Tag1)=12,November!Monat.P10UeVM,"")))))))))))),"")</f>
        <v>0</v>
      </c>
      <c r="AM106" s="172"/>
      <c r="AN106" s="217" t="n">
        <f aca="false">AI106+AL106</f>
        <v>0</v>
      </c>
      <c r="AO106" s="171"/>
      <c r="AP106" s="171"/>
      <c r="AQ106" s="39"/>
    </row>
    <row r="107" s="148" customFormat="true" ht="15" hidden="true" customHeight="true" outlineLevel="1" collapsed="false">
      <c r="A107" s="181" t="str">
        <f aca="true">IF(ROW(A107)-ROW(INDEX(Monat.Projekte.Zeilen,1))+1&gt;EB.AnzProjekte,"",OFFSET(EB.Projekte.Knoten,ROW(A107)-ROW(INDEX(Monat.Projekte.Zeilen,1))+1,0,1,1))</f>
        <v/>
      </c>
      <c r="B107" s="176"/>
      <c r="C107" s="176"/>
      <c r="D107" s="176"/>
      <c r="E107" s="177"/>
      <c r="F107" s="176"/>
      <c r="G107" s="176"/>
      <c r="H107" s="176"/>
      <c r="I107" s="176"/>
      <c r="J107" s="177"/>
      <c r="K107" s="176"/>
      <c r="L107" s="177"/>
      <c r="M107" s="176"/>
      <c r="N107" s="176"/>
      <c r="O107" s="176"/>
      <c r="P107" s="176"/>
      <c r="Q107" s="177"/>
      <c r="R107" s="176"/>
      <c r="S107" s="177"/>
      <c r="T107" s="177"/>
      <c r="U107" s="176"/>
      <c r="V107" s="176"/>
      <c r="W107" s="176"/>
      <c r="X107" s="177"/>
      <c r="Y107" s="176"/>
      <c r="Z107" s="178"/>
      <c r="AA107" s="176"/>
      <c r="AB107" s="176"/>
      <c r="AC107" s="176"/>
      <c r="AD107" s="176"/>
      <c r="AE107" s="177"/>
      <c r="AF107" s="176"/>
      <c r="AG107" s="168" t="str">
        <f aca="false">A107</f>
        <v/>
      </c>
      <c r="AH107" s="202"/>
      <c r="AI107" s="207" t="n">
        <f aca="false">SUM(B107:AF107)</f>
        <v>0</v>
      </c>
      <c r="AJ107" s="33"/>
      <c r="AK107" s="192"/>
      <c r="AL107" s="216" t="n">
        <f aca="false">IF(EB.Anwendung&lt;&gt;"",IF(MONTH(Monat.Tag1)=1,0,IF(MONTH(Monat.Tag1)=2,Monat.P11UeVM,IF(MONTH(Monat.Tag1)=3,February!Monat.P11UeVM,IF(MONTH(Monat.Tag1)=4,March!Monat.P11UeVM,IF(MONTH(Monat.Tag1)=5,April!Monat.P11UeVM,IF(MONTH(Monat.Tag1)=6,May!Monat.P11UeVM,IF(MONTH(Monat.Tag1)=7,June!Monat.P11UeVM,IF(MONTH(Monat.Tag1)=8,July!Monat.P11UeVM,IF(MONTH(Monat.Tag1)=9,August!Monat.P11UeVM,IF(MONTH(Monat.Tag1)=10,September!Monat.P11UeVM,IF(MONTH(Monat.Tag1)=11,October!Monat.P11UeVM,IF(MONTH(Monat.Tag1)=12,November!Monat.P11UeVM,"")))))))))))),"")</f>
        <v>0</v>
      </c>
      <c r="AM107" s="172"/>
      <c r="AN107" s="217" t="n">
        <f aca="false">AI107+AL107</f>
        <v>0</v>
      </c>
      <c r="AO107" s="264"/>
      <c r="AP107" s="264"/>
      <c r="AQ107" s="39"/>
    </row>
    <row r="108" s="266" customFormat="true" ht="15" hidden="true" customHeight="true" outlineLevel="1" collapsed="false">
      <c r="A108" s="181" t="str">
        <f aca="true">IF(ROW(A108)-ROW(INDEX(Monat.Projekte.Zeilen,1))+1&gt;EB.AnzProjekte,"",OFFSET(EB.Projekte.Knoten,ROW(A108)-ROW(INDEX(Monat.Projekte.Zeilen,1))+1,0,1,1))</f>
        <v/>
      </c>
      <c r="B108" s="176"/>
      <c r="C108" s="176"/>
      <c r="D108" s="176"/>
      <c r="E108" s="177"/>
      <c r="F108" s="176"/>
      <c r="G108" s="176"/>
      <c r="H108" s="176"/>
      <c r="I108" s="176"/>
      <c r="J108" s="177"/>
      <c r="K108" s="176"/>
      <c r="L108" s="177"/>
      <c r="M108" s="176"/>
      <c r="N108" s="176"/>
      <c r="O108" s="176"/>
      <c r="P108" s="176"/>
      <c r="Q108" s="177"/>
      <c r="R108" s="176"/>
      <c r="S108" s="177"/>
      <c r="T108" s="177"/>
      <c r="U108" s="176"/>
      <c r="V108" s="176"/>
      <c r="W108" s="176"/>
      <c r="X108" s="177"/>
      <c r="Y108" s="176"/>
      <c r="Z108" s="178"/>
      <c r="AA108" s="176"/>
      <c r="AB108" s="176"/>
      <c r="AC108" s="176"/>
      <c r="AD108" s="176"/>
      <c r="AE108" s="177"/>
      <c r="AF108" s="176"/>
      <c r="AG108" s="168" t="str">
        <f aca="false">A108</f>
        <v/>
      </c>
      <c r="AH108" s="202"/>
      <c r="AI108" s="207" t="n">
        <f aca="false">SUM(B108:AF108)</f>
        <v>0</v>
      </c>
      <c r="AJ108" s="33"/>
      <c r="AK108" s="192"/>
      <c r="AL108" s="216" t="n">
        <f aca="false">IF(EB.Anwendung&lt;&gt;"",IF(MONTH(Monat.Tag1)=1,0,IF(MONTH(Monat.Tag1)=2,Monat.P12UeVM,IF(MONTH(Monat.Tag1)=3,February!Monat.P12UeVM,IF(MONTH(Monat.Tag1)=4,March!Monat.P12UeVM,IF(MONTH(Monat.Tag1)=5,April!Monat.P12UeVM,IF(MONTH(Monat.Tag1)=6,May!Monat.P12UeVM,IF(MONTH(Monat.Tag1)=7,June!Monat.P12UeVM,IF(MONTH(Monat.Tag1)=8,July!Monat.P12UeVM,IF(MONTH(Monat.Tag1)=9,August!Monat.P12UeVM,IF(MONTH(Monat.Tag1)=10,September!Monat.P12UeVM,IF(MONTH(Monat.Tag1)=11,October!Monat.P12UeVM,IF(MONTH(Monat.Tag1)=12,November!Monat.P12UeVM,"")))))))))))),"")</f>
        <v>0</v>
      </c>
      <c r="AM108" s="172"/>
      <c r="AN108" s="217" t="n">
        <f aca="false">AI108+AL108</f>
        <v>0</v>
      </c>
      <c r="AO108" s="264"/>
      <c r="AP108" s="264"/>
      <c r="AQ108" s="265"/>
    </row>
    <row r="109" s="266" customFormat="true" ht="15" hidden="true" customHeight="true" outlineLevel="1" collapsed="false">
      <c r="A109" s="181" t="str">
        <f aca="true">IF(ROW(A109)-ROW(INDEX(Monat.Projekte.Zeilen,1))+1&gt;EB.AnzProjekte,"",OFFSET(EB.Projekte.Knoten,ROW(A109)-ROW(INDEX(Monat.Projekte.Zeilen,1))+1,0,1,1))</f>
        <v/>
      </c>
      <c r="B109" s="176"/>
      <c r="C109" s="176"/>
      <c r="D109" s="176"/>
      <c r="E109" s="177"/>
      <c r="F109" s="176"/>
      <c r="G109" s="176"/>
      <c r="H109" s="176"/>
      <c r="I109" s="176"/>
      <c r="J109" s="177"/>
      <c r="K109" s="176"/>
      <c r="L109" s="177"/>
      <c r="M109" s="176"/>
      <c r="N109" s="176"/>
      <c r="O109" s="176"/>
      <c r="P109" s="176"/>
      <c r="Q109" s="177"/>
      <c r="R109" s="176"/>
      <c r="S109" s="177"/>
      <c r="T109" s="177"/>
      <c r="U109" s="176"/>
      <c r="V109" s="176"/>
      <c r="W109" s="176"/>
      <c r="X109" s="177"/>
      <c r="Y109" s="176"/>
      <c r="Z109" s="178"/>
      <c r="AA109" s="176"/>
      <c r="AB109" s="176"/>
      <c r="AC109" s="176"/>
      <c r="AD109" s="176"/>
      <c r="AE109" s="177"/>
      <c r="AF109" s="176"/>
      <c r="AG109" s="168" t="str">
        <f aca="false">A109</f>
        <v/>
      </c>
      <c r="AH109" s="184"/>
      <c r="AI109" s="207" t="n">
        <f aca="false">SUM(B109:AF109)</f>
        <v>0</v>
      </c>
      <c r="AJ109" s="33"/>
      <c r="AK109" s="192"/>
      <c r="AL109" s="216" t="n">
        <f aca="false">IF(EB.Anwendung&lt;&gt;"",IF(MONTH(Monat.Tag1)=1,0,IF(MONTH(Monat.Tag1)=2,Monat.P13UeVM,IF(MONTH(Monat.Tag1)=3,February!Monat.P13UeVM,IF(MONTH(Monat.Tag1)=4,March!Monat.P13UeVM,IF(MONTH(Monat.Tag1)=5,April!Monat.P13UeVM,IF(MONTH(Monat.Tag1)=6,May!Monat.P13UeVM,IF(MONTH(Monat.Tag1)=7,June!Monat.P13UeVM,IF(MONTH(Monat.Tag1)=8,July!Monat.P13UeVM,IF(MONTH(Monat.Tag1)=9,August!Monat.P13UeVM,IF(MONTH(Monat.Tag1)=10,September!Monat.P13UeVM,IF(MONTH(Monat.Tag1)=11,October!Monat.P13UeVM,IF(MONTH(Monat.Tag1)=12,November!Monat.P13UeVM,"")))))))))))),"")</f>
        <v>0</v>
      </c>
      <c r="AM109" s="172"/>
      <c r="AN109" s="217" t="n">
        <f aca="false">AI109+AL109</f>
        <v>0</v>
      </c>
      <c r="AO109" s="264"/>
      <c r="AP109" s="264"/>
      <c r="AQ109" s="265"/>
    </row>
    <row r="110" customFormat="false" ht="15" hidden="true" customHeight="true" outlineLevel="1" collapsed="false">
      <c r="A110" s="181" t="str">
        <f aca="true">IF(ROW(A110)-ROW(INDEX(Monat.Projekte.Zeilen,1))+1&gt;EB.AnzProjekte,"",OFFSET(EB.Projekte.Knoten,ROW(A110)-ROW(INDEX(Monat.Projekte.Zeilen,1))+1,0,1,1))</f>
        <v/>
      </c>
      <c r="B110" s="176"/>
      <c r="C110" s="176"/>
      <c r="D110" s="176"/>
      <c r="E110" s="177"/>
      <c r="F110" s="176"/>
      <c r="G110" s="176"/>
      <c r="H110" s="176"/>
      <c r="I110" s="176"/>
      <c r="J110" s="177"/>
      <c r="K110" s="176"/>
      <c r="L110" s="177"/>
      <c r="M110" s="176"/>
      <c r="N110" s="176"/>
      <c r="O110" s="176"/>
      <c r="P110" s="176"/>
      <c r="Q110" s="177"/>
      <c r="R110" s="176"/>
      <c r="S110" s="177"/>
      <c r="T110" s="177"/>
      <c r="U110" s="176"/>
      <c r="V110" s="176"/>
      <c r="W110" s="176"/>
      <c r="X110" s="177"/>
      <c r="Y110" s="176"/>
      <c r="Z110" s="178"/>
      <c r="AA110" s="176"/>
      <c r="AB110" s="176"/>
      <c r="AC110" s="176"/>
      <c r="AD110" s="176"/>
      <c r="AE110" s="177"/>
      <c r="AF110" s="176"/>
      <c r="AG110" s="168" t="str">
        <f aca="false">A110</f>
        <v/>
      </c>
      <c r="AH110" s="184"/>
      <c r="AI110" s="207" t="n">
        <f aca="false">SUM(B110:AF110)</f>
        <v>0</v>
      </c>
      <c r="AJ110" s="33"/>
      <c r="AK110" s="192"/>
      <c r="AL110" s="216" t="n">
        <f aca="false">IF(EB.Anwendung&lt;&gt;"",IF(MONTH(Monat.Tag1)=1,0,IF(MONTH(Monat.Tag1)=2,Monat.P14UeVM,IF(MONTH(Monat.Tag1)=3,February!Monat.P14UeVM,IF(MONTH(Monat.Tag1)=4,March!Monat.P14UeVM,IF(MONTH(Monat.Tag1)=5,April!Monat.P14UeVM,IF(MONTH(Monat.Tag1)=6,May!Monat.P14UeVM,IF(MONTH(Monat.Tag1)=7,June!Monat.P14UeVM,IF(MONTH(Monat.Tag1)=8,July!Monat.P14UeVM,IF(MONTH(Monat.Tag1)=9,August!Monat.P14UeVM,IF(MONTH(Monat.Tag1)=10,September!Monat.P14UeVM,IF(MONTH(Monat.Tag1)=11,October!Monat.P14UeVM,IF(MONTH(Monat.Tag1)=12,November!Monat.P14UeVM,"")))))))))))),"")</f>
        <v>0</v>
      </c>
      <c r="AM110" s="172"/>
      <c r="AN110" s="217" t="n">
        <f aca="false">AI110+AL110</f>
        <v>0</v>
      </c>
      <c r="AO110" s="264"/>
      <c r="AP110" s="264"/>
      <c r="AQ110" s="43"/>
    </row>
    <row r="111" customFormat="false" ht="15" hidden="true" customHeight="true" outlineLevel="1" collapsed="false">
      <c r="A111" s="181" t="str">
        <f aca="true">IF(ROW(A111)-ROW(INDEX(Monat.Projekte.Zeilen,1))+1&gt;EB.AnzProjekte,"",OFFSET(EB.Projekte.Knoten,ROW(A111)-ROW(INDEX(Monat.Projekte.Zeilen,1))+1,0,1,1))</f>
        <v/>
      </c>
      <c r="B111" s="176"/>
      <c r="C111" s="176"/>
      <c r="D111" s="176"/>
      <c r="E111" s="176"/>
      <c r="F111" s="176"/>
      <c r="G111" s="176"/>
      <c r="H111" s="176"/>
      <c r="I111" s="176"/>
      <c r="J111" s="176"/>
      <c r="K111" s="176"/>
      <c r="L111" s="176"/>
      <c r="M111" s="176"/>
      <c r="N111" s="176"/>
      <c r="O111" s="176"/>
      <c r="P111" s="176"/>
      <c r="Q111" s="176"/>
      <c r="R111" s="176"/>
      <c r="S111" s="176"/>
      <c r="T111" s="176"/>
      <c r="U111" s="176"/>
      <c r="V111" s="176"/>
      <c r="W111" s="176"/>
      <c r="X111" s="176"/>
      <c r="Y111" s="176"/>
      <c r="Z111" s="190"/>
      <c r="AA111" s="176"/>
      <c r="AB111" s="176"/>
      <c r="AC111" s="176"/>
      <c r="AD111" s="176"/>
      <c r="AE111" s="176"/>
      <c r="AF111" s="176"/>
      <c r="AG111" s="168" t="str">
        <f aca="false">A111</f>
        <v/>
      </c>
      <c r="AH111" s="184"/>
      <c r="AI111" s="207" t="n">
        <f aca="false">SUM(B111:AF111)</f>
        <v>0</v>
      </c>
      <c r="AJ111" s="33"/>
      <c r="AK111" s="192"/>
      <c r="AL111" s="216" t="n">
        <f aca="false">IF(EB.Anwendung&lt;&gt;"",IF(MONTH(Monat.Tag1)=1,0,IF(MONTH(Monat.Tag1)=2,Monat.P15UeVM,IF(MONTH(Monat.Tag1)=3,February!Monat.P15UeVM,IF(MONTH(Monat.Tag1)=4,March!Monat.P15UeVM,IF(MONTH(Monat.Tag1)=5,April!Monat.P15UeVM,IF(MONTH(Monat.Tag1)=6,May!Monat.P15UeVM,IF(MONTH(Monat.Tag1)=7,June!Monat.P15UeVM,IF(MONTH(Monat.Tag1)=8,July!Monat.P15UeVM,IF(MONTH(Monat.Tag1)=9,August!Monat.P15UeVM,IF(MONTH(Monat.Tag1)=10,September!Monat.P15UeVM,IF(MONTH(Monat.Tag1)=11,October!Monat.P15UeVM,IF(MONTH(Monat.Tag1)=12,November!Monat.P15UeVM,"")))))))))))),"")</f>
        <v>0</v>
      </c>
      <c r="AM111" s="172"/>
      <c r="AN111" s="217" t="n">
        <f aca="false">AI111+AL111</f>
        <v>0</v>
      </c>
      <c r="AO111" s="264"/>
      <c r="AP111" s="264"/>
      <c r="AQ111" s="43"/>
    </row>
    <row r="112" customFormat="false" ht="15" hidden="false" customHeight="true" outlineLevel="0" collapsed="false">
      <c r="A112" s="181" t="s">
        <v>177</v>
      </c>
      <c r="B112" s="205" t="n">
        <f aca="false">SUM(B97:B111)</f>
        <v>0</v>
      </c>
      <c r="C112" s="205" t="n">
        <f aca="false">SUM(C97:C111)</f>
        <v>0</v>
      </c>
      <c r="D112" s="205" t="n">
        <f aca="false">SUM(D97:D111)</f>
        <v>0</v>
      </c>
      <c r="E112" s="205" t="n">
        <f aca="false">SUM(E97:E111)</f>
        <v>0</v>
      </c>
      <c r="F112" s="205" t="n">
        <f aca="false">SUM(F97:F111)</f>
        <v>0</v>
      </c>
      <c r="G112" s="205" t="n">
        <f aca="false">SUM(G97:G111)</f>
        <v>0</v>
      </c>
      <c r="H112" s="205" t="n">
        <f aca="false">SUM(H97:H111)</f>
        <v>0</v>
      </c>
      <c r="I112" s="205" t="n">
        <f aca="false">SUM(I97:I111)</f>
        <v>0</v>
      </c>
      <c r="J112" s="205" t="n">
        <f aca="false">SUM(J97:J111)</f>
        <v>0</v>
      </c>
      <c r="K112" s="205" t="n">
        <f aca="false">SUM(K97:K111)</f>
        <v>0</v>
      </c>
      <c r="L112" s="205" t="n">
        <f aca="false">SUM(L97:L111)</f>
        <v>0</v>
      </c>
      <c r="M112" s="205" t="n">
        <f aca="false">SUM(M97:M111)</f>
        <v>0</v>
      </c>
      <c r="N112" s="205" t="n">
        <f aca="false">SUM(N97:N111)</f>
        <v>0</v>
      </c>
      <c r="O112" s="205" t="n">
        <f aca="false">SUM(O97:O111)</f>
        <v>0</v>
      </c>
      <c r="P112" s="205" t="n">
        <f aca="false">SUM(P97:P111)</f>
        <v>0</v>
      </c>
      <c r="Q112" s="205" t="n">
        <f aca="false">SUM(Q97:Q111)</f>
        <v>0</v>
      </c>
      <c r="R112" s="205" t="n">
        <f aca="false">SUM(R97:R111)</f>
        <v>0</v>
      </c>
      <c r="S112" s="205" t="n">
        <f aca="false">SUM(S97:S111)</f>
        <v>0</v>
      </c>
      <c r="T112" s="205" t="n">
        <f aca="false">SUM(T97:T111)</f>
        <v>0</v>
      </c>
      <c r="U112" s="205" t="n">
        <f aca="false">SUM(U97:U111)</f>
        <v>0</v>
      </c>
      <c r="V112" s="205" t="n">
        <f aca="false">SUM(V97:V111)</f>
        <v>0</v>
      </c>
      <c r="W112" s="205" t="n">
        <f aca="false">SUM(W97:W111)</f>
        <v>0</v>
      </c>
      <c r="X112" s="205" t="n">
        <f aca="false">SUM(X97:X111)</f>
        <v>0</v>
      </c>
      <c r="Y112" s="205" t="n">
        <f aca="false">SUM(Y97:Y111)</f>
        <v>0</v>
      </c>
      <c r="Z112" s="205" t="n">
        <f aca="false">SUM(Z97:Z111)</f>
        <v>0</v>
      </c>
      <c r="AA112" s="205" t="n">
        <f aca="false">SUM(AA97:AA111)</f>
        <v>0</v>
      </c>
      <c r="AB112" s="205" t="n">
        <f aca="false">SUM(AB97:AB111)</f>
        <v>0</v>
      </c>
      <c r="AC112" s="205" t="n">
        <f aca="false">SUM(AC97:AC111)</f>
        <v>0</v>
      </c>
      <c r="AD112" s="205" t="n">
        <f aca="false">SUM(AD97:AD111)</f>
        <v>0</v>
      </c>
      <c r="AE112" s="205" t="n">
        <f aca="false">SUM(AE97:AE111)</f>
        <v>0</v>
      </c>
      <c r="AF112" s="205" t="n">
        <f aca="false">SUM(AF97:AF111)</f>
        <v>0</v>
      </c>
      <c r="AG112" s="183" t="str">
        <f aca="false">A112</f>
        <v>Hours worked for projects</v>
      </c>
      <c r="AH112" s="184"/>
      <c r="AI112" s="207" t="n">
        <f aca="false">SUM(B112:AF112)</f>
        <v>0</v>
      </c>
      <c r="AJ112" s="33"/>
      <c r="AK112" s="192"/>
      <c r="AL112" s="216" t="n">
        <f aca="false">IF(EB.Anwendung&lt;&gt;"",IF(MONTH(Monat.Tag1)=1,0,IF(MONTH(Monat.Tag1)=2,Monat.PTotalUeVM,IF(MONTH(Monat.Tag1)=3,February!Monat.PTotalUeVM,IF(MONTH(Monat.Tag1)=4,March!Monat.PTotalUeVM,IF(MONTH(Monat.Tag1)=5,April!Monat.PTotalUeVM,IF(MONTH(Monat.Tag1)=6,May!Monat.PTotalUeVM,IF(MONTH(Monat.Tag1)=7,June!Monat.PTotalUeVM,IF(MONTH(Monat.Tag1)=8,July!Monat.PTotalUeVM,IF(MONTH(Monat.Tag1)=9,August!Monat.PTotalUeVM,IF(MONTH(Monat.Tag1)=10,September!Monat.PTotalUeVM,IF(MONTH(Monat.Tag1)=11,October!Monat.PTotalUeVM,IF(MONTH(Monat.Tag1)=12,November!Monat.PTotalUeVM,"")))))))))))),"")</f>
        <v>0</v>
      </c>
      <c r="AM112" s="172"/>
      <c r="AN112" s="217" t="n">
        <f aca="false">AI112+AL112</f>
        <v>0</v>
      </c>
      <c r="AO112" s="267"/>
      <c r="AP112" s="267"/>
      <c r="AQ112" s="43"/>
    </row>
    <row r="113" s="148" customFormat="true" ht="11.25" hidden="false" customHeight="true" outlineLevel="0" collapsed="false">
      <c r="A113" s="268"/>
      <c r="B113" s="194"/>
      <c r="C113" s="194"/>
      <c r="D113" s="194"/>
      <c r="E113" s="194"/>
      <c r="F113" s="194"/>
      <c r="G113" s="194"/>
      <c r="H113" s="194"/>
      <c r="I113" s="194"/>
      <c r="J113" s="194"/>
      <c r="K113" s="194"/>
      <c r="L113" s="194"/>
      <c r="M113" s="194"/>
      <c r="N113" s="194"/>
      <c r="O113" s="194"/>
      <c r="P113" s="194"/>
      <c r="Q113" s="194"/>
      <c r="R113" s="194"/>
      <c r="S113" s="194"/>
      <c r="T113" s="194"/>
      <c r="U113" s="194"/>
      <c r="V113" s="194"/>
      <c r="W113" s="194"/>
      <c r="X113" s="194"/>
      <c r="Y113" s="194"/>
      <c r="Z113" s="194"/>
      <c r="AA113" s="194"/>
      <c r="AB113" s="194"/>
      <c r="AC113" s="194"/>
      <c r="AD113" s="194"/>
      <c r="AE113" s="194"/>
      <c r="AF113" s="194"/>
      <c r="AG113" s="269"/>
      <c r="AH113" s="263"/>
      <c r="AI113" s="194"/>
      <c r="AJ113" s="16"/>
      <c r="AK113" s="194"/>
      <c r="AL113" s="194"/>
      <c r="AM113" s="194"/>
      <c r="AN113" s="50"/>
      <c r="AO113" s="194"/>
      <c r="AP113" s="194"/>
      <c r="AQ113" s="39"/>
    </row>
    <row r="114" s="148" customFormat="true" ht="15" hidden="true" customHeight="true" outlineLevel="1" collapsed="false">
      <c r="A114" s="181" t="s">
        <v>178</v>
      </c>
      <c r="B114" s="213" t="n">
        <f aca="false">ROUND((B23+B45+B91)-SUMPRODUCT((B97:B111)*(EB.Projektart.Bereich=6)),9)</f>
        <v>0</v>
      </c>
      <c r="C114" s="213" t="n">
        <f aca="false">ROUND((C23+C45+C91)-SUMPRODUCT((C97:C111)*(EB.Projektart.Bereich=6)),9)</f>
        <v>0</v>
      </c>
      <c r="D114" s="213" t="n">
        <f aca="false">ROUND((D23+D45+D91)-SUMPRODUCT((D97:D111)*(EB.Projektart.Bereich=6)),9)</f>
        <v>0</v>
      </c>
      <c r="E114" s="213" t="n">
        <f aca="false">ROUND((E23+E45+E91)-SUMPRODUCT((E97:E111)*(EB.Projektart.Bereich=6)),9)</f>
        <v>0</v>
      </c>
      <c r="F114" s="213" t="n">
        <f aca="false">ROUND((F23+F45+F91)-SUMPRODUCT((F97:F111)*(EB.Projektart.Bereich=6)),9)</f>
        <v>0</v>
      </c>
      <c r="G114" s="213" t="n">
        <f aca="false">ROUND((G23+G45+G91)-SUMPRODUCT((G97:G111)*(EB.Projektart.Bereich=6)),9)</f>
        <v>0</v>
      </c>
      <c r="H114" s="213" t="n">
        <f aca="false">ROUND((H23+H45+H91)-SUMPRODUCT((H97:H111)*(EB.Projektart.Bereich=6)),9)</f>
        <v>0</v>
      </c>
      <c r="I114" s="213" t="n">
        <f aca="false">ROUND((I23+I45+I91)-SUMPRODUCT((I97:I111)*(EB.Projektart.Bereich=6)),9)</f>
        <v>0</v>
      </c>
      <c r="J114" s="213" t="n">
        <f aca="false">ROUND((J23+J45+J91)-SUMPRODUCT((J97:J111)*(EB.Projektart.Bereich=6)),9)</f>
        <v>0</v>
      </c>
      <c r="K114" s="213" t="n">
        <f aca="false">ROUND((K23+K45+K91)-SUMPRODUCT((K97:K111)*(EB.Projektart.Bereich=6)),9)</f>
        <v>0</v>
      </c>
      <c r="L114" s="213" t="n">
        <f aca="false">ROUND((L23+L45+L91)-SUMPRODUCT((L97:L111)*(EB.Projektart.Bereich=6)),9)</f>
        <v>0</v>
      </c>
      <c r="M114" s="213" t="n">
        <f aca="false">ROUND((M23+M45+M91)-SUMPRODUCT((M97:M111)*(EB.Projektart.Bereich=6)),9)</f>
        <v>0</v>
      </c>
      <c r="N114" s="213" t="n">
        <f aca="false">ROUND((N23+N45+N91)-SUMPRODUCT((N97:N111)*(EB.Projektart.Bereich=6)),9)</f>
        <v>0</v>
      </c>
      <c r="O114" s="213" t="n">
        <f aca="false">ROUND((O23+O45+O91)-SUMPRODUCT((O97:O111)*(EB.Projektart.Bereich=6)),9)</f>
        <v>0</v>
      </c>
      <c r="P114" s="213" t="n">
        <f aca="false">ROUND((P23+P45+P91)-SUMPRODUCT((P97:P111)*(EB.Projektart.Bereich=6)),9)</f>
        <v>0</v>
      </c>
      <c r="Q114" s="213" t="n">
        <f aca="false">ROUND((Q23+Q45+Q91)-SUMPRODUCT((Q97:Q111)*(EB.Projektart.Bereich=6)),9)</f>
        <v>0</v>
      </c>
      <c r="R114" s="213" t="n">
        <f aca="false">ROUND((R23+R45+R91)-SUMPRODUCT((R97:R111)*(EB.Projektart.Bereich=6)),9)</f>
        <v>0</v>
      </c>
      <c r="S114" s="213" t="n">
        <f aca="false">ROUND((S23+S45+S91)-SUMPRODUCT((S97:S111)*(EB.Projektart.Bereich=6)),9)</f>
        <v>0</v>
      </c>
      <c r="T114" s="213" t="n">
        <f aca="false">ROUND((T23+T45+T91)-SUMPRODUCT((T97:T111)*(EB.Projektart.Bereich=6)),9)</f>
        <v>0</v>
      </c>
      <c r="U114" s="213" t="n">
        <f aca="false">ROUND((U23+U45+U91)-SUMPRODUCT((U97:U111)*(EB.Projektart.Bereich=6)),9)</f>
        <v>0</v>
      </c>
      <c r="V114" s="213" t="n">
        <f aca="false">ROUND((V23+V45+V91)-SUMPRODUCT((V97:V111)*(EB.Projektart.Bereich=6)),9)</f>
        <v>0</v>
      </c>
      <c r="W114" s="213" t="n">
        <f aca="false">ROUND((W23+W45+W91)-SUMPRODUCT((W97:W111)*(EB.Projektart.Bereich=6)),9)</f>
        <v>0</v>
      </c>
      <c r="X114" s="213" t="n">
        <f aca="false">ROUND((X23+X45+X91)-SUMPRODUCT((X97:X111)*(EB.Projektart.Bereich=6)),9)</f>
        <v>0</v>
      </c>
      <c r="Y114" s="213" t="n">
        <f aca="false">ROUND((Y23+Y45+Y91)-SUMPRODUCT((Y97:Y111)*(EB.Projektart.Bereich=6)),9)</f>
        <v>0</v>
      </c>
      <c r="Z114" s="213" t="n">
        <f aca="false">ROUND((Z23+Z45+Z91)-SUMPRODUCT((Z97:Z111)*(EB.Projektart.Bereich=6)),9)</f>
        <v>0</v>
      </c>
      <c r="AA114" s="213" t="n">
        <f aca="false">ROUND((AA23+AA45+AA91)-SUMPRODUCT((AA97:AA111)*(EB.Projektart.Bereich=6)),9)</f>
        <v>0</v>
      </c>
      <c r="AB114" s="213" t="n">
        <f aca="false">ROUND((AB23+AB45+AB91)-SUMPRODUCT((AB97:AB111)*(EB.Projektart.Bereich=6)),9)</f>
        <v>0</v>
      </c>
      <c r="AC114" s="213" t="n">
        <f aca="false">ROUND((AC23+AC45+AC91)-SUMPRODUCT((AC97:AC111)*(EB.Projektart.Bereich=6)),9)</f>
        <v>0</v>
      </c>
      <c r="AD114" s="213" t="n">
        <f aca="false">ROUND((AD23+AD45+AD91)-SUMPRODUCT((AD97:AD111)*(EB.Projektart.Bereich=6)),9)</f>
        <v>0</v>
      </c>
      <c r="AE114" s="213" t="n">
        <f aca="false">ROUND((AE23+AE45+AE91)-SUMPRODUCT((AE97:AE111)*(EB.Projektart.Bereich=6)),9)</f>
        <v>0</v>
      </c>
      <c r="AF114" s="213" t="n">
        <f aca="false">ROUND((AF23+AF45+AF91)-SUMPRODUCT((AF97:AF111)*(EB.Projektart.Bereich=6)),9)</f>
        <v>0</v>
      </c>
      <c r="AG114" s="183" t="str">
        <f aca="false">A114</f>
        <v>Difference WH-Project type 6</v>
      </c>
      <c r="AH114" s="197"/>
      <c r="AI114" s="207" t="n">
        <f aca="false">SUM(B114:AF114)</f>
        <v>0</v>
      </c>
      <c r="AJ114" s="33"/>
      <c r="AK114" s="235"/>
      <c r="AL114" s="216" t="n">
        <f aca="false">IF(EB.Anwendung&lt;&gt;"",IF(MONTH(Monat.Tag1)=1,0,IF(MONTH(Monat.Tag1)=2,Monat.PDiffUeVM,IF(MONTH(Monat.Tag1)=3,February!Monat.PDiffUeVM,IF(MONTH(Monat.Tag1)=4,March!Monat.PDiffUeVM,IF(MONTH(Monat.Tag1)=5,April!Monat.PDiffUeVM,IF(MONTH(Monat.Tag1)=6,May!Monat.PDiffUeVM,IF(MONTH(Monat.Tag1)=7,June!Monat.PDiffUeVM,IF(MONTH(Monat.Tag1)=8,July!Monat.PDiffUeVM,IF(MONTH(Monat.Tag1)=9,August!Monat.PDiffUeVM,IF(MONTH(Monat.Tag1)=10,September!Monat.PDiffUeVM,IF(MONTH(Monat.Tag1)=11,October!Monat.PDiffUeVM,IF(MONTH(Monat.Tag1)=12,November!Monat.PDiffUeVM,"")))))))))))),"")</f>
        <v>0</v>
      </c>
      <c r="AM114" s="235"/>
      <c r="AN114" s="217" t="n">
        <f aca="false">AI114+AL114</f>
        <v>0</v>
      </c>
      <c r="AO114" s="235"/>
      <c r="AP114" s="235"/>
      <c r="AQ114" s="39"/>
    </row>
    <row r="115" customFormat="false" ht="11.25" hidden="true" customHeight="true" outlineLevel="1" collapsed="false">
      <c r="A115" s="43"/>
      <c r="B115" s="270"/>
      <c r="C115" s="270"/>
      <c r="D115" s="270"/>
      <c r="E115" s="270"/>
      <c r="F115" s="270"/>
      <c r="G115" s="270"/>
      <c r="H115" s="270"/>
      <c r="I115" s="270"/>
      <c r="J115" s="271"/>
      <c r="K115" s="270"/>
      <c r="L115" s="270"/>
      <c r="M115" s="270"/>
      <c r="N115" s="270"/>
      <c r="O115" s="270"/>
      <c r="P115" s="270"/>
      <c r="Q115" s="270"/>
      <c r="R115" s="270"/>
      <c r="S115" s="270"/>
      <c r="T115" s="270"/>
      <c r="U115" s="270"/>
      <c r="V115" s="270"/>
      <c r="W115" s="270"/>
      <c r="X115" s="270"/>
      <c r="Y115" s="270"/>
      <c r="Z115" s="270"/>
      <c r="AA115" s="270"/>
      <c r="AB115" s="270"/>
      <c r="AC115" s="270"/>
      <c r="AD115" s="270"/>
      <c r="AE115" s="270"/>
      <c r="AF115" s="270"/>
      <c r="AG115" s="272"/>
      <c r="AH115" s="273"/>
      <c r="AI115" s="43"/>
      <c r="AJ115" s="43"/>
      <c r="AK115" s="43"/>
      <c r="AL115" s="43"/>
      <c r="AM115" s="43"/>
      <c r="AN115" s="274"/>
      <c r="AO115" s="43"/>
      <c r="AP115" s="43"/>
      <c r="AQ115" s="43"/>
    </row>
    <row r="116" customFormat="false" ht="11.25" hidden="false" customHeight="true" outlineLevel="0" collapsed="false">
      <c r="A116" s="43"/>
      <c r="B116" s="270"/>
      <c r="C116" s="270"/>
      <c r="D116" s="270"/>
      <c r="E116" s="270"/>
      <c r="F116" s="270"/>
      <c r="G116" s="270"/>
      <c r="H116" s="270"/>
      <c r="I116" s="270"/>
      <c r="J116" s="270"/>
      <c r="K116" s="270"/>
      <c r="L116" s="270"/>
      <c r="M116" s="270"/>
      <c r="N116" s="270"/>
      <c r="O116" s="270"/>
      <c r="P116" s="270"/>
      <c r="Q116" s="270"/>
      <c r="R116" s="270"/>
      <c r="S116" s="270"/>
      <c r="T116" s="270"/>
      <c r="U116" s="270"/>
      <c r="V116" s="270"/>
      <c r="W116" s="270"/>
      <c r="X116" s="270"/>
      <c r="Y116" s="270"/>
      <c r="Z116" s="270"/>
      <c r="AA116" s="270"/>
      <c r="AB116" s="270"/>
      <c r="AC116" s="270"/>
      <c r="AD116" s="270"/>
      <c r="AE116" s="270"/>
      <c r="AF116" s="270"/>
      <c r="AG116" s="272"/>
      <c r="AH116" s="273"/>
      <c r="AI116" s="43"/>
      <c r="AJ116" s="43"/>
      <c r="AK116" s="43"/>
      <c r="AL116" s="43"/>
      <c r="AM116" s="43"/>
      <c r="AN116" s="274"/>
      <c r="AO116" s="43"/>
      <c r="AP116" s="43"/>
      <c r="AQ116" s="43"/>
    </row>
    <row r="117" customFormat="false" ht="12" hidden="false" customHeight="true" outlineLevel="0" collapsed="false">
      <c r="A117" s="43"/>
      <c r="B117" s="275" t="s">
        <v>179</v>
      </c>
      <c r="C117" s="275"/>
      <c r="D117" s="275"/>
      <c r="E117" s="275"/>
      <c r="F117" s="275"/>
      <c r="G117" s="275"/>
      <c r="H117" s="275"/>
      <c r="I117" s="275"/>
      <c r="J117" s="275"/>
      <c r="K117" s="275"/>
      <c r="L117" s="275"/>
      <c r="M117" s="275"/>
      <c r="N117" s="275"/>
      <c r="O117" s="275"/>
      <c r="P117" s="275"/>
      <c r="Q117" s="275"/>
      <c r="R117" s="276"/>
      <c r="S117" s="276"/>
      <c r="T117" s="276"/>
      <c r="U117" s="276"/>
      <c r="V117" s="276"/>
      <c r="W117" s="276"/>
      <c r="X117" s="276"/>
      <c r="Y117" s="276"/>
      <c r="Z117" s="276"/>
      <c r="AA117" s="276"/>
      <c r="AB117" s="276"/>
      <c r="AC117" s="276"/>
      <c r="AD117" s="276"/>
      <c r="AE117" s="276"/>
      <c r="AF117" s="276"/>
      <c r="AG117" s="277"/>
      <c r="AH117" s="278"/>
      <c r="AI117" s="276"/>
      <c r="AJ117" s="276"/>
      <c r="AK117" s="276"/>
      <c r="AL117" s="276"/>
      <c r="AM117" s="276"/>
      <c r="AN117" s="279"/>
      <c r="AO117" s="265"/>
      <c r="AP117" s="265"/>
      <c r="AQ117" s="43"/>
    </row>
    <row r="118" customFormat="false" ht="11.25" hidden="false" customHeight="true" outlineLevel="0" collapsed="false">
      <c r="A118" s="280"/>
      <c r="B118" s="280"/>
      <c r="C118" s="280"/>
      <c r="D118" s="280"/>
      <c r="E118" s="280"/>
      <c r="F118" s="280"/>
      <c r="G118" s="280"/>
      <c r="H118" s="280"/>
      <c r="I118" s="280"/>
      <c r="J118" s="280"/>
      <c r="K118" s="280"/>
      <c r="L118" s="280"/>
      <c r="M118" s="276"/>
      <c r="N118" s="276"/>
      <c r="O118" s="276"/>
      <c r="P118" s="276"/>
      <c r="Q118" s="276"/>
      <c r="R118" s="276"/>
      <c r="S118" s="276"/>
      <c r="T118" s="276"/>
      <c r="U118" s="276"/>
      <c r="V118" s="276"/>
      <c r="W118" s="276"/>
      <c r="X118" s="276"/>
      <c r="Y118" s="276"/>
      <c r="Z118" s="276"/>
      <c r="AA118" s="276"/>
      <c r="AB118" s="276"/>
      <c r="AC118" s="276"/>
      <c r="AD118" s="276"/>
      <c r="AE118" s="276"/>
      <c r="AF118" s="276"/>
      <c r="AG118" s="276"/>
      <c r="AH118" s="276"/>
      <c r="AI118" s="276"/>
      <c r="AJ118" s="276"/>
      <c r="AK118" s="276"/>
      <c r="AL118" s="276"/>
      <c r="AM118" s="276"/>
      <c r="AN118" s="276"/>
      <c r="AO118" s="276"/>
      <c r="AP118" s="276"/>
      <c r="AQ118" s="43"/>
    </row>
    <row r="119" customFormat="false" ht="39" hidden="false" customHeight="true" outlineLevel="0" collapsed="false">
      <c r="A119" s="55" t="s">
        <v>180</v>
      </c>
      <c r="B119" s="281"/>
      <c r="C119" s="281"/>
      <c r="D119" s="281"/>
      <c r="E119" s="281"/>
      <c r="F119" s="281"/>
      <c r="G119" s="281"/>
      <c r="H119" s="281"/>
      <c r="I119" s="281"/>
      <c r="J119" s="281"/>
      <c r="K119" s="281"/>
      <c r="L119" s="281"/>
      <c r="M119" s="281"/>
      <c r="N119" s="281"/>
      <c r="O119" s="281"/>
      <c r="P119" s="281"/>
      <c r="Q119" s="281"/>
      <c r="R119" s="276"/>
      <c r="S119" s="276"/>
      <c r="T119" s="276"/>
      <c r="U119" s="276"/>
      <c r="V119" s="276"/>
      <c r="W119" s="276"/>
      <c r="X119" s="276"/>
      <c r="Y119" s="282"/>
      <c r="Z119" s="282"/>
      <c r="AA119" s="282"/>
      <c r="AB119" s="282"/>
      <c r="AC119" s="282"/>
      <c r="AD119" s="282"/>
      <c r="AE119" s="282"/>
      <c r="AF119" s="282"/>
      <c r="AG119" s="283"/>
      <c r="AH119" s="283"/>
      <c r="AI119" s="283"/>
      <c r="AJ119" s="283"/>
      <c r="AK119" s="265"/>
      <c r="AL119" s="265"/>
      <c r="AM119" s="265"/>
      <c r="AN119" s="284"/>
      <c r="AO119" s="265"/>
      <c r="AP119" s="265"/>
      <c r="AQ119" s="43"/>
    </row>
    <row r="120" customFormat="false" ht="12" hidden="false" customHeight="true" outlineLevel="0" collapsed="false">
      <c r="A120" s="285" t="s">
        <v>181</v>
      </c>
      <c r="B120" s="286"/>
      <c r="C120" s="286"/>
      <c r="D120" s="286"/>
      <c r="E120" s="286"/>
      <c r="F120" s="286"/>
      <c r="G120" s="286"/>
      <c r="H120" s="286"/>
      <c r="I120" s="286"/>
      <c r="J120" s="286"/>
      <c r="K120" s="286"/>
      <c r="L120" s="286"/>
      <c r="M120" s="286"/>
      <c r="N120" s="286"/>
      <c r="O120" s="286"/>
      <c r="P120" s="286"/>
      <c r="Q120" s="286"/>
      <c r="R120" s="276"/>
      <c r="S120" s="276"/>
      <c r="T120" s="287" t="s">
        <v>182</v>
      </c>
      <c r="U120" s="287"/>
      <c r="V120" s="287"/>
      <c r="W120" s="287"/>
      <c r="X120" s="287"/>
      <c r="Y120" s="282"/>
      <c r="Z120" s="282"/>
      <c r="AA120" s="282"/>
      <c r="AB120" s="282"/>
      <c r="AC120" s="282"/>
      <c r="AD120" s="282"/>
      <c r="AE120" s="282"/>
      <c r="AF120" s="282"/>
      <c r="AG120" s="283"/>
      <c r="AH120" s="283"/>
      <c r="AI120" s="283"/>
      <c r="AJ120" s="283"/>
      <c r="AK120" s="43"/>
      <c r="AL120" s="43"/>
      <c r="AM120" s="43"/>
      <c r="AN120" s="274"/>
      <c r="AO120" s="43"/>
      <c r="AP120" s="43"/>
      <c r="AQ120" s="43"/>
    </row>
    <row r="121" customFormat="false" ht="11.25" hidden="false" customHeight="true" outlineLevel="0" collapsed="false">
      <c r="A121" s="288"/>
      <c r="B121" s="289"/>
      <c r="C121" s="289"/>
      <c r="D121" s="289"/>
      <c r="E121" s="289"/>
      <c r="F121" s="289"/>
      <c r="G121" s="289"/>
      <c r="H121" s="289"/>
      <c r="I121" s="289"/>
      <c r="J121" s="289"/>
      <c r="K121" s="289"/>
      <c r="L121" s="289"/>
      <c r="M121" s="270"/>
      <c r="N121" s="270"/>
      <c r="O121" s="270"/>
      <c r="P121" s="270"/>
      <c r="Q121" s="270"/>
      <c r="R121" s="270"/>
      <c r="S121" s="276"/>
      <c r="T121" s="270"/>
      <c r="U121" s="270"/>
      <c r="V121" s="270"/>
      <c r="W121" s="270"/>
      <c r="X121" s="270"/>
      <c r="Y121" s="270"/>
      <c r="Z121" s="270"/>
      <c r="AA121" s="270"/>
      <c r="AB121" s="270"/>
      <c r="AC121" s="270"/>
      <c r="AD121" s="270"/>
      <c r="AE121" s="270"/>
      <c r="AF121" s="270"/>
      <c r="AG121" s="272"/>
      <c r="AH121" s="273"/>
      <c r="AI121" s="43"/>
      <c r="AJ121" s="43"/>
      <c r="AK121" s="43"/>
      <c r="AL121" s="43"/>
      <c r="AM121" s="43"/>
      <c r="AN121" s="274"/>
      <c r="AO121" s="43"/>
      <c r="AP121" s="43"/>
      <c r="AQ121" s="43"/>
    </row>
    <row r="122" customFormat="false" ht="12" hidden="false" customHeight="true" outlineLevel="0" collapsed="false">
      <c r="A122" s="43"/>
      <c r="B122" s="290" t="s">
        <v>183</v>
      </c>
      <c r="C122" s="290"/>
      <c r="D122" s="290"/>
      <c r="E122" s="290"/>
      <c r="F122" s="290"/>
      <c r="G122" s="290"/>
      <c r="H122" s="290"/>
      <c r="I122" s="290"/>
      <c r="J122" s="290"/>
      <c r="K122" s="290"/>
      <c r="L122" s="290"/>
      <c r="M122" s="290"/>
      <c r="N122" s="290"/>
      <c r="O122" s="290"/>
      <c r="P122" s="290"/>
      <c r="Q122" s="290"/>
      <c r="R122" s="270"/>
      <c r="S122" s="270"/>
      <c r="T122" s="270"/>
      <c r="U122" s="270"/>
      <c r="V122" s="270"/>
      <c r="W122" s="270"/>
      <c r="X122" s="270"/>
      <c r="Y122" s="270"/>
      <c r="Z122" s="270"/>
      <c r="AA122" s="270"/>
      <c r="AB122" s="270"/>
      <c r="AC122" s="270"/>
      <c r="AD122" s="270"/>
      <c r="AE122" s="270"/>
      <c r="AF122" s="270"/>
      <c r="AG122" s="272"/>
      <c r="AH122" s="273"/>
      <c r="AI122" s="43"/>
      <c r="AJ122" s="43"/>
      <c r="AK122" s="43"/>
      <c r="AL122" s="43"/>
      <c r="AM122" s="43"/>
      <c r="AN122" s="274"/>
      <c r="AO122" s="43"/>
      <c r="AP122" s="43"/>
      <c r="AQ122" s="43"/>
    </row>
    <row r="123" customFormat="false" ht="11.25" hidden="false" customHeight="true" outlineLevel="0" collapsed="false">
      <c r="A123" s="43"/>
      <c r="B123" s="270"/>
      <c r="C123" s="270"/>
      <c r="D123" s="270"/>
      <c r="E123" s="270"/>
      <c r="F123" s="270"/>
      <c r="G123" s="270"/>
      <c r="H123" s="270"/>
      <c r="I123" s="270"/>
      <c r="J123" s="270"/>
      <c r="K123" s="270"/>
      <c r="L123" s="270"/>
      <c r="M123" s="270"/>
      <c r="N123" s="270"/>
      <c r="O123" s="270"/>
      <c r="P123" s="270"/>
      <c r="Q123" s="270"/>
      <c r="R123" s="270"/>
      <c r="S123" s="270"/>
      <c r="T123" s="270"/>
      <c r="U123" s="270"/>
      <c r="V123" s="270"/>
      <c r="W123" s="270"/>
      <c r="X123" s="270"/>
      <c r="Y123" s="270"/>
      <c r="Z123" s="270"/>
      <c r="AA123" s="270"/>
      <c r="AB123" s="270"/>
      <c r="AC123" s="270"/>
      <c r="AD123" s="270"/>
      <c r="AE123" s="270"/>
      <c r="AF123" s="270"/>
      <c r="AG123" s="272"/>
      <c r="AH123" s="273"/>
      <c r="AI123" s="43"/>
      <c r="AJ123" s="43"/>
      <c r="AK123" s="43"/>
      <c r="AL123" s="43"/>
      <c r="AM123" s="43"/>
      <c r="AN123" s="274"/>
      <c r="AO123" s="43"/>
      <c r="AP123" s="43"/>
      <c r="AQ123" s="43"/>
    </row>
    <row r="124" customFormat="false" ht="11.25" hidden="false" customHeight="true" outlineLevel="0" collapsed="false">
      <c r="A124" s="276"/>
      <c r="B124" s="276"/>
      <c r="C124" s="276"/>
      <c r="D124" s="276"/>
      <c r="E124" s="276"/>
      <c r="F124" s="276"/>
      <c r="G124" s="276"/>
      <c r="H124" s="276"/>
      <c r="I124" s="276"/>
      <c r="J124" s="276"/>
      <c r="K124" s="276"/>
      <c r="L124" s="276"/>
      <c r="M124" s="276"/>
      <c r="N124" s="276"/>
      <c r="O124" s="276"/>
      <c r="P124" s="276"/>
      <c r="Q124" s="276"/>
      <c r="R124" s="276"/>
      <c r="S124" s="276"/>
      <c r="T124" s="276"/>
      <c r="U124" s="276"/>
      <c r="V124" s="276"/>
      <c r="W124" s="276"/>
      <c r="X124" s="276"/>
      <c r="Y124" s="276"/>
      <c r="Z124" s="276"/>
      <c r="AA124" s="276"/>
      <c r="AB124" s="276"/>
      <c r="AC124" s="276"/>
      <c r="AD124" s="276"/>
      <c r="AE124" s="276"/>
      <c r="AF124" s="276"/>
      <c r="AG124" s="276"/>
      <c r="AH124" s="276"/>
      <c r="AI124" s="276"/>
      <c r="AJ124" s="276"/>
      <c r="AK124" s="276"/>
      <c r="AL124" s="276"/>
      <c r="AM124" s="276"/>
      <c r="AN124" s="276"/>
      <c r="AO124" s="276"/>
      <c r="AP124" s="276"/>
      <c r="AQ124" s="43"/>
    </row>
  </sheetData>
  <sheetProtection sheet="true" objects="true" scenarios="true"/>
  <mergeCells count="25">
    <mergeCell ref="B1:L1"/>
    <mergeCell ref="AO1:AP1"/>
    <mergeCell ref="B2:E2"/>
    <mergeCell ref="F2:N2"/>
    <mergeCell ref="P2:U2"/>
    <mergeCell ref="B3:E3"/>
    <mergeCell ref="F3:N3"/>
    <mergeCell ref="P3:U3"/>
    <mergeCell ref="B4:E4"/>
    <mergeCell ref="F4:N4"/>
    <mergeCell ref="P4:U4"/>
    <mergeCell ref="B5:E5"/>
    <mergeCell ref="F5:N5"/>
    <mergeCell ref="B6:E6"/>
    <mergeCell ref="F6:N6"/>
    <mergeCell ref="B7:E7"/>
    <mergeCell ref="F7:N7"/>
    <mergeCell ref="AH10:AI10"/>
    <mergeCell ref="AO10:AP10"/>
    <mergeCell ref="B117:Q117"/>
    <mergeCell ref="B119:Q119"/>
    <mergeCell ref="Y119:AF120"/>
    <mergeCell ref="B120:Q120"/>
    <mergeCell ref="T120:X120"/>
    <mergeCell ref="B122:Q122"/>
  </mergeCells>
  <conditionalFormatting sqref="B114:AF114 AI114">
    <cfRule type="expression" priority="2" aboveAverage="0" equalAverage="0" bottom="0" percent="0" rank="0" text="" dxfId="0">
      <formula>ABS(B$114)&gt;=ROUND(1/24/60,9)</formula>
    </cfRule>
  </conditionalFormatting>
  <conditionalFormatting sqref="B13:AF22 B34:AF44 B25:AF30 B60:AF61 B67:AF67 B71:AF72 B84:AF84 B86:AF95 B97:AF111">
    <cfRule type="expression" priority="3" aboveAverage="0" equalAverage="0" bottom="0" percent="0" rank="0" text="" dxfId="1">
      <formula>WEEKDAY(B$10,2)&gt;5</formula>
    </cfRule>
    <cfRule type="expression" priority="4" aboveAverage="0" equalAverage="0" bottom="0" percent="0" rank="0" text="" dxfId="2">
      <formula>AND(NOT(ISERROR(MATCH(B$10,T.Feiertage.Bereich,0))),OFFSET(T.Feiertage.Bereich,MATCH(B$10,T.Feiertage.Bereich,0)-1,1,1,1)&gt;0)</formula>
    </cfRule>
    <cfRule type="expression" priority="5" aboveAverage="0" equalAverage="0" bottom="0" percent="0" rank="0" text="" dxfId="3">
      <formula>B$11=0</formula>
    </cfRule>
  </conditionalFormatting>
  <conditionalFormatting sqref="AN60:AO60">
    <cfRule type="expression" priority="6" aboveAverage="0" equalAverage="0" bottom="0" percent="0" rank="0" text="" dxfId="4">
      <formula>AND(T.50_Vetsuisse,AN60&gt;=T.GrenzeAngÜZ50_Vetsuisse)</formula>
    </cfRule>
    <cfRule type="expression" priority="7" aboveAverage="0" equalAverage="0" bottom="0" percent="0" rank="0" text="" dxfId="5">
      <formula>AND(T.50_Vetsuisse,AN60&gt;T.GrenzeAngÜZ50_Vetsuisse*T.AngÜZ50_Vetsuisse_orange)</formula>
    </cfRule>
  </conditionalFormatting>
  <conditionalFormatting sqref="B56:AF56">
    <cfRule type="expression" priority="8" aboveAverage="0" equalAverage="0" bottom="0" percent="0" rank="0" text="" dxfId="6">
      <formula>B$10&gt;TODAY()</formula>
    </cfRule>
    <cfRule type="expression" priority="9" aboveAverage="0" equalAverage="0" bottom="0" percent="0" rank="0" text="" dxfId="7">
      <formula>B$56&gt;99.99/24</formula>
    </cfRule>
    <cfRule type="expression" priority="10" aboveAverage="0" equalAverage="0" bottom="0" percent="0" rank="0" text="" dxfId="0">
      <formula>B$56&lt;99.99/24*-1</formula>
    </cfRule>
  </conditionalFormatting>
  <conditionalFormatting sqref="AO55:AP55">
    <cfRule type="cellIs" priority="11" operator="greaterThan" aboveAverage="0" equalAverage="0" bottom="0" percent="0" rank="0" text="" dxfId="1">
      <formula>1/24/60</formula>
    </cfRule>
    <cfRule type="expression" priority="12" aboveAverage="0" equalAverage="0" bottom="0" percent="0" rank="0" text="" dxfId="2">
      <formula>AND(AO55&lt;=1/24/60*-1,TODAY()&gt;=DATE(EB.Jahr,MONTH(12),DAY(31)))</formula>
    </cfRule>
  </conditionalFormatting>
  <conditionalFormatting sqref="B56:AF56 AI58">
    <cfRule type="expression" priority="13" aboveAverage="0" equalAverage="0" bottom="0" percent="0" rank="0" text="" dxfId="3">
      <formula>B$56&gt;1/24/60</formula>
    </cfRule>
    <cfRule type="expression" priority="14" aboveAverage="0" equalAverage="0" bottom="0" percent="0" rank="0" text="" dxfId="4">
      <formula>AND(B$56&lt;=1/24/60*-1,B$56)</formula>
    </cfRule>
  </conditionalFormatting>
  <conditionalFormatting sqref="B14:AF22 B36:AF44 B26:AF30">
    <cfRule type="expression" priority="15" aboveAverage="0" equalAverage="0" bottom="0" percent="0" rank="0" text="" dxfId="5">
      <formula>AND(B14&lt;B13,B14&lt;&gt;"")</formula>
    </cfRule>
  </conditionalFormatting>
  <conditionalFormatting sqref="B72:AF73">
    <cfRule type="expression" priority="16" aboveAverage="0" equalAverage="0" bottom="0" percent="0" rank="0" text="" dxfId="6">
      <formula>AND(T.50_Vetsuisse,OR(AND(B$72&lt;&gt;INDEX(T.JaNein.Bereich,1,1),B$72&lt;&gt;INDEX(T.JaNein.Bereich,2,1),B$73&lt;&gt;0,MOD(IFERROR(MATCH(1,B$13:B$22,0),1),2)=0),AND(B$72=INDEX(T.JaNein.Bereich,1,1),OR(B$73=0,MOD(IFERROR(MATCH(1,B$13:B$22,0),1),2)&lt;&gt;0))))</formula>
    </cfRule>
  </conditionalFormatting>
  <conditionalFormatting sqref="P4:U4">
    <cfRule type="expression" priority="17" aboveAverage="0" equalAverage="0" bottom="0" percent="0" rank="0" text="" dxfId="7">
      <formula>$P$4&lt;&gt;""</formula>
    </cfRule>
  </conditionalFormatting>
  <conditionalFormatting sqref="V4">
    <cfRule type="expression" priority="18" aboveAverage="0" equalAverage="0" bottom="0" percent="0" rank="0" text="" dxfId="8">
      <formula>$V$4&lt;&gt;""</formula>
    </cfRule>
  </conditionalFormatting>
  <conditionalFormatting sqref="AP60">
    <cfRule type="expression" priority="19" aboveAverage="0" equalAverage="0" bottom="0" percent="0" rank="0" text="" dxfId="9">
      <formula>AND(T.50_Vetsuisse,AP60&gt;=T.GrenzeAngÜZ50_Vetsuisse)</formula>
    </cfRule>
    <cfRule type="expression" priority="20" aboveAverage="0" equalAverage="0" bottom="0" percent="0" rank="0" text="" dxfId="10">
      <formula>AND(T.50_Vetsuisse,AP60&gt;T.GrenzeAngÜZ50_Vetsuisse*T.AngÜZ50_Vetsuisse_orange)</formula>
    </cfRule>
  </conditionalFormatting>
  <conditionalFormatting sqref="AJ72:AJ73">
    <cfRule type="expression" priority="21" aboveAverage="0" equalAverage="0" bottom="0" percent="0" rank="0" text="" dxfId="11">
      <formula>AND(T.50_Vetsuisse,$AJ$72&lt;&gt;$AJ$73)</formula>
    </cfRule>
    <cfRule type="expression" priority="22" aboveAverage="0" equalAverage="0" bottom="0" percent="0" rank="0" text="" dxfId="12">
      <formula>$AJ$72&gt;$AJ$73</formula>
    </cfRule>
  </conditionalFormatting>
  <dataValidations count="2">
    <dataValidation allowBlank="true" error="Please choose a value from the drop-down list." errorTitle="Start pl. night shift" operator="between" showDropDown="false" showErrorMessage="true" showInputMessage="true" sqref="B72:AF72" type="list">
      <formula1>T.JaNein.Bereich</formula1>
      <formula2>0</formula2>
    </dataValidation>
    <dataValidation allowBlank="true" error="Bitte wählen Sie einen Wert aus der Liste." errorTitle="Pikett Bereitschaft" operator="between" showDropDown="false" showErrorMessage="true" showInputMessage="true" sqref="B34:AF34" type="list">
      <formula1>T.Pikett.Bereich</formula1>
      <formula2>0</formula2>
    </dataValidation>
  </dataValidations>
  <printOptions headings="false" gridLines="false" gridLinesSet="true" horizontalCentered="true" verticalCentered="false"/>
  <pageMargins left="0.196527777777778" right="0.196527777777778" top="0.39375" bottom="0.393055555555556" header="0.511805555555555" footer="0.196527777777778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&amp;L&amp;"Arial,Regular"&amp;11Monatsabrechnung &amp;A&amp;C&amp;"Arial,Regular"&amp;11&amp;D&amp;R&amp;"Arial,Regular"&amp;11&amp;P /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N124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" ySplit="10" topLeftCell="B11" activePane="bottomRight" state="frozen"/>
      <selection pane="topLeft" activeCell="A1" activeCellId="0" sqref="A1"/>
      <selection pane="topRight" activeCell="B1" activeCellId="0" sqref="B1"/>
      <selection pane="bottomLeft" activeCell="A11" activeCellId="0" sqref="A11"/>
      <selection pane="bottomRight" activeCell="B13" activeCellId="0" sqref="B13"/>
    </sheetView>
  </sheetViews>
  <sheetFormatPr defaultRowHeight="13" zeroHeight="false" outlineLevelRow="1" outlineLevelCol="1"/>
  <cols>
    <col collapsed="false" customWidth="true" hidden="false" outlineLevel="0" max="1" min="1" style="132" width="24.5"/>
    <col collapsed="false" customWidth="true" hidden="false" outlineLevel="0" max="29" min="2" style="132" width="5.66"/>
    <col collapsed="false" customWidth="true" hidden="false" outlineLevel="0" max="30" min="30" style="133" width="24.5"/>
    <col collapsed="false" customWidth="true" hidden="false" outlineLevel="0" max="31" min="31" style="134" width="2.17"/>
    <col collapsed="false" customWidth="true" hidden="false" outlineLevel="0" max="33" min="32" style="132" width="8.17"/>
    <col collapsed="false" customWidth="true" hidden="true" outlineLevel="1" max="34" min="34" style="132" width="15.83"/>
    <col collapsed="false" customWidth="true" hidden="true" outlineLevel="1" max="36" min="35" style="132" width="14.33"/>
    <col collapsed="false" customWidth="true" hidden="false" outlineLevel="0" max="37" min="37" style="135" width="9.5"/>
    <col collapsed="false" customWidth="true" hidden="false" outlineLevel="0" max="39" min="38" style="132" width="8.17"/>
    <col collapsed="false" customWidth="true" hidden="false" outlineLevel="0" max="40" min="40" style="132" width="3.66"/>
    <col collapsed="false" customWidth="true" hidden="false" outlineLevel="0" max="1025" min="41" style="0" width="10.66"/>
  </cols>
  <sheetData>
    <row r="1" s="142" customFormat="true" ht="22.5" hidden="false" customHeight="true" outlineLevel="0" collapsed="false">
      <c r="A1" s="136" t="str">
        <f aca="false">INDEX(EB.Monate.Bereich,MONTH(Monat.Tag1)) &amp; " " &amp; EB.Jahr</f>
        <v>February 2018</v>
      </c>
      <c r="B1" s="137" t="str">
        <f aca="false">Eingabeblatt!B1</f>
        <v>Employee Time Sheet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6"/>
      <c r="N1" s="6"/>
      <c r="O1" s="6"/>
      <c r="P1" s="6"/>
      <c r="Q1" s="6"/>
      <c r="R1" s="138"/>
      <c r="S1" s="6"/>
      <c r="T1" s="6"/>
      <c r="U1" s="6"/>
      <c r="V1" s="139"/>
      <c r="W1" s="139"/>
      <c r="X1" s="6"/>
      <c r="Y1" s="138"/>
      <c r="Z1" s="6"/>
      <c r="AA1" s="6"/>
      <c r="AB1" s="6"/>
      <c r="AC1" s="6"/>
      <c r="AD1" s="140"/>
      <c r="AE1" s="141"/>
      <c r="AF1" s="6"/>
      <c r="AG1" s="6"/>
      <c r="AH1" s="6"/>
      <c r="AI1" s="6"/>
      <c r="AJ1" s="6"/>
      <c r="AK1" s="7"/>
      <c r="AL1" s="7" t="str">
        <f aca="false">EB.Version</f>
        <v>Version 01.18</v>
      </c>
      <c r="AM1" s="7"/>
      <c r="AN1" s="8" t="str">
        <f aca="false">EB.Sprache</f>
        <v>EN</v>
      </c>
    </row>
    <row r="2" s="148" customFormat="true" ht="15" hidden="false" customHeight="true" outlineLevel="0" collapsed="false">
      <c r="A2" s="55"/>
      <c r="B2" s="11" t="str">
        <f aca="false">Eingabeblatt!A3</f>
        <v>Name</v>
      </c>
      <c r="C2" s="11"/>
      <c r="D2" s="11"/>
      <c r="E2" s="11"/>
      <c r="F2" s="143" t="str">
        <f aca="false">IF(EB.Name="","?",EB.Name)</f>
        <v>Christopher Gwilliams</v>
      </c>
      <c r="G2" s="143"/>
      <c r="H2" s="143"/>
      <c r="I2" s="143"/>
      <c r="J2" s="143"/>
      <c r="K2" s="143"/>
      <c r="L2" s="143"/>
      <c r="M2" s="143"/>
      <c r="N2" s="143"/>
      <c r="O2" s="144"/>
      <c r="P2" s="11" t="str">
        <f aca="false">Eingabeblatt!J7</f>
        <v>Employment Level (FTE) in %</v>
      </c>
      <c r="Q2" s="11"/>
      <c r="R2" s="11"/>
      <c r="S2" s="11"/>
      <c r="T2" s="11"/>
      <c r="U2" s="11"/>
      <c r="V2" s="58" t="n">
        <f aca="false">IF(INDEX(EB.EffBG.Bereich,MONTH(Monat.Tag1))="","-     ",INDEX(EB.EffBG.Bereich,MONTH(Monat.Tag1)))</f>
        <v>0</v>
      </c>
      <c r="W2" s="145"/>
      <c r="X2" s="145"/>
      <c r="Y2" s="16"/>
      <c r="Z2" s="39"/>
      <c r="AA2" s="39"/>
      <c r="AB2" s="39"/>
      <c r="AC2" s="39"/>
      <c r="AD2" s="13"/>
      <c r="AE2" s="146"/>
      <c r="AF2" s="39"/>
      <c r="AG2" s="39"/>
      <c r="AH2" s="39"/>
      <c r="AI2" s="39"/>
      <c r="AJ2" s="39"/>
      <c r="AK2" s="147"/>
      <c r="AL2" s="39"/>
      <c r="AM2" s="39"/>
      <c r="AN2" s="39"/>
    </row>
    <row r="3" s="148" customFormat="true" ht="15" hidden="false" customHeight="true" outlineLevel="0" collapsed="false">
      <c r="A3" s="149"/>
      <c r="B3" s="11" t="str">
        <f aca="false">Eingabeblatt!H2</f>
        <v>Function</v>
      </c>
      <c r="C3" s="11"/>
      <c r="D3" s="11"/>
      <c r="E3" s="11"/>
      <c r="F3" s="150" t="str">
        <f aca="false">EB.Funktion</f>
        <v>Description of Function</v>
      </c>
      <c r="G3" s="150"/>
      <c r="H3" s="150"/>
      <c r="I3" s="150"/>
      <c r="J3" s="150"/>
      <c r="K3" s="150"/>
      <c r="L3" s="150"/>
      <c r="M3" s="150"/>
      <c r="N3" s="150"/>
      <c r="O3" s="13"/>
      <c r="P3" s="11" t="str">
        <f aca="false">Eingabeblatt!J12</f>
        <v>ø Hours per day at FTE</v>
      </c>
      <c r="Q3" s="11"/>
      <c r="R3" s="11"/>
      <c r="S3" s="11"/>
      <c r="T3" s="11"/>
      <c r="U3" s="11"/>
      <c r="V3" s="151" t="n">
        <f aca="false">IF(INDEX(EB.DurchSollTAZStd.Bereich,MONTH(Monat.Tag1))="","-     ",INDEX(EB.DurchSollTAZStd.Bereich,MONTH(Monat.Tag1)))</f>
        <v>0</v>
      </c>
      <c r="W3" s="152"/>
      <c r="X3" s="152"/>
      <c r="Y3" s="39"/>
      <c r="Z3" s="39"/>
      <c r="AA3" s="39"/>
      <c r="AB3" s="39"/>
      <c r="AC3" s="39"/>
      <c r="AD3" s="13"/>
      <c r="AE3" s="146"/>
      <c r="AF3" s="39"/>
      <c r="AG3" s="39"/>
      <c r="AH3" s="39"/>
      <c r="AI3" s="39"/>
      <c r="AJ3" s="39"/>
      <c r="AK3" s="147"/>
      <c r="AL3" s="39"/>
      <c r="AM3" s="39"/>
      <c r="AN3" s="39"/>
    </row>
    <row r="4" s="148" customFormat="true" ht="15" hidden="false" customHeight="true" outlineLevel="0" collapsed="false">
      <c r="A4" s="149"/>
      <c r="B4" s="11" t="str">
        <f aca="false">Eingabeblatt!H3</f>
        <v>Institute/Department</v>
      </c>
      <c r="C4" s="11"/>
      <c r="D4" s="11"/>
      <c r="E4" s="11"/>
      <c r="F4" s="150" t="str">
        <f aca="false">EB.Institut</f>
        <v>Institute/Department Name</v>
      </c>
      <c r="G4" s="150"/>
      <c r="H4" s="150"/>
      <c r="I4" s="150"/>
      <c r="J4" s="150"/>
      <c r="K4" s="150"/>
      <c r="L4" s="150"/>
      <c r="M4" s="150"/>
      <c r="N4" s="150"/>
      <c r="O4" s="13"/>
      <c r="P4" s="47" t="str">
        <f aca="true">IF(EB.ÜZZSBerechtigt=INDEX(T.JaNein.Bereich,1,1),IF(AND(OR(AND(EB.LKgr16=INDEX(T.JaNein.Bereich,1,1),EB.LKgr16ab&gt;EOMONTH(Monat.Tag1,0)),EB.LKgr16&lt;&gt;INDEX(T.JaNein.Bereich,1,1)),Monat.AZSoll.Total&gt;0),Eingabeblatt!J6,""),"")</f>
        <v/>
      </c>
      <c r="Q4" s="47"/>
      <c r="R4" s="47"/>
      <c r="S4" s="47"/>
      <c r="T4" s="47"/>
      <c r="U4" s="47"/>
      <c r="V4" s="153" t="str">
        <f aca="false">IF(P4&lt;&gt;"",EB.ÜZZSBerechtigt,"")</f>
        <v/>
      </c>
      <c r="W4" s="39"/>
      <c r="X4" s="39"/>
      <c r="Y4" s="39"/>
      <c r="Z4" s="39"/>
      <c r="AA4" s="39"/>
      <c r="AB4" s="39"/>
      <c r="AC4" s="39"/>
      <c r="AD4" s="13"/>
      <c r="AE4" s="146"/>
      <c r="AF4" s="39"/>
      <c r="AG4" s="39"/>
      <c r="AH4" s="39"/>
      <c r="AI4" s="39"/>
      <c r="AJ4" s="39"/>
      <c r="AK4" s="147"/>
      <c r="AL4" s="39"/>
      <c r="AM4" s="39"/>
      <c r="AN4" s="39"/>
    </row>
    <row r="5" s="148" customFormat="true" ht="15" hidden="false" customHeight="true" outlineLevel="0" collapsed="false">
      <c r="A5" s="149"/>
      <c r="B5" s="11" t="str">
        <f aca="false">Eingabeblatt!A5</f>
        <v>Employee Number</v>
      </c>
      <c r="C5" s="11"/>
      <c r="D5" s="11"/>
      <c r="E5" s="11"/>
      <c r="F5" s="150" t="str">
        <f aca="false">IF(EB.Personalnummer="","?",EB.Personalnummer)</f>
        <v>?</v>
      </c>
      <c r="G5" s="150"/>
      <c r="H5" s="150"/>
      <c r="I5" s="150"/>
      <c r="J5" s="150"/>
      <c r="K5" s="150"/>
      <c r="L5" s="150"/>
      <c r="M5" s="150"/>
      <c r="N5" s="150"/>
      <c r="O5" s="13"/>
      <c r="P5" s="19" t="str">
        <f aca="false">Eingabeblatt!A38</f>
        <v>Standard working hours</v>
      </c>
      <c r="Q5" s="13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13"/>
      <c r="AE5" s="146"/>
      <c r="AF5" s="39"/>
      <c r="AG5" s="39"/>
      <c r="AH5" s="39"/>
      <c r="AI5" s="39"/>
      <c r="AJ5" s="39"/>
      <c r="AK5" s="147"/>
      <c r="AL5" s="39"/>
      <c r="AM5" s="39"/>
      <c r="AN5" s="39"/>
    </row>
    <row r="6" s="148" customFormat="true" ht="15" hidden="false" customHeight="true" outlineLevel="0" collapsed="false">
      <c r="A6" s="149"/>
      <c r="B6" s="11" t="str">
        <f aca="false">Eingabeblatt!H4</f>
        <v>Faculty</v>
      </c>
      <c r="C6" s="11"/>
      <c r="D6" s="11"/>
      <c r="E6" s="11"/>
      <c r="F6" s="150" t="str">
        <f aca="false">EB.Fakultaet</f>
        <v>Select Faculty</v>
      </c>
      <c r="G6" s="150"/>
      <c r="H6" s="150"/>
      <c r="I6" s="150"/>
      <c r="J6" s="150"/>
      <c r="K6" s="150"/>
      <c r="L6" s="150"/>
      <c r="M6" s="150"/>
      <c r="N6" s="150"/>
      <c r="O6" s="13"/>
      <c r="P6" s="154" t="str">
        <f aca="false">LEFT(INDEX(EB.RAZ_Wochentage.Bereich,1),2)</f>
        <v>Mo</v>
      </c>
      <c r="Q6" s="154" t="str">
        <f aca="false">LEFT(INDEX(EB.RAZ_Wochentage.Bereich,2),2)</f>
        <v>Tu</v>
      </c>
      <c r="R6" s="154" t="str">
        <f aca="false">LEFT(INDEX(EB.RAZ_Wochentage.Bereich,3),2)</f>
        <v>We</v>
      </c>
      <c r="S6" s="154" t="str">
        <f aca="false">LEFT(INDEX(EB.RAZ_Wochentage.Bereich,4),2)</f>
        <v>Th</v>
      </c>
      <c r="T6" s="154" t="str">
        <f aca="false">LEFT(INDEX(EB.RAZ_Wochentage.Bereich,5),2)</f>
        <v>Fr</v>
      </c>
      <c r="U6" s="154" t="str">
        <f aca="false">LEFT(INDEX(EB.RAZ_Wochentage.Bereich,6),2)</f>
        <v>Sa</v>
      </c>
      <c r="V6" s="154" t="str">
        <f aca="false">LEFT(INDEX(EB.RAZ_Wochentage.Bereich,7),2)</f>
        <v>Su</v>
      </c>
      <c r="W6" s="39"/>
      <c r="X6" s="39"/>
      <c r="Y6" s="39"/>
      <c r="Z6" s="39"/>
      <c r="AA6" s="39"/>
      <c r="AB6" s="39"/>
      <c r="AC6" s="39"/>
      <c r="AD6" s="13"/>
      <c r="AE6" s="146"/>
      <c r="AF6" s="39"/>
      <c r="AG6" s="39"/>
      <c r="AH6" s="39"/>
      <c r="AI6" s="39"/>
      <c r="AJ6" s="39"/>
      <c r="AK6" s="147"/>
      <c r="AL6" s="39"/>
      <c r="AM6" s="39"/>
      <c r="AN6" s="39"/>
    </row>
    <row r="7" s="148" customFormat="true" ht="15" hidden="false" customHeight="true" outlineLevel="0" collapsed="false">
      <c r="A7" s="149"/>
      <c r="B7" s="11" t="str">
        <f aca="false">Eingabeblatt!H5</f>
        <v>Employee Category</v>
      </c>
      <c r="C7" s="11"/>
      <c r="D7" s="11"/>
      <c r="E7" s="11"/>
      <c r="F7" s="150" t="str">
        <f aca="false">EB.Personalkategorie</f>
        <v>Select Employee Category</v>
      </c>
      <c r="G7" s="150"/>
      <c r="H7" s="150"/>
      <c r="I7" s="150"/>
      <c r="J7" s="150"/>
      <c r="K7" s="150"/>
      <c r="L7" s="150"/>
      <c r="M7" s="150"/>
      <c r="N7" s="150"/>
      <c r="O7" s="13"/>
      <c r="P7" s="155" t="n">
        <f aca="false">IF(EB.Anwendung&lt;&gt;"",IF(MONTH(Monat.Tag1)=1,INDEX(EB.RAZ1_7.Bereich,1),INDEX(IF(MONTH(Monat.Tag1)=2,January!Monat.RAZ1_7.Bereich,IF(MONTH(Monat.Tag1)=3,Monat.RAZ1_7.Bereich,IF(MONTH(Monat.Tag1)=4,March!Monat.RAZ1_7.Bereich,IF(MONTH(Monat.Tag1)=5,April!Monat.RAZ1_7.Bereich,IF(MONTH(Monat.Tag1)=6,May!Monat.RAZ1_7.Bereich,IF(MONTH(Monat.Tag1)=7,June!Monat.RAZ1_7.Bereich,IF(MONTH(Monat.Tag1)=8,July!Monat.RAZ1_7.Bereich,IF(MONTH(Monat.Tag1)=9,August!Monat.RAZ1_7.Bereich,IF(MONTH(Monat.Tag1)=10,September!Monat.RAZ1_7.Bereich,IF(MONTH(Monat.Tag1)=11,October!Monat.RAZ1_7.Bereich,IF(MONTH(Monat.Tag1)=12,November!Monat.RAZ1_7.Bereich,""))))))))))),1)),"")</f>
        <v>0.35</v>
      </c>
      <c r="Q7" s="155" t="n">
        <f aca="false">IF(EB.Anwendung&lt;&gt;"",IF(MONTH(Monat.Tag1)=1,INDEX(EB.RAZ1_7.Bereich,2),INDEX(IF(MONTH(Monat.Tag1)=2,January!Monat.RAZ1_7.Bereich,IF(MONTH(Monat.Tag1)=3,Monat.RAZ1_7.Bereich,IF(MONTH(Monat.Tag1)=4,March!Monat.RAZ1_7.Bereich,IF(MONTH(Monat.Tag1)=5,April!Monat.RAZ1_7.Bereich,IF(MONTH(Monat.Tag1)=6,May!Monat.RAZ1_7.Bereich,IF(MONTH(Monat.Tag1)=7,June!Monat.RAZ1_7.Bereich,IF(MONTH(Monat.Tag1)=8,July!Monat.RAZ1_7.Bereich,IF(MONTH(Monat.Tag1)=9,August!Monat.RAZ1_7.Bereich,IF(MONTH(Monat.Tag1)=10,September!Monat.RAZ1_7.Bereich,IF(MONTH(Monat.Tag1)=11,October!Monat.RAZ1_7.Bereich,IF(MONTH(Monat.Tag1)=12,November!Monat.RAZ1_7.Bereich,""))))))))))),2)),"")</f>
        <v>0.35</v>
      </c>
      <c r="R7" s="155" t="n">
        <f aca="false">IF(EB.Anwendung&lt;&gt;"",IF(MONTH(Monat.Tag1)=1,INDEX(EB.RAZ1_7.Bereich,3),INDEX(IF(MONTH(Monat.Tag1)=2,January!Monat.RAZ1_7.Bereich,IF(MONTH(Monat.Tag1)=3,Monat.RAZ1_7.Bereich,IF(MONTH(Monat.Tag1)=4,March!Monat.RAZ1_7.Bereich,IF(MONTH(Monat.Tag1)=5,April!Monat.RAZ1_7.Bereich,IF(MONTH(Monat.Tag1)=6,May!Monat.RAZ1_7.Bereich,IF(MONTH(Monat.Tag1)=7,June!Monat.RAZ1_7.Bereich,IF(MONTH(Monat.Tag1)=8,July!Monat.RAZ1_7.Bereich,IF(MONTH(Monat.Tag1)=9,August!Monat.RAZ1_7.Bereich,IF(MONTH(Monat.Tag1)=10,September!Monat.RAZ1_7.Bereich,IF(MONTH(Monat.Tag1)=11,October!Monat.RAZ1_7.Bereich,IF(MONTH(Monat.Tag1)=12,November!Monat.RAZ1_7.Bereich,""))))))))))),3)),"")</f>
        <v>0.35</v>
      </c>
      <c r="S7" s="155" t="n">
        <f aca="false">IF(EB.Anwendung&lt;&gt;"",IF(MONTH(Monat.Tag1)=1,INDEX(EB.RAZ1_7.Bereich,4),INDEX(IF(MONTH(Monat.Tag1)=2,January!Monat.RAZ1_7.Bereich,IF(MONTH(Monat.Tag1)=3,Monat.RAZ1_7.Bereich,IF(MONTH(Monat.Tag1)=4,March!Monat.RAZ1_7.Bereich,IF(MONTH(Monat.Tag1)=5,April!Monat.RAZ1_7.Bereich,IF(MONTH(Monat.Tag1)=6,May!Monat.RAZ1_7.Bereich,IF(MONTH(Monat.Tag1)=7,June!Monat.RAZ1_7.Bereich,IF(MONTH(Monat.Tag1)=8,July!Monat.RAZ1_7.Bereich,IF(MONTH(Monat.Tag1)=9,August!Monat.RAZ1_7.Bereich,IF(MONTH(Monat.Tag1)=10,September!Monat.RAZ1_7.Bereich,IF(MONTH(Monat.Tag1)=11,October!Monat.RAZ1_7.Bereich,IF(MONTH(Monat.Tag1)=12,November!Monat.RAZ1_7.Bereich,""))))))))))),4)),"")</f>
        <v>0.35</v>
      </c>
      <c r="T7" s="155" t="n">
        <f aca="false">IF(EB.Anwendung&lt;&gt;"",IF(MONTH(Monat.Tag1)=1,INDEX(EB.RAZ1_7.Bereich,5),INDEX(IF(MONTH(Monat.Tag1)=2,January!Monat.RAZ1_7.Bereich,IF(MONTH(Monat.Tag1)=3,Monat.RAZ1_7.Bereich,IF(MONTH(Monat.Tag1)=4,March!Monat.RAZ1_7.Bereich,IF(MONTH(Monat.Tag1)=5,April!Monat.RAZ1_7.Bereich,IF(MONTH(Monat.Tag1)=6,May!Monat.RAZ1_7.Bereich,IF(MONTH(Monat.Tag1)=7,June!Monat.RAZ1_7.Bereich,IF(MONTH(Monat.Tag1)=8,July!Monat.RAZ1_7.Bereich,IF(MONTH(Monat.Tag1)=9,August!Monat.RAZ1_7.Bereich,IF(MONTH(Monat.Tag1)=10,September!Monat.RAZ1_7.Bereich,IF(MONTH(Monat.Tag1)=11,October!Monat.RAZ1_7.Bereich,IF(MONTH(Monat.Tag1)=12,November!Monat.RAZ1_7.Bereich,""))))))))))),5)),"")</f>
        <v>0.35</v>
      </c>
      <c r="U7" s="155" t="n">
        <f aca="false">IF(EB.Anwendung&lt;&gt;"",IF(MONTH(Monat.Tag1)=1,INDEX(EB.RAZ1_7.Bereich,6),INDEX(IF(MONTH(Monat.Tag1)=2,January!Monat.RAZ1_7.Bereich,IF(MONTH(Monat.Tag1)=3,Monat.RAZ1_7.Bereich,IF(MONTH(Monat.Tag1)=4,March!Monat.RAZ1_7.Bereich,IF(MONTH(Monat.Tag1)=5,April!Monat.RAZ1_7.Bereich,IF(MONTH(Monat.Tag1)=6,May!Monat.RAZ1_7.Bereich,IF(MONTH(Monat.Tag1)=7,June!Monat.RAZ1_7.Bereich,IF(MONTH(Monat.Tag1)=8,July!Monat.RAZ1_7.Bereich,IF(MONTH(Monat.Tag1)=9,August!Monat.RAZ1_7.Bereich,IF(MONTH(Monat.Tag1)=10,September!Monat.RAZ1_7.Bereich,IF(MONTH(Monat.Tag1)=11,October!Monat.RAZ1_7.Bereich,IF(MONTH(Monat.Tag1)=12,November!Monat.RAZ1_7.Bereich,""))))))))))),6)),"")</f>
        <v>0</v>
      </c>
      <c r="V7" s="155" t="n">
        <f aca="false">IF(EB.Anwendung&lt;&gt;"",IF(MONTH(Monat.Tag1)=1,INDEX(EB.RAZ1_7.Bereich,7),INDEX(IF(MONTH(Monat.Tag1)=2,January!Monat.RAZ1_7.Bereich,IF(MONTH(Monat.Tag1)=3,Monat.RAZ1_7.Bereich,IF(MONTH(Monat.Tag1)=4,March!Monat.RAZ1_7.Bereich,IF(MONTH(Monat.Tag1)=5,April!Monat.RAZ1_7.Bereich,IF(MONTH(Monat.Tag1)=6,May!Monat.RAZ1_7.Bereich,IF(MONTH(Monat.Tag1)=7,June!Monat.RAZ1_7.Bereich,IF(MONTH(Monat.Tag1)=8,July!Monat.RAZ1_7.Bereich,IF(MONTH(Monat.Tag1)=9,August!Monat.RAZ1_7.Bereich,IF(MONTH(Monat.Tag1)=10,September!Monat.RAZ1_7.Bereich,IF(MONTH(Monat.Tag1)=11,October!Monat.RAZ1_7.Bereich,IF(MONTH(Monat.Tag1)=12,November!Monat.RAZ1_7.Bereich,""))))))))))),7)),"")</f>
        <v>0</v>
      </c>
      <c r="W7" s="39"/>
      <c r="X7" s="39"/>
      <c r="Y7" s="39"/>
      <c r="Z7" s="39"/>
      <c r="AA7" s="39"/>
      <c r="AB7" s="39"/>
      <c r="AC7" s="39"/>
      <c r="AD7" s="13"/>
      <c r="AE7" s="146"/>
      <c r="AF7" s="39"/>
      <c r="AG7" s="39"/>
      <c r="AH7" s="39"/>
      <c r="AI7" s="39"/>
      <c r="AJ7" s="39"/>
      <c r="AK7" s="147"/>
      <c r="AL7" s="39"/>
      <c r="AM7" s="39"/>
      <c r="AN7" s="39"/>
    </row>
    <row r="8" s="148" customFormat="true" ht="11.25" hidden="false" customHeight="true" outlineLevel="0" collapsed="false">
      <c r="A8" s="55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13"/>
      <c r="AE8" s="146"/>
      <c r="AF8" s="39"/>
      <c r="AG8" s="39"/>
      <c r="AH8" s="39"/>
      <c r="AI8" s="39"/>
      <c r="AJ8" s="39"/>
      <c r="AK8" s="147"/>
      <c r="AL8" s="39"/>
      <c r="AM8" s="39"/>
      <c r="AN8" s="39"/>
    </row>
    <row r="9" s="148" customFormat="true" ht="15" hidden="false" customHeight="true" outlineLevel="0" collapsed="false">
      <c r="A9" s="55"/>
      <c r="B9" s="156" t="str">
        <f aca="false">INDEX(Monat.Wochentage.Bereich,1,WEEKDAY(B10,2))</f>
        <v>Th</v>
      </c>
      <c r="C9" s="156" t="str">
        <f aca="false">INDEX(Monat.Wochentage.Bereich,1,WEEKDAY(C10,2))</f>
        <v>Fr</v>
      </c>
      <c r="D9" s="156" t="str">
        <f aca="false">INDEX(Monat.Wochentage.Bereich,1,WEEKDAY(D10,2))</f>
        <v>Sa</v>
      </c>
      <c r="E9" s="156" t="str">
        <f aca="false">INDEX(Monat.Wochentage.Bereich,1,WEEKDAY(E10,2))</f>
        <v>Su</v>
      </c>
      <c r="F9" s="156" t="str">
        <f aca="false">INDEX(Monat.Wochentage.Bereich,1,WEEKDAY(F10,2))</f>
        <v>Mo</v>
      </c>
      <c r="G9" s="156" t="str">
        <f aca="false">INDEX(Monat.Wochentage.Bereich,1,WEEKDAY(G10,2))</f>
        <v>Tu</v>
      </c>
      <c r="H9" s="156" t="str">
        <f aca="false">INDEX(Monat.Wochentage.Bereich,1,WEEKDAY(H10,2))</f>
        <v>We</v>
      </c>
      <c r="I9" s="156" t="str">
        <f aca="false">INDEX(Monat.Wochentage.Bereich,1,WEEKDAY(I10,2))</f>
        <v>Th</v>
      </c>
      <c r="J9" s="156" t="str">
        <f aca="false">INDEX(Monat.Wochentage.Bereich,1,WEEKDAY(J10,2))</f>
        <v>Fr</v>
      </c>
      <c r="K9" s="156" t="str">
        <f aca="false">INDEX(Monat.Wochentage.Bereich,1,WEEKDAY(K10,2))</f>
        <v>Sa</v>
      </c>
      <c r="L9" s="156" t="str">
        <f aca="false">INDEX(Monat.Wochentage.Bereich,1,WEEKDAY(L10,2))</f>
        <v>Su</v>
      </c>
      <c r="M9" s="156" t="str">
        <f aca="false">INDEX(Monat.Wochentage.Bereich,1,WEEKDAY(M10,2))</f>
        <v>Mo</v>
      </c>
      <c r="N9" s="156" t="str">
        <f aca="false">INDEX(Monat.Wochentage.Bereich,1,WEEKDAY(N10,2))</f>
        <v>Tu</v>
      </c>
      <c r="O9" s="156" t="str">
        <f aca="false">INDEX(Monat.Wochentage.Bereich,1,WEEKDAY(O10,2))</f>
        <v>We</v>
      </c>
      <c r="P9" s="156" t="str">
        <f aca="false">INDEX(Monat.Wochentage.Bereich,1,WEEKDAY(P10,2))</f>
        <v>Th</v>
      </c>
      <c r="Q9" s="156" t="str">
        <f aca="false">INDEX(Monat.Wochentage.Bereich,1,WEEKDAY(Q10,2))</f>
        <v>Fr</v>
      </c>
      <c r="R9" s="156" t="str">
        <f aca="false">INDEX(Monat.Wochentage.Bereich,1,WEEKDAY(R10,2))</f>
        <v>Sa</v>
      </c>
      <c r="S9" s="156" t="str">
        <f aca="false">INDEX(Monat.Wochentage.Bereich,1,WEEKDAY(S10,2))</f>
        <v>Su</v>
      </c>
      <c r="T9" s="156" t="str">
        <f aca="false">INDEX(Monat.Wochentage.Bereich,1,WEEKDAY(T10,2))</f>
        <v>Mo</v>
      </c>
      <c r="U9" s="156" t="str">
        <f aca="false">INDEX(Monat.Wochentage.Bereich,1,WEEKDAY(U10,2))</f>
        <v>Tu</v>
      </c>
      <c r="V9" s="156" t="str">
        <f aca="false">INDEX(Monat.Wochentage.Bereich,1,WEEKDAY(V10,2))</f>
        <v>We</v>
      </c>
      <c r="W9" s="156" t="str">
        <f aca="false">INDEX(Monat.Wochentage.Bereich,1,WEEKDAY(W10,2))</f>
        <v>Th</v>
      </c>
      <c r="X9" s="156" t="str">
        <f aca="false">INDEX(Monat.Wochentage.Bereich,1,WEEKDAY(X10,2))</f>
        <v>Fr</v>
      </c>
      <c r="Y9" s="156" t="str">
        <f aca="false">INDEX(Monat.Wochentage.Bereich,1,WEEKDAY(Y10,2))</f>
        <v>Sa</v>
      </c>
      <c r="Z9" s="156" t="str">
        <f aca="false">INDEX(Monat.Wochentage.Bereich,1,WEEKDAY(Z10,2))</f>
        <v>Su</v>
      </c>
      <c r="AA9" s="156" t="str">
        <f aca="false">INDEX(Monat.Wochentage.Bereich,1,WEEKDAY(AA10,2))</f>
        <v>Mo</v>
      </c>
      <c r="AB9" s="156" t="str">
        <f aca="false">INDEX(Monat.Wochentage.Bereich,1,WEEKDAY(AB10,2))</f>
        <v>Tu</v>
      </c>
      <c r="AC9" s="156" t="str">
        <f aca="false">INDEX(Monat.Wochentage.Bereich,1,WEEKDAY(AC10,2))</f>
        <v>We</v>
      </c>
      <c r="AD9" s="13"/>
      <c r="AE9" s="146"/>
      <c r="AF9" s="39"/>
      <c r="AG9" s="39"/>
      <c r="AH9" s="39"/>
      <c r="AI9" s="39"/>
      <c r="AJ9" s="39"/>
      <c r="AK9" s="147"/>
      <c r="AL9" s="39"/>
      <c r="AM9" s="39"/>
      <c r="AN9" s="39"/>
    </row>
    <row r="10" s="164" customFormat="true" ht="39" hidden="false" customHeight="false" outlineLevel="0" collapsed="false">
      <c r="A10" s="157" t="s">
        <v>121</v>
      </c>
      <c r="B10" s="158" t="n">
        <v>41670</v>
      </c>
      <c r="C10" s="158" t="n">
        <f aca="false">B10+1</f>
        <v>41671</v>
      </c>
      <c r="D10" s="158" t="n">
        <f aca="false">C10+1</f>
        <v>41672</v>
      </c>
      <c r="E10" s="158" t="n">
        <f aca="false">D10+1</f>
        <v>41673</v>
      </c>
      <c r="F10" s="158" t="n">
        <f aca="false">E10+1</f>
        <v>41674</v>
      </c>
      <c r="G10" s="158" t="n">
        <f aca="false">F10+1</f>
        <v>41675</v>
      </c>
      <c r="H10" s="158" t="n">
        <f aca="false">G10+1</f>
        <v>41676</v>
      </c>
      <c r="I10" s="158" t="n">
        <f aca="false">H10+1</f>
        <v>41677</v>
      </c>
      <c r="J10" s="158" t="n">
        <f aca="false">I10+1</f>
        <v>41678</v>
      </c>
      <c r="K10" s="158" t="n">
        <f aca="false">J10+1</f>
        <v>41679</v>
      </c>
      <c r="L10" s="158" t="n">
        <f aca="false">K10+1</f>
        <v>41680</v>
      </c>
      <c r="M10" s="158" t="n">
        <f aca="false">L10+1</f>
        <v>41681</v>
      </c>
      <c r="N10" s="158" t="n">
        <f aca="false">M10+1</f>
        <v>41682</v>
      </c>
      <c r="O10" s="158" t="n">
        <f aca="false">N10+1</f>
        <v>41683</v>
      </c>
      <c r="P10" s="158" t="n">
        <f aca="false">O10+1</f>
        <v>41684</v>
      </c>
      <c r="Q10" s="158" t="n">
        <f aca="false">P10+1</f>
        <v>41685</v>
      </c>
      <c r="R10" s="158" t="n">
        <f aca="false">Q10+1</f>
        <v>41686</v>
      </c>
      <c r="S10" s="158" t="n">
        <f aca="false">R10+1</f>
        <v>41687</v>
      </c>
      <c r="T10" s="158" t="n">
        <f aca="false">S10+1</f>
        <v>41688</v>
      </c>
      <c r="U10" s="158" t="n">
        <f aca="false">T10+1</f>
        <v>41689</v>
      </c>
      <c r="V10" s="158" t="n">
        <f aca="false">U10+1</f>
        <v>41690</v>
      </c>
      <c r="W10" s="158" t="n">
        <f aca="false">V10+1</f>
        <v>41691</v>
      </c>
      <c r="X10" s="158" t="n">
        <f aca="false">W10+1</f>
        <v>41692</v>
      </c>
      <c r="Y10" s="158" t="n">
        <f aca="false">X10+1</f>
        <v>41693</v>
      </c>
      <c r="Z10" s="158" t="n">
        <f aca="false">Y10+1</f>
        <v>41694</v>
      </c>
      <c r="AA10" s="158" t="n">
        <f aca="false">Z10+1</f>
        <v>41695</v>
      </c>
      <c r="AB10" s="158" t="n">
        <f aca="false">AA10+1</f>
        <v>41696</v>
      </c>
      <c r="AC10" s="158" t="n">
        <f aca="false">AB10+1</f>
        <v>41697</v>
      </c>
      <c r="AD10" s="159" t="str">
        <f aca="false">A10</f>
        <v>Day</v>
      </c>
      <c r="AE10" s="160" t="str">
        <f aca="false">"Total " &amp; INDEX(EB.Monate.Bereich,MONTH(Monat.Tag1))</f>
        <v>Total February</v>
      </c>
      <c r="AF10" s="160"/>
      <c r="AG10" s="160" t="s">
        <v>122</v>
      </c>
      <c r="AH10" s="161" t="s">
        <v>123</v>
      </c>
      <c r="AI10" s="161" t="s">
        <v>124</v>
      </c>
      <c r="AJ10" s="161" t="s">
        <v>125</v>
      </c>
      <c r="AK10" s="162" t="s">
        <v>68</v>
      </c>
      <c r="AL10" s="156" t="str">
        <f aca="true">IF(EB.Sprache="DE","Jahressaldo per" &amp; CHAR(10) &amp; "    ME       " &amp; IFERROR(TEXT(TODAY(),"[$-0007]"&amp;"TT.MM.JJ"),TEXT(TODAY(),"[$-0007]"&amp;"DD.MM.YY")), "Yearly balance by" &amp; CHAR(10) &amp; "   eom      " &amp; IFERROR(TEXT(TODAY(),"[$-0809]"&amp;"DD.MM.YY"),TEXT(TODAY(),"[$-0809]"&amp;"TT.MM.JJ")))</f>
        <v>Yearly balance by
   eom      22.05.18</v>
      </c>
      <c r="AM10" s="156"/>
      <c r="AN10" s="163"/>
    </row>
    <row r="11" s="164" customFormat="true" ht="12" hidden="true" customHeight="true" outlineLevel="0" collapsed="false">
      <c r="A11" s="157" t="s">
        <v>126</v>
      </c>
      <c r="B11" s="165" t="n">
        <f aca="true">IFERROR(OFFSET(T.Feiertage.Bereich,MATCH(B$10,T.Feiertage.Bereich,0)-1,1,1,1),1)</f>
        <v>1</v>
      </c>
      <c r="C11" s="165" t="n">
        <f aca="true">IFERROR(OFFSET(T.Feiertage.Bereich,MATCH(C$10,T.Feiertage.Bereich,0)-1,1,1,1),1)</f>
        <v>1</v>
      </c>
      <c r="D11" s="165" t="n">
        <f aca="true">IFERROR(OFFSET(T.Feiertage.Bereich,MATCH(D$10,T.Feiertage.Bereich,0)-1,1,1,1),1)</f>
        <v>1</v>
      </c>
      <c r="E11" s="166" t="n">
        <f aca="true">IFERROR(OFFSET(T.Feiertage.Bereich,MATCH(E$10,T.Feiertage.Bereich,0)-1,1,1,1),1)</f>
        <v>1</v>
      </c>
      <c r="F11" s="165" t="n">
        <f aca="true">IFERROR(OFFSET(T.Feiertage.Bereich,MATCH(F$10,T.Feiertage.Bereich,0)-1,1,1,1),1)</f>
        <v>1</v>
      </c>
      <c r="G11" s="165" t="n">
        <f aca="true">IFERROR(OFFSET(T.Feiertage.Bereich,MATCH(G$10,T.Feiertage.Bereich,0)-1,1,1,1),1)</f>
        <v>1</v>
      </c>
      <c r="H11" s="165" t="n">
        <f aca="true">IFERROR(OFFSET(T.Feiertage.Bereich,MATCH(H$10,T.Feiertage.Bereich,0)-1,1,1,1),1)</f>
        <v>1</v>
      </c>
      <c r="I11" s="165" t="n">
        <f aca="true">IFERROR(OFFSET(T.Feiertage.Bereich,MATCH(I$10,T.Feiertage.Bereich,0)-1,1,1,1),1)</f>
        <v>1</v>
      </c>
      <c r="J11" s="166" t="n">
        <f aca="true">IFERROR(OFFSET(T.Feiertage.Bereich,MATCH(J$10,T.Feiertage.Bereich,0)-1,1,1,1),1)</f>
        <v>1</v>
      </c>
      <c r="K11" s="165" t="n">
        <f aca="true">IFERROR(OFFSET(T.Feiertage.Bereich,MATCH(K$10,T.Feiertage.Bereich,0)-1,1,1,1),1)</f>
        <v>1</v>
      </c>
      <c r="L11" s="166" t="n">
        <f aca="true">IFERROR(OFFSET(T.Feiertage.Bereich,MATCH(L$10,T.Feiertage.Bereich,0)-1,1,1,1),1)</f>
        <v>1</v>
      </c>
      <c r="M11" s="165" t="n">
        <f aca="true">IFERROR(OFFSET(T.Feiertage.Bereich,MATCH(M$10,T.Feiertage.Bereich,0)-1,1,1,1),1)</f>
        <v>1</v>
      </c>
      <c r="N11" s="165" t="n">
        <f aca="true">IFERROR(OFFSET(T.Feiertage.Bereich,MATCH(N$10,T.Feiertage.Bereich,0)-1,1,1,1),1)</f>
        <v>1</v>
      </c>
      <c r="O11" s="165" t="n">
        <f aca="true">IFERROR(OFFSET(T.Feiertage.Bereich,MATCH(O$10,T.Feiertage.Bereich,0)-1,1,1,1),1)</f>
        <v>1</v>
      </c>
      <c r="P11" s="165" t="n">
        <f aca="true">IFERROR(OFFSET(T.Feiertage.Bereich,MATCH(P$10,T.Feiertage.Bereich,0)-1,1,1,1),1)</f>
        <v>1</v>
      </c>
      <c r="Q11" s="166" t="n">
        <f aca="true">IFERROR(OFFSET(T.Feiertage.Bereich,MATCH(Q$10,T.Feiertage.Bereich,0)-1,1,1,1),1)</f>
        <v>1</v>
      </c>
      <c r="R11" s="165" t="n">
        <f aca="true">IFERROR(OFFSET(T.Feiertage.Bereich,MATCH(R$10,T.Feiertage.Bereich,0)-1,1,1,1),1)</f>
        <v>1</v>
      </c>
      <c r="S11" s="166" t="n">
        <f aca="true">IFERROR(OFFSET(T.Feiertage.Bereich,MATCH(S$10,T.Feiertage.Bereich,0)-1,1,1,1),1)</f>
        <v>1</v>
      </c>
      <c r="T11" s="166" t="n">
        <f aca="true">IFERROR(OFFSET(T.Feiertage.Bereich,MATCH(T$10,T.Feiertage.Bereich,0)-1,1,1,1),1)</f>
        <v>1</v>
      </c>
      <c r="U11" s="165" t="n">
        <f aca="true">IFERROR(OFFSET(T.Feiertage.Bereich,MATCH(U$10,T.Feiertage.Bereich,0)-1,1,1,1),1)</f>
        <v>1</v>
      </c>
      <c r="V11" s="165" t="n">
        <f aca="true">IFERROR(OFFSET(T.Feiertage.Bereich,MATCH(V$10,T.Feiertage.Bereich,0)-1,1,1,1),1)</f>
        <v>1</v>
      </c>
      <c r="W11" s="165" t="n">
        <f aca="true">IFERROR(OFFSET(T.Feiertage.Bereich,MATCH(W$10,T.Feiertage.Bereich,0)-1,1,1,1),1)</f>
        <v>1</v>
      </c>
      <c r="X11" s="166" t="n">
        <f aca="true">IFERROR(OFFSET(T.Feiertage.Bereich,MATCH(X$10,T.Feiertage.Bereich,0)-1,1,1,1),1)</f>
        <v>1</v>
      </c>
      <c r="Y11" s="165" t="n">
        <f aca="true">IFERROR(OFFSET(T.Feiertage.Bereich,MATCH(Y$10,T.Feiertage.Bereich,0)-1,1,1,1),1)</f>
        <v>1</v>
      </c>
      <c r="Z11" s="167" t="n">
        <f aca="true">IFERROR(OFFSET(T.Feiertage.Bereich,MATCH(Z$10,T.Feiertage.Bereich,0)-1,1,1,1),1)</f>
        <v>1</v>
      </c>
      <c r="AA11" s="165" t="n">
        <f aca="true">IFERROR(OFFSET(T.Feiertage.Bereich,MATCH(AA$10,T.Feiertage.Bereich,0)-1,1,1,1),1)</f>
        <v>1</v>
      </c>
      <c r="AB11" s="165" t="n">
        <f aca="true">IFERROR(OFFSET(T.Feiertage.Bereich,MATCH(AB$10,T.Feiertage.Bereich,0)-1,1,1,1),1)</f>
        <v>1</v>
      </c>
      <c r="AC11" s="165" t="n">
        <f aca="true">IFERROR(OFFSET(T.Feiertage.Bereich,MATCH(AC$10,T.Feiertage.Bereich,0)-1,1,1,1),1)</f>
        <v>1</v>
      </c>
      <c r="AD11" s="168"/>
      <c r="AE11" s="146"/>
      <c r="AF11" s="169"/>
      <c r="AG11" s="170"/>
      <c r="AH11" s="171"/>
      <c r="AI11" s="172"/>
      <c r="AJ11" s="172"/>
      <c r="AK11" s="171"/>
      <c r="AL11" s="172"/>
      <c r="AM11" s="172"/>
      <c r="AN11" s="163"/>
    </row>
    <row r="12" s="164" customFormat="true" ht="12" hidden="true" customHeight="true" outlineLevel="0" collapsed="false">
      <c r="A12" s="157" t="s">
        <v>127</v>
      </c>
      <c r="B12" s="173" t="n">
        <f aca="false">IF(OR(AND(ISNUMBER(EB.UJEintritt),EB.UJEintritt&gt;=B$10+1),AND(ISNUMBER(EB.UJAustritt),EB.UJAustritt&lt;=B$10-1)),0,1)</f>
        <v>0</v>
      </c>
      <c r="C12" s="173" t="n">
        <f aca="false">IF(OR(AND(ISNUMBER(EB.UJEintritt),EB.UJEintritt&gt;=C$10+1),AND(ISNUMBER(EB.UJAustritt),EB.UJAustritt&lt;=C$10-1)),0,1)</f>
        <v>0</v>
      </c>
      <c r="D12" s="173" t="n">
        <f aca="false">IF(OR(AND(ISNUMBER(EB.UJEintritt),EB.UJEintritt&gt;=D$10+1),AND(ISNUMBER(EB.UJAustritt),EB.UJAustritt&lt;=D$10-1)),0,1)</f>
        <v>0</v>
      </c>
      <c r="E12" s="156" t="n">
        <f aca="false">IF(OR(AND(ISNUMBER(EB.UJEintritt),EB.UJEintritt&gt;=E$10+1),AND(ISNUMBER(EB.UJAustritt),EB.UJAustritt&lt;=E$10-1)),0,1)</f>
        <v>0</v>
      </c>
      <c r="F12" s="173" t="n">
        <f aca="false">IF(OR(AND(ISNUMBER(EB.UJEintritt),EB.UJEintritt&gt;=F$10+1),AND(ISNUMBER(EB.UJAustritt),EB.UJAustritt&lt;=F$10-1)),0,1)</f>
        <v>0</v>
      </c>
      <c r="G12" s="173" t="n">
        <f aca="false">IF(OR(AND(ISNUMBER(EB.UJEintritt),EB.UJEintritt&gt;=G$10+1),AND(ISNUMBER(EB.UJAustritt),EB.UJAustritt&lt;=G$10-1)),0,1)</f>
        <v>0</v>
      </c>
      <c r="H12" s="173" t="n">
        <f aca="false">IF(OR(AND(ISNUMBER(EB.UJEintritt),EB.UJEintritt&gt;=H$10+1),AND(ISNUMBER(EB.UJAustritt),EB.UJAustritt&lt;=H$10-1)),0,1)</f>
        <v>0</v>
      </c>
      <c r="I12" s="173" t="n">
        <f aca="false">IF(OR(AND(ISNUMBER(EB.UJEintritt),EB.UJEintritt&gt;=I$10+1),AND(ISNUMBER(EB.UJAustritt),EB.UJAustritt&lt;=I$10-1)),0,1)</f>
        <v>0</v>
      </c>
      <c r="J12" s="156" t="n">
        <f aca="false">IF(OR(AND(ISNUMBER(EB.UJEintritt),EB.UJEintritt&gt;=J$10+1),AND(ISNUMBER(EB.UJAustritt),EB.UJAustritt&lt;=J$10-1)),0,1)</f>
        <v>0</v>
      </c>
      <c r="K12" s="173" t="n">
        <f aca="false">IF(OR(AND(ISNUMBER(EB.UJEintritt),EB.UJEintritt&gt;=K$10+1),AND(ISNUMBER(EB.UJAustritt),EB.UJAustritt&lt;=K$10-1)),0,1)</f>
        <v>0</v>
      </c>
      <c r="L12" s="156" t="n">
        <f aca="false">IF(OR(AND(ISNUMBER(EB.UJEintritt),EB.UJEintritt&gt;=L$10+1),AND(ISNUMBER(EB.UJAustritt),EB.UJAustritt&lt;=L$10-1)),0,1)</f>
        <v>0</v>
      </c>
      <c r="M12" s="173" t="n">
        <f aca="false">IF(OR(AND(ISNUMBER(EB.UJEintritt),EB.UJEintritt&gt;=M$10+1),AND(ISNUMBER(EB.UJAustritt),EB.UJAustritt&lt;=M$10-1)),0,1)</f>
        <v>0</v>
      </c>
      <c r="N12" s="173" t="n">
        <f aca="false">IF(OR(AND(ISNUMBER(EB.UJEintritt),EB.UJEintritt&gt;=N$10+1),AND(ISNUMBER(EB.UJAustritt),EB.UJAustritt&lt;=N$10-1)),0,1)</f>
        <v>0</v>
      </c>
      <c r="O12" s="173" t="n">
        <f aca="false">IF(OR(AND(ISNUMBER(EB.UJEintritt),EB.UJEintritt&gt;=O$10+1),AND(ISNUMBER(EB.UJAustritt),EB.UJAustritt&lt;=O$10-1)),0,1)</f>
        <v>0</v>
      </c>
      <c r="P12" s="173" t="n">
        <f aca="false">IF(OR(AND(ISNUMBER(EB.UJEintritt),EB.UJEintritt&gt;=P$10+1),AND(ISNUMBER(EB.UJAustritt),EB.UJAustritt&lt;=P$10-1)),0,1)</f>
        <v>0</v>
      </c>
      <c r="Q12" s="156" t="n">
        <f aca="false">IF(OR(AND(ISNUMBER(EB.UJEintritt),EB.UJEintritt&gt;=Q$10+1),AND(ISNUMBER(EB.UJAustritt),EB.UJAustritt&lt;=Q$10-1)),0,1)</f>
        <v>0</v>
      </c>
      <c r="R12" s="173" t="n">
        <f aca="false">IF(OR(AND(ISNUMBER(EB.UJEintritt),EB.UJEintritt&gt;=R$10+1),AND(ISNUMBER(EB.UJAustritt),EB.UJAustritt&lt;=R$10-1)),0,1)</f>
        <v>0</v>
      </c>
      <c r="S12" s="156" t="n">
        <f aca="false">IF(OR(AND(ISNUMBER(EB.UJEintritt),EB.UJEintritt&gt;=S$10+1),AND(ISNUMBER(EB.UJAustritt),EB.UJAustritt&lt;=S$10-1)),0,1)</f>
        <v>0</v>
      </c>
      <c r="T12" s="156" t="n">
        <f aca="false">IF(OR(AND(ISNUMBER(EB.UJEintritt),EB.UJEintritt&gt;=T$10+1),AND(ISNUMBER(EB.UJAustritt),EB.UJAustritt&lt;=T$10-1)),0,1)</f>
        <v>0</v>
      </c>
      <c r="U12" s="173" t="n">
        <f aca="false">IF(OR(AND(ISNUMBER(EB.UJEintritt),EB.UJEintritt&gt;=U$10+1),AND(ISNUMBER(EB.UJAustritt),EB.UJAustritt&lt;=U$10-1)),0,1)</f>
        <v>0</v>
      </c>
      <c r="V12" s="173" t="n">
        <f aca="false">IF(OR(AND(ISNUMBER(EB.UJEintritt),EB.UJEintritt&gt;=V$10+1),AND(ISNUMBER(EB.UJAustritt),EB.UJAustritt&lt;=V$10-1)),0,1)</f>
        <v>0</v>
      </c>
      <c r="W12" s="173" t="n">
        <f aca="false">IF(OR(AND(ISNUMBER(EB.UJEintritt),EB.UJEintritt&gt;=W$10+1),AND(ISNUMBER(EB.UJAustritt),EB.UJAustritt&lt;=W$10-1)),0,1)</f>
        <v>0</v>
      </c>
      <c r="X12" s="156" t="n">
        <f aca="false">IF(OR(AND(ISNUMBER(EB.UJEintritt),EB.UJEintritt&gt;=X$10+1),AND(ISNUMBER(EB.UJAustritt),EB.UJAustritt&lt;=X$10-1)),0,1)</f>
        <v>0</v>
      </c>
      <c r="Y12" s="173" t="n">
        <f aca="false">IF(OR(AND(ISNUMBER(EB.UJEintritt),EB.UJEintritt&gt;=Y$10+1),AND(ISNUMBER(EB.UJAustritt),EB.UJAustritt&lt;=Y$10-1)),0,1)</f>
        <v>0</v>
      </c>
      <c r="Z12" s="174" t="n">
        <f aca="false">IF(OR(AND(ISNUMBER(EB.UJEintritt),EB.UJEintritt&gt;=Z$10+1),AND(ISNUMBER(EB.UJAustritt),EB.UJAustritt&lt;=Z$10-1)),0,1)</f>
        <v>0</v>
      </c>
      <c r="AA12" s="173" t="n">
        <f aca="false">IF(OR(AND(ISNUMBER(EB.UJEintritt),EB.UJEintritt&gt;=AA$10+1),AND(ISNUMBER(EB.UJAustritt),EB.UJAustritt&lt;=AA$10-1)),0,1)</f>
        <v>0</v>
      </c>
      <c r="AB12" s="173" t="n">
        <f aca="false">IF(OR(AND(ISNUMBER(EB.UJEintritt),EB.UJEintritt&gt;=AB$10+1),AND(ISNUMBER(EB.UJAustritt),EB.UJAustritt&lt;=AB$10-1)),0,1)</f>
        <v>0</v>
      </c>
      <c r="AC12" s="173" t="n">
        <f aca="false">IF(OR(AND(ISNUMBER(EB.UJEintritt),EB.UJEintritt&gt;=AC$10+1),AND(ISNUMBER(EB.UJAustritt),EB.UJAustritt&lt;=AC$10-1)),0,1)</f>
        <v>0</v>
      </c>
      <c r="AD12" s="168"/>
      <c r="AE12" s="146"/>
      <c r="AF12" s="169"/>
      <c r="AG12" s="170"/>
      <c r="AH12" s="171"/>
      <c r="AI12" s="172"/>
      <c r="AJ12" s="172"/>
      <c r="AK12" s="171"/>
      <c r="AL12" s="172"/>
      <c r="AM12" s="172"/>
      <c r="AN12" s="163"/>
    </row>
    <row r="13" s="148" customFormat="true" ht="15" hidden="false" customHeight="true" outlineLevel="0" collapsed="false">
      <c r="A13" s="175" t="s">
        <v>128</v>
      </c>
      <c r="B13" s="176"/>
      <c r="C13" s="176"/>
      <c r="D13" s="176"/>
      <c r="E13" s="177"/>
      <c r="F13" s="176"/>
      <c r="G13" s="176"/>
      <c r="H13" s="176"/>
      <c r="I13" s="176"/>
      <c r="J13" s="177"/>
      <c r="K13" s="176"/>
      <c r="L13" s="177"/>
      <c r="M13" s="176"/>
      <c r="N13" s="176"/>
      <c r="O13" s="176"/>
      <c r="P13" s="176"/>
      <c r="Q13" s="177"/>
      <c r="R13" s="176"/>
      <c r="S13" s="177"/>
      <c r="T13" s="177"/>
      <c r="U13" s="176"/>
      <c r="V13" s="176"/>
      <c r="W13" s="176"/>
      <c r="X13" s="177"/>
      <c r="Y13" s="176"/>
      <c r="Z13" s="178"/>
      <c r="AA13" s="176"/>
      <c r="AB13" s="176"/>
      <c r="AC13" s="176"/>
      <c r="AD13" s="168" t="str">
        <f aca="false">A13</f>
        <v>in</v>
      </c>
      <c r="AE13" s="146"/>
      <c r="AF13" s="169"/>
      <c r="AG13" s="170"/>
      <c r="AH13" s="171"/>
      <c r="AI13" s="172"/>
      <c r="AJ13" s="172"/>
      <c r="AK13" s="171"/>
      <c r="AL13" s="172"/>
      <c r="AM13" s="172"/>
      <c r="AN13" s="39"/>
    </row>
    <row r="14" s="148" customFormat="true" ht="15" hidden="false" customHeight="true" outlineLevel="0" collapsed="false">
      <c r="A14" s="175" t="s">
        <v>129</v>
      </c>
      <c r="B14" s="176"/>
      <c r="C14" s="176"/>
      <c r="D14" s="176"/>
      <c r="E14" s="177"/>
      <c r="F14" s="176"/>
      <c r="G14" s="176"/>
      <c r="H14" s="176"/>
      <c r="I14" s="176"/>
      <c r="J14" s="177"/>
      <c r="K14" s="176"/>
      <c r="L14" s="177"/>
      <c r="M14" s="176"/>
      <c r="N14" s="176"/>
      <c r="O14" s="176"/>
      <c r="P14" s="176"/>
      <c r="Q14" s="177"/>
      <c r="R14" s="176"/>
      <c r="S14" s="177"/>
      <c r="T14" s="177"/>
      <c r="U14" s="176"/>
      <c r="V14" s="176"/>
      <c r="W14" s="176"/>
      <c r="X14" s="177"/>
      <c r="Y14" s="176"/>
      <c r="Z14" s="178"/>
      <c r="AA14" s="176"/>
      <c r="AB14" s="176"/>
      <c r="AC14" s="176"/>
      <c r="AD14" s="168" t="str">
        <f aca="false">A14</f>
        <v>out</v>
      </c>
      <c r="AE14" s="146"/>
      <c r="AF14" s="169"/>
      <c r="AG14" s="170"/>
      <c r="AH14" s="171"/>
      <c r="AI14" s="172"/>
      <c r="AJ14" s="172"/>
      <c r="AK14" s="171"/>
      <c r="AL14" s="172"/>
      <c r="AM14" s="172"/>
      <c r="AN14" s="39"/>
    </row>
    <row r="15" s="148" customFormat="true" ht="15" hidden="false" customHeight="true" outlineLevel="0" collapsed="false">
      <c r="A15" s="175" t="s">
        <v>128</v>
      </c>
      <c r="B15" s="176"/>
      <c r="C15" s="176"/>
      <c r="D15" s="176"/>
      <c r="E15" s="177"/>
      <c r="F15" s="176"/>
      <c r="G15" s="176"/>
      <c r="H15" s="176"/>
      <c r="I15" s="176"/>
      <c r="J15" s="177"/>
      <c r="K15" s="176"/>
      <c r="L15" s="177"/>
      <c r="M15" s="176"/>
      <c r="N15" s="176"/>
      <c r="O15" s="176"/>
      <c r="P15" s="176"/>
      <c r="Q15" s="177"/>
      <c r="R15" s="176"/>
      <c r="S15" s="177"/>
      <c r="T15" s="177"/>
      <c r="U15" s="176"/>
      <c r="V15" s="176"/>
      <c r="W15" s="176"/>
      <c r="X15" s="177"/>
      <c r="Y15" s="176"/>
      <c r="Z15" s="178"/>
      <c r="AA15" s="176"/>
      <c r="AB15" s="176"/>
      <c r="AC15" s="176"/>
      <c r="AD15" s="168" t="str">
        <f aca="false">A15</f>
        <v>in</v>
      </c>
      <c r="AE15" s="146"/>
      <c r="AF15" s="169"/>
      <c r="AG15" s="170"/>
      <c r="AH15" s="171"/>
      <c r="AI15" s="172"/>
      <c r="AJ15" s="172"/>
      <c r="AK15" s="171"/>
      <c r="AL15" s="172"/>
      <c r="AM15" s="172"/>
      <c r="AN15" s="39"/>
    </row>
    <row r="16" s="148" customFormat="true" ht="15" hidden="false" customHeight="true" outlineLevel="0" collapsed="false">
      <c r="A16" s="175" t="s">
        <v>129</v>
      </c>
      <c r="B16" s="176"/>
      <c r="C16" s="176"/>
      <c r="D16" s="176"/>
      <c r="E16" s="177"/>
      <c r="F16" s="176"/>
      <c r="G16" s="176"/>
      <c r="H16" s="176"/>
      <c r="I16" s="176"/>
      <c r="J16" s="177"/>
      <c r="K16" s="176"/>
      <c r="L16" s="177"/>
      <c r="M16" s="176"/>
      <c r="N16" s="176"/>
      <c r="O16" s="176"/>
      <c r="P16" s="176"/>
      <c r="Q16" s="177"/>
      <c r="R16" s="176"/>
      <c r="S16" s="177"/>
      <c r="T16" s="177"/>
      <c r="U16" s="176"/>
      <c r="V16" s="176"/>
      <c r="W16" s="176"/>
      <c r="X16" s="177"/>
      <c r="Y16" s="176"/>
      <c r="Z16" s="178"/>
      <c r="AA16" s="176"/>
      <c r="AB16" s="176"/>
      <c r="AC16" s="176"/>
      <c r="AD16" s="168" t="str">
        <f aca="false">A16</f>
        <v>out</v>
      </c>
      <c r="AE16" s="146"/>
      <c r="AF16" s="179"/>
      <c r="AG16" s="180"/>
      <c r="AH16" s="172"/>
      <c r="AI16" s="172"/>
      <c r="AJ16" s="172"/>
      <c r="AK16" s="171"/>
      <c r="AL16" s="172"/>
      <c r="AM16" s="172"/>
      <c r="AN16" s="39"/>
    </row>
    <row r="17" s="148" customFormat="true" ht="15" hidden="false" customHeight="true" outlineLevel="0" collapsed="false">
      <c r="A17" s="175" t="s">
        <v>128</v>
      </c>
      <c r="B17" s="176"/>
      <c r="C17" s="176"/>
      <c r="D17" s="176"/>
      <c r="E17" s="177"/>
      <c r="F17" s="176"/>
      <c r="G17" s="176"/>
      <c r="H17" s="176"/>
      <c r="I17" s="176"/>
      <c r="J17" s="177"/>
      <c r="K17" s="176"/>
      <c r="L17" s="177"/>
      <c r="M17" s="176"/>
      <c r="N17" s="176"/>
      <c r="O17" s="176"/>
      <c r="P17" s="176"/>
      <c r="Q17" s="177"/>
      <c r="R17" s="176"/>
      <c r="S17" s="177"/>
      <c r="T17" s="177"/>
      <c r="U17" s="176"/>
      <c r="V17" s="176"/>
      <c r="W17" s="176"/>
      <c r="X17" s="177"/>
      <c r="Y17" s="176"/>
      <c r="Z17" s="178"/>
      <c r="AA17" s="176"/>
      <c r="AB17" s="176"/>
      <c r="AC17" s="176"/>
      <c r="AD17" s="168" t="str">
        <f aca="false">A17</f>
        <v>in</v>
      </c>
      <c r="AE17" s="146"/>
      <c r="AF17" s="179"/>
      <c r="AG17" s="180"/>
      <c r="AH17" s="172"/>
      <c r="AI17" s="172"/>
      <c r="AJ17" s="172"/>
      <c r="AK17" s="171"/>
      <c r="AL17" s="172"/>
      <c r="AM17" s="172"/>
      <c r="AN17" s="39"/>
    </row>
    <row r="18" s="148" customFormat="true" ht="15" hidden="false" customHeight="true" outlineLevel="0" collapsed="false">
      <c r="A18" s="175" t="s">
        <v>129</v>
      </c>
      <c r="B18" s="176"/>
      <c r="C18" s="176"/>
      <c r="D18" s="176"/>
      <c r="E18" s="177"/>
      <c r="F18" s="176"/>
      <c r="G18" s="176"/>
      <c r="H18" s="176"/>
      <c r="I18" s="176"/>
      <c r="J18" s="177"/>
      <c r="K18" s="176"/>
      <c r="L18" s="177"/>
      <c r="M18" s="176"/>
      <c r="N18" s="176"/>
      <c r="O18" s="176"/>
      <c r="P18" s="176"/>
      <c r="Q18" s="177"/>
      <c r="R18" s="176"/>
      <c r="S18" s="177"/>
      <c r="T18" s="177"/>
      <c r="U18" s="176"/>
      <c r="V18" s="176"/>
      <c r="W18" s="176"/>
      <c r="X18" s="177"/>
      <c r="Y18" s="176"/>
      <c r="Z18" s="178"/>
      <c r="AA18" s="176"/>
      <c r="AB18" s="176"/>
      <c r="AC18" s="176"/>
      <c r="AD18" s="168" t="str">
        <f aca="false">A18</f>
        <v>out</v>
      </c>
      <c r="AE18" s="146"/>
      <c r="AF18" s="179"/>
      <c r="AG18" s="180"/>
      <c r="AH18" s="172"/>
      <c r="AI18" s="172"/>
      <c r="AJ18" s="172"/>
      <c r="AK18" s="171"/>
      <c r="AL18" s="172"/>
      <c r="AM18" s="172"/>
      <c r="AN18" s="39"/>
    </row>
    <row r="19" s="148" customFormat="true" ht="15" hidden="true" customHeight="true" outlineLevel="1" collapsed="false">
      <c r="A19" s="175" t="s">
        <v>128</v>
      </c>
      <c r="B19" s="176"/>
      <c r="C19" s="176"/>
      <c r="D19" s="176"/>
      <c r="E19" s="177"/>
      <c r="F19" s="176"/>
      <c r="G19" s="176"/>
      <c r="H19" s="176"/>
      <c r="I19" s="176"/>
      <c r="J19" s="177"/>
      <c r="K19" s="176"/>
      <c r="L19" s="177"/>
      <c r="M19" s="176"/>
      <c r="N19" s="176"/>
      <c r="O19" s="176"/>
      <c r="P19" s="176"/>
      <c r="Q19" s="177"/>
      <c r="R19" s="176"/>
      <c r="S19" s="177"/>
      <c r="T19" s="177"/>
      <c r="U19" s="176"/>
      <c r="V19" s="176"/>
      <c r="W19" s="176"/>
      <c r="X19" s="177"/>
      <c r="Y19" s="176"/>
      <c r="Z19" s="178"/>
      <c r="AA19" s="176"/>
      <c r="AB19" s="176"/>
      <c r="AC19" s="176"/>
      <c r="AD19" s="168" t="str">
        <f aca="false">A19</f>
        <v>in</v>
      </c>
      <c r="AE19" s="146"/>
      <c r="AF19" s="179"/>
      <c r="AG19" s="180"/>
      <c r="AH19" s="172"/>
      <c r="AI19" s="172"/>
      <c r="AJ19" s="172"/>
      <c r="AK19" s="171"/>
      <c r="AL19" s="172"/>
      <c r="AM19" s="172"/>
      <c r="AN19" s="39"/>
    </row>
    <row r="20" s="148" customFormat="true" ht="15" hidden="true" customHeight="true" outlineLevel="1" collapsed="false">
      <c r="A20" s="175" t="s">
        <v>129</v>
      </c>
      <c r="B20" s="176"/>
      <c r="C20" s="176"/>
      <c r="D20" s="176"/>
      <c r="E20" s="177"/>
      <c r="F20" s="176"/>
      <c r="G20" s="176"/>
      <c r="H20" s="176"/>
      <c r="I20" s="176"/>
      <c r="J20" s="177"/>
      <c r="K20" s="176"/>
      <c r="L20" s="177"/>
      <c r="M20" s="176"/>
      <c r="N20" s="176"/>
      <c r="O20" s="176"/>
      <c r="P20" s="176"/>
      <c r="Q20" s="177"/>
      <c r="R20" s="176"/>
      <c r="S20" s="177"/>
      <c r="T20" s="177"/>
      <c r="U20" s="176"/>
      <c r="V20" s="176"/>
      <c r="W20" s="176"/>
      <c r="X20" s="177"/>
      <c r="Y20" s="176"/>
      <c r="Z20" s="178"/>
      <c r="AA20" s="176"/>
      <c r="AB20" s="176"/>
      <c r="AC20" s="176"/>
      <c r="AD20" s="168" t="str">
        <f aca="false">A20</f>
        <v>out</v>
      </c>
      <c r="AE20" s="146"/>
      <c r="AF20" s="179"/>
      <c r="AG20" s="180"/>
      <c r="AH20" s="172"/>
      <c r="AI20" s="172"/>
      <c r="AJ20" s="172"/>
      <c r="AK20" s="171"/>
      <c r="AL20" s="172"/>
      <c r="AM20" s="172"/>
      <c r="AN20" s="39"/>
    </row>
    <row r="21" s="148" customFormat="true" ht="15" hidden="true" customHeight="true" outlineLevel="1" collapsed="false">
      <c r="A21" s="175" t="s">
        <v>128</v>
      </c>
      <c r="B21" s="176"/>
      <c r="C21" s="176"/>
      <c r="D21" s="176"/>
      <c r="E21" s="177"/>
      <c r="F21" s="176"/>
      <c r="G21" s="176"/>
      <c r="H21" s="176"/>
      <c r="I21" s="176"/>
      <c r="J21" s="177"/>
      <c r="K21" s="176"/>
      <c r="L21" s="177"/>
      <c r="M21" s="176"/>
      <c r="N21" s="176"/>
      <c r="O21" s="176"/>
      <c r="P21" s="176"/>
      <c r="Q21" s="177"/>
      <c r="R21" s="176"/>
      <c r="S21" s="177"/>
      <c r="T21" s="177"/>
      <c r="U21" s="176"/>
      <c r="V21" s="176"/>
      <c r="W21" s="176"/>
      <c r="X21" s="177"/>
      <c r="Y21" s="176"/>
      <c r="Z21" s="178"/>
      <c r="AA21" s="176"/>
      <c r="AB21" s="176"/>
      <c r="AC21" s="176"/>
      <c r="AD21" s="168" t="str">
        <f aca="false">A21</f>
        <v>in</v>
      </c>
      <c r="AE21" s="146"/>
      <c r="AF21" s="179"/>
      <c r="AG21" s="180"/>
      <c r="AH21" s="172"/>
      <c r="AI21" s="172"/>
      <c r="AJ21" s="172"/>
      <c r="AK21" s="171"/>
      <c r="AL21" s="172"/>
      <c r="AM21" s="172"/>
      <c r="AN21" s="39"/>
    </row>
    <row r="22" s="148" customFormat="true" ht="15" hidden="true" customHeight="true" outlineLevel="1" collapsed="false">
      <c r="A22" s="175" t="s">
        <v>129</v>
      </c>
      <c r="B22" s="176"/>
      <c r="C22" s="176"/>
      <c r="D22" s="176"/>
      <c r="E22" s="177"/>
      <c r="F22" s="176"/>
      <c r="G22" s="176"/>
      <c r="H22" s="176"/>
      <c r="I22" s="176"/>
      <c r="J22" s="177"/>
      <c r="K22" s="176"/>
      <c r="L22" s="177"/>
      <c r="M22" s="176"/>
      <c r="N22" s="176"/>
      <c r="O22" s="176"/>
      <c r="P22" s="176"/>
      <c r="Q22" s="177"/>
      <c r="R22" s="176"/>
      <c r="S22" s="177"/>
      <c r="T22" s="177"/>
      <c r="U22" s="176"/>
      <c r="V22" s="176"/>
      <c r="W22" s="176"/>
      <c r="X22" s="177"/>
      <c r="Y22" s="176"/>
      <c r="Z22" s="178"/>
      <c r="AA22" s="176"/>
      <c r="AB22" s="176"/>
      <c r="AC22" s="176"/>
      <c r="AD22" s="168" t="str">
        <f aca="false">A22</f>
        <v>out</v>
      </c>
      <c r="AE22" s="146"/>
      <c r="AF22" s="179"/>
      <c r="AG22" s="180"/>
      <c r="AH22" s="172"/>
      <c r="AI22" s="172"/>
      <c r="AJ22" s="172"/>
      <c r="AK22" s="171"/>
      <c r="AL22" s="172"/>
      <c r="AM22" s="172"/>
      <c r="AN22" s="39"/>
    </row>
    <row r="23" s="148" customFormat="true" ht="15" hidden="false" customHeight="true" outlineLevel="0" collapsed="false">
      <c r="A23" s="181" t="s">
        <v>130</v>
      </c>
      <c r="B23" s="182" t="n">
        <f aca="false">ROUND((B14-B13)+(B16-B15)+(B18-B17)+(B20-B19)+(B22-B21),9)</f>
        <v>0</v>
      </c>
      <c r="C23" s="182" t="n">
        <f aca="false">ROUND((C14-C13)+(C16-C15)+(C18-C17)+(C20-C19)+(C22-C21),9)</f>
        <v>0</v>
      </c>
      <c r="D23" s="182" t="n">
        <f aca="false">ROUND((D14-D13)+(D16-D15)+(D18-D17)+(D20-D19)+(D22-D21),9)</f>
        <v>0</v>
      </c>
      <c r="E23" s="182" t="n">
        <f aca="false">ROUND((E14-E13)+(E16-E15)+(E18-E17)+(E20-E19)+(E22-E21),9)</f>
        <v>0</v>
      </c>
      <c r="F23" s="182" t="n">
        <f aca="false">ROUND((F14-F13)+(F16-F15)+(F18-F17)+(F20-F19)+(F22-F21),9)</f>
        <v>0</v>
      </c>
      <c r="G23" s="182" t="n">
        <f aca="false">ROUND((G14-G13)+(G16-G15)+(G18-G17)+(G20-G19)+(G22-G21),9)</f>
        <v>0</v>
      </c>
      <c r="H23" s="182" t="n">
        <f aca="false">ROUND((H14-H13)+(H16-H15)+(H18-H17)+(H20-H19)+(H22-H21),9)</f>
        <v>0</v>
      </c>
      <c r="I23" s="182" t="n">
        <f aca="false">ROUND((I14-I13)+(I16-I15)+(I18-I17)+(I20-I19)+(I22-I21),9)</f>
        <v>0</v>
      </c>
      <c r="J23" s="182" t="n">
        <f aca="false">ROUND((J14-J13)+(J16-J15)+(J18-J17)+(J20-J19)+(J22-J21),9)</f>
        <v>0</v>
      </c>
      <c r="K23" s="182" t="n">
        <f aca="false">ROUND((K14-K13)+(K16-K15)+(K18-K17)+(K20-K19)+(K22-K21),9)</f>
        <v>0</v>
      </c>
      <c r="L23" s="182" t="n">
        <f aca="false">ROUND((L14-L13)+(L16-L15)+(L18-L17)+(L20-L19)+(L22-L21),9)</f>
        <v>0</v>
      </c>
      <c r="M23" s="182" t="n">
        <f aca="false">ROUND((M14-M13)+(M16-M15)+(M18-M17)+(M20-M19)+(M22-M21),9)</f>
        <v>0</v>
      </c>
      <c r="N23" s="182" t="n">
        <f aca="false">ROUND((N14-N13)+(N16-N15)+(N18-N17)+(N20-N19)+(N22-N21),9)</f>
        <v>0</v>
      </c>
      <c r="O23" s="182" t="n">
        <f aca="false">ROUND((O14-O13)+(O16-O15)+(O18-O17)+(O20-O19)+(O22-O21),9)</f>
        <v>0</v>
      </c>
      <c r="P23" s="182" t="n">
        <f aca="false">ROUND((P14-P13)+(P16-P15)+(P18-P17)+(P20-P19)+(P22-P21),9)</f>
        <v>0</v>
      </c>
      <c r="Q23" s="182" t="n">
        <f aca="false">ROUND((Q14-Q13)+(Q16-Q15)+(Q18-Q17)+(Q20-Q19)+(Q22-Q21),9)</f>
        <v>0</v>
      </c>
      <c r="R23" s="182" t="n">
        <f aca="false">ROUND((R14-R13)+(R16-R15)+(R18-R17)+(R20-R19)+(R22-R21),9)</f>
        <v>0</v>
      </c>
      <c r="S23" s="182" t="n">
        <f aca="false">ROUND((S14-S13)+(S16-S15)+(S18-S17)+(S20-S19)+(S22-S21),9)</f>
        <v>0</v>
      </c>
      <c r="T23" s="182" t="n">
        <f aca="false">ROUND((T14-T13)+(T16-T15)+(T18-T17)+(T20-T19)+(T22-T21),9)</f>
        <v>0</v>
      </c>
      <c r="U23" s="182" t="n">
        <f aca="false">ROUND((U14-U13)+(U16-U15)+(U18-U17)+(U20-U19)+(U22-U21),9)</f>
        <v>0</v>
      </c>
      <c r="V23" s="182" t="n">
        <f aca="false">ROUND((V14-V13)+(V16-V15)+(V18-V17)+(V20-V19)+(V22-V21),9)</f>
        <v>0</v>
      </c>
      <c r="W23" s="182" t="n">
        <f aca="false">ROUND((W14-W13)+(W16-W15)+(W18-W17)+(W20-W19)+(W22-W21),9)</f>
        <v>0</v>
      </c>
      <c r="X23" s="182" t="n">
        <f aca="false">ROUND((X14-X13)+(X16-X15)+(X18-X17)+(X20-X19)+(X22-X21),9)</f>
        <v>0</v>
      </c>
      <c r="Y23" s="182" t="n">
        <f aca="false">ROUND((Y14-Y13)+(Y16-Y15)+(Y18-Y17)+(Y20-Y19)+(Y22-Y21),9)</f>
        <v>0</v>
      </c>
      <c r="Z23" s="182" t="n">
        <f aca="false">ROUND((Z14-Z13)+(Z16-Z15)+(Z18-Z17)+(Z20-Z19)+(Z22-Z21),9)</f>
        <v>0</v>
      </c>
      <c r="AA23" s="182" t="n">
        <f aca="false">ROUND((AA14-AA13)+(AA16-AA15)+(AA18-AA17)+(AA20-AA19)+(AA22-AA21),9)</f>
        <v>0</v>
      </c>
      <c r="AB23" s="182" t="n">
        <f aca="false">ROUND((AB14-AB13)+(AB16-AB15)+(AB18-AB17)+(AB20-AB19)+(AB22-AB21),9)</f>
        <v>0</v>
      </c>
      <c r="AC23" s="182" t="n">
        <f aca="false">ROUND((AC14-AC13)+(AC16-AC15)+(AC18-AC17)+(AC20-AC19)+(AC22-AC21),9)</f>
        <v>0</v>
      </c>
      <c r="AD23" s="183" t="str">
        <f aca="false">A23</f>
        <v>Total in/out</v>
      </c>
      <c r="AE23" s="184"/>
      <c r="AF23" s="185" t="n">
        <f aca="false">SUM(B23:AC23)</f>
        <v>0</v>
      </c>
      <c r="AG23" s="180"/>
      <c r="AH23" s="172"/>
      <c r="AI23" s="172"/>
      <c r="AJ23" s="172"/>
      <c r="AK23" s="171"/>
      <c r="AL23" s="172"/>
      <c r="AM23" s="172"/>
      <c r="AN23" s="39"/>
    </row>
    <row r="24" s="148" customFormat="true" ht="3.75" hidden="true" customHeight="true" outlineLevel="1" collapsed="false">
      <c r="A24" s="186"/>
      <c r="B24" s="187"/>
      <c r="C24" s="187"/>
      <c r="D24" s="187"/>
      <c r="E24" s="187"/>
      <c r="F24" s="187"/>
      <c r="G24" s="187"/>
      <c r="H24" s="187"/>
      <c r="I24" s="187"/>
      <c r="J24" s="187"/>
      <c r="K24" s="187"/>
      <c r="L24" s="187"/>
      <c r="M24" s="187"/>
      <c r="N24" s="187"/>
      <c r="O24" s="187"/>
      <c r="P24" s="187"/>
      <c r="Q24" s="187"/>
      <c r="R24" s="187"/>
      <c r="S24" s="187"/>
      <c r="T24" s="187"/>
      <c r="U24" s="187"/>
      <c r="V24" s="187"/>
      <c r="W24" s="187"/>
      <c r="X24" s="187"/>
      <c r="Y24" s="187"/>
      <c r="Z24" s="187"/>
      <c r="AA24" s="187"/>
      <c r="AB24" s="187"/>
      <c r="AC24" s="187"/>
      <c r="AD24" s="168"/>
      <c r="AE24" s="146"/>
      <c r="AF24" s="179"/>
      <c r="AG24" s="180"/>
      <c r="AH24" s="172"/>
      <c r="AI24" s="172"/>
      <c r="AJ24" s="172"/>
      <c r="AK24" s="171"/>
      <c r="AL24" s="172"/>
      <c r="AM24" s="172"/>
      <c r="AN24" s="39"/>
    </row>
    <row r="25" s="148" customFormat="true" ht="15" hidden="true" customHeight="true" outlineLevel="1" collapsed="false">
      <c r="A25" s="175" t="s">
        <v>131</v>
      </c>
      <c r="B25" s="176"/>
      <c r="C25" s="176"/>
      <c r="D25" s="176"/>
      <c r="E25" s="189"/>
      <c r="F25" s="176"/>
      <c r="G25" s="176"/>
      <c r="H25" s="176"/>
      <c r="I25" s="176"/>
      <c r="J25" s="176"/>
      <c r="K25" s="176"/>
      <c r="L25" s="176"/>
      <c r="M25" s="176"/>
      <c r="N25" s="176"/>
      <c r="O25" s="176"/>
      <c r="P25" s="176"/>
      <c r="Q25" s="176"/>
      <c r="R25" s="176"/>
      <c r="S25" s="176"/>
      <c r="T25" s="176"/>
      <c r="U25" s="176"/>
      <c r="V25" s="176"/>
      <c r="W25" s="176"/>
      <c r="X25" s="176"/>
      <c r="Y25" s="176"/>
      <c r="Z25" s="190"/>
      <c r="AA25" s="176"/>
      <c r="AB25" s="176"/>
      <c r="AC25" s="176"/>
      <c r="AD25" s="168" t="str">
        <f aca="false">A25</f>
        <v>paid break in</v>
      </c>
      <c r="AE25" s="146"/>
      <c r="AF25" s="179"/>
      <c r="AG25" s="180"/>
      <c r="AH25" s="172"/>
      <c r="AI25" s="172"/>
      <c r="AJ25" s="172"/>
      <c r="AK25" s="171"/>
      <c r="AL25" s="172"/>
      <c r="AM25" s="172"/>
      <c r="AN25" s="39"/>
    </row>
    <row r="26" s="148" customFormat="true" ht="15" hidden="true" customHeight="true" outlineLevel="1" collapsed="false">
      <c r="A26" s="175" t="s">
        <v>132</v>
      </c>
      <c r="B26" s="176"/>
      <c r="C26" s="176"/>
      <c r="D26" s="176"/>
      <c r="E26" s="176"/>
      <c r="F26" s="176"/>
      <c r="G26" s="176"/>
      <c r="H26" s="176"/>
      <c r="I26" s="176"/>
      <c r="J26" s="176"/>
      <c r="K26" s="176"/>
      <c r="L26" s="176"/>
      <c r="M26" s="176"/>
      <c r="N26" s="176"/>
      <c r="O26" s="176"/>
      <c r="P26" s="176"/>
      <c r="Q26" s="176"/>
      <c r="R26" s="176"/>
      <c r="S26" s="176"/>
      <c r="T26" s="176"/>
      <c r="U26" s="176"/>
      <c r="V26" s="176"/>
      <c r="W26" s="176"/>
      <c r="X26" s="176"/>
      <c r="Y26" s="176"/>
      <c r="Z26" s="190"/>
      <c r="AA26" s="176"/>
      <c r="AB26" s="176"/>
      <c r="AC26" s="176"/>
      <c r="AD26" s="168" t="str">
        <f aca="false">A26</f>
        <v>paid break out</v>
      </c>
      <c r="AE26" s="146"/>
      <c r="AF26" s="179"/>
      <c r="AG26" s="180"/>
      <c r="AH26" s="172"/>
      <c r="AI26" s="172"/>
      <c r="AJ26" s="172"/>
      <c r="AK26" s="171"/>
      <c r="AL26" s="172"/>
      <c r="AM26" s="172"/>
      <c r="AN26" s="39"/>
    </row>
    <row r="27" s="148" customFormat="true" ht="15" hidden="true" customHeight="true" outlineLevel="1" collapsed="false">
      <c r="A27" s="175" t="s">
        <v>131</v>
      </c>
      <c r="B27" s="176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90"/>
      <c r="AA27" s="176"/>
      <c r="AB27" s="176"/>
      <c r="AC27" s="176"/>
      <c r="AD27" s="168" t="str">
        <f aca="false">A27</f>
        <v>paid break in</v>
      </c>
      <c r="AE27" s="146"/>
      <c r="AF27" s="179"/>
      <c r="AG27" s="180"/>
      <c r="AH27" s="172"/>
      <c r="AI27" s="172"/>
      <c r="AJ27" s="172"/>
      <c r="AK27" s="171"/>
      <c r="AL27" s="172"/>
      <c r="AM27" s="172"/>
      <c r="AN27" s="39"/>
    </row>
    <row r="28" s="148" customFormat="true" ht="15" hidden="true" customHeight="true" outlineLevel="1" collapsed="false">
      <c r="A28" s="175" t="s">
        <v>132</v>
      </c>
      <c r="B28" s="176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90"/>
      <c r="AA28" s="176"/>
      <c r="AB28" s="176"/>
      <c r="AC28" s="176"/>
      <c r="AD28" s="168" t="str">
        <f aca="false">A28</f>
        <v>paid break out</v>
      </c>
      <c r="AE28" s="146"/>
      <c r="AF28" s="179"/>
      <c r="AG28" s="180"/>
      <c r="AH28" s="172"/>
      <c r="AI28" s="172"/>
      <c r="AJ28" s="172"/>
      <c r="AK28" s="171"/>
      <c r="AL28" s="172"/>
      <c r="AM28" s="172"/>
      <c r="AN28" s="39"/>
    </row>
    <row r="29" s="148" customFormat="true" ht="15" hidden="true" customHeight="true" outlineLevel="1" collapsed="false">
      <c r="A29" s="175" t="s">
        <v>131</v>
      </c>
      <c r="B29" s="176"/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90"/>
      <c r="AA29" s="176"/>
      <c r="AB29" s="176"/>
      <c r="AC29" s="176"/>
      <c r="AD29" s="168" t="str">
        <f aca="false">A29</f>
        <v>paid break in</v>
      </c>
      <c r="AE29" s="146"/>
      <c r="AF29" s="179"/>
      <c r="AG29" s="180"/>
      <c r="AH29" s="172"/>
      <c r="AI29" s="172"/>
      <c r="AJ29" s="172"/>
      <c r="AK29" s="171"/>
      <c r="AL29" s="172"/>
      <c r="AM29" s="172"/>
      <c r="AN29" s="39"/>
    </row>
    <row r="30" s="148" customFormat="true" ht="15" hidden="true" customHeight="true" outlineLevel="1" collapsed="false">
      <c r="A30" s="175" t="s">
        <v>132</v>
      </c>
      <c r="B30" s="176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90"/>
      <c r="AA30" s="176"/>
      <c r="AB30" s="176"/>
      <c r="AC30" s="176"/>
      <c r="AD30" s="168" t="str">
        <f aca="false">A30</f>
        <v>paid break out</v>
      </c>
      <c r="AE30" s="146"/>
      <c r="AF30" s="179"/>
      <c r="AG30" s="180"/>
      <c r="AH30" s="172"/>
      <c r="AI30" s="172"/>
      <c r="AJ30" s="172"/>
      <c r="AK30" s="171"/>
      <c r="AL30" s="172"/>
      <c r="AM30" s="172"/>
      <c r="AN30" s="39"/>
    </row>
    <row r="31" s="148" customFormat="true" ht="3.75" hidden="true" customHeight="true" outlineLevel="1" collapsed="false">
      <c r="A31" s="186"/>
      <c r="B31" s="191"/>
      <c r="C31" s="191"/>
      <c r="D31" s="191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  <c r="AA31" s="191"/>
      <c r="AB31" s="191"/>
      <c r="AC31" s="191"/>
      <c r="AD31" s="168"/>
      <c r="AE31" s="146"/>
      <c r="AF31" s="179"/>
      <c r="AG31" s="180"/>
      <c r="AH31" s="172"/>
      <c r="AI31" s="172"/>
      <c r="AJ31" s="172"/>
      <c r="AK31" s="171"/>
      <c r="AL31" s="172"/>
      <c r="AM31" s="172"/>
      <c r="AN31" s="39"/>
    </row>
    <row r="32" s="148" customFormat="true" ht="15" hidden="true" customHeight="true" outlineLevel="1" collapsed="false">
      <c r="A32" s="181" t="s">
        <v>133</v>
      </c>
      <c r="B32" s="193" t="n">
        <f aca="false">ROUND(IF(MAX(0,B15-B14)&lt;1/24/60*180,MAX(0,B15-B14),0)+IF(MAX(0,B17-B16)&lt;1/24/60*180,MAX(0,B17-B16),0)+IF(MAX(0,B19-B18)&lt;1/24/60*180,MAX(0,B19-B18),0)+IF(MAX(0,B21-B20)&lt;1/24/60*180,MAX(0,B21-B20))+MAX(0,B26-B25)+MAX(0,B28-B27)+MAX(0,B30-B29),9)</f>
        <v>0</v>
      </c>
      <c r="C32" s="193" t="n">
        <f aca="false">ROUND(IF(MAX(0,C15-C14)&lt;1/24/60*180,MAX(0,C15-C14),0)+IF(MAX(0,C17-C16)&lt;1/24/60*180,MAX(0,C17-C16),0)+IF(MAX(0,C19-C18)&lt;1/24/60*180,MAX(0,C19-C18),0)+IF(MAX(0,C21-C20)&lt;1/24/60*180,MAX(0,C21-C20))+MAX(0,C26-C25)+MAX(0,C28-C27)+MAX(0,C30-C29),9)</f>
        <v>0</v>
      </c>
      <c r="D32" s="193" t="n">
        <f aca="false">ROUND(IF(MAX(0,D15-D14)&lt;1/24/60*180,MAX(0,D15-D14),0)+IF(MAX(0,D17-D16)&lt;1/24/60*180,MAX(0,D17-D16),0)+IF(MAX(0,D19-D18)&lt;1/24/60*180,MAX(0,D19-D18),0)+IF(MAX(0,D21-D20)&lt;1/24/60*180,MAX(0,D21-D20))+MAX(0,D26-D25)+MAX(0,D28-D27)+MAX(0,D30-D29),9)</f>
        <v>0</v>
      </c>
      <c r="E32" s="193" t="n">
        <f aca="false">ROUND(IF(MAX(0,E15-E14)&lt;1/24/60*180,MAX(0,E15-E14),0)+IF(MAX(0,E17-E16)&lt;1/24/60*180,MAX(0,E17-E16),0)+IF(MAX(0,E19-E18)&lt;1/24/60*180,MAX(0,E19-E18),0)+IF(MAX(0,E21-E20)&lt;1/24/60*180,MAX(0,E21-E20))+MAX(0,E26-E25)+MAX(0,E28-E27)+MAX(0,E30-E29),9)</f>
        <v>0</v>
      </c>
      <c r="F32" s="193" t="n">
        <f aca="false">ROUND(IF(MAX(0,F15-F14)&lt;1/24/60*180,MAX(0,F15-F14),0)+IF(MAX(0,F17-F16)&lt;1/24/60*180,MAX(0,F17-F16),0)+IF(MAX(0,F19-F18)&lt;1/24/60*180,MAX(0,F19-F18),0)+IF(MAX(0,F21-F20)&lt;1/24/60*180,MAX(0,F21-F20))+MAX(0,F26-F25)+MAX(0,F28-F27)+MAX(0,F30-F29),9)</f>
        <v>0</v>
      </c>
      <c r="G32" s="193" t="n">
        <f aca="false">ROUND(IF(MAX(0,G15-G14)&lt;1/24/60*180,MAX(0,G15-G14),0)+IF(MAX(0,G17-G16)&lt;1/24/60*180,MAX(0,G17-G16),0)+IF(MAX(0,G19-G18)&lt;1/24/60*180,MAX(0,G19-G18),0)+IF(MAX(0,G21-G20)&lt;1/24/60*180,MAX(0,G21-G20))+MAX(0,G26-G25)+MAX(0,G28-G27)+MAX(0,G30-G29),9)</f>
        <v>0</v>
      </c>
      <c r="H32" s="193" t="n">
        <f aca="false">ROUND(IF(MAX(0,H15-H14)&lt;1/24/60*180,MAX(0,H15-H14),0)+IF(MAX(0,H17-H16)&lt;1/24/60*180,MAX(0,H17-H16),0)+IF(MAX(0,H19-H18)&lt;1/24/60*180,MAX(0,H19-H18),0)+IF(MAX(0,H21-H20)&lt;1/24/60*180,MAX(0,H21-H20))+MAX(0,H26-H25)+MAX(0,H28-H27)+MAX(0,H30-H29),9)</f>
        <v>0</v>
      </c>
      <c r="I32" s="193" t="n">
        <f aca="false">ROUND(IF(MAX(0,I15-I14)&lt;1/24/60*180,MAX(0,I15-I14),0)+IF(MAX(0,I17-I16)&lt;1/24/60*180,MAX(0,I17-I16),0)+IF(MAX(0,I19-I18)&lt;1/24/60*180,MAX(0,I19-I18),0)+IF(MAX(0,I21-I20)&lt;1/24/60*180,MAX(0,I21-I20))+MAX(0,I26-I25)+MAX(0,I28-I27)+MAX(0,I30-I29),9)</f>
        <v>0</v>
      </c>
      <c r="J32" s="193" t="n">
        <f aca="false">ROUND(IF(MAX(0,J15-J14)&lt;1/24/60*180,MAX(0,J15-J14),0)+IF(MAX(0,J17-J16)&lt;1/24/60*180,MAX(0,J17-J16),0)+IF(MAX(0,J19-J18)&lt;1/24/60*180,MAX(0,J19-J18),0)+IF(MAX(0,J21-J20)&lt;1/24/60*180,MAX(0,J21-J20))+MAX(0,J26-J25)+MAX(0,J28-J27)+MAX(0,J30-J29),9)</f>
        <v>0</v>
      </c>
      <c r="K32" s="193" t="n">
        <f aca="false">ROUND(IF(MAX(0,K15-K14)&lt;1/24/60*180,MAX(0,K15-K14),0)+IF(MAX(0,K17-K16)&lt;1/24/60*180,MAX(0,K17-K16),0)+IF(MAX(0,K19-K18)&lt;1/24/60*180,MAX(0,K19-K18),0)+IF(MAX(0,K21-K20)&lt;1/24/60*180,MAX(0,K21-K20))+MAX(0,K26-K25)+MAX(0,K28-K27)+MAX(0,K30-K29),9)</f>
        <v>0</v>
      </c>
      <c r="L32" s="193" t="n">
        <f aca="false">ROUND(IF(MAX(0,L15-L14)&lt;1/24/60*180,MAX(0,L15-L14),0)+IF(MAX(0,L17-L16)&lt;1/24/60*180,MAX(0,L17-L16),0)+IF(MAX(0,L19-L18)&lt;1/24/60*180,MAX(0,L19-L18),0)+IF(MAX(0,L21-L20)&lt;1/24/60*180,MAX(0,L21-L20))+MAX(0,L26-L25)+MAX(0,L28-L27)+MAX(0,L30-L29),9)</f>
        <v>0</v>
      </c>
      <c r="M32" s="193" t="n">
        <f aca="false">ROUND(IF(MAX(0,M15-M14)&lt;1/24/60*180,MAX(0,M15-M14),0)+IF(MAX(0,M17-M16)&lt;1/24/60*180,MAX(0,M17-M16),0)+IF(MAX(0,M19-M18)&lt;1/24/60*180,MAX(0,M19-M18),0)+IF(MAX(0,M21-M20)&lt;1/24/60*180,MAX(0,M21-M20))+MAX(0,M26-M25)+MAX(0,M28-M27)+MAX(0,M30-M29),9)</f>
        <v>0</v>
      </c>
      <c r="N32" s="193" t="n">
        <f aca="false">ROUND(IF(MAX(0,N15-N14)&lt;1/24/60*180,MAX(0,N15-N14),0)+IF(MAX(0,N17-N16)&lt;1/24/60*180,MAX(0,N17-N16),0)+IF(MAX(0,N19-N18)&lt;1/24/60*180,MAX(0,N19-N18),0)+IF(MAX(0,N21-N20)&lt;1/24/60*180,MAX(0,N21-N20))+MAX(0,N26-N25)+MAX(0,N28-N27)+MAX(0,N30-N29),9)</f>
        <v>0</v>
      </c>
      <c r="O32" s="193" t="n">
        <f aca="false">ROUND(IF(MAX(0,O15-O14)&lt;1/24/60*180,MAX(0,O15-O14),0)+IF(MAX(0,O17-O16)&lt;1/24/60*180,MAX(0,O17-O16),0)+IF(MAX(0,O19-O18)&lt;1/24/60*180,MAX(0,O19-O18),0)+IF(MAX(0,O21-O20)&lt;1/24/60*180,MAX(0,O21-O20))+MAX(0,O26-O25)+MAX(0,O28-O27)+MAX(0,O30-O29),9)</f>
        <v>0</v>
      </c>
      <c r="P32" s="193" t="n">
        <f aca="false">ROUND(IF(MAX(0,P15-P14)&lt;1/24/60*180,MAX(0,P15-P14),0)+IF(MAX(0,P17-P16)&lt;1/24/60*180,MAX(0,P17-P16),0)+IF(MAX(0,P19-P18)&lt;1/24/60*180,MAX(0,P19-P18),0)+IF(MAX(0,P21-P20)&lt;1/24/60*180,MAX(0,P21-P20))+MAX(0,P26-P25)+MAX(0,P28-P27)+MAX(0,P30-P29),9)</f>
        <v>0</v>
      </c>
      <c r="Q32" s="193" t="n">
        <f aca="false">ROUND(IF(MAX(0,Q15-Q14)&lt;1/24/60*180,MAX(0,Q15-Q14),0)+IF(MAX(0,Q17-Q16)&lt;1/24/60*180,MAX(0,Q17-Q16),0)+IF(MAX(0,Q19-Q18)&lt;1/24/60*180,MAX(0,Q19-Q18),0)+IF(MAX(0,Q21-Q20)&lt;1/24/60*180,MAX(0,Q21-Q20))+MAX(0,Q26-Q25)+MAX(0,Q28-Q27)+MAX(0,Q30-Q29),9)</f>
        <v>0</v>
      </c>
      <c r="R32" s="193" t="n">
        <f aca="false">ROUND(IF(MAX(0,R15-R14)&lt;1/24/60*180,MAX(0,R15-R14),0)+IF(MAX(0,R17-R16)&lt;1/24/60*180,MAX(0,R17-R16),0)+IF(MAX(0,R19-R18)&lt;1/24/60*180,MAX(0,R19-R18),0)+IF(MAX(0,R21-R20)&lt;1/24/60*180,MAX(0,R21-R20))+MAX(0,R26-R25)+MAX(0,R28-R27)+MAX(0,R30-R29),9)</f>
        <v>0</v>
      </c>
      <c r="S32" s="193" t="n">
        <f aca="false">ROUND(IF(MAX(0,S15-S14)&lt;1/24/60*180,MAX(0,S15-S14),0)+IF(MAX(0,S17-S16)&lt;1/24/60*180,MAX(0,S17-S16),0)+IF(MAX(0,S19-S18)&lt;1/24/60*180,MAX(0,S19-S18),0)+IF(MAX(0,S21-S20)&lt;1/24/60*180,MAX(0,S21-S20))+MAX(0,S26-S25)+MAX(0,S28-S27)+MAX(0,S30-S29),9)</f>
        <v>0</v>
      </c>
      <c r="T32" s="193" t="n">
        <f aca="false">ROUND(IF(MAX(0,T15-T14)&lt;1/24/60*180,MAX(0,T15-T14),0)+IF(MAX(0,T17-T16)&lt;1/24/60*180,MAX(0,T17-T16),0)+IF(MAX(0,T19-T18)&lt;1/24/60*180,MAX(0,T19-T18),0)+IF(MAX(0,T21-T20)&lt;1/24/60*180,MAX(0,T21-T20))+MAX(0,T26-T25)+MAX(0,T28-T27)+MAX(0,T30-T29),9)</f>
        <v>0</v>
      </c>
      <c r="U32" s="193" t="n">
        <f aca="false">ROUND(IF(MAX(0,U15-U14)&lt;1/24/60*180,MAX(0,U15-U14),0)+IF(MAX(0,U17-U16)&lt;1/24/60*180,MAX(0,U17-U16),0)+IF(MAX(0,U19-U18)&lt;1/24/60*180,MAX(0,U19-U18),0)+IF(MAX(0,U21-U20)&lt;1/24/60*180,MAX(0,U21-U20))+MAX(0,U26-U25)+MAX(0,U28-U27)+MAX(0,U30-U29),9)</f>
        <v>0</v>
      </c>
      <c r="V32" s="193" t="n">
        <f aca="false">ROUND(IF(MAX(0,V15-V14)&lt;1/24/60*180,MAX(0,V15-V14),0)+IF(MAX(0,V17-V16)&lt;1/24/60*180,MAX(0,V17-V16),0)+IF(MAX(0,V19-V18)&lt;1/24/60*180,MAX(0,V19-V18),0)+IF(MAX(0,V21-V20)&lt;1/24/60*180,MAX(0,V21-V20))+MAX(0,V26-V25)+MAX(0,V28-V27)+MAX(0,V30-V29),9)</f>
        <v>0</v>
      </c>
      <c r="W32" s="193" t="n">
        <f aca="false">ROUND(IF(MAX(0,W15-W14)&lt;1/24/60*180,MAX(0,W15-W14),0)+IF(MAX(0,W17-W16)&lt;1/24/60*180,MAX(0,W17-W16),0)+IF(MAX(0,W19-W18)&lt;1/24/60*180,MAX(0,W19-W18),0)+IF(MAX(0,W21-W20)&lt;1/24/60*180,MAX(0,W21-W20))+MAX(0,W26-W25)+MAX(0,W28-W27)+MAX(0,W30-W29),9)</f>
        <v>0</v>
      </c>
      <c r="X32" s="193" t="n">
        <f aca="false">ROUND(IF(MAX(0,X15-X14)&lt;1/24/60*180,MAX(0,X15-X14),0)+IF(MAX(0,X17-X16)&lt;1/24/60*180,MAX(0,X17-X16),0)+IF(MAX(0,X19-X18)&lt;1/24/60*180,MAX(0,X19-X18),0)+IF(MAX(0,X21-X20)&lt;1/24/60*180,MAX(0,X21-X20))+MAX(0,X26-X25)+MAX(0,X28-X27)+MAX(0,X30-X29),9)</f>
        <v>0</v>
      </c>
      <c r="Y32" s="193" t="n">
        <f aca="false">ROUND(IF(MAX(0,Y15-Y14)&lt;1/24/60*180,MAX(0,Y15-Y14),0)+IF(MAX(0,Y17-Y16)&lt;1/24/60*180,MAX(0,Y17-Y16),0)+IF(MAX(0,Y19-Y18)&lt;1/24/60*180,MAX(0,Y19-Y18),0)+IF(MAX(0,Y21-Y20)&lt;1/24/60*180,MAX(0,Y21-Y20))+MAX(0,Y26-Y25)+MAX(0,Y28-Y27)+MAX(0,Y30-Y29),9)</f>
        <v>0</v>
      </c>
      <c r="Z32" s="193" t="n">
        <f aca="false">ROUND(IF(MAX(0,Z15-Z14)&lt;1/24/60*180,MAX(0,Z15-Z14),0)+IF(MAX(0,Z17-Z16)&lt;1/24/60*180,MAX(0,Z17-Z16),0)+IF(MAX(0,Z19-Z18)&lt;1/24/60*180,MAX(0,Z19-Z18),0)+IF(MAX(0,Z21-Z20)&lt;1/24/60*180,MAX(0,Z21-Z20))+MAX(0,Z26-Z25)+MAX(0,Z28-Z27)+MAX(0,Z30-Z29),9)</f>
        <v>0</v>
      </c>
      <c r="AA32" s="193" t="n">
        <f aca="false">ROUND(IF(MAX(0,AA15-AA14)&lt;1/24/60*180,MAX(0,AA15-AA14),0)+IF(MAX(0,AA17-AA16)&lt;1/24/60*180,MAX(0,AA17-AA16),0)+IF(MAX(0,AA19-AA18)&lt;1/24/60*180,MAX(0,AA19-AA18),0)+IF(MAX(0,AA21-AA20)&lt;1/24/60*180,MAX(0,AA21-AA20))+MAX(0,AA26-AA25)+MAX(0,AA28-AA27)+MAX(0,AA30-AA29),9)</f>
        <v>0</v>
      </c>
      <c r="AB32" s="193" t="n">
        <f aca="false">ROUND(IF(MAX(0,AB15-AB14)&lt;1/24/60*180,MAX(0,AB15-AB14),0)+IF(MAX(0,AB17-AB16)&lt;1/24/60*180,MAX(0,AB17-AB16),0)+IF(MAX(0,AB19-AB18)&lt;1/24/60*180,MAX(0,AB19-AB18),0)+IF(MAX(0,AB21-AB20)&lt;1/24/60*180,MAX(0,AB21-AB20))+MAX(0,AB26-AB25)+MAX(0,AB28-AB27)+MAX(0,AB30-AB29),9)</f>
        <v>0</v>
      </c>
      <c r="AC32" s="193" t="n">
        <f aca="false">ROUND(IF(MAX(0,AC15-AC14)&lt;1/24/60*180,MAX(0,AC15-AC14),0)+IF(MAX(0,AC17-AC16)&lt;1/24/60*180,MAX(0,AC17-AC16),0)+IF(MAX(0,AC19-AC18)&lt;1/24/60*180,MAX(0,AC19-AC18),0)+IF(MAX(0,AC21-AC20)&lt;1/24/60*180,MAX(0,AC21-AC20))+MAX(0,AC26-AC25)+MAX(0,AC28-AC27)+MAX(0,AC30-AC29),9)</f>
        <v>0</v>
      </c>
      <c r="AD32" s="183" t="str">
        <f aca="false">A32</f>
        <v>Total breaks (in out/paid)</v>
      </c>
      <c r="AE32" s="184"/>
      <c r="AF32" s="185" t="n">
        <f aca="false">SUM(B32:AC32)</f>
        <v>0</v>
      </c>
      <c r="AG32" s="180"/>
      <c r="AH32" s="172"/>
      <c r="AI32" s="172"/>
      <c r="AJ32" s="172"/>
      <c r="AK32" s="171"/>
      <c r="AL32" s="172"/>
      <c r="AM32" s="172"/>
      <c r="AN32" s="39"/>
    </row>
    <row r="33" s="148" customFormat="true" ht="3.75" hidden="false" customHeight="true" outlineLevel="0" collapsed="false">
      <c r="A33" s="186"/>
      <c r="B33" s="194"/>
      <c r="C33" s="194"/>
      <c r="D33" s="194"/>
      <c r="E33" s="194"/>
      <c r="F33" s="194"/>
      <c r="G33" s="194"/>
      <c r="H33" s="194"/>
      <c r="I33" s="194"/>
      <c r="J33" s="194"/>
      <c r="K33" s="194"/>
      <c r="L33" s="194"/>
      <c r="M33" s="194"/>
      <c r="N33" s="194"/>
      <c r="O33" s="194"/>
      <c r="P33" s="194"/>
      <c r="Q33" s="194"/>
      <c r="R33" s="194"/>
      <c r="S33" s="194"/>
      <c r="T33" s="194"/>
      <c r="U33" s="194"/>
      <c r="V33" s="194"/>
      <c r="W33" s="194"/>
      <c r="X33" s="194"/>
      <c r="Y33" s="194"/>
      <c r="Z33" s="194"/>
      <c r="AA33" s="194"/>
      <c r="AB33" s="194"/>
      <c r="AC33" s="194"/>
      <c r="AD33" s="168"/>
      <c r="AE33" s="146"/>
      <c r="AF33" s="179"/>
      <c r="AG33" s="180"/>
      <c r="AH33" s="172"/>
      <c r="AI33" s="172"/>
      <c r="AJ33" s="172"/>
      <c r="AK33" s="171"/>
      <c r="AL33" s="172"/>
      <c r="AM33" s="172"/>
      <c r="AN33" s="39"/>
    </row>
    <row r="34" s="148" customFormat="true" ht="15" hidden="false" customHeight="true" outlineLevel="1" collapsed="false">
      <c r="A34" s="175" t="s">
        <v>134</v>
      </c>
      <c r="B34" s="196" t="str">
        <f aca="true">IF(EB.Anwendung&lt;&gt;"",IF(EB.Wochenarbeitszeit=50/24,INDEX(T.Pikett.Bereich,1),IF(DAY(B$10)=1,IF(MONTH(Monat.Tag1)=1,INDEX(T.Pikett.Bereich,1),IF(MONTH(Monat.Tag1)=2,January!Monat.Pikett,IF(MONTH(Monat.Tag1)=3,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A34="B",INDEX(T.Pikett.Bereich,4),IF(A34="E",INDEX(T.Pikett.Bereich,1),A34)))),"")</f>
        <v>No</v>
      </c>
      <c r="C34" s="196" t="str">
        <f aca="true">IF(EB.Anwendung&lt;&gt;"",IF(EB.Wochenarbeitszeit=50/24,INDEX(T.Pikett.Bereich,1),IF(DAY(C$10)=1,IF(MONTH(Monat.Tag1)=1,INDEX(T.Pikett.Bereich,1),IF(MONTH(Monat.Tag1)=2,January!Monat.Pikett,IF(MONTH(Monat.Tag1)=3,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B34="B",INDEX(T.Pikett.Bereich,4),IF(B34="E",INDEX(T.Pikett.Bereich,1),B34)))),"")</f>
        <v>No</v>
      </c>
      <c r="D34" s="196" t="str">
        <f aca="true">IF(EB.Anwendung&lt;&gt;"",IF(EB.Wochenarbeitszeit=50/24,INDEX(T.Pikett.Bereich,1),IF(DAY(D$10)=1,IF(MONTH(Monat.Tag1)=1,INDEX(T.Pikett.Bereich,1),IF(MONTH(Monat.Tag1)=2,January!Monat.Pikett,IF(MONTH(Monat.Tag1)=3,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C34="B",INDEX(T.Pikett.Bereich,4),IF(C34="E",INDEX(T.Pikett.Bereich,1),C34)))),"")</f>
        <v>No</v>
      </c>
      <c r="E34" s="196" t="str">
        <f aca="true">IF(EB.Anwendung&lt;&gt;"",IF(EB.Wochenarbeitszeit=50/24,INDEX(T.Pikett.Bereich,1),IF(DAY(E$10)=1,IF(MONTH(Monat.Tag1)=1,INDEX(T.Pikett.Bereich,1),IF(MONTH(Monat.Tag1)=2,January!Monat.Pikett,IF(MONTH(Monat.Tag1)=3,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D34="B",INDEX(T.Pikett.Bereich,4),IF(D34="E",INDEX(T.Pikett.Bereich,1),D34)))),"")</f>
        <v>No</v>
      </c>
      <c r="F34" s="196" t="str">
        <f aca="true">IF(EB.Anwendung&lt;&gt;"",IF(EB.Wochenarbeitszeit=50/24,INDEX(T.Pikett.Bereich,1),IF(DAY(F$10)=1,IF(MONTH(Monat.Tag1)=1,INDEX(T.Pikett.Bereich,1),IF(MONTH(Monat.Tag1)=2,January!Monat.Pikett,IF(MONTH(Monat.Tag1)=3,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E34="B",INDEX(T.Pikett.Bereich,4),IF(E34="E",INDEX(T.Pikett.Bereich,1),E34)))),"")</f>
        <v>No</v>
      </c>
      <c r="G34" s="196" t="str">
        <f aca="true">IF(EB.Anwendung&lt;&gt;"",IF(EB.Wochenarbeitszeit=50/24,INDEX(T.Pikett.Bereich,1),IF(DAY(G$10)=1,IF(MONTH(Monat.Tag1)=1,INDEX(T.Pikett.Bereich,1),IF(MONTH(Monat.Tag1)=2,January!Monat.Pikett,IF(MONTH(Monat.Tag1)=3,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F34="B",INDEX(T.Pikett.Bereich,4),IF(F34="E",INDEX(T.Pikett.Bereich,1),F34)))),"")</f>
        <v>No</v>
      </c>
      <c r="H34" s="196" t="str">
        <f aca="true">IF(EB.Anwendung&lt;&gt;"",IF(EB.Wochenarbeitszeit=50/24,INDEX(T.Pikett.Bereich,1),IF(DAY(H$10)=1,IF(MONTH(Monat.Tag1)=1,INDEX(T.Pikett.Bereich,1),IF(MONTH(Monat.Tag1)=2,January!Monat.Pikett,IF(MONTH(Monat.Tag1)=3,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G34="B",INDEX(T.Pikett.Bereich,4),IF(G34="E",INDEX(T.Pikett.Bereich,1),G34)))),"")</f>
        <v>No</v>
      </c>
      <c r="I34" s="196" t="str">
        <f aca="true">IF(EB.Anwendung&lt;&gt;"",IF(EB.Wochenarbeitszeit=50/24,INDEX(T.Pikett.Bereich,1),IF(DAY(I$10)=1,IF(MONTH(Monat.Tag1)=1,INDEX(T.Pikett.Bereich,1),IF(MONTH(Monat.Tag1)=2,January!Monat.Pikett,IF(MONTH(Monat.Tag1)=3,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H34="B",INDEX(T.Pikett.Bereich,4),IF(H34="E",INDEX(T.Pikett.Bereich,1),H34)))),"")</f>
        <v>No</v>
      </c>
      <c r="J34" s="196" t="str">
        <f aca="true">IF(EB.Anwendung&lt;&gt;"",IF(EB.Wochenarbeitszeit=50/24,INDEX(T.Pikett.Bereich,1),IF(DAY(J$10)=1,IF(MONTH(Monat.Tag1)=1,INDEX(T.Pikett.Bereich,1),IF(MONTH(Monat.Tag1)=2,January!Monat.Pikett,IF(MONTH(Monat.Tag1)=3,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I34="B",INDEX(T.Pikett.Bereich,4),IF(I34="E",INDEX(T.Pikett.Bereich,1),I34)))),"")</f>
        <v>No</v>
      </c>
      <c r="K34" s="196" t="str">
        <f aca="true">IF(EB.Anwendung&lt;&gt;"",IF(EB.Wochenarbeitszeit=50/24,INDEX(T.Pikett.Bereich,1),IF(DAY(K$10)=1,IF(MONTH(Monat.Tag1)=1,INDEX(T.Pikett.Bereich,1),IF(MONTH(Monat.Tag1)=2,January!Monat.Pikett,IF(MONTH(Monat.Tag1)=3,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J34="B",INDEX(T.Pikett.Bereich,4),IF(J34="E",INDEX(T.Pikett.Bereich,1),J34)))),"")</f>
        <v>No</v>
      </c>
      <c r="L34" s="196" t="str">
        <f aca="true">IF(EB.Anwendung&lt;&gt;"",IF(EB.Wochenarbeitszeit=50/24,INDEX(T.Pikett.Bereich,1),IF(DAY(L$10)=1,IF(MONTH(Monat.Tag1)=1,INDEX(T.Pikett.Bereich,1),IF(MONTH(Monat.Tag1)=2,January!Monat.Pikett,IF(MONTH(Monat.Tag1)=3,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K34="B",INDEX(T.Pikett.Bereich,4),IF(K34="E",INDEX(T.Pikett.Bereich,1),K34)))),"")</f>
        <v>No</v>
      </c>
      <c r="M34" s="196" t="str">
        <f aca="true">IF(EB.Anwendung&lt;&gt;"",IF(EB.Wochenarbeitszeit=50/24,INDEX(T.Pikett.Bereich,1),IF(DAY(M$10)=1,IF(MONTH(Monat.Tag1)=1,INDEX(T.Pikett.Bereich,1),IF(MONTH(Monat.Tag1)=2,January!Monat.Pikett,IF(MONTH(Monat.Tag1)=3,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L34="B",INDEX(T.Pikett.Bereich,4),IF(L34="E",INDEX(T.Pikett.Bereich,1),L34)))),"")</f>
        <v>No</v>
      </c>
      <c r="N34" s="196" t="str">
        <f aca="true">IF(EB.Anwendung&lt;&gt;"",IF(EB.Wochenarbeitszeit=50/24,INDEX(T.Pikett.Bereich,1),IF(DAY(N$10)=1,IF(MONTH(Monat.Tag1)=1,INDEX(T.Pikett.Bereich,1),IF(MONTH(Monat.Tag1)=2,January!Monat.Pikett,IF(MONTH(Monat.Tag1)=3,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M34="B",INDEX(T.Pikett.Bereich,4),IF(M34="E",INDEX(T.Pikett.Bereich,1),M34)))),"")</f>
        <v>No</v>
      </c>
      <c r="O34" s="196" t="str">
        <f aca="true">IF(EB.Anwendung&lt;&gt;"",IF(EB.Wochenarbeitszeit=50/24,INDEX(T.Pikett.Bereich,1),IF(DAY(O$10)=1,IF(MONTH(Monat.Tag1)=1,INDEX(T.Pikett.Bereich,1),IF(MONTH(Monat.Tag1)=2,January!Monat.Pikett,IF(MONTH(Monat.Tag1)=3,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N34="B",INDEX(T.Pikett.Bereich,4),IF(N34="E",INDEX(T.Pikett.Bereich,1),N34)))),"")</f>
        <v>No</v>
      </c>
      <c r="P34" s="196" t="str">
        <f aca="true">IF(EB.Anwendung&lt;&gt;"",IF(EB.Wochenarbeitszeit=50/24,INDEX(T.Pikett.Bereich,1),IF(DAY(P$10)=1,IF(MONTH(Monat.Tag1)=1,INDEX(T.Pikett.Bereich,1),IF(MONTH(Monat.Tag1)=2,January!Monat.Pikett,IF(MONTH(Monat.Tag1)=3,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O34="B",INDEX(T.Pikett.Bereich,4),IF(O34="E",INDEX(T.Pikett.Bereich,1),O34)))),"")</f>
        <v>No</v>
      </c>
      <c r="Q34" s="196" t="str">
        <f aca="true">IF(EB.Anwendung&lt;&gt;"",IF(EB.Wochenarbeitszeit=50/24,INDEX(T.Pikett.Bereich,1),IF(DAY(Q$10)=1,IF(MONTH(Monat.Tag1)=1,INDEX(T.Pikett.Bereich,1),IF(MONTH(Monat.Tag1)=2,January!Monat.Pikett,IF(MONTH(Monat.Tag1)=3,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P34="B",INDEX(T.Pikett.Bereich,4),IF(P34="E",INDEX(T.Pikett.Bereich,1),P34)))),"")</f>
        <v>No</v>
      </c>
      <c r="R34" s="196" t="str">
        <f aca="true">IF(EB.Anwendung&lt;&gt;"",IF(EB.Wochenarbeitszeit=50/24,INDEX(T.Pikett.Bereich,1),IF(DAY(R$10)=1,IF(MONTH(Monat.Tag1)=1,INDEX(T.Pikett.Bereich,1),IF(MONTH(Monat.Tag1)=2,January!Monat.Pikett,IF(MONTH(Monat.Tag1)=3,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Q34="B",INDEX(T.Pikett.Bereich,4),IF(Q34="E",INDEX(T.Pikett.Bereich,1),Q34)))),"")</f>
        <v>No</v>
      </c>
      <c r="S34" s="196" t="str">
        <f aca="true">IF(EB.Anwendung&lt;&gt;"",IF(EB.Wochenarbeitszeit=50/24,INDEX(T.Pikett.Bereich,1),IF(DAY(S$10)=1,IF(MONTH(Monat.Tag1)=1,INDEX(T.Pikett.Bereich,1),IF(MONTH(Monat.Tag1)=2,January!Monat.Pikett,IF(MONTH(Monat.Tag1)=3,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R34="B",INDEX(T.Pikett.Bereich,4),IF(R34="E",INDEX(T.Pikett.Bereich,1),R34)))),"")</f>
        <v>No</v>
      </c>
      <c r="T34" s="196" t="str">
        <f aca="true">IF(EB.Anwendung&lt;&gt;"",IF(EB.Wochenarbeitszeit=50/24,INDEX(T.Pikett.Bereich,1),IF(DAY(T$10)=1,IF(MONTH(Monat.Tag1)=1,INDEX(T.Pikett.Bereich,1),IF(MONTH(Monat.Tag1)=2,January!Monat.Pikett,IF(MONTH(Monat.Tag1)=3,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S34="B",INDEX(T.Pikett.Bereich,4),IF(S34="E",INDEX(T.Pikett.Bereich,1),S34)))),"")</f>
        <v>No</v>
      </c>
      <c r="U34" s="196" t="str">
        <f aca="true">IF(EB.Anwendung&lt;&gt;"",IF(EB.Wochenarbeitszeit=50/24,INDEX(T.Pikett.Bereich,1),IF(DAY(U$10)=1,IF(MONTH(Monat.Tag1)=1,INDEX(T.Pikett.Bereich,1),IF(MONTH(Monat.Tag1)=2,January!Monat.Pikett,IF(MONTH(Monat.Tag1)=3,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T34="B",INDEX(T.Pikett.Bereich,4),IF(T34="E",INDEX(T.Pikett.Bereich,1),T34)))),"")</f>
        <v>No</v>
      </c>
      <c r="V34" s="196" t="str">
        <f aca="true">IF(EB.Anwendung&lt;&gt;"",IF(EB.Wochenarbeitszeit=50/24,INDEX(T.Pikett.Bereich,1),IF(DAY(V$10)=1,IF(MONTH(Monat.Tag1)=1,INDEX(T.Pikett.Bereich,1),IF(MONTH(Monat.Tag1)=2,January!Monat.Pikett,IF(MONTH(Monat.Tag1)=3,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U34="B",INDEX(T.Pikett.Bereich,4),IF(U34="E",INDEX(T.Pikett.Bereich,1),U34)))),"")</f>
        <v>No</v>
      </c>
      <c r="W34" s="196" t="str">
        <f aca="true">IF(EB.Anwendung&lt;&gt;"",IF(EB.Wochenarbeitszeit=50/24,INDEX(T.Pikett.Bereich,1),IF(DAY(W$10)=1,IF(MONTH(Monat.Tag1)=1,INDEX(T.Pikett.Bereich,1),IF(MONTH(Monat.Tag1)=2,January!Monat.Pikett,IF(MONTH(Monat.Tag1)=3,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V34="B",INDEX(T.Pikett.Bereich,4),IF(V34="E",INDEX(T.Pikett.Bereich,1),V34)))),"")</f>
        <v>No</v>
      </c>
      <c r="X34" s="196" t="str">
        <f aca="true">IF(EB.Anwendung&lt;&gt;"",IF(EB.Wochenarbeitszeit=50/24,INDEX(T.Pikett.Bereich,1),IF(DAY(X$10)=1,IF(MONTH(Monat.Tag1)=1,INDEX(T.Pikett.Bereich,1),IF(MONTH(Monat.Tag1)=2,January!Monat.Pikett,IF(MONTH(Monat.Tag1)=3,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W34="B",INDEX(T.Pikett.Bereich,4),IF(W34="E",INDEX(T.Pikett.Bereich,1),W34)))),"")</f>
        <v>No</v>
      </c>
      <c r="Y34" s="196" t="str">
        <f aca="true">IF(EB.Anwendung&lt;&gt;"",IF(EB.Wochenarbeitszeit=50/24,INDEX(T.Pikett.Bereich,1),IF(DAY(Y$10)=1,IF(MONTH(Monat.Tag1)=1,INDEX(T.Pikett.Bereich,1),IF(MONTH(Monat.Tag1)=2,January!Monat.Pikett,IF(MONTH(Monat.Tag1)=3,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X34="B",INDEX(T.Pikett.Bereich,4),IF(X34="E",INDEX(T.Pikett.Bereich,1),X34)))),"")</f>
        <v>No</v>
      </c>
      <c r="Z34" s="196" t="str">
        <f aca="true">IF(EB.Anwendung&lt;&gt;"",IF(EB.Wochenarbeitszeit=50/24,INDEX(T.Pikett.Bereich,1),IF(DAY(Z$10)=1,IF(MONTH(Monat.Tag1)=1,INDEX(T.Pikett.Bereich,1),IF(MONTH(Monat.Tag1)=2,January!Monat.Pikett,IF(MONTH(Monat.Tag1)=3,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Y34="B",INDEX(T.Pikett.Bereich,4),IF(Y34="E",INDEX(T.Pikett.Bereich,1),Y34)))),"")</f>
        <v>No</v>
      </c>
      <c r="AA34" s="196" t="str">
        <f aca="true">IF(EB.Anwendung&lt;&gt;"",IF(EB.Wochenarbeitszeit=50/24,INDEX(T.Pikett.Bereich,1),IF(DAY(AA$10)=1,IF(MONTH(Monat.Tag1)=1,INDEX(T.Pikett.Bereich,1),IF(MONTH(Monat.Tag1)=2,January!Monat.Pikett,IF(MONTH(Monat.Tag1)=3,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Z34="B",INDEX(T.Pikett.Bereich,4),IF(Z34="E",INDEX(T.Pikett.Bereich,1),Z34)))),"")</f>
        <v>No</v>
      </c>
      <c r="AB34" s="196" t="str">
        <f aca="true">IF(EB.Anwendung&lt;&gt;"",IF(EB.Wochenarbeitszeit=50/24,INDEX(T.Pikett.Bereich,1),IF(DAY(AB$10)=1,IF(MONTH(Monat.Tag1)=1,INDEX(T.Pikett.Bereich,1),IF(MONTH(Monat.Tag1)=2,January!Monat.Pikett,IF(MONTH(Monat.Tag1)=3,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AA34="B",INDEX(T.Pikett.Bereich,4),IF(AA34="E",INDEX(T.Pikett.Bereich,1),AA34)))),"")</f>
        <v>No</v>
      </c>
      <c r="AC34" s="196" t="str">
        <f aca="true">IF(EB.Anwendung&lt;&gt;"",IF(EB.Wochenarbeitszeit=50/24,INDEX(T.Pikett.Bereich,1),IF(DAY(AC$10)=1,IF(MONTH(Monat.Tag1)=1,INDEX(T.Pikett.Bereich,1),IF(MONTH(Monat.Tag1)=2,January!Monat.Pikett,IF(MONTH(Monat.Tag1)=3,Monat.Pikett,IF(MONTH(Monat.Tag1)=4,March!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AB34="B",INDEX(T.Pikett.Bereich,4),IF(AB34="E",INDEX(T.Pikett.Bereich,1),AB34)))),"")</f>
        <v>No</v>
      </c>
      <c r="AD34" s="183" t="str">
        <f aca="true">IF(OFFSET(B34,0,DAY(EOMONTH(Monat.Tag1,0))-1,1,1)="B",INDEX(T.Pikett.Bereich,4),IF(OFFSET(B34,0,DAY(EOMONTH(Monat.Tag1,0))-1,1,1)="E",INDEX(T.Pikett.Bereich,1),OFFSET(B34,0,DAY(EOMONTH(Monat.Tag1,0))-1,1,1)))</f>
        <v>No</v>
      </c>
      <c r="AE34" s="197"/>
      <c r="AF34" s="192"/>
      <c r="AG34" s="198" t="str">
        <f aca="true">IF(T.50_Vetsuisse,IFERROR(SUMPRODUCT((B34:AC34=INDEX(T.Pikett.Bereich,4))*((B49:AC49)&lt;1/24*5)),0) &amp; " / " &amp; IFERROR(SUMPRODUCT((B34:AC34=INDEX(T.Pikett.Bereich,4))*((B49:AC49)&gt;=1/24*5)),0) &amp; " / " &amp; IFERROR(SUMPRODUCT((B34:AC34=INDEX(T.Pikett.Bereich,4))*((B49:AC49)&lt;1/24*5)),0) + IFERROR(SUMPRODUCT((B34:AC34=INDEX(T.Pikett.Bereich,4))*((B49:AC49)&gt;=1/24*5)),0), IFERROR(SUMPRODUCT((B34:AC34=INDEX(T.Pikett.Bereich,4))*(WEEKDAY(B10:AC10,2)&lt;6)*(B11:AC11&lt;&gt;0)),0) &amp; " / " &amp; IFERROR(SUMPRODUCT((B34:AC34=INDEX(T.Pikett.Bereich,4))*(WEEKDAY(B10:AC10,2)&gt;5)*(B11:AC11&lt;&gt;0))+SUMPRODUCT((B34:AC34=INDEX(T.Pikett.Bereich,4))*(B11:AC11=0)),0) &amp; " / " &amp; IFERROR(SUMPRODUCT((B34:AC34=INDEX(T.Pikett.Bereich,4))*(WEEKDAY(B10:AC10,2)&lt;6)*(B11:AC11&lt;&gt;0)),0) + IFERROR(SUMPRODUCT((B34:AC34=INDEX(T.Pikett.Bereich,4))*(WEEKDAY(B10:AC10,2)&gt;5)*(B11:AC11&lt;&gt;0))+SUMPRODUCT((B34:AC34=INDEX(T.Pikett.Bereich,4))*(B11:AC11=0)),0))</f>
        <v>0 / 0 / 0</v>
      </c>
      <c r="AH34" s="172"/>
      <c r="AI34" s="172"/>
      <c r="AJ34" s="172"/>
      <c r="AK34" s="171"/>
      <c r="AL34" s="172"/>
      <c r="AM34" s="172"/>
      <c r="AN34" s="39"/>
    </row>
    <row r="35" s="148" customFormat="true" ht="15" hidden="false" customHeight="true" outlineLevel="1" collapsed="false">
      <c r="A35" s="175" t="s">
        <v>128</v>
      </c>
      <c r="B35" s="176"/>
      <c r="C35" s="176"/>
      <c r="D35" s="176"/>
      <c r="E35" s="177"/>
      <c r="F35" s="176"/>
      <c r="G35" s="176"/>
      <c r="H35" s="176"/>
      <c r="I35" s="176"/>
      <c r="J35" s="177"/>
      <c r="K35" s="176"/>
      <c r="L35" s="177"/>
      <c r="M35" s="176"/>
      <c r="N35" s="176"/>
      <c r="O35" s="176"/>
      <c r="P35" s="176"/>
      <c r="Q35" s="177"/>
      <c r="R35" s="176"/>
      <c r="S35" s="177"/>
      <c r="T35" s="177"/>
      <c r="U35" s="176"/>
      <c r="V35" s="176"/>
      <c r="W35" s="176"/>
      <c r="X35" s="177"/>
      <c r="Y35" s="176"/>
      <c r="Z35" s="178"/>
      <c r="AA35" s="176"/>
      <c r="AB35" s="176"/>
      <c r="AC35" s="176"/>
      <c r="AD35" s="168" t="str">
        <f aca="false">A35</f>
        <v>in</v>
      </c>
      <c r="AE35" s="146"/>
      <c r="AF35" s="179"/>
      <c r="AG35" s="180"/>
      <c r="AH35" s="172"/>
      <c r="AI35" s="172"/>
      <c r="AJ35" s="172"/>
      <c r="AK35" s="171"/>
      <c r="AL35" s="172"/>
      <c r="AM35" s="172"/>
      <c r="AN35" s="39"/>
    </row>
    <row r="36" s="148" customFormat="true" ht="15" hidden="false" customHeight="true" outlineLevel="1" collapsed="false">
      <c r="A36" s="175" t="s">
        <v>129</v>
      </c>
      <c r="B36" s="176"/>
      <c r="C36" s="176"/>
      <c r="D36" s="176"/>
      <c r="E36" s="177"/>
      <c r="F36" s="176"/>
      <c r="G36" s="176"/>
      <c r="H36" s="176"/>
      <c r="I36" s="176"/>
      <c r="J36" s="177"/>
      <c r="K36" s="176"/>
      <c r="L36" s="177"/>
      <c r="M36" s="176"/>
      <c r="N36" s="176"/>
      <c r="O36" s="176"/>
      <c r="P36" s="176"/>
      <c r="Q36" s="177"/>
      <c r="R36" s="176"/>
      <c r="S36" s="177"/>
      <c r="T36" s="177"/>
      <c r="U36" s="176"/>
      <c r="V36" s="176"/>
      <c r="W36" s="176"/>
      <c r="X36" s="177"/>
      <c r="Y36" s="176"/>
      <c r="Z36" s="178"/>
      <c r="AA36" s="176"/>
      <c r="AB36" s="176"/>
      <c r="AC36" s="176"/>
      <c r="AD36" s="168" t="str">
        <f aca="false">A36</f>
        <v>out</v>
      </c>
      <c r="AE36" s="146"/>
      <c r="AF36" s="179"/>
      <c r="AG36" s="180"/>
      <c r="AH36" s="172"/>
      <c r="AI36" s="172"/>
      <c r="AJ36" s="172"/>
      <c r="AK36" s="171"/>
      <c r="AL36" s="172"/>
      <c r="AM36" s="172"/>
      <c r="AN36" s="39"/>
    </row>
    <row r="37" s="148" customFormat="true" ht="15" hidden="false" customHeight="true" outlineLevel="1" collapsed="false">
      <c r="A37" s="175" t="s">
        <v>128</v>
      </c>
      <c r="B37" s="176"/>
      <c r="C37" s="176"/>
      <c r="D37" s="176"/>
      <c r="E37" s="177"/>
      <c r="F37" s="176"/>
      <c r="G37" s="176"/>
      <c r="H37" s="176"/>
      <c r="I37" s="176"/>
      <c r="J37" s="177"/>
      <c r="K37" s="176"/>
      <c r="L37" s="177"/>
      <c r="M37" s="176"/>
      <c r="N37" s="176"/>
      <c r="O37" s="176"/>
      <c r="P37" s="176"/>
      <c r="Q37" s="177"/>
      <c r="R37" s="176"/>
      <c r="S37" s="177"/>
      <c r="T37" s="177"/>
      <c r="U37" s="176"/>
      <c r="V37" s="176"/>
      <c r="W37" s="176"/>
      <c r="X37" s="177"/>
      <c r="Y37" s="176"/>
      <c r="Z37" s="178"/>
      <c r="AA37" s="176"/>
      <c r="AB37" s="176"/>
      <c r="AC37" s="176"/>
      <c r="AD37" s="168" t="str">
        <f aca="false">A37</f>
        <v>in</v>
      </c>
      <c r="AE37" s="146"/>
      <c r="AF37" s="179"/>
      <c r="AG37" s="180"/>
      <c r="AH37" s="172"/>
      <c r="AI37" s="172"/>
      <c r="AJ37" s="172"/>
      <c r="AK37" s="171"/>
      <c r="AL37" s="172"/>
      <c r="AM37" s="172"/>
      <c r="AN37" s="39"/>
    </row>
    <row r="38" s="148" customFormat="true" ht="15" hidden="false" customHeight="true" outlineLevel="1" collapsed="false">
      <c r="A38" s="175" t="s">
        <v>129</v>
      </c>
      <c r="B38" s="176"/>
      <c r="C38" s="176"/>
      <c r="D38" s="176"/>
      <c r="E38" s="177"/>
      <c r="F38" s="176"/>
      <c r="G38" s="176"/>
      <c r="H38" s="176"/>
      <c r="I38" s="176"/>
      <c r="J38" s="177"/>
      <c r="K38" s="176"/>
      <c r="L38" s="177"/>
      <c r="M38" s="176"/>
      <c r="N38" s="176"/>
      <c r="O38" s="176"/>
      <c r="P38" s="176"/>
      <c r="Q38" s="177"/>
      <c r="R38" s="176"/>
      <c r="S38" s="177"/>
      <c r="T38" s="177"/>
      <c r="U38" s="176"/>
      <c r="V38" s="176"/>
      <c r="W38" s="176"/>
      <c r="X38" s="177"/>
      <c r="Y38" s="176"/>
      <c r="Z38" s="178"/>
      <c r="AA38" s="176"/>
      <c r="AB38" s="176"/>
      <c r="AC38" s="176"/>
      <c r="AD38" s="168" t="str">
        <f aca="false">A38</f>
        <v>out</v>
      </c>
      <c r="AE38" s="146"/>
      <c r="AF38" s="179"/>
      <c r="AG38" s="180"/>
      <c r="AH38" s="172"/>
      <c r="AI38" s="172"/>
      <c r="AJ38" s="172"/>
      <c r="AK38" s="171"/>
      <c r="AL38" s="172"/>
      <c r="AM38" s="172"/>
      <c r="AN38" s="39"/>
    </row>
    <row r="39" s="148" customFormat="true" ht="15" hidden="false" customHeight="true" outlineLevel="1" collapsed="false">
      <c r="A39" s="175" t="s">
        <v>128</v>
      </c>
      <c r="B39" s="176"/>
      <c r="C39" s="176"/>
      <c r="D39" s="176"/>
      <c r="E39" s="177"/>
      <c r="F39" s="176"/>
      <c r="G39" s="176"/>
      <c r="H39" s="176"/>
      <c r="I39" s="176"/>
      <c r="J39" s="177"/>
      <c r="K39" s="176"/>
      <c r="L39" s="177"/>
      <c r="M39" s="176"/>
      <c r="N39" s="176"/>
      <c r="O39" s="176"/>
      <c r="P39" s="176"/>
      <c r="Q39" s="177"/>
      <c r="R39" s="176"/>
      <c r="S39" s="177"/>
      <c r="T39" s="177"/>
      <c r="U39" s="176"/>
      <c r="V39" s="176"/>
      <c r="W39" s="176"/>
      <c r="X39" s="177"/>
      <c r="Y39" s="176"/>
      <c r="Z39" s="178"/>
      <c r="AA39" s="176"/>
      <c r="AB39" s="176"/>
      <c r="AC39" s="176"/>
      <c r="AD39" s="168" t="str">
        <f aca="false">A39</f>
        <v>in</v>
      </c>
      <c r="AE39" s="146"/>
      <c r="AF39" s="179"/>
      <c r="AG39" s="180"/>
      <c r="AH39" s="172"/>
      <c r="AI39" s="172"/>
      <c r="AJ39" s="172"/>
      <c r="AK39" s="171"/>
      <c r="AL39" s="172"/>
      <c r="AM39" s="172"/>
      <c r="AN39" s="39"/>
    </row>
    <row r="40" s="148" customFormat="true" ht="15" hidden="false" customHeight="true" outlineLevel="1" collapsed="false">
      <c r="A40" s="175" t="s">
        <v>129</v>
      </c>
      <c r="B40" s="176"/>
      <c r="C40" s="176"/>
      <c r="D40" s="176"/>
      <c r="E40" s="177"/>
      <c r="F40" s="176"/>
      <c r="G40" s="176"/>
      <c r="H40" s="176"/>
      <c r="I40" s="176"/>
      <c r="J40" s="177"/>
      <c r="K40" s="176"/>
      <c r="L40" s="177"/>
      <c r="M40" s="176"/>
      <c r="N40" s="176"/>
      <c r="O40" s="176"/>
      <c r="P40" s="176"/>
      <c r="Q40" s="177"/>
      <c r="R40" s="176"/>
      <c r="S40" s="177"/>
      <c r="T40" s="177"/>
      <c r="U40" s="176"/>
      <c r="V40" s="176"/>
      <c r="W40" s="176"/>
      <c r="X40" s="177"/>
      <c r="Y40" s="176"/>
      <c r="Z40" s="178"/>
      <c r="AA40" s="176"/>
      <c r="AB40" s="176"/>
      <c r="AC40" s="176"/>
      <c r="AD40" s="168" t="str">
        <f aca="false">A40</f>
        <v>out</v>
      </c>
      <c r="AE40" s="146"/>
      <c r="AF40" s="179"/>
      <c r="AG40" s="180"/>
      <c r="AH40" s="172"/>
      <c r="AI40" s="172"/>
      <c r="AJ40" s="172"/>
      <c r="AK40" s="171"/>
      <c r="AL40" s="172"/>
      <c r="AM40" s="172"/>
      <c r="AN40" s="39"/>
    </row>
    <row r="41" s="148" customFormat="true" ht="15" hidden="true" customHeight="true" outlineLevel="1" collapsed="false">
      <c r="A41" s="175" t="s">
        <v>128</v>
      </c>
      <c r="B41" s="176"/>
      <c r="C41" s="176"/>
      <c r="D41" s="176"/>
      <c r="E41" s="177"/>
      <c r="F41" s="176"/>
      <c r="G41" s="176"/>
      <c r="H41" s="176"/>
      <c r="I41" s="176"/>
      <c r="J41" s="177"/>
      <c r="K41" s="176"/>
      <c r="L41" s="177"/>
      <c r="M41" s="176"/>
      <c r="N41" s="176"/>
      <c r="O41" s="176"/>
      <c r="P41" s="176"/>
      <c r="Q41" s="177"/>
      <c r="R41" s="176"/>
      <c r="S41" s="177"/>
      <c r="T41" s="177"/>
      <c r="U41" s="176"/>
      <c r="V41" s="176"/>
      <c r="W41" s="176"/>
      <c r="X41" s="177"/>
      <c r="Y41" s="176"/>
      <c r="Z41" s="178"/>
      <c r="AA41" s="176"/>
      <c r="AB41" s="176"/>
      <c r="AC41" s="176"/>
      <c r="AD41" s="168" t="str">
        <f aca="false">A41</f>
        <v>in</v>
      </c>
      <c r="AE41" s="146"/>
      <c r="AF41" s="179"/>
      <c r="AG41" s="180"/>
      <c r="AH41" s="172"/>
      <c r="AI41" s="172"/>
      <c r="AJ41" s="172"/>
      <c r="AK41" s="171"/>
      <c r="AL41" s="172"/>
      <c r="AM41" s="172"/>
      <c r="AN41" s="39"/>
    </row>
    <row r="42" s="148" customFormat="true" ht="15" hidden="true" customHeight="true" outlineLevel="1" collapsed="false">
      <c r="A42" s="175" t="s">
        <v>129</v>
      </c>
      <c r="B42" s="176"/>
      <c r="C42" s="176"/>
      <c r="D42" s="176"/>
      <c r="E42" s="177"/>
      <c r="F42" s="176"/>
      <c r="G42" s="176"/>
      <c r="H42" s="176"/>
      <c r="I42" s="176"/>
      <c r="J42" s="177"/>
      <c r="K42" s="176"/>
      <c r="L42" s="177"/>
      <c r="M42" s="176"/>
      <c r="N42" s="176"/>
      <c r="O42" s="176"/>
      <c r="P42" s="176"/>
      <c r="Q42" s="177"/>
      <c r="R42" s="176"/>
      <c r="S42" s="177"/>
      <c r="T42" s="177"/>
      <c r="U42" s="176"/>
      <c r="V42" s="176"/>
      <c r="W42" s="176"/>
      <c r="X42" s="177"/>
      <c r="Y42" s="176"/>
      <c r="Z42" s="178"/>
      <c r="AA42" s="176"/>
      <c r="AB42" s="176"/>
      <c r="AC42" s="176"/>
      <c r="AD42" s="168" t="str">
        <f aca="false">A42</f>
        <v>out</v>
      </c>
      <c r="AE42" s="146"/>
      <c r="AF42" s="179"/>
      <c r="AG42" s="180"/>
      <c r="AH42" s="172"/>
      <c r="AI42" s="172"/>
      <c r="AJ42" s="172"/>
      <c r="AK42" s="171"/>
      <c r="AL42" s="172"/>
      <c r="AM42" s="172"/>
      <c r="AN42" s="39"/>
    </row>
    <row r="43" s="148" customFormat="true" ht="15" hidden="true" customHeight="true" outlineLevel="1" collapsed="false">
      <c r="A43" s="175" t="s">
        <v>128</v>
      </c>
      <c r="B43" s="176"/>
      <c r="C43" s="176"/>
      <c r="D43" s="176"/>
      <c r="E43" s="177"/>
      <c r="F43" s="176"/>
      <c r="G43" s="176"/>
      <c r="H43" s="176"/>
      <c r="I43" s="176"/>
      <c r="J43" s="177"/>
      <c r="K43" s="176"/>
      <c r="L43" s="177"/>
      <c r="M43" s="176"/>
      <c r="N43" s="176"/>
      <c r="O43" s="176"/>
      <c r="P43" s="176"/>
      <c r="Q43" s="177"/>
      <c r="R43" s="176"/>
      <c r="S43" s="177"/>
      <c r="T43" s="177"/>
      <c r="U43" s="176"/>
      <c r="V43" s="176"/>
      <c r="W43" s="176"/>
      <c r="X43" s="177"/>
      <c r="Y43" s="176"/>
      <c r="Z43" s="178"/>
      <c r="AA43" s="176"/>
      <c r="AB43" s="176"/>
      <c r="AC43" s="176"/>
      <c r="AD43" s="168" t="str">
        <f aca="false">A43</f>
        <v>in</v>
      </c>
      <c r="AE43" s="146"/>
      <c r="AF43" s="179"/>
      <c r="AG43" s="180"/>
      <c r="AH43" s="172"/>
      <c r="AI43" s="172"/>
      <c r="AJ43" s="172"/>
      <c r="AK43" s="171"/>
      <c r="AL43" s="172"/>
      <c r="AM43" s="172"/>
      <c r="AN43" s="39"/>
    </row>
    <row r="44" s="148" customFormat="true" ht="15" hidden="true" customHeight="true" outlineLevel="1" collapsed="false">
      <c r="A44" s="175" t="s">
        <v>129</v>
      </c>
      <c r="B44" s="176"/>
      <c r="C44" s="176"/>
      <c r="D44" s="176"/>
      <c r="E44" s="177"/>
      <c r="F44" s="176"/>
      <c r="G44" s="176"/>
      <c r="H44" s="176"/>
      <c r="I44" s="176"/>
      <c r="J44" s="177"/>
      <c r="K44" s="176"/>
      <c r="L44" s="177"/>
      <c r="M44" s="176"/>
      <c r="N44" s="176"/>
      <c r="O44" s="176"/>
      <c r="P44" s="176"/>
      <c r="Q44" s="177"/>
      <c r="R44" s="176"/>
      <c r="S44" s="177"/>
      <c r="T44" s="177"/>
      <c r="U44" s="176"/>
      <c r="V44" s="176"/>
      <c r="W44" s="176"/>
      <c r="X44" s="177"/>
      <c r="Y44" s="176"/>
      <c r="Z44" s="178"/>
      <c r="AA44" s="176"/>
      <c r="AB44" s="176"/>
      <c r="AC44" s="176"/>
      <c r="AD44" s="168" t="str">
        <f aca="false">A44</f>
        <v>out</v>
      </c>
      <c r="AE44" s="146"/>
      <c r="AF44" s="179"/>
      <c r="AG44" s="180"/>
      <c r="AH44" s="172"/>
      <c r="AI44" s="172"/>
      <c r="AJ44" s="172"/>
      <c r="AK44" s="171"/>
      <c r="AL44" s="172"/>
      <c r="AM44" s="172"/>
      <c r="AN44" s="39"/>
    </row>
    <row r="45" s="148" customFormat="true" ht="15" hidden="false" customHeight="true" outlineLevel="1" collapsed="false">
      <c r="A45" s="181" t="s">
        <v>135</v>
      </c>
      <c r="B45" s="182" t="n">
        <f aca="false">ROUND((B36-B35)+(B38-B37)+(B40-B39)+(B42-B41)+(B44-B43),9)</f>
        <v>0</v>
      </c>
      <c r="C45" s="182" t="n">
        <f aca="false">ROUND((C36-C35)+(C38-C37)+(C40-C39)+(C42-C41)+(C44-C43),9)</f>
        <v>0</v>
      </c>
      <c r="D45" s="182" t="n">
        <f aca="false">ROUND((D36-D35)+(D38-D37)+(D40-D39)+(D42-D41)+(D44-D43),9)</f>
        <v>0</v>
      </c>
      <c r="E45" s="182" t="n">
        <f aca="false">ROUND((E36-E35)+(E38-E37)+(E40-E39)+(E42-E41)+(E44-E43),9)</f>
        <v>0</v>
      </c>
      <c r="F45" s="182" t="n">
        <f aca="false">ROUND((F36-F35)+(F38-F37)+(F40-F39)+(F42-F41)+(F44-F43),9)</f>
        <v>0</v>
      </c>
      <c r="G45" s="182" t="n">
        <f aca="false">ROUND((G36-G35)+(G38-G37)+(G40-G39)+(G42-G41)+(G44-G43),9)</f>
        <v>0</v>
      </c>
      <c r="H45" s="182" t="n">
        <f aca="false">ROUND((H36-H35)+(H38-H37)+(H40-H39)+(H42-H41)+(H44-H43),9)</f>
        <v>0</v>
      </c>
      <c r="I45" s="182" t="n">
        <f aca="false">ROUND((I36-I35)+(I38-I37)+(I40-I39)+(I42-I41)+(I44-I43),9)</f>
        <v>0</v>
      </c>
      <c r="J45" s="182" t="n">
        <f aca="false">ROUND((J36-J35)+(J38-J37)+(J40-J39)+(J42-J41)+(J44-J43),9)</f>
        <v>0</v>
      </c>
      <c r="K45" s="182" t="n">
        <f aca="false">ROUND((K36-K35)+(K38-K37)+(K40-K39)+(K42-K41)+(K44-K43),9)</f>
        <v>0</v>
      </c>
      <c r="L45" s="182" t="n">
        <f aca="false">ROUND((L36-L35)+(L38-L37)+(L40-L39)+(L42-L41)+(L44-L43),9)</f>
        <v>0</v>
      </c>
      <c r="M45" s="182" t="n">
        <f aca="false">ROUND((M36-M35)+(M38-M37)+(M40-M39)+(M42-M41)+(M44-M43),9)</f>
        <v>0</v>
      </c>
      <c r="N45" s="182" t="n">
        <f aca="false">ROUND((N36-N35)+(N38-N37)+(N40-N39)+(N42-N41)+(N44-N43),9)</f>
        <v>0</v>
      </c>
      <c r="O45" s="182" t="n">
        <f aca="false">ROUND((O36-O35)+(O38-O37)+(O40-O39)+(O42-O41)+(O44-O43),9)</f>
        <v>0</v>
      </c>
      <c r="P45" s="182" t="n">
        <f aca="false">ROUND((P36-P35)+(P38-P37)+(P40-P39)+(P42-P41)+(P44-P43),9)</f>
        <v>0</v>
      </c>
      <c r="Q45" s="182" t="n">
        <f aca="false">ROUND((Q36-Q35)+(Q38-Q37)+(Q40-Q39)+(Q42-Q41)+(Q44-Q43),9)</f>
        <v>0</v>
      </c>
      <c r="R45" s="182" t="n">
        <f aca="false">ROUND((R36-R35)+(R38-R37)+(R40-R39)+(R42-R41)+(R44-R43),9)</f>
        <v>0</v>
      </c>
      <c r="S45" s="182" t="n">
        <f aca="false">ROUND((S36-S35)+(S38-S37)+(S40-S39)+(S42-S41)+(S44-S43),9)</f>
        <v>0</v>
      </c>
      <c r="T45" s="182" t="n">
        <f aca="false">ROUND((T36-T35)+(T38-T37)+(T40-T39)+(T42-T41)+(T44-T43),9)</f>
        <v>0</v>
      </c>
      <c r="U45" s="182" t="n">
        <f aca="false">ROUND((U36-U35)+(U38-U37)+(U40-U39)+(U42-U41)+(U44-U43),9)</f>
        <v>0</v>
      </c>
      <c r="V45" s="182" t="n">
        <f aca="false">ROUND((V36-V35)+(V38-V37)+(V40-V39)+(V42-V41)+(V44-V43),9)</f>
        <v>0</v>
      </c>
      <c r="W45" s="182" t="n">
        <f aca="false">ROUND((W36-W35)+(W38-W37)+(W40-W39)+(W42-W41)+(W44-W43),9)</f>
        <v>0</v>
      </c>
      <c r="X45" s="182" t="n">
        <f aca="false">ROUND((X36-X35)+(X38-X37)+(X40-X39)+(X42-X41)+(X44-X43),9)</f>
        <v>0</v>
      </c>
      <c r="Y45" s="182" t="n">
        <f aca="false">ROUND((Y36-Y35)+(Y38-Y37)+(Y40-Y39)+(Y42-Y41)+(Y44-Y43),9)</f>
        <v>0</v>
      </c>
      <c r="Z45" s="182" t="n">
        <f aca="false">ROUND((Z36-Z35)+(Z38-Z37)+(Z40-Z39)+(Z42-Z41)+(Z44-Z43),9)</f>
        <v>0</v>
      </c>
      <c r="AA45" s="182" t="n">
        <f aca="false">ROUND((AA36-AA35)+(AA38-AA37)+(AA40-AA39)+(AA42-AA41)+(AA44-AA43),9)</f>
        <v>0</v>
      </c>
      <c r="AB45" s="182" t="n">
        <f aca="false">ROUND((AB36-AB35)+(AB38-AB37)+(AB40-AB39)+(AB42-AB41)+(AB44-AB43),9)</f>
        <v>0</v>
      </c>
      <c r="AC45" s="182" t="n">
        <f aca="false">ROUND((AC36-AC35)+(AC38-AC37)+(AC40-AC39)+(AC42-AC41)+(AC44-AC43),9)</f>
        <v>0</v>
      </c>
      <c r="AD45" s="183" t="str">
        <f aca="false">A45</f>
        <v>Total on call standby in/out</v>
      </c>
      <c r="AE45" s="184"/>
      <c r="AF45" s="185" t="n">
        <f aca="false">SUM(B45:AC45)</f>
        <v>0</v>
      </c>
      <c r="AG45" s="180"/>
      <c r="AH45" s="172"/>
      <c r="AI45" s="172"/>
      <c r="AJ45" s="172"/>
      <c r="AK45" s="171"/>
      <c r="AL45" s="172"/>
      <c r="AM45" s="172"/>
      <c r="AN45" s="39"/>
    </row>
    <row r="46" s="148" customFormat="true" ht="3.75" hidden="false" customHeight="true" outlineLevel="0" collapsed="false">
      <c r="A46" s="186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168"/>
      <c r="AE46" s="146"/>
      <c r="AF46" s="179"/>
      <c r="AG46" s="180"/>
      <c r="AH46" s="172"/>
      <c r="AI46" s="172"/>
      <c r="AJ46" s="172"/>
      <c r="AK46" s="171"/>
      <c r="AL46" s="172"/>
      <c r="AM46" s="172"/>
      <c r="AN46" s="39"/>
    </row>
    <row r="47" s="148" customFormat="true" ht="16.5" hidden="true" customHeight="true" outlineLevel="1" collapsed="false">
      <c r="A47" s="181" t="s">
        <v>136</v>
      </c>
      <c r="B47" s="182" t="n">
        <f aca="false">IF(B45&gt;0,ROUND(B45- IF(B35&lt;T.PikettVetsuissebis,MIN(T.PikettVetsuissebis-B35,B36-B35)+IF(B37&lt;T.PikettVetsuissebis,MIN(T.PikettVetsuissebis-B37,B38-B37)+IF(B39&lt;T.PikettVetsuissebis,MIN(T.PikettVetsuissebis-B39,B40-B39)+IF(B41&lt;T.PikettVetsuissebis,MIN(T.PikettVetsuissebis-B41,B42-B41)+IF(B43&lt;T.PikettVetsuissebis,MIN(T.PikettVetsuissebis-B43,B44-B43),0),0),0),0),0),9),0)</f>
        <v>0</v>
      </c>
      <c r="C47" s="182" t="n">
        <f aca="false">IF(C45&gt;0,ROUND(C45- IF(C35&lt;T.PikettVetsuissebis,MIN(T.PikettVetsuissebis-C35,C36-C35)+IF(C37&lt;T.PikettVetsuissebis,MIN(T.PikettVetsuissebis-C37,C38-C37)+IF(C39&lt;T.PikettVetsuissebis,MIN(T.PikettVetsuissebis-C39,C40-C39)+IF(C41&lt;T.PikettVetsuissebis,MIN(T.PikettVetsuissebis-C41,C42-C41)+IF(C43&lt;T.PikettVetsuissebis,MIN(T.PikettVetsuissebis-C43,C44-C43),0),0),0),0),0),9),0)</f>
        <v>0</v>
      </c>
      <c r="D47" s="182" t="n">
        <f aca="false">IF(D45&gt;0,ROUND(D45- IF(D35&lt;T.PikettVetsuissebis,MIN(T.PikettVetsuissebis-D35,D36-D35)+IF(D37&lt;T.PikettVetsuissebis,MIN(T.PikettVetsuissebis-D37,D38-D37)+IF(D39&lt;T.PikettVetsuissebis,MIN(T.PikettVetsuissebis-D39,D40-D39)+IF(D41&lt;T.PikettVetsuissebis,MIN(T.PikettVetsuissebis-D41,D42-D41)+IF(D43&lt;T.PikettVetsuissebis,MIN(T.PikettVetsuissebis-D43,D44-D43),0),0),0),0),0),9),0)</f>
        <v>0</v>
      </c>
      <c r="E47" s="182" t="n">
        <f aca="false">IF(E45&gt;0,ROUND(E45- IF(E35&lt;T.PikettVetsuissebis,MIN(T.PikettVetsuissebis-E35,E36-E35)+IF(E37&lt;T.PikettVetsuissebis,MIN(T.PikettVetsuissebis-E37,E38-E37)+IF(E39&lt;T.PikettVetsuissebis,MIN(T.PikettVetsuissebis-E39,E40-E39)+IF(E41&lt;T.PikettVetsuissebis,MIN(T.PikettVetsuissebis-E41,E42-E41)+IF(E43&lt;T.PikettVetsuissebis,MIN(T.PikettVetsuissebis-E43,E44-E43),0),0),0),0),0),9),0)</f>
        <v>0</v>
      </c>
      <c r="F47" s="182" t="n">
        <f aca="false">IF(F45&gt;0,ROUND(F45- IF(F35&lt;T.PikettVetsuissebis,MIN(T.PikettVetsuissebis-F35,F36-F35)+IF(F37&lt;T.PikettVetsuissebis,MIN(T.PikettVetsuissebis-F37,F38-F37)+IF(F39&lt;T.PikettVetsuissebis,MIN(T.PikettVetsuissebis-F39,F40-F39)+IF(F41&lt;T.PikettVetsuissebis,MIN(T.PikettVetsuissebis-F41,F42-F41)+IF(F43&lt;T.PikettVetsuissebis,MIN(T.PikettVetsuissebis-F43,F44-F43),0),0),0),0),0),9),0)</f>
        <v>0</v>
      </c>
      <c r="G47" s="182" t="n">
        <f aca="false">IF(G45&gt;0,ROUND(G45- IF(G35&lt;T.PikettVetsuissebis,MIN(T.PikettVetsuissebis-G35,G36-G35)+IF(G37&lt;T.PikettVetsuissebis,MIN(T.PikettVetsuissebis-G37,G38-G37)+IF(G39&lt;T.PikettVetsuissebis,MIN(T.PikettVetsuissebis-G39,G40-G39)+IF(G41&lt;T.PikettVetsuissebis,MIN(T.PikettVetsuissebis-G41,G42-G41)+IF(G43&lt;T.PikettVetsuissebis,MIN(T.PikettVetsuissebis-G43,G44-G43),0),0),0),0),0),9),0)</f>
        <v>0</v>
      </c>
      <c r="H47" s="182" t="n">
        <f aca="false">IF(H45&gt;0,ROUND(H45- IF(H35&lt;T.PikettVetsuissebis,MIN(T.PikettVetsuissebis-H35,H36-H35)+IF(H37&lt;T.PikettVetsuissebis,MIN(T.PikettVetsuissebis-H37,H38-H37)+IF(H39&lt;T.PikettVetsuissebis,MIN(T.PikettVetsuissebis-H39,H40-H39)+IF(H41&lt;T.PikettVetsuissebis,MIN(T.PikettVetsuissebis-H41,H42-H41)+IF(H43&lt;T.PikettVetsuissebis,MIN(T.PikettVetsuissebis-H43,H44-H43),0),0),0),0),0),9),0)</f>
        <v>0</v>
      </c>
      <c r="I47" s="182" t="n">
        <f aca="false">IF(I45&gt;0,ROUND(I45- IF(I35&lt;T.PikettVetsuissebis,MIN(T.PikettVetsuissebis-I35,I36-I35)+IF(I37&lt;T.PikettVetsuissebis,MIN(T.PikettVetsuissebis-I37,I38-I37)+IF(I39&lt;T.PikettVetsuissebis,MIN(T.PikettVetsuissebis-I39,I40-I39)+IF(I41&lt;T.PikettVetsuissebis,MIN(T.PikettVetsuissebis-I41,I42-I41)+IF(I43&lt;T.PikettVetsuissebis,MIN(T.PikettVetsuissebis-I43,I44-I43),0),0),0),0),0),9),0)</f>
        <v>0</v>
      </c>
      <c r="J47" s="182" t="n">
        <f aca="false">IF(J45&gt;0,ROUND(J45- IF(J35&lt;T.PikettVetsuissebis,MIN(T.PikettVetsuissebis-J35,J36-J35)+IF(J37&lt;T.PikettVetsuissebis,MIN(T.PikettVetsuissebis-J37,J38-J37)+IF(J39&lt;T.PikettVetsuissebis,MIN(T.PikettVetsuissebis-J39,J40-J39)+IF(J41&lt;T.PikettVetsuissebis,MIN(T.PikettVetsuissebis-J41,J42-J41)+IF(J43&lt;T.PikettVetsuissebis,MIN(T.PikettVetsuissebis-J43,J44-J43),0),0),0),0),0),9),0)</f>
        <v>0</v>
      </c>
      <c r="K47" s="182" t="n">
        <f aca="false">IF(K45&gt;0,ROUND(K45- IF(K35&lt;T.PikettVetsuissebis,MIN(T.PikettVetsuissebis-K35,K36-K35)+IF(K37&lt;T.PikettVetsuissebis,MIN(T.PikettVetsuissebis-K37,K38-K37)+IF(K39&lt;T.PikettVetsuissebis,MIN(T.PikettVetsuissebis-K39,K40-K39)+IF(K41&lt;T.PikettVetsuissebis,MIN(T.PikettVetsuissebis-K41,K42-K41)+IF(K43&lt;T.PikettVetsuissebis,MIN(T.PikettVetsuissebis-K43,K44-K43),0),0),0),0),0),9),0)</f>
        <v>0</v>
      </c>
      <c r="L47" s="182" t="n">
        <f aca="false">IF(L45&gt;0,ROUND(L45- IF(L35&lt;T.PikettVetsuissebis,MIN(T.PikettVetsuissebis-L35,L36-L35)+IF(L37&lt;T.PikettVetsuissebis,MIN(T.PikettVetsuissebis-L37,L38-L37)+IF(L39&lt;T.PikettVetsuissebis,MIN(T.PikettVetsuissebis-L39,L40-L39)+IF(L41&lt;T.PikettVetsuissebis,MIN(T.PikettVetsuissebis-L41,L42-L41)+IF(L43&lt;T.PikettVetsuissebis,MIN(T.PikettVetsuissebis-L43,L44-L43),0),0),0),0),0),9),0)</f>
        <v>0</v>
      </c>
      <c r="M47" s="182" t="n">
        <f aca="false">IF(M45&gt;0,ROUND(M45- IF(M35&lt;T.PikettVetsuissebis,MIN(T.PikettVetsuissebis-M35,M36-M35)+IF(M37&lt;T.PikettVetsuissebis,MIN(T.PikettVetsuissebis-M37,M38-M37)+IF(M39&lt;T.PikettVetsuissebis,MIN(T.PikettVetsuissebis-M39,M40-M39)+IF(M41&lt;T.PikettVetsuissebis,MIN(T.PikettVetsuissebis-M41,M42-M41)+IF(M43&lt;T.PikettVetsuissebis,MIN(T.PikettVetsuissebis-M43,M44-M43),0),0),0),0),0),9),0)</f>
        <v>0</v>
      </c>
      <c r="N47" s="182" t="n">
        <f aca="false">IF(N45&gt;0,ROUND(N45- IF(N35&lt;T.PikettVetsuissebis,MIN(T.PikettVetsuissebis-N35,N36-N35)+IF(N37&lt;T.PikettVetsuissebis,MIN(T.PikettVetsuissebis-N37,N38-N37)+IF(N39&lt;T.PikettVetsuissebis,MIN(T.PikettVetsuissebis-N39,N40-N39)+IF(N41&lt;T.PikettVetsuissebis,MIN(T.PikettVetsuissebis-N41,N42-N41)+IF(N43&lt;T.PikettVetsuissebis,MIN(T.PikettVetsuissebis-N43,N44-N43),0),0),0),0),0),9),0)</f>
        <v>0</v>
      </c>
      <c r="O47" s="182" t="n">
        <f aca="false">IF(O45&gt;0,ROUND(O45- IF(O35&lt;T.PikettVetsuissebis,MIN(T.PikettVetsuissebis-O35,O36-O35)+IF(O37&lt;T.PikettVetsuissebis,MIN(T.PikettVetsuissebis-O37,O38-O37)+IF(O39&lt;T.PikettVetsuissebis,MIN(T.PikettVetsuissebis-O39,O40-O39)+IF(O41&lt;T.PikettVetsuissebis,MIN(T.PikettVetsuissebis-O41,O42-O41)+IF(O43&lt;T.PikettVetsuissebis,MIN(T.PikettVetsuissebis-O43,O44-O43),0),0),0),0),0),9),0)</f>
        <v>0</v>
      </c>
      <c r="P47" s="182" t="n">
        <f aca="false">IF(P45&gt;0,ROUND(P45- IF(P35&lt;T.PikettVetsuissebis,MIN(T.PikettVetsuissebis-P35,P36-P35)+IF(P37&lt;T.PikettVetsuissebis,MIN(T.PikettVetsuissebis-P37,P38-P37)+IF(P39&lt;T.PikettVetsuissebis,MIN(T.PikettVetsuissebis-P39,P40-P39)+IF(P41&lt;T.PikettVetsuissebis,MIN(T.PikettVetsuissebis-P41,P42-P41)+IF(P43&lt;T.PikettVetsuissebis,MIN(T.PikettVetsuissebis-P43,P44-P43),0),0),0),0),0),9),0)</f>
        <v>0</v>
      </c>
      <c r="Q47" s="182" t="n">
        <f aca="false">IF(Q45&gt;0,ROUND(Q45- IF(Q35&lt;T.PikettVetsuissebis,MIN(T.PikettVetsuissebis-Q35,Q36-Q35)+IF(Q37&lt;T.PikettVetsuissebis,MIN(T.PikettVetsuissebis-Q37,Q38-Q37)+IF(Q39&lt;T.PikettVetsuissebis,MIN(T.PikettVetsuissebis-Q39,Q40-Q39)+IF(Q41&lt;T.PikettVetsuissebis,MIN(T.PikettVetsuissebis-Q41,Q42-Q41)+IF(Q43&lt;T.PikettVetsuissebis,MIN(T.PikettVetsuissebis-Q43,Q44-Q43),0),0),0),0),0),9),0)</f>
        <v>0</v>
      </c>
      <c r="R47" s="182" t="n">
        <f aca="false">IF(R45&gt;0,ROUND(R45- IF(R35&lt;T.PikettVetsuissebis,MIN(T.PikettVetsuissebis-R35,R36-R35)+IF(R37&lt;T.PikettVetsuissebis,MIN(T.PikettVetsuissebis-R37,R38-R37)+IF(R39&lt;T.PikettVetsuissebis,MIN(T.PikettVetsuissebis-R39,R40-R39)+IF(R41&lt;T.PikettVetsuissebis,MIN(T.PikettVetsuissebis-R41,R42-R41)+IF(R43&lt;T.PikettVetsuissebis,MIN(T.PikettVetsuissebis-R43,R44-R43),0),0),0),0),0),9),0)</f>
        <v>0</v>
      </c>
      <c r="S47" s="182" t="n">
        <f aca="false">IF(S45&gt;0,ROUND(S45- IF(S35&lt;T.PikettVetsuissebis,MIN(T.PikettVetsuissebis-S35,S36-S35)+IF(S37&lt;T.PikettVetsuissebis,MIN(T.PikettVetsuissebis-S37,S38-S37)+IF(S39&lt;T.PikettVetsuissebis,MIN(T.PikettVetsuissebis-S39,S40-S39)+IF(S41&lt;T.PikettVetsuissebis,MIN(T.PikettVetsuissebis-S41,S42-S41)+IF(S43&lt;T.PikettVetsuissebis,MIN(T.PikettVetsuissebis-S43,S44-S43),0),0),0),0),0),9),0)</f>
        <v>0</v>
      </c>
      <c r="T47" s="182" t="n">
        <f aca="false">IF(T45&gt;0,ROUND(T45- IF(T35&lt;T.PikettVetsuissebis,MIN(T.PikettVetsuissebis-T35,T36-T35)+IF(T37&lt;T.PikettVetsuissebis,MIN(T.PikettVetsuissebis-T37,T38-T37)+IF(T39&lt;T.PikettVetsuissebis,MIN(T.PikettVetsuissebis-T39,T40-T39)+IF(T41&lt;T.PikettVetsuissebis,MIN(T.PikettVetsuissebis-T41,T42-T41)+IF(T43&lt;T.PikettVetsuissebis,MIN(T.PikettVetsuissebis-T43,T44-T43),0),0),0),0),0),9),0)</f>
        <v>0</v>
      </c>
      <c r="U47" s="182" t="n">
        <f aca="false">IF(U45&gt;0,ROUND(U45- IF(U35&lt;T.PikettVetsuissebis,MIN(T.PikettVetsuissebis-U35,U36-U35)+IF(U37&lt;T.PikettVetsuissebis,MIN(T.PikettVetsuissebis-U37,U38-U37)+IF(U39&lt;T.PikettVetsuissebis,MIN(T.PikettVetsuissebis-U39,U40-U39)+IF(U41&lt;T.PikettVetsuissebis,MIN(T.PikettVetsuissebis-U41,U42-U41)+IF(U43&lt;T.PikettVetsuissebis,MIN(T.PikettVetsuissebis-U43,U44-U43),0),0),0),0),0),9),0)</f>
        <v>0</v>
      </c>
      <c r="V47" s="182" t="n">
        <f aca="false">IF(V45&gt;0,ROUND(V45- IF(V35&lt;T.PikettVetsuissebis,MIN(T.PikettVetsuissebis-V35,V36-V35)+IF(V37&lt;T.PikettVetsuissebis,MIN(T.PikettVetsuissebis-V37,V38-V37)+IF(V39&lt;T.PikettVetsuissebis,MIN(T.PikettVetsuissebis-V39,V40-V39)+IF(V41&lt;T.PikettVetsuissebis,MIN(T.PikettVetsuissebis-V41,V42-V41)+IF(V43&lt;T.PikettVetsuissebis,MIN(T.PikettVetsuissebis-V43,V44-V43),0),0),0),0),0),9),0)</f>
        <v>0</v>
      </c>
      <c r="W47" s="182" t="n">
        <f aca="false">IF(W45&gt;0,ROUND(W45- IF(W35&lt;T.PikettVetsuissebis,MIN(T.PikettVetsuissebis-W35,W36-W35)+IF(W37&lt;T.PikettVetsuissebis,MIN(T.PikettVetsuissebis-W37,W38-W37)+IF(W39&lt;T.PikettVetsuissebis,MIN(T.PikettVetsuissebis-W39,W40-W39)+IF(W41&lt;T.PikettVetsuissebis,MIN(T.PikettVetsuissebis-W41,W42-W41)+IF(W43&lt;T.PikettVetsuissebis,MIN(T.PikettVetsuissebis-W43,W44-W43),0),0),0),0),0),9),0)</f>
        <v>0</v>
      </c>
      <c r="X47" s="182" t="n">
        <f aca="false">IF(X45&gt;0,ROUND(X45- IF(X35&lt;T.PikettVetsuissebis,MIN(T.PikettVetsuissebis-X35,X36-X35)+IF(X37&lt;T.PikettVetsuissebis,MIN(T.PikettVetsuissebis-X37,X38-X37)+IF(X39&lt;T.PikettVetsuissebis,MIN(T.PikettVetsuissebis-X39,X40-X39)+IF(X41&lt;T.PikettVetsuissebis,MIN(T.PikettVetsuissebis-X41,X42-X41)+IF(X43&lt;T.PikettVetsuissebis,MIN(T.PikettVetsuissebis-X43,X44-X43),0),0),0),0),0),9),0)</f>
        <v>0</v>
      </c>
      <c r="Y47" s="182" t="n">
        <f aca="false">IF(Y45&gt;0,ROUND(Y45- IF(Y35&lt;T.PikettVetsuissebis,MIN(T.PikettVetsuissebis-Y35,Y36-Y35)+IF(Y37&lt;T.PikettVetsuissebis,MIN(T.PikettVetsuissebis-Y37,Y38-Y37)+IF(Y39&lt;T.PikettVetsuissebis,MIN(T.PikettVetsuissebis-Y39,Y40-Y39)+IF(Y41&lt;T.PikettVetsuissebis,MIN(T.PikettVetsuissebis-Y41,Y42-Y41)+IF(Y43&lt;T.PikettVetsuissebis,MIN(T.PikettVetsuissebis-Y43,Y44-Y43),0),0),0),0),0),9),0)</f>
        <v>0</v>
      </c>
      <c r="Z47" s="182" t="n">
        <f aca="false">IF(Z45&gt;0,ROUND(Z45- IF(Z35&lt;T.PikettVetsuissebis,MIN(T.PikettVetsuissebis-Z35,Z36-Z35)+IF(Z37&lt;T.PikettVetsuissebis,MIN(T.PikettVetsuissebis-Z37,Z38-Z37)+IF(Z39&lt;T.PikettVetsuissebis,MIN(T.PikettVetsuissebis-Z39,Z40-Z39)+IF(Z41&lt;T.PikettVetsuissebis,MIN(T.PikettVetsuissebis-Z41,Z42-Z41)+IF(Z43&lt;T.PikettVetsuissebis,MIN(T.PikettVetsuissebis-Z43,Z44-Z43),0),0),0),0),0),9),0)</f>
        <v>0</v>
      </c>
      <c r="AA47" s="182" t="n">
        <f aca="false">IF(AA45&gt;0,ROUND(AA45- IF(AA35&lt;T.PikettVetsuissebis,MIN(T.PikettVetsuissebis-AA35,AA36-AA35)+IF(AA37&lt;T.PikettVetsuissebis,MIN(T.PikettVetsuissebis-AA37,AA38-AA37)+IF(AA39&lt;T.PikettVetsuissebis,MIN(T.PikettVetsuissebis-AA39,AA40-AA39)+IF(AA41&lt;T.PikettVetsuissebis,MIN(T.PikettVetsuissebis-AA41,AA42-AA41)+IF(AA43&lt;T.PikettVetsuissebis,MIN(T.PikettVetsuissebis-AA43,AA44-AA43),0),0),0),0),0),9),0)</f>
        <v>0</v>
      </c>
      <c r="AB47" s="182" t="n">
        <f aca="false">IF(AB45&gt;0,ROUND(AB45- IF(AB35&lt;T.PikettVetsuissebis,MIN(T.PikettVetsuissebis-AB35,AB36-AB35)+IF(AB37&lt;T.PikettVetsuissebis,MIN(T.PikettVetsuissebis-AB37,AB38-AB37)+IF(AB39&lt;T.PikettVetsuissebis,MIN(T.PikettVetsuissebis-AB39,AB40-AB39)+IF(AB41&lt;T.PikettVetsuissebis,MIN(T.PikettVetsuissebis-AB41,AB42-AB41)+IF(AB43&lt;T.PikettVetsuissebis,MIN(T.PikettVetsuissebis-AB43,AB44-AB43),0),0),0),0),0),9),0)</f>
        <v>0</v>
      </c>
      <c r="AC47" s="182" t="n">
        <f aca="false">IF(AC45&gt;0,ROUND(AC45- IF(AC35&lt;T.PikettVetsuissebis,MIN(T.PikettVetsuissebis-AC35,AC36-AC35)+IF(AC37&lt;T.PikettVetsuissebis,MIN(T.PikettVetsuissebis-AC37,AC38-AC37)+IF(AC39&lt;T.PikettVetsuissebis,MIN(T.PikettVetsuissebis-AC39,AC40-AC39)+IF(AC41&lt;T.PikettVetsuissebis,MIN(T.PikettVetsuissebis-AC41,AC42-AC41)+IF(AC43&lt;T.PikettVetsuissebis,MIN(T.PikettVetsuissebis-AC43,AC44-AC43),0),0),0),0),0),9),0)</f>
        <v>0</v>
      </c>
      <c r="AD47" s="183" t="str">
        <f aca="false">A47</f>
        <v>Total on call hours today</v>
      </c>
      <c r="AE47" s="146"/>
      <c r="AF47" s="179"/>
      <c r="AG47" s="180"/>
      <c r="AH47" s="172"/>
      <c r="AI47" s="172"/>
      <c r="AJ47" s="172"/>
      <c r="AK47" s="171"/>
      <c r="AL47" s="172"/>
      <c r="AM47" s="172"/>
      <c r="AN47" s="39"/>
    </row>
    <row r="48" s="148" customFormat="true" ht="16.5" hidden="true" customHeight="true" outlineLevel="1" collapsed="false">
      <c r="A48" s="181" t="s">
        <v>137</v>
      </c>
      <c r="B48" s="193" t="n">
        <f aca="false">B45-B47</f>
        <v>0</v>
      </c>
      <c r="C48" s="193" t="n">
        <f aca="false">C45-C47</f>
        <v>0</v>
      </c>
      <c r="D48" s="193" t="n">
        <f aca="false">D45-D47</f>
        <v>0</v>
      </c>
      <c r="E48" s="193" t="n">
        <f aca="false">E45-E47</f>
        <v>0</v>
      </c>
      <c r="F48" s="193" t="n">
        <f aca="false">F45-F47</f>
        <v>0</v>
      </c>
      <c r="G48" s="193" t="n">
        <f aca="false">G45-G47</f>
        <v>0</v>
      </c>
      <c r="H48" s="193" t="n">
        <f aca="false">H45-H47</f>
        <v>0</v>
      </c>
      <c r="I48" s="193" t="n">
        <f aca="false">I45-I47</f>
        <v>0</v>
      </c>
      <c r="J48" s="193" t="n">
        <f aca="false">J45-J47</f>
        <v>0</v>
      </c>
      <c r="K48" s="193" t="n">
        <f aca="false">K45-K47</f>
        <v>0</v>
      </c>
      <c r="L48" s="193" t="n">
        <f aca="false">L45-L47</f>
        <v>0</v>
      </c>
      <c r="M48" s="193" t="n">
        <f aca="false">M45-M47</f>
        <v>0</v>
      </c>
      <c r="N48" s="193" t="n">
        <f aca="false">N45-N47</f>
        <v>0</v>
      </c>
      <c r="O48" s="193" t="n">
        <f aca="false">O45-O47</f>
        <v>0</v>
      </c>
      <c r="P48" s="193" t="n">
        <f aca="false">P45-P47</f>
        <v>0</v>
      </c>
      <c r="Q48" s="193" t="n">
        <f aca="false">Q45-Q47</f>
        <v>0</v>
      </c>
      <c r="R48" s="193" t="n">
        <f aca="false">R45-R47</f>
        <v>0</v>
      </c>
      <c r="S48" s="193" t="n">
        <f aca="false">S45-S47</f>
        <v>0</v>
      </c>
      <c r="T48" s="193" t="n">
        <f aca="false">T45-T47</f>
        <v>0</v>
      </c>
      <c r="U48" s="193" t="n">
        <f aca="false">U45-U47</f>
        <v>0</v>
      </c>
      <c r="V48" s="193" t="n">
        <f aca="false">V45-V47</f>
        <v>0</v>
      </c>
      <c r="W48" s="193" t="n">
        <f aca="false">W45-W47</f>
        <v>0</v>
      </c>
      <c r="X48" s="193" t="n">
        <f aca="false">X45-X47</f>
        <v>0</v>
      </c>
      <c r="Y48" s="193" t="n">
        <f aca="false">Y45-Y47</f>
        <v>0</v>
      </c>
      <c r="Z48" s="193" t="n">
        <f aca="false">Z45-Z47</f>
        <v>0</v>
      </c>
      <c r="AA48" s="193" t="n">
        <f aca="false">AA45-AA47</f>
        <v>0</v>
      </c>
      <c r="AB48" s="193" t="n">
        <f aca="false">AB45-AB47</f>
        <v>0</v>
      </c>
      <c r="AC48" s="193" t="n">
        <f aca="false">AC45-AC47</f>
        <v>0</v>
      </c>
      <c r="AD48" s="183" t="str">
        <f aca="false">A48</f>
        <v>Total on call hours yesterday</v>
      </c>
      <c r="AE48" s="146"/>
      <c r="AF48" s="179"/>
      <c r="AG48" s="180"/>
      <c r="AH48" s="172"/>
      <c r="AI48" s="172"/>
      <c r="AJ48" s="199" t="n">
        <f aca="false">IF(EB.Anwendung&lt;&gt;"",IF(MONTH(Monat.Tag1)=12,0,IF(MONTH(Monat.Tag1)=1,Monat.PikettgesternTag1,IF(MONTH(Monat.Tag1)=2,March!Monat.PikettgesternTag1,IF(MONTH(Monat.Tag1)=3,April!Monat.PikettgesternTag1,IF(MONTH(Monat.Tag1)=4,May!Monat.PikettgesternTag1,IF(MONTH(Monat.Tag1)=5,June!Monat.PikettgesternTag1,IF(MONTH(Monat.Tag1)=6,July!Monat.PikettgesternTag1,IF(MONTH(Monat.Tag1)=7,August!Monat.PikettgesternTag1,IF(MONTH(Monat.Tag1)=8,September!Monat.PikettgesternTag1,IF(MONTH(Monat.Tag1)=9,October!Monat.PikettgesternTag1,IF(MONTH(Monat.Tag1)=10,November!Monat.PikettgesternTag1,IF(MONTH(Monat.Tag1)=11,December!Monat.PikettgesternTag1,"")))))))))))),"")</f>
        <v>0</v>
      </c>
      <c r="AK48" s="171"/>
      <c r="AL48" s="172"/>
      <c r="AM48" s="172"/>
      <c r="AN48" s="39"/>
    </row>
    <row r="49" s="148" customFormat="true" ht="16.5" hidden="true" customHeight="true" outlineLevel="1" collapsed="false">
      <c r="A49" s="181" t="s">
        <v>138</v>
      </c>
      <c r="B49" s="182" t="n">
        <f aca="false">B47+IF(B$10=EOMONTH(B$10,0),$AJ48,C48)</f>
        <v>0</v>
      </c>
      <c r="C49" s="182" t="n">
        <f aca="false">C47+IF(C$10=EOMONTH(C$10,0),$AJ48,D48)</f>
        <v>0</v>
      </c>
      <c r="D49" s="182" t="n">
        <f aca="false">D47+IF(D$10=EOMONTH(D$10,0),$AJ48,E48)</f>
        <v>0</v>
      </c>
      <c r="E49" s="182" t="n">
        <f aca="false">E47+IF(E$10=EOMONTH(E$10,0),$AJ48,F48)</f>
        <v>0</v>
      </c>
      <c r="F49" s="182" t="n">
        <f aca="false">F47+IF(F$10=EOMONTH(F$10,0),$AJ48,G48)</f>
        <v>0</v>
      </c>
      <c r="G49" s="182" t="n">
        <f aca="false">G47+IF(G$10=EOMONTH(G$10,0),$AJ48,H48)</f>
        <v>0</v>
      </c>
      <c r="H49" s="182" t="n">
        <f aca="false">H47+IF(H$10=EOMONTH(H$10,0),$AJ48,I48)</f>
        <v>0</v>
      </c>
      <c r="I49" s="182" t="n">
        <f aca="false">I47+IF(I$10=EOMONTH(I$10,0),$AJ48,J48)</f>
        <v>0</v>
      </c>
      <c r="J49" s="182" t="n">
        <f aca="false">J47+IF(J$10=EOMONTH(J$10,0),$AJ48,K48)</f>
        <v>0</v>
      </c>
      <c r="K49" s="182" t="n">
        <f aca="false">K47+IF(K$10=EOMONTH(K$10,0),$AJ48,L48)</f>
        <v>0</v>
      </c>
      <c r="L49" s="182" t="n">
        <f aca="false">L47+IF(L$10=EOMONTH(L$10,0),$AJ48,M48)</f>
        <v>0</v>
      </c>
      <c r="M49" s="182" t="n">
        <f aca="false">M47+IF(M$10=EOMONTH(M$10,0),$AJ48,N48)</f>
        <v>0</v>
      </c>
      <c r="N49" s="182" t="n">
        <f aca="false">N47+IF(N$10=EOMONTH(N$10,0),$AJ48,O48)</f>
        <v>0</v>
      </c>
      <c r="O49" s="182" t="n">
        <f aca="false">O47+IF(O$10=EOMONTH(O$10,0),$AJ48,P48)</f>
        <v>0</v>
      </c>
      <c r="P49" s="182" t="n">
        <f aca="false">P47+IF(P$10=EOMONTH(P$10,0),$AJ48,Q48)</f>
        <v>0</v>
      </c>
      <c r="Q49" s="182" t="n">
        <f aca="false">Q47+IF(Q$10=EOMONTH(Q$10,0),$AJ48,R48)</f>
        <v>0</v>
      </c>
      <c r="R49" s="182" t="n">
        <f aca="false">R47+IF(R$10=EOMONTH(R$10,0),$AJ48,S48)</f>
        <v>0</v>
      </c>
      <c r="S49" s="182" t="n">
        <f aca="false">S47+IF(S$10=EOMONTH(S$10,0),$AJ48,T48)</f>
        <v>0</v>
      </c>
      <c r="T49" s="182" t="n">
        <f aca="false">T47+IF(T$10=EOMONTH(T$10,0),$AJ48,U48)</f>
        <v>0</v>
      </c>
      <c r="U49" s="182" t="n">
        <f aca="false">U47+IF(U$10=EOMONTH(U$10,0),$AJ48,V48)</f>
        <v>0</v>
      </c>
      <c r="V49" s="182" t="n">
        <f aca="false">V47+IF(V$10=EOMONTH(V$10,0),$AJ48,W48)</f>
        <v>0</v>
      </c>
      <c r="W49" s="182" t="n">
        <f aca="false">W47+IF(W$10=EOMONTH(W$10,0),$AJ48,X48)</f>
        <v>0</v>
      </c>
      <c r="X49" s="182" t="n">
        <f aca="false">X47+IF(X$10=EOMONTH(X$10,0),$AJ48,Y48)</f>
        <v>0</v>
      </c>
      <c r="Y49" s="182" t="n">
        <f aca="false">Y47+IF(Y$10=EOMONTH(Y$10,0),$AJ48,Z48)</f>
        <v>0</v>
      </c>
      <c r="Z49" s="182" t="n">
        <f aca="false">Z47+IF(Z$10=EOMONTH(Z$10,0),$AJ48,AA48)</f>
        <v>0</v>
      </c>
      <c r="AA49" s="182" t="n">
        <f aca="false">AA47+IF(AA$10=EOMONTH(AA$10,0),$AJ48,AB48)</f>
        <v>0</v>
      </c>
      <c r="AB49" s="182" t="n">
        <f aca="false">AB47+IF(AB$10=EOMONTH(AB$10,0),$AJ48,AC48)</f>
        <v>0</v>
      </c>
      <c r="AC49" s="182" t="n">
        <f aca="false">AC47+IF(AC$10=EOMONTH(AC$10,0),$AJ48,#REF!)</f>
        <v>0</v>
      </c>
      <c r="AD49" s="183" t="str">
        <f aca="false">A49</f>
        <v>Total on call standby hours</v>
      </c>
      <c r="AE49" s="184"/>
      <c r="AF49" s="185" t="n">
        <f aca="false">SUM(B49:AC49)</f>
        <v>0</v>
      </c>
      <c r="AG49" s="180"/>
      <c r="AH49" s="172"/>
      <c r="AI49" s="172"/>
      <c r="AJ49" s="172"/>
      <c r="AK49" s="171"/>
      <c r="AL49" s="172"/>
      <c r="AM49" s="172"/>
      <c r="AN49" s="39"/>
    </row>
    <row r="50" s="148" customFormat="true" ht="3.75" hidden="false" customHeight="true" outlineLevel="0" collapsed="false">
      <c r="A50" s="200"/>
      <c r="B50" s="187"/>
      <c r="C50" s="187"/>
      <c r="D50" s="187"/>
      <c r="E50" s="187"/>
      <c r="F50" s="187"/>
      <c r="G50" s="187"/>
      <c r="H50" s="187"/>
      <c r="I50" s="187"/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87"/>
      <c r="U50" s="187"/>
      <c r="V50" s="187"/>
      <c r="W50" s="187"/>
      <c r="X50" s="187"/>
      <c r="Y50" s="187"/>
      <c r="Z50" s="187"/>
      <c r="AA50" s="187"/>
      <c r="AB50" s="187"/>
      <c r="AC50" s="187"/>
      <c r="AD50" s="201"/>
      <c r="AE50" s="202"/>
      <c r="AF50" s="188"/>
      <c r="AG50" s="180"/>
      <c r="AH50" s="172"/>
      <c r="AI50" s="172"/>
      <c r="AJ50" s="172"/>
      <c r="AK50" s="171"/>
      <c r="AL50" s="172"/>
      <c r="AM50" s="172"/>
      <c r="AN50" s="39"/>
    </row>
    <row r="51" s="148" customFormat="true" ht="15" hidden="false" customHeight="true" outlineLevel="0" collapsed="false">
      <c r="A51" s="181" t="s">
        <v>139</v>
      </c>
      <c r="B51" s="203" t="n">
        <f aca="false">ROUND(B23+B45+B84+SUM(B86:B95)+IF(T.50_Vetsuisse,B71,0),9)</f>
        <v>0</v>
      </c>
      <c r="C51" s="203" t="n">
        <f aca="false">ROUND(C23+C45+C84+SUM(C86:C95)+IF(T.50_Vetsuisse,C71,0),9)</f>
        <v>0</v>
      </c>
      <c r="D51" s="203" t="n">
        <f aca="false">ROUND(D23+D45+D84+SUM(D86:D95)+IF(T.50_Vetsuisse,D71,0),9)</f>
        <v>0</v>
      </c>
      <c r="E51" s="204" t="n">
        <f aca="false">ROUND(E23+E45+E84+SUM(E86:E95)+IF(T.50_Vetsuisse,E71,0),9)</f>
        <v>0</v>
      </c>
      <c r="F51" s="203" t="n">
        <f aca="false">ROUND(F23+F45+F84+SUM(F86:F95)+IF(T.50_Vetsuisse,F71,0),9)</f>
        <v>0</v>
      </c>
      <c r="G51" s="203" t="n">
        <f aca="false">ROUND(G23+G45+G84+SUM(G86:G95)+IF(T.50_Vetsuisse,G71,0),9)</f>
        <v>0</v>
      </c>
      <c r="H51" s="203" t="n">
        <f aca="false">ROUND(H23+H45+H84+SUM(H86:H95)+IF(T.50_Vetsuisse,H71,0),9)</f>
        <v>0</v>
      </c>
      <c r="I51" s="203" t="n">
        <f aca="false">ROUND(I23+I45+I84+SUM(I86:I95)+IF(T.50_Vetsuisse,I71,0),9)</f>
        <v>0</v>
      </c>
      <c r="J51" s="205" t="n">
        <f aca="false">ROUND(J23+J45+J84+SUM(J86:J95)+IF(T.50_Vetsuisse,J71,0),9)</f>
        <v>0</v>
      </c>
      <c r="K51" s="203" t="n">
        <f aca="false">ROUND(K23+K45+K84+SUM(K86:K95)+IF(T.50_Vetsuisse,K71,0),9)</f>
        <v>0</v>
      </c>
      <c r="L51" s="205" t="n">
        <f aca="false">ROUND(L23+L45+L84+SUM(L86:L95)+IF(T.50_Vetsuisse,L71,0),9)</f>
        <v>0</v>
      </c>
      <c r="M51" s="203" t="n">
        <f aca="false">ROUND(M23+M45+M84+SUM(M86:M95)+IF(T.50_Vetsuisse,M71,0),9)</f>
        <v>0</v>
      </c>
      <c r="N51" s="203" t="n">
        <f aca="false">ROUND(N23+N45+N84+SUM(N86:N95)+IF(T.50_Vetsuisse,N71,0),9)</f>
        <v>0</v>
      </c>
      <c r="O51" s="203" t="n">
        <f aca="false">ROUND(O23+O45+O84+SUM(O86:O95)+IF(T.50_Vetsuisse,O71,0),9)</f>
        <v>0</v>
      </c>
      <c r="P51" s="203" t="n">
        <f aca="false">ROUND(P23+P45+P84+SUM(P86:P95)+IF(T.50_Vetsuisse,P71,0),9)</f>
        <v>0</v>
      </c>
      <c r="Q51" s="205" t="n">
        <f aca="false">ROUND(Q23+Q45+Q84+SUM(Q86:Q95)+IF(T.50_Vetsuisse,Q71,0),9)</f>
        <v>0</v>
      </c>
      <c r="R51" s="203" t="n">
        <f aca="false">ROUND(R23+R45+R84+SUM(R86:R95)+IF(T.50_Vetsuisse,R71,0),9)</f>
        <v>0</v>
      </c>
      <c r="S51" s="205" t="n">
        <f aca="false">ROUND(S23+S45+S84+SUM(S86:S95)+IF(T.50_Vetsuisse,S71,0),9)</f>
        <v>0</v>
      </c>
      <c r="T51" s="205" t="n">
        <f aca="false">ROUND(T23+T45+T84+SUM(T86:T95)+IF(T.50_Vetsuisse,T71,0),9)</f>
        <v>0</v>
      </c>
      <c r="U51" s="203" t="n">
        <f aca="false">ROUND(U23+U45+U84+SUM(U86:U95)+IF(T.50_Vetsuisse,U71,0),9)</f>
        <v>0</v>
      </c>
      <c r="V51" s="203" t="n">
        <f aca="false">ROUND(V23+V45+V84+SUM(V86:V95)+IF(T.50_Vetsuisse,V71,0),9)</f>
        <v>0</v>
      </c>
      <c r="W51" s="203" t="n">
        <f aca="false">ROUND(W23+W45+W84+SUM(W86:W95)+IF(T.50_Vetsuisse,W71,0),9)</f>
        <v>0</v>
      </c>
      <c r="X51" s="205" t="n">
        <f aca="false">ROUND(X23+X45+X84+SUM(X86:X95)+IF(T.50_Vetsuisse,X71,0),9)</f>
        <v>0</v>
      </c>
      <c r="Y51" s="203" t="n">
        <f aca="false">ROUND(Y23+Y45+Y84+SUM(Y86:Y95)+IF(T.50_Vetsuisse,Y71,0),9)</f>
        <v>0</v>
      </c>
      <c r="Z51" s="206" t="n">
        <f aca="false">ROUND(Z23+Z45+Z84+SUM(Z86:Z95)+IF(T.50_Vetsuisse,Z71,0),9)</f>
        <v>0</v>
      </c>
      <c r="AA51" s="203" t="n">
        <f aca="false">ROUND(AA23+AA45+AA84+SUM(AA86:AA95)+IF(T.50_Vetsuisse,AA71,0),9)</f>
        <v>0</v>
      </c>
      <c r="AB51" s="203" t="n">
        <f aca="false">ROUND(AB23+AB45+AB84+SUM(AB86:AB95)+IF(T.50_Vetsuisse,AB71,0),9)</f>
        <v>0</v>
      </c>
      <c r="AC51" s="203" t="n">
        <f aca="false">ROUND(AC23+AC45+AC84+SUM(AC86:AC95)+IF(T.50_Vetsuisse,AC71,0),9)</f>
        <v>0</v>
      </c>
      <c r="AD51" s="183" t="str">
        <f aca="false">A51</f>
        <v>Actual hours worked</v>
      </c>
      <c r="AE51" s="184"/>
      <c r="AF51" s="207" t="n">
        <f aca="false">SUM(B51:AC51)</f>
        <v>0</v>
      </c>
      <c r="AG51" s="180"/>
      <c r="AH51" s="172"/>
      <c r="AI51" s="172"/>
      <c r="AJ51" s="172"/>
      <c r="AK51" s="208" t="n">
        <f aca="true">IF(WEEKDAY(EOMONTH(Monat.Tag1,0),2)=7,0,MAX(0,SUM(OFFSET(B51,0,DAY(EOMONTH(Monat.Tag1,0))-WEEKDAY(EOMONTH(Monat.Tag1,0),2),1,WEEKDAY(EOMONTH(Monat.Tag1,0),2)))))</f>
        <v>0</v>
      </c>
      <c r="AL51" s="172"/>
      <c r="AM51" s="172"/>
      <c r="AN51" s="39"/>
    </row>
    <row r="52" s="148" customFormat="true" ht="15" hidden="false" customHeight="true" outlineLevel="1" collapsed="false">
      <c r="A52" s="175" t="s">
        <v>140</v>
      </c>
      <c r="B52" s="209" t="n">
        <f aca="false">IF(B$12=0,0,ROUND(INDEX(Monat.RAZ1_7.Bereich,WEEKDAY(B$10,2))*B$11,9))</f>
        <v>0</v>
      </c>
      <c r="C52" s="209" t="n">
        <f aca="false">IF(C$12=0,0,ROUND(INDEX(Monat.RAZ1_7.Bereich,WEEKDAY(C$10,2))*C$11,9))</f>
        <v>0</v>
      </c>
      <c r="D52" s="210" t="n">
        <f aca="false">IF(D$12=0,0,ROUND(INDEX(Monat.RAZ1_7.Bereich,WEEKDAY(D$10,2))*D$11,9))</f>
        <v>0</v>
      </c>
      <c r="E52" s="209" t="n">
        <f aca="false">IF(E$12=0,0,ROUND(INDEX(Monat.RAZ1_7.Bereich,WEEKDAY(E$10,2))*E$11,9))</f>
        <v>0</v>
      </c>
      <c r="F52" s="210" t="n">
        <f aca="false">IF(F$12=0,0,ROUND(INDEX(Monat.RAZ1_7.Bereich,WEEKDAY(F$10,2))*F$11,9))</f>
        <v>0</v>
      </c>
      <c r="G52" s="210" t="n">
        <f aca="false">IF(G$12=0,0,ROUND(INDEX(Monat.RAZ1_7.Bereich,WEEKDAY(G$10,2))*G$11,9))</f>
        <v>0</v>
      </c>
      <c r="H52" s="210" t="n">
        <f aca="false">IF(H$12=0,0,ROUND(INDEX(Monat.RAZ1_7.Bereich,WEEKDAY(H$10,2))*H$11,9))</f>
        <v>0</v>
      </c>
      <c r="I52" s="210" t="n">
        <f aca="false">IF(I$12=0,0,ROUND(INDEX(Monat.RAZ1_7.Bereich,WEEKDAY(I$10,2))*I$11,9))</f>
        <v>0</v>
      </c>
      <c r="J52" s="209" t="n">
        <f aca="false">IF(J$12=0,0,ROUND(INDEX(Monat.RAZ1_7.Bereich,WEEKDAY(J$10,2))*J$11,9))</f>
        <v>0</v>
      </c>
      <c r="K52" s="210" t="n">
        <f aca="false">IF(K$12=0,0,ROUND(INDEX(Monat.RAZ1_7.Bereich,WEEKDAY(K$10,2))*K$11,9))</f>
        <v>0</v>
      </c>
      <c r="L52" s="209" t="n">
        <f aca="false">IF(L$12=0,0,ROUND(INDEX(Monat.RAZ1_7.Bereich,WEEKDAY(L$10,2))*L$11,9))</f>
        <v>0</v>
      </c>
      <c r="M52" s="210" t="n">
        <f aca="false">IF(M$12=0,0,ROUND(INDEX(Monat.RAZ1_7.Bereich,WEEKDAY(M$10,2))*M$11,9))</f>
        <v>0</v>
      </c>
      <c r="N52" s="210" t="n">
        <f aca="false">IF(N$12=0,0,ROUND(INDEX(Monat.RAZ1_7.Bereich,WEEKDAY(N$10,2))*N$11,9))</f>
        <v>0</v>
      </c>
      <c r="O52" s="210" t="n">
        <f aca="false">IF(O$12=0,0,ROUND(INDEX(Monat.RAZ1_7.Bereich,WEEKDAY(O$10,2))*O$11,9))</f>
        <v>0</v>
      </c>
      <c r="P52" s="210" t="n">
        <f aca="false">IF(P$12=0,0,ROUND(INDEX(Monat.RAZ1_7.Bereich,WEEKDAY(P$10,2))*P$11,9))</f>
        <v>0</v>
      </c>
      <c r="Q52" s="209" t="n">
        <f aca="false">IF(Q$12=0,0,ROUND(INDEX(Monat.RAZ1_7.Bereich,WEEKDAY(Q$10,2))*Q$11,9))</f>
        <v>0</v>
      </c>
      <c r="R52" s="210" t="n">
        <f aca="false">IF(R$12=0,0,ROUND(INDEX(Monat.RAZ1_7.Bereich,WEEKDAY(R$10,2))*R$11,9))</f>
        <v>0</v>
      </c>
      <c r="S52" s="209" t="n">
        <f aca="false">IF(S$12=0,0,ROUND(INDEX(Monat.RAZ1_7.Bereich,WEEKDAY(S$10,2))*S$11,9))</f>
        <v>0</v>
      </c>
      <c r="T52" s="209" t="n">
        <f aca="false">IF(T$12=0,0,ROUND(INDEX(Monat.RAZ1_7.Bereich,WEEKDAY(T$10,2))*T$11,9))</f>
        <v>0</v>
      </c>
      <c r="U52" s="210" t="n">
        <f aca="false">IF(U$12=0,0,ROUND(INDEX(Monat.RAZ1_7.Bereich,WEEKDAY(U$10,2))*U$11,9))</f>
        <v>0</v>
      </c>
      <c r="V52" s="210" t="n">
        <f aca="false">IF(V$12=0,0,ROUND(INDEX(Monat.RAZ1_7.Bereich,WEEKDAY(V$10,2))*V$11,9))</f>
        <v>0</v>
      </c>
      <c r="W52" s="210" t="n">
        <f aca="false">IF(W$12=0,0,ROUND(INDEX(Monat.RAZ1_7.Bereich,WEEKDAY(W$10,2))*W$11,9))</f>
        <v>0</v>
      </c>
      <c r="X52" s="209" t="n">
        <f aca="false">IF(X$12=0,0,ROUND(INDEX(Monat.RAZ1_7.Bereich,WEEKDAY(X$10,2))*X$11,9))</f>
        <v>0</v>
      </c>
      <c r="Y52" s="210" t="n">
        <f aca="false">IF(Y$12=0,0,ROUND(INDEX(Monat.RAZ1_7.Bereich,WEEKDAY(Y$10,2))*Y$11,9))</f>
        <v>0</v>
      </c>
      <c r="Z52" s="211" t="n">
        <f aca="false">IF(Z$12=0,0,ROUND(INDEX(Monat.RAZ1_7.Bereich,WEEKDAY(Z$10,2))*Z$11,9))</f>
        <v>0</v>
      </c>
      <c r="AA52" s="210" t="n">
        <f aca="false">IF(AA$12=0,0,ROUND(INDEX(Monat.RAZ1_7.Bereich,WEEKDAY(AA$10,2))*AA$11,9))</f>
        <v>0</v>
      </c>
      <c r="AB52" s="210" t="n">
        <f aca="false">IF(AB$12=0,0,ROUND(INDEX(Monat.RAZ1_7.Bereich,WEEKDAY(AB$10,2))*AB$11,9))</f>
        <v>0</v>
      </c>
      <c r="AC52" s="210" t="n">
        <f aca="false">IF(AC$12=0,0,ROUND(INDEX(Monat.RAZ1_7.Bereich,WEEKDAY(AC$10,2))*AC$11,9))</f>
        <v>0</v>
      </c>
      <c r="AD52" s="212" t="str">
        <f aca="false">A52</f>
        <v>Standardized hours (Info)</v>
      </c>
      <c r="AE52" s="184"/>
      <c r="AF52" s="179"/>
      <c r="AG52" s="180"/>
      <c r="AH52" s="172"/>
      <c r="AI52" s="172"/>
      <c r="AJ52" s="172"/>
      <c r="AK52" s="171"/>
      <c r="AL52" s="172"/>
      <c r="AM52" s="172"/>
      <c r="AN52" s="39"/>
    </row>
    <row r="53" s="148" customFormat="true" ht="15" hidden="false" customHeight="true" outlineLevel="0" collapsed="false">
      <c r="A53" s="175" t="s">
        <v>141</v>
      </c>
      <c r="B53" s="213" t="n">
        <f aca="false">IF(B$12=0,0,ROUND(INDEX(EB.AZSOLLTag100.Bereich,MATCH(INDEX(EB.Monate.Bereich,MONTH(Monat.Tag1)),EB.Monate.Bereich,0))*B$11*IF(WEEKDAY(B$10,2)&gt;5,0,1)*$V$2/100,9))</f>
        <v>0</v>
      </c>
      <c r="C53" s="213" t="n">
        <f aca="false">IF(C$12=0,0,ROUND(INDEX(EB.AZSOLLTag100.Bereich,MATCH(INDEX(EB.Monate.Bereich,MONTH(Monat.Tag1)),EB.Monate.Bereich,0))*C$11*IF(WEEKDAY(C$10,2)&gt;5,0,1)*$V$2/100,9))</f>
        <v>0</v>
      </c>
      <c r="D53" s="213" t="n">
        <f aca="false">IF(D$12=0,0,ROUND(INDEX(EB.AZSOLLTag100.Bereich,MATCH(INDEX(EB.Monate.Bereich,MONTH(Monat.Tag1)),EB.Monate.Bereich,0))*D$11*IF(WEEKDAY(D$10,2)&gt;5,0,1)*$V$2/100,9))</f>
        <v>0</v>
      </c>
      <c r="E53" s="213" t="n">
        <f aca="false">IF(E$12=0,0,ROUND(INDEX(EB.AZSOLLTag100.Bereich,MATCH(INDEX(EB.Monate.Bereich,MONTH(Monat.Tag1)),EB.Monate.Bereich,0))*E$11*IF(WEEKDAY(E$10,2)&gt;5,0,1)*$V$2/100,9))</f>
        <v>0</v>
      </c>
      <c r="F53" s="213" t="n">
        <f aca="false">IF(F$12=0,0,ROUND(INDEX(EB.AZSOLLTag100.Bereich,MATCH(INDEX(EB.Monate.Bereich,MONTH(Monat.Tag1)),EB.Monate.Bereich,0))*F$11*IF(WEEKDAY(F$10,2)&gt;5,0,1)*$V$2/100,9))</f>
        <v>0</v>
      </c>
      <c r="G53" s="213" t="n">
        <f aca="false">IF(G$12=0,0,ROUND(INDEX(EB.AZSOLLTag100.Bereich,MATCH(INDEX(EB.Monate.Bereich,MONTH(Monat.Tag1)),EB.Monate.Bereich,0))*G$11*IF(WEEKDAY(G$10,2)&gt;5,0,1)*$V$2/100,9))</f>
        <v>0</v>
      </c>
      <c r="H53" s="213" t="n">
        <f aca="false">IF(H$12=0,0,ROUND(INDEX(EB.AZSOLLTag100.Bereich,MATCH(INDEX(EB.Monate.Bereich,MONTH(Monat.Tag1)),EB.Monate.Bereich,0))*H$11*IF(WEEKDAY(H$10,2)&gt;5,0,1)*$V$2/100,9))</f>
        <v>0</v>
      </c>
      <c r="I53" s="213" t="n">
        <f aca="false">IF(I$12=0,0,ROUND(INDEX(EB.AZSOLLTag100.Bereich,MATCH(INDEX(EB.Monate.Bereich,MONTH(Monat.Tag1)),EB.Monate.Bereich,0))*I$11*IF(WEEKDAY(I$10,2)&gt;5,0,1)*$V$2/100,9))</f>
        <v>0</v>
      </c>
      <c r="J53" s="213" t="n">
        <f aca="false">IF(J$12=0,0,ROUND(INDEX(EB.AZSOLLTag100.Bereich,MATCH(INDEX(EB.Monate.Bereich,MONTH(Monat.Tag1)),EB.Monate.Bereich,0))*J$11*IF(WEEKDAY(J$10,2)&gt;5,0,1)*$V$2/100,9))</f>
        <v>0</v>
      </c>
      <c r="K53" s="213" t="n">
        <f aca="false">IF(K$12=0,0,ROUND(INDEX(EB.AZSOLLTag100.Bereich,MATCH(INDEX(EB.Monate.Bereich,MONTH(Monat.Tag1)),EB.Monate.Bereich,0))*K$11*IF(WEEKDAY(K$10,2)&gt;5,0,1)*$V$2/100,9))</f>
        <v>0</v>
      </c>
      <c r="L53" s="213" t="n">
        <f aca="false">IF(L$12=0,0,ROUND(INDEX(EB.AZSOLLTag100.Bereich,MATCH(INDEX(EB.Monate.Bereich,MONTH(Monat.Tag1)),EB.Monate.Bereich,0))*L$11*IF(WEEKDAY(L$10,2)&gt;5,0,1)*$V$2/100,9))</f>
        <v>0</v>
      </c>
      <c r="M53" s="213" t="n">
        <f aca="false">IF(M$12=0,0,ROUND(INDEX(EB.AZSOLLTag100.Bereich,MATCH(INDEX(EB.Monate.Bereich,MONTH(Monat.Tag1)),EB.Monate.Bereich,0))*M$11*IF(WEEKDAY(M$10,2)&gt;5,0,1)*$V$2/100,9))</f>
        <v>0</v>
      </c>
      <c r="N53" s="213" t="n">
        <f aca="false">IF(N$12=0,0,ROUND(INDEX(EB.AZSOLLTag100.Bereich,MATCH(INDEX(EB.Monate.Bereich,MONTH(Monat.Tag1)),EB.Monate.Bereich,0))*N$11*IF(WEEKDAY(N$10,2)&gt;5,0,1)*$V$2/100,9))</f>
        <v>0</v>
      </c>
      <c r="O53" s="213" t="n">
        <f aca="false">IF(O$12=0,0,ROUND(INDEX(EB.AZSOLLTag100.Bereich,MATCH(INDEX(EB.Monate.Bereich,MONTH(Monat.Tag1)),EB.Monate.Bereich,0))*O$11*IF(WEEKDAY(O$10,2)&gt;5,0,1)*$V$2/100,9))</f>
        <v>0</v>
      </c>
      <c r="P53" s="213" t="n">
        <f aca="false">IF(P$12=0,0,ROUND(INDEX(EB.AZSOLLTag100.Bereich,MATCH(INDEX(EB.Monate.Bereich,MONTH(Monat.Tag1)),EB.Monate.Bereich,0))*P$11*IF(WEEKDAY(P$10,2)&gt;5,0,1)*$V$2/100,9))</f>
        <v>0</v>
      </c>
      <c r="Q53" s="213" t="n">
        <f aca="false">IF(Q$12=0,0,ROUND(INDEX(EB.AZSOLLTag100.Bereich,MATCH(INDEX(EB.Monate.Bereich,MONTH(Monat.Tag1)),EB.Monate.Bereich,0))*Q$11*IF(WEEKDAY(Q$10,2)&gt;5,0,1)*$V$2/100,9))</f>
        <v>0</v>
      </c>
      <c r="R53" s="213" t="n">
        <f aca="false">IF(R$12=0,0,ROUND(INDEX(EB.AZSOLLTag100.Bereich,MATCH(INDEX(EB.Monate.Bereich,MONTH(Monat.Tag1)),EB.Monate.Bereich,0))*R$11*IF(WEEKDAY(R$10,2)&gt;5,0,1)*$V$2/100,9))</f>
        <v>0</v>
      </c>
      <c r="S53" s="213" t="n">
        <f aca="false">IF(S$12=0,0,ROUND(INDEX(EB.AZSOLLTag100.Bereich,MATCH(INDEX(EB.Monate.Bereich,MONTH(Monat.Tag1)),EB.Monate.Bereich,0))*S$11*IF(WEEKDAY(S$10,2)&gt;5,0,1)*$V$2/100,9))</f>
        <v>0</v>
      </c>
      <c r="T53" s="213" t="n">
        <f aca="false">IF(T$12=0,0,ROUND(INDEX(EB.AZSOLLTag100.Bereich,MATCH(INDEX(EB.Monate.Bereich,MONTH(Monat.Tag1)),EB.Monate.Bereich,0))*T$11*IF(WEEKDAY(T$10,2)&gt;5,0,1)*$V$2/100,9))</f>
        <v>0</v>
      </c>
      <c r="U53" s="213" t="n">
        <f aca="false">IF(U$12=0,0,ROUND(INDEX(EB.AZSOLLTag100.Bereich,MATCH(INDEX(EB.Monate.Bereich,MONTH(Monat.Tag1)),EB.Monate.Bereich,0))*U$11*IF(WEEKDAY(U$10,2)&gt;5,0,1)*$V$2/100,9))</f>
        <v>0</v>
      </c>
      <c r="V53" s="213" t="n">
        <f aca="false">IF(V$12=0,0,ROUND(INDEX(EB.AZSOLLTag100.Bereich,MATCH(INDEX(EB.Monate.Bereich,MONTH(Monat.Tag1)),EB.Monate.Bereich,0))*V$11*IF(WEEKDAY(V$10,2)&gt;5,0,1)*$V$2/100,9))</f>
        <v>0</v>
      </c>
      <c r="W53" s="213" t="n">
        <f aca="false">IF(W$12=0,0,ROUND(INDEX(EB.AZSOLLTag100.Bereich,MATCH(INDEX(EB.Monate.Bereich,MONTH(Monat.Tag1)),EB.Monate.Bereich,0))*W$11*IF(WEEKDAY(W$10,2)&gt;5,0,1)*$V$2/100,9))</f>
        <v>0</v>
      </c>
      <c r="X53" s="213" t="n">
        <f aca="false">IF(X$12=0,0,ROUND(INDEX(EB.AZSOLLTag100.Bereich,MATCH(INDEX(EB.Monate.Bereich,MONTH(Monat.Tag1)),EB.Monate.Bereich,0))*X$11*IF(WEEKDAY(X$10,2)&gt;5,0,1)*$V$2/100,9))</f>
        <v>0</v>
      </c>
      <c r="Y53" s="213" t="n">
        <f aca="false">IF(Y$12=0,0,ROUND(INDEX(EB.AZSOLLTag100.Bereich,MATCH(INDEX(EB.Monate.Bereich,MONTH(Monat.Tag1)),EB.Monate.Bereich,0))*Y$11*IF(WEEKDAY(Y$10,2)&gt;5,0,1)*$V$2/100,9))</f>
        <v>0</v>
      </c>
      <c r="Z53" s="213" t="n">
        <f aca="false">IF(Z$12=0,0,ROUND(INDEX(EB.AZSOLLTag100.Bereich,MATCH(INDEX(EB.Monate.Bereich,MONTH(Monat.Tag1)),EB.Monate.Bereich,0))*Z$11*IF(WEEKDAY(Z$10,2)&gt;5,0,1)*$V$2/100,9))</f>
        <v>0</v>
      </c>
      <c r="AA53" s="213" t="n">
        <f aca="false">IF(AA$12=0,0,ROUND(INDEX(EB.AZSOLLTag100.Bereich,MATCH(INDEX(EB.Monate.Bereich,MONTH(Monat.Tag1)),EB.Monate.Bereich,0))*AA$11*IF(WEEKDAY(AA$10,2)&gt;5,0,1)*$V$2/100,9))</f>
        <v>0</v>
      </c>
      <c r="AB53" s="213" t="n">
        <f aca="false">IF(AB$12=0,0,ROUND(INDEX(EB.AZSOLLTag100.Bereich,MATCH(INDEX(EB.Monate.Bereich,MONTH(Monat.Tag1)),EB.Monate.Bereich,0))*AB$11*IF(WEEKDAY(AB$10,2)&gt;5,0,1)*$V$2/100,9))</f>
        <v>0</v>
      </c>
      <c r="AC53" s="213" t="n">
        <f aca="false">IF(AC$12=0,0,ROUND(INDEX(EB.AZSOLLTag100.Bereich,MATCH(INDEX(EB.Monate.Bereich,MONTH(Monat.Tag1)),EB.Monate.Bereich,0))*AC$11*IF(WEEKDAY(AC$10,2)&gt;5,0,1)*$V$2/100,9))</f>
        <v>0</v>
      </c>
      <c r="AD53" s="168" t="str">
        <f aca="false">A53</f>
        <v>Req. hours of work FTE</v>
      </c>
      <c r="AE53" s="184"/>
      <c r="AF53" s="207" t="n">
        <f aca="false">SUM(B53:AC53)</f>
        <v>0</v>
      </c>
      <c r="AG53" s="180"/>
      <c r="AH53" s="172"/>
      <c r="AI53" s="172"/>
      <c r="AJ53" s="172"/>
      <c r="AK53" s="171"/>
      <c r="AL53" s="172"/>
      <c r="AM53" s="172"/>
      <c r="AN53" s="39"/>
    </row>
    <row r="54" s="148" customFormat="true" ht="15" hidden="true" customHeight="true" outlineLevel="1" collapsed="false">
      <c r="A54" s="175" t="s">
        <v>142</v>
      </c>
      <c r="B54" s="213" t="n">
        <f aca="false">ROUND(INDEX(EB.AZSOLLTag100.Bereich,MATCH(INDEX(EB.Monate.Bereich,MONTH(Monat.Tag1)),EB.Monate.Bereich,0))*B$11*IF(WEEKDAY(B$10,2)&gt;5,0,1),9)</f>
        <v>0.35</v>
      </c>
      <c r="C54" s="213" t="n">
        <f aca="false">ROUND(INDEX(EB.AZSOLLTag100.Bereich,MATCH(INDEX(EB.Monate.Bereich,MONTH(Monat.Tag1)),EB.Monate.Bereich,0))*C$11*IF(WEEKDAY(C$10,2)&gt;5,0,1),9)</f>
        <v>0.35</v>
      </c>
      <c r="D54" s="214" t="n">
        <f aca="false">ROUND(INDEX(EB.AZSOLLTag100.Bereich,MATCH(INDEX(EB.Monate.Bereich,MONTH(Monat.Tag1)),EB.Monate.Bereich,0))*D$11*IF(WEEKDAY(D$10,2)&gt;5,0,1),9)</f>
        <v>0</v>
      </c>
      <c r="E54" s="213" t="n">
        <f aca="false">ROUND(INDEX(EB.AZSOLLTag100.Bereich,MATCH(INDEX(EB.Monate.Bereich,MONTH(Monat.Tag1)),EB.Monate.Bereich,0))*E$11*IF(WEEKDAY(E$10,2)&gt;5,0,1),9)</f>
        <v>0</v>
      </c>
      <c r="F54" s="214" t="n">
        <f aca="false">ROUND(INDEX(EB.AZSOLLTag100.Bereich,MATCH(INDEX(EB.Monate.Bereich,MONTH(Monat.Tag1)),EB.Monate.Bereich,0))*F$11*IF(WEEKDAY(F$10,2)&gt;5,0,1),9)</f>
        <v>0.35</v>
      </c>
      <c r="G54" s="214" t="n">
        <f aca="false">ROUND(INDEX(EB.AZSOLLTag100.Bereich,MATCH(INDEX(EB.Monate.Bereich,MONTH(Monat.Tag1)),EB.Monate.Bereich,0))*G$11*IF(WEEKDAY(G$10,2)&gt;5,0,1),9)</f>
        <v>0.35</v>
      </c>
      <c r="H54" s="214" t="n">
        <f aca="false">ROUND(INDEX(EB.AZSOLLTag100.Bereich,MATCH(INDEX(EB.Monate.Bereich,MONTH(Monat.Tag1)),EB.Monate.Bereich,0))*H$11*IF(WEEKDAY(H$10,2)&gt;5,0,1),9)</f>
        <v>0.35</v>
      </c>
      <c r="I54" s="214" t="n">
        <f aca="false">ROUND(INDEX(EB.AZSOLLTag100.Bereich,MATCH(INDEX(EB.Monate.Bereich,MONTH(Monat.Tag1)),EB.Monate.Bereich,0))*I$11*IF(WEEKDAY(I$10,2)&gt;5,0,1),9)</f>
        <v>0.35</v>
      </c>
      <c r="J54" s="213" t="n">
        <f aca="false">ROUND(INDEX(EB.AZSOLLTag100.Bereich,MATCH(INDEX(EB.Monate.Bereich,MONTH(Monat.Tag1)),EB.Monate.Bereich,0))*J$11*IF(WEEKDAY(J$10,2)&gt;5,0,1),9)</f>
        <v>0.35</v>
      </c>
      <c r="K54" s="214" t="n">
        <f aca="false">ROUND(INDEX(EB.AZSOLLTag100.Bereich,MATCH(INDEX(EB.Monate.Bereich,MONTH(Monat.Tag1)),EB.Monate.Bereich,0))*K$11*IF(WEEKDAY(K$10,2)&gt;5,0,1),9)</f>
        <v>0</v>
      </c>
      <c r="L54" s="213" t="n">
        <f aca="false">ROUND(INDEX(EB.AZSOLLTag100.Bereich,MATCH(INDEX(EB.Monate.Bereich,MONTH(Monat.Tag1)),EB.Monate.Bereich,0))*L$11*IF(WEEKDAY(L$10,2)&gt;5,0,1),9)</f>
        <v>0</v>
      </c>
      <c r="M54" s="214" t="n">
        <f aca="false">ROUND(INDEX(EB.AZSOLLTag100.Bereich,MATCH(INDEX(EB.Monate.Bereich,MONTH(Monat.Tag1)),EB.Monate.Bereich,0))*M$11*IF(WEEKDAY(M$10,2)&gt;5,0,1),9)</f>
        <v>0.35</v>
      </c>
      <c r="N54" s="214" t="n">
        <f aca="false">ROUND(INDEX(EB.AZSOLLTag100.Bereich,MATCH(INDEX(EB.Monate.Bereich,MONTH(Monat.Tag1)),EB.Monate.Bereich,0))*N$11*IF(WEEKDAY(N$10,2)&gt;5,0,1),9)</f>
        <v>0.35</v>
      </c>
      <c r="O54" s="214" t="n">
        <f aca="false">ROUND(INDEX(EB.AZSOLLTag100.Bereich,MATCH(INDEX(EB.Monate.Bereich,MONTH(Monat.Tag1)),EB.Monate.Bereich,0))*O$11*IF(WEEKDAY(O$10,2)&gt;5,0,1),9)</f>
        <v>0.35</v>
      </c>
      <c r="P54" s="214" t="n">
        <f aca="false">ROUND(INDEX(EB.AZSOLLTag100.Bereich,MATCH(INDEX(EB.Monate.Bereich,MONTH(Monat.Tag1)),EB.Monate.Bereich,0))*P$11*IF(WEEKDAY(P$10,2)&gt;5,0,1),9)</f>
        <v>0.35</v>
      </c>
      <c r="Q54" s="213" t="n">
        <f aca="false">ROUND(INDEX(EB.AZSOLLTag100.Bereich,MATCH(INDEX(EB.Monate.Bereich,MONTH(Monat.Tag1)),EB.Monate.Bereich,0))*Q$11*IF(WEEKDAY(Q$10,2)&gt;5,0,1),9)</f>
        <v>0.35</v>
      </c>
      <c r="R54" s="214" t="n">
        <f aca="false">ROUND(INDEX(EB.AZSOLLTag100.Bereich,MATCH(INDEX(EB.Monate.Bereich,MONTH(Monat.Tag1)),EB.Monate.Bereich,0))*R$11*IF(WEEKDAY(R$10,2)&gt;5,0,1),9)</f>
        <v>0</v>
      </c>
      <c r="S54" s="213" t="n">
        <f aca="false">ROUND(INDEX(EB.AZSOLLTag100.Bereich,MATCH(INDEX(EB.Monate.Bereich,MONTH(Monat.Tag1)),EB.Monate.Bereich,0))*S$11*IF(WEEKDAY(S$10,2)&gt;5,0,1),9)</f>
        <v>0</v>
      </c>
      <c r="T54" s="213" t="n">
        <f aca="false">ROUND(INDEX(EB.AZSOLLTag100.Bereich,MATCH(INDEX(EB.Monate.Bereich,MONTH(Monat.Tag1)),EB.Monate.Bereich,0))*T$11*IF(WEEKDAY(T$10,2)&gt;5,0,1),9)</f>
        <v>0.35</v>
      </c>
      <c r="U54" s="214" t="n">
        <f aca="false">ROUND(INDEX(EB.AZSOLLTag100.Bereich,MATCH(INDEX(EB.Monate.Bereich,MONTH(Monat.Tag1)),EB.Monate.Bereich,0))*U$11*IF(WEEKDAY(U$10,2)&gt;5,0,1),9)</f>
        <v>0.35</v>
      </c>
      <c r="V54" s="214" t="n">
        <f aca="false">ROUND(INDEX(EB.AZSOLLTag100.Bereich,MATCH(INDEX(EB.Monate.Bereich,MONTH(Monat.Tag1)),EB.Monate.Bereich,0))*V$11*IF(WEEKDAY(V$10,2)&gt;5,0,1),9)</f>
        <v>0.35</v>
      </c>
      <c r="W54" s="214" t="n">
        <f aca="false">ROUND(INDEX(EB.AZSOLLTag100.Bereich,MATCH(INDEX(EB.Monate.Bereich,MONTH(Monat.Tag1)),EB.Monate.Bereich,0))*W$11*IF(WEEKDAY(W$10,2)&gt;5,0,1),9)</f>
        <v>0.35</v>
      </c>
      <c r="X54" s="213" t="n">
        <f aca="false">ROUND(INDEX(EB.AZSOLLTag100.Bereich,MATCH(INDEX(EB.Monate.Bereich,MONTH(Monat.Tag1)),EB.Monate.Bereich,0))*X$11*IF(WEEKDAY(X$10,2)&gt;5,0,1),9)</f>
        <v>0.35</v>
      </c>
      <c r="Y54" s="214" t="n">
        <f aca="false">ROUND(INDEX(EB.AZSOLLTag100.Bereich,MATCH(INDEX(EB.Monate.Bereich,MONTH(Monat.Tag1)),EB.Monate.Bereich,0))*Y$11*IF(WEEKDAY(Y$10,2)&gt;5,0,1),9)</f>
        <v>0</v>
      </c>
      <c r="Z54" s="215" t="n">
        <f aca="false">ROUND(INDEX(EB.AZSOLLTag100.Bereich,MATCH(INDEX(EB.Monate.Bereich,MONTH(Monat.Tag1)),EB.Monate.Bereich,0))*Z$11*IF(WEEKDAY(Z$10,2)&gt;5,0,1),9)</f>
        <v>0</v>
      </c>
      <c r="AA54" s="214" t="n">
        <f aca="false">ROUND(INDEX(EB.AZSOLLTag100.Bereich,MATCH(INDEX(EB.Monate.Bereich,MONTH(Monat.Tag1)),EB.Monate.Bereich,0))*AA$11*IF(WEEKDAY(AA$10,2)&gt;5,0,1),9)</f>
        <v>0.35</v>
      </c>
      <c r="AB54" s="214" t="n">
        <f aca="false">ROUND(INDEX(EB.AZSOLLTag100.Bereich,MATCH(INDEX(EB.Monate.Bereich,MONTH(Monat.Tag1)),EB.Monate.Bereich,0))*AB$11*IF(WEEKDAY(AB$10,2)&gt;5,0,1),9)</f>
        <v>0.35</v>
      </c>
      <c r="AC54" s="214" t="n">
        <f aca="false">ROUND(INDEX(EB.AZSOLLTag100.Bereich,MATCH(INDEX(EB.Monate.Bereich,MONTH(Monat.Tag1)),EB.Monate.Bereich,0))*AC$11*IF(WEEKDAY(AC$10,2)&gt;5,0,1),9)</f>
        <v>0.35</v>
      </c>
      <c r="AD54" s="168" t="str">
        <f aca="false">A54</f>
        <v>Req. hours of work 100%</v>
      </c>
      <c r="AE54" s="184"/>
      <c r="AF54" s="207" t="n">
        <f aca="false">SUM(B54:AC54)</f>
        <v>7</v>
      </c>
      <c r="AG54" s="180"/>
      <c r="AH54" s="172"/>
      <c r="AI54" s="172"/>
      <c r="AJ54" s="172"/>
      <c r="AK54" s="171"/>
      <c r="AL54" s="172"/>
      <c r="AM54" s="172"/>
      <c r="AN54" s="39"/>
    </row>
    <row r="55" s="148" customFormat="true" ht="15" hidden="false" customHeight="true" outlineLevel="0" collapsed="false">
      <c r="A55" s="175" t="s">
        <v>143</v>
      </c>
      <c r="B55" s="203" t="n">
        <f aca="false">ROUND(B51-B53,9)</f>
        <v>0</v>
      </c>
      <c r="C55" s="203" t="n">
        <f aca="false">ROUND(C51-C53,9)</f>
        <v>0</v>
      </c>
      <c r="D55" s="203" t="n">
        <f aca="false">ROUND(D51-D53,9)</f>
        <v>0</v>
      </c>
      <c r="E55" s="205" t="n">
        <f aca="false">ROUND(E51-E53,9)</f>
        <v>0</v>
      </c>
      <c r="F55" s="203" t="n">
        <f aca="false">ROUND(F51-F53,9)</f>
        <v>0</v>
      </c>
      <c r="G55" s="203" t="n">
        <f aca="false">ROUND(G51-G53,9)</f>
        <v>0</v>
      </c>
      <c r="H55" s="203" t="n">
        <f aca="false">ROUND(H51-H53,9)</f>
        <v>0</v>
      </c>
      <c r="I55" s="203" t="n">
        <f aca="false">ROUND(I51-I53,9)</f>
        <v>0</v>
      </c>
      <c r="J55" s="205" t="n">
        <f aca="false">ROUND(J51-J53,9)</f>
        <v>0</v>
      </c>
      <c r="K55" s="203" t="n">
        <f aca="false">ROUND(K51-K53,9)</f>
        <v>0</v>
      </c>
      <c r="L55" s="205" t="n">
        <f aca="false">ROUND(L51-L53,9)</f>
        <v>0</v>
      </c>
      <c r="M55" s="203" t="n">
        <f aca="false">ROUND(M51-M53,9)</f>
        <v>0</v>
      </c>
      <c r="N55" s="203" t="n">
        <f aca="false">ROUND(N51-N53,9)</f>
        <v>0</v>
      </c>
      <c r="O55" s="203" t="n">
        <f aca="false">ROUND(O51-O53,9)</f>
        <v>0</v>
      </c>
      <c r="P55" s="203" t="n">
        <f aca="false">ROUND(P51-P53,9)</f>
        <v>0</v>
      </c>
      <c r="Q55" s="205" t="n">
        <f aca="false">ROUND(Q51-Q53,9)</f>
        <v>0</v>
      </c>
      <c r="R55" s="203" t="n">
        <f aca="false">ROUND(R51-R53,9)</f>
        <v>0</v>
      </c>
      <c r="S55" s="205" t="n">
        <f aca="false">ROUND(S51-S53,9)</f>
        <v>0</v>
      </c>
      <c r="T55" s="205" t="n">
        <f aca="false">ROUND(T51-T53,9)</f>
        <v>0</v>
      </c>
      <c r="U55" s="203" t="n">
        <f aca="false">ROUND(U51-U53,9)</f>
        <v>0</v>
      </c>
      <c r="V55" s="203" t="n">
        <f aca="false">ROUND(V51-V53,9)</f>
        <v>0</v>
      </c>
      <c r="W55" s="203" t="n">
        <f aca="false">ROUND(W51-W53,9)</f>
        <v>0</v>
      </c>
      <c r="X55" s="205" t="n">
        <f aca="false">ROUND(X51-X53,9)</f>
        <v>0</v>
      </c>
      <c r="Y55" s="203" t="n">
        <f aca="false">ROUND(Y51-Y53,9)</f>
        <v>0</v>
      </c>
      <c r="Z55" s="206" t="n">
        <f aca="false">ROUND(Z51-Z53,9)</f>
        <v>0</v>
      </c>
      <c r="AA55" s="203" t="n">
        <f aca="false">ROUND(AA51-AA53,9)</f>
        <v>0</v>
      </c>
      <c r="AB55" s="203" t="n">
        <f aca="false">ROUND(AB51-AB53,9)</f>
        <v>0</v>
      </c>
      <c r="AC55" s="203" t="n">
        <f aca="false">ROUND(AC51-AC53,9)</f>
        <v>0</v>
      </c>
      <c r="AD55" s="168" t="str">
        <f aca="false">A55</f>
        <v>+/- required/actual hours daily</v>
      </c>
      <c r="AE55" s="184"/>
      <c r="AF55" s="207" t="n">
        <f aca="false">SUM(B55:AC55)</f>
        <v>0</v>
      </c>
      <c r="AG55" s="180"/>
      <c r="AH55" s="172"/>
      <c r="AI55" s="216" t="n">
        <f aca="false">IF(EB.Anwendung&lt;&gt;"",IF(MONTH(Monat.Tag1)=1,0,IF(MONTH(Monat.Tag1)=2,January!Monat.Soll_Ist_UeVM,IF(MONTH(Monat.Tag1)=3,Monat.Soll_Ist_UeVM,IF(MONTH(Monat.Tag1)=4,March!Monat.Soll_Ist_UeVM,IF(MONTH(Monat.Tag1)=5,April!Monat.Soll_Ist_UeVM,IF(MONTH(Monat.Tag1)=6,May!Monat.Soll_Ist_UeVM,IF(MONTH(Monat.Tag1)=7,June!Monat.Soll_Ist_UeVM,IF(MONTH(Monat.Tag1)=8,July!Monat.Soll_Ist_UeVM,IF(MONTH(Monat.Tag1)=9,August!Monat.Soll_Ist_UeVM,IF(MONTH(Monat.Tag1)=10,September!Monat.Soll_Ist_UeVM,IF(MONTH(Monat.Tag1)=11,October!Monat.Soll_Ist_UeVM,IF(MONTH(Monat.Tag1)=12,November!Monat.Soll_Ist_UeVM,"")))))))))))),"")</f>
        <v>0</v>
      </c>
      <c r="AJ55" s="172"/>
      <c r="AK55" s="217" t="n">
        <f aca="false">IF(AE57="+",(AF55+AF57),(AF55-AF57))</f>
        <v>0</v>
      </c>
      <c r="AL55" s="217" t="n">
        <f aca="true">SUM(OFFSET(J.AZSaldo.Total,-12,0,MONTH(Monat.Tag1),1))</f>
        <v>0</v>
      </c>
      <c r="AM55" s="217" t="n">
        <f aca="false">J.AZSaldo.Total</f>
        <v>-54.918055555</v>
      </c>
      <c r="AN55" s="39"/>
    </row>
    <row r="56" s="148" customFormat="true" ht="15" hidden="false" customHeight="true" outlineLevel="0" collapsed="false">
      <c r="A56" s="175" t="s">
        <v>144</v>
      </c>
      <c r="B56" s="218" t="n">
        <f aca="true">IF(EB.Anwendung&lt;&gt;"",IF(DAY(B$10)=1,IF(MONTH(Monat.Tag1)=1,ROUND(EB.ÜVMMS,9), IF(MONTH(Monat.Tag1)=2,January!Monat.MMS.UeVM,IF(MONTH(Monat.Tag1)=3,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B$10&gt;TODAY(),0,B55), IF(B$10&gt;TODAY(),A56,A56+B55)),"")</f>
        <v>0</v>
      </c>
      <c r="C56" s="218" t="n">
        <f aca="true">IF(EB.Anwendung&lt;&gt;"",IF(DAY(C$10)=1,IF(MONTH(Monat.Tag1)=1,ROUND(EB.ÜVMMS,9), IF(MONTH(Monat.Tag1)=2,January!Monat.MMS.UeVM,IF(MONTH(Monat.Tag1)=3,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C$10&gt;TODAY(),0,C55), IF(C$10&gt;TODAY(),B56,B56+C55)),"")</f>
        <v>0</v>
      </c>
      <c r="D56" s="218" t="n">
        <f aca="true">IF(EB.Anwendung&lt;&gt;"",IF(DAY(D$10)=1,IF(MONTH(Monat.Tag1)=1,ROUND(EB.ÜVMMS,9), IF(MONTH(Monat.Tag1)=2,January!Monat.MMS.UeVM,IF(MONTH(Monat.Tag1)=3,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D$10&gt;TODAY(),0,D55), IF(D$10&gt;TODAY(),C56,C56+D55)),"")</f>
        <v>0</v>
      </c>
      <c r="E56" s="218" t="n">
        <f aca="true">IF(EB.Anwendung&lt;&gt;"",IF(DAY(E$10)=1,IF(MONTH(Monat.Tag1)=1,ROUND(EB.ÜVMMS,9), IF(MONTH(Monat.Tag1)=2,January!Monat.MMS.UeVM,IF(MONTH(Monat.Tag1)=3,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E$10&gt;TODAY(),0,E55), IF(E$10&gt;TODAY(),D56,D56+E55)),"")</f>
        <v>0</v>
      </c>
      <c r="F56" s="218" t="n">
        <f aca="true">IF(EB.Anwendung&lt;&gt;"",IF(DAY(F$10)=1,IF(MONTH(Monat.Tag1)=1,ROUND(EB.ÜVMMS,9), IF(MONTH(Monat.Tag1)=2,January!Monat.MMS.UeVM,IF(MONTH(Monat.Tag1)=3,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F$10&gt;TODAY(),0,F55), IF(F$10&gt;TODAY(),E56,E56+F55)),"")</f>
        <v>0</v>
      </c>
      <c r="G56" s="218" t="n">
        <f aca="true">IF(EB.Anwendung&lt;&gt;"",IF(DAY(G$10)=1,IF(MONTH(Monat.Tag1)=1,ROUND(EB.ÜVMMS,9), IF(MONTH(Monat.Tag1)=2,January!Monat.MMS.UeVM,IF(MONTH(Monat.Tag1)=3,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G$10&gt;TODAY(),0,G55), IF(G$10&gt;TODAY(),F56,F56+G55)),"")</f>
        <v>0</v>
      </c>
      <c r="H56" s="218" t="n">
        <f aca="true">IF(EB.Anwendung&lt;&gt;"",IF(DAY(H$10)=1,IF(MONTH(Monat.Tag1)=1,ROUND(EB.ÜVMMS,9), IF(MONTH(Monat.Tag1)=2,January!Monat.MMS.UeVM,IF(MONTH(Monat.Tag1)=3,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H$10&gt;TODAY(),0,H55), IF(H$10&gt;TODAY(),G56,G56+H55)),"")</f>
        <v>0</v>
      </c>
      <c r="I56" s="218" t="n">
        <f aca="true">IF(EB.Anwendung&lt;&gt;"",IF(DAY(I$10)=1,IF(MONTH(Monat.Tag1)=1,ROUND(EB.ÜVMMS,9), IF(MONTH(Monat.Tag1)=2,January!Monat.MMS.UeVM,IF(MONTH(Monat.Tag1)=3,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I$10&gt;TODAY(),0,I55), IF(I$10&gt;TODAY(),H56,H56+I55)),"")</f>
        <v>0</v>
      </c>
      <c r="J56" s="218" t="n">
        <f aca="true">IF(EB.Anwendung&lt;&gt;"",IF(DAY(J$10)=1,IF(MONTH(Monat.Tag1)=1,ROUND(EB.ÜVMMS,9), IF(MONTH(Monat.Tag1)=2,January!Monat.MMS.UeVM,IF(MONTH(Monat.Tag1)=3,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J$10&gt;TODAY(),0,J55), IF(J$10&gt;TODAY(),I56,I56+J55)),"")</f>
        <v>0</v>
      </c>
      <c r="K56" s="218" t="n">
        <f aca="true">IF(EB.Anwendung&lt;&gt;"",IF(DAY(K$10)=1,IF(MONTH(Monat.Tag1)=1,ROUND(EB.ÜVMMS,9), IF(MONTH(Monat.Tag1)=2,January!Monat.MMS.UeVM,IF(MONTH(Monat.Tag1)=3,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K$10&gt;TODAY(),0,K55), IF(K$10&gt;TODAY(),J56,J56+K55)),"")</f>
        <v>0</v>
      </c>
      <c r="L56" s="218" t="n">
        <f aca="true">IF(EB.Anwendung&lt;&gt;"",IF(DAY(L$10)=1,IF(MONTH(Monat.Tag1)=1,ROUND(EB.ÜVMMS,9), IF(MONTH(Monat.Tag1)=2,January!Monat.MMS.UeVM,IF(MONTH(Monat.Tag1)=3,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L$10&gt;TODAY(),0,L55), IF(L$10&gt;TODAY(),K56,K56+L55)),"")</f>
        <v>0</v>
      </c>
      <c r="M56" s="218" t="n">
        <f aca="true">IF(EB.Anwendung&lt;&gt;"",IF(DAY(M$10)=1,IF(MONTH(Monat.Tag1)=1,ROUND(EB.ÜVMMS,9), IF(MONTH(Monat.Tag1)=2,January!Monat.MMS.UeVM,IF(MONTH(Monat.Tag1)=3,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M$10&gt;TODAY(),0,M55), IF(M$10&gt;TODAY(),L56,L56+M55)),"")</f>
        <v>0</v>
      </c>
      <c r="N56" s="218" t="n">
        <f aca="true">IF(EB.Anwendung&lt;&gt;"",IF(DAY(N$10)=1,IF(MONTH(Monat.Tag1)=1,ROUND(EB.ÜVMMS,9), IF(MONTH(Monat.Tag1)=2,January!Monat.MMS.UeVM,IF(MONTH(Monat.Tag1)=3,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N$10&gt;TODAY(),0,N55), IF(N$10&gt;TODAY(),M56,M56+N55)),"")</f>
        <v>0</v>
      </c>
      <c r="O56" s="218" t="n">
        <f aca="true">IF(EB.Anwendung&lt;&gt;"",IF(DAY(O$10)=1,IF(MONTH(Monat.Tag1)=1,ROUND(EB.ÜVMMS,9), IF(MONTH(Monat.Tag1)=2,January!Monat.MMS.UeVM,IF(MONTH(Monat.Tag1)=3,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O$10&gt;TODAY(),0,O55), IF(O$10&gt;TODAY(),N56,N56+O55)),"")</f>
        <v>0</v>
      </c>
      <c r="P56" s="218" t="n">
        <f aca="true">IF(EB.Anwendung&lt;&gt;"",IF(DAY(P$10)=1,IF(MONTH(Monat.Tag1)=1,ROUND(EB.ÜVMMS,9), IF(MONTH(Monat.Tag1)=2,January!Monat.MMS.UeVM,IF(MONTH(Monat.Tag1)=3,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P$10&gt;TODAY(),0,P55), IF(P$10&gt;TODAY(),O56,O56+P55)),"")</f>
        <v>0</v>
      </c>
      <c r="Q56" s="218" t="n">
        <f aca="true">IF(EB.Anwendung&lt;&gt;"",IF(DAY(Q$10)=1,IF(MONTH(Monat.Tag1)=1,ROUND(EB.ÜVMMS,9), IF(MONTH(Monat.Tag1)=2,January!Monat.MMS.UeVM,IF(MONTH(Monat.Tag1)=3,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Q$10&gt;TODAY(),0,Q55), IF(Q$10&gt;TODAY(),P56,P56+Q55)),"")</f>
        <v>0</v>
      </c>
      <c r="R56" s="218" t="n">
        <f aca="true">IF(EB.Anwendung&lt;&gt;"",IF(DAY(R$10)=1,IF(MONTH(Monat.Tag1)=1,ROUND(EB.ÜVMMS,9), IF(MONTH(Monat.Tag1)=2,January!Monat.MMS.UeVM,IF(MONTH(Monat.Tag1)=3,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R$10&gt;TODAY(),0,R55), IF(R$10&gt;TODAY(),Q56,Q56+R55)),"")</f>
        <v>0</v>
      </c>
      <c r="S56" s="218" t="n">
        <f aca="true">IF(EB.Anwendung&lt;&gt;"",IF(DAY(S$10)=1,IF(MONTH(Monat.Tag1)=1,ROUND(EB.ÜVMMS,9), IF(MONTH(Monat.Tag1)=2,January!Monat.MMS.UeVM,IF(MONTH(Monat.Tag1)=3,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S$10&gt;TODAY(),0,S55), IF(S$10&gt;TODAY(),R56,R56+S55)),"")</f>
        <v>0</v>
      </c>
      <c r="T56" s="218" t="n">
        <f aca="true">IF(EB.Anwendung&lt;&gt;"",IF(DAY(T$10)=1,IF(MONTH(Monat.Tag1)=1,ROUND(EB.ÜVMMS,9), IF(MONTH(Monat.Tag1)=2,January!Monat.MMS.UeVM,IF(MONTH(Monat.Tag1)=3,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T$10&gt;TODAY(),0,T55), IF(T$10&gt;TODAY(),S56,S56+T55)),"")</f>
        <v>0</v>
      </c>
      <c r="U56" s="218" t="n">
        <f aca="true">IF(EB.Anwendung&lt;&gt;"",IF(DAY(U$10)=1,IF(MONTH(Monat.Tag1)=1,ROUND(EB.ÜVMMS,9), IF(MONTH(Monat.Tag1)=2,January!Monat.MMS.UeVM,IF(MONTH(Monat.Tag1)=3,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U$10&gt;TODAY(),0,U55), IF(U$10&gt;TODAY(),T56,T56+U55)),"")</f>
        <v>0</v>
      </c>
      <c r="V56" s="218" t="n">
        <f aca="true">IF(EB.Anwendung&lt;&gt;"",IF(DAY(V$10)=1,IF(MONTH(Monat.Tag1)=1,ROUND(EB.ÜVMMS,9), IF(MONTH(Monat.Tag1)=2,January!Monat.MMS.UeVM,IF(MONTH(Monat.Tag1)=3,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V$10&gt;TODAY(),0,V55), IF(V$10&gt;TODAY(),U56,U56+V55)),"")</f>
        <v>0</v>
      </c>
      <c r="W56" s="218" t="n">
        <f aca="true">IF(EB.Anwendung&lt;&gt;"",IF(DAY(W$10)=1,IF(MONTH(Monat.Tag1)=1,ROUND(EB.ÜVMMS,9), IF(MONTH(Monat.Tag1)=2,January!Monat.MMS.UeVM,IF(MONTH(Monat.Tag1)=3,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W$10&gt;TODAY(),0,W55), IF(W$10&gt;TODAY(),V56,V56+W55)),"")</f>
        <v>0</v>
      </c>
      <c r="X56" s="218" t="n">
        <f aca="true">IF(EB.Anwendung&lt;&gt;"",IF(DAY(X$10)=1,IF(MONTH(Monat.Tag1)=1,ROUND(EB.ÜVMMS,9), IF(MONTH(Monat.Tag1)=2,January!Monat.MMS.UeVM,IF(MONTH(Monat.Tag1)=3,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X$10&gt;TODAY(),0,X55), IF(X$10&gt;TODAY(),W56,W56+X55)),"")</f>
        <v>0</v>
      </c>
      <c r="Y56" s="218" t="n">
        <f aca="true">IF(EB.Anwendung&lt;&gt;"",IF(DAY(Y$10)=1,IF(MONTH(Monat.Tag1)=1,ROUND(EB.ÜVMMS,9), IF(MONTH(Monat.Tag1)=2,January!Monat.MMS.UeVM,IF(MONTH(Monat.Tag1)=3,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Y$10&gt;TODAY(),0,Y55), IF(Y$10&gt;TODAY(),X56,X56+Y55)),"")</f>
        <v>0</v>
      </c>
      <c r="Z56" s="218" t="n">
        <f aca="true">IF(EB.Anwendung&lt;&gt;"",IF(DAY(Z$10)=1,IF(MONTH(Monat.Tag1)=1,ROUND(EB.ÜVMMS,9), IF(MONTH(Monat.Tag1)=2,January!Monat.MMS.UeVM,IF(MONTH(Monat.Tag1)=3,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Z$10&gt;TODAY(),0,Z55), IF(Z$10&gt;TODAY(),Y56,Y56+Z55)),"")</f>
        <v>0</v>
      </c>
      <c r="AA56" s="218" t="n">
        <f aca="true">IF(EB.Anwendung&lt;&gt;"",IF(DAY(AA$10)=1,IF(MONTH(Monat.Tag1)=1,ROUND(EB.ÜVMMS,9), IF(MONTH(Monat.Tag1)=2,January!Monat.MMS.UeVM,IF(MONTH(Monat.Tag1)=3,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AA$10&gt;TODAY(),0,AA55), IF(AA$10&gt;TODAY(),Z56,Z56+AA55)),"")</f>
        <v>0</v>
      </c>
      <c r="AB56" s="218" t="n">
        <f aca="true">IF(EB.Anwendung&lt;&gt;"",IF(DAY(AB$10)=1,IF(MONTH(Monat.Tag1)=1,ROUND(EB.ÜVMMS,9), IF(MONTH(Monat.Tag1)=2,January!Monat.MMS.UeVM,IF(MONTH(Monat.Tag1)=3,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AB$10&gt;TODAY(),0,AB55), IF(AB$10&gt;TODAY(),AA56,AA56+AB55)),"")</f>
        <v>0</v>
      </c>
      <c r="AC56" s="218" t="n">
        <f aca="true">IF(EB.Anwendung&lt;&gt;"",IF(DAY(AC$10)=1,IF(MONTH(Monat.Tag1)=1,ROUND(EB.ÜVMMS,9), IF(MONTH(Monat.Tag1)=2,January!Monat.MMS.UeVM,IF(MONTH(Monat.Tag1)=3,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AC$10&gt;TODAY(),0,AC55), IF(AC$10&gt;TODAY(),AB56,AB56+AC55)),"")</f>
        <v>0</v>
      </c>
      <c r="AD56" s="168" t="str">
        <f aca="false">A56</f>
        <v>current extra/minus hours</v>
      </c>
      <c r="AE56" s="184"/>
      <c r="AF56" s="207" t="n">
        <f aca="true">OFFSET(B56,0,DAY(EOMONTH(Monat.Tag1,0))-1,1,1)</f>
        <v>0</v>
      </c>
      <c r="AG56" s="180"/>
      <c r="AH56" s="172"/>
      <c r="AI56" s="172"/>
      <c r="AJ56" s="172"/>
      <c r="AK56" s="171"/>
      <c r="AL56" s="172"/>
      <c r="AM56" s="172"/>
      <c r="AN56" s="39"/>
    </row>
    <row r="57" s="231" customFormat="true" ht="15" hidden="false" customHeight="true" outlineLevel="1" collapsed="false">
      <c r="A57" s="219"/>
      <c r="B57" s="220"/>
      <c r="C57" s="220"/>
      <c r="D57" s="220"/>
      <c r="E57" s="152"/>
      <c r="F57" s="220"/>
      <c r="G57" s="220"/>
      <c r="H57" s="221"/>
      <c r="I57" s="220"/>
      <c r="J57" s="222"/>
      <c r="K57" s="220"/>
      <c r="L57" s="223"/>
      <c r="M57" s="220"/>
      <c r="N57" s="220"/>
      <c r="O57" s="221"/>
      <c r="P57" s="220"/>
      <c r="Q57" s="152"/>
      <c r="R57" s="220"/>
      <c r="S57" s="223"/>
      <c r="T57" s="220"/>
      <c r="U57" s="220"/>
      <c r="V57" s="221"/>
      <c r="W57" s="220"/>
      <c r="X57" s="224"/>
      <c r="Y57" s="220"/>
      <c r="Z57" s="152"/>
      <c r="AA57" s="220"/>
      <c r="AB57" s="220"/>
      <c r="AC57" s="221"/>
      <c r="AD57" s="175" t="s">
        <v>145</v>
      </c>
      <c r="AE57" s="226" t="s">
        <v>146</v>
      </c>
      <c r="AF57" s="227"/>
      <c r="AG57" s="228"/>
      <c r="AH57" s="229"/>
      <c r="AI57" s="172"/>
      <c r="AJ57" s="172"/>
      <c r="AK57" s="171"/>
      <c r="AL57" s="230"/>
      <c r="AM57" s="230"/>
      <c r="AN57" s="96"/>
    </row>
    <row r="58" s="236" customFormat="true" ht="15" hidden="false" customHeight="true" outlineLevel="0" collapsed="false">
      <c r="A58" s="232"/>
      <c r="B58" s="223"/>
      <c r="C58" s="223"/>
      <c r="D58" s="223"/>
      <c r="E58" s="152"/>
      <c r="F58" s="223"/>
      <c r="G58" s="223"/>
      <c r="H58" s="223"/>
      <c r="I58" s="223"/>
      <c r="J58" s="152"/>
      <c r="K58" s="223"/>
      <c r="L58" s="223"/>
      <c r="M58" s="223"/>
      <c r="N58" s="223"/>
      <c r="O58" s="223"/>
      <c r="P58" s="223"/>
      <c r="Q58" s="152"/>
      <c r="R58" s="223"/>
      <c r="S58" s="223"/>
      <c r="T58" s="223"/>
      <c r="U58" s="223"/>
      <c r="V58" s="223"/>
      <c r="W58" s="223"/>
      <c r="X58" s="224"/>
      <c r="Y58" s="223"/>
      <c r="Z58" s="152"/>
      <c r="AA58" s="223"/>
      <c r="AB58" s="223"/>
      <c r="AC58" s="223"/>
      <c r="AD58" s="234" t="s">
        <v>147</v>
      </c>
      <c r="AE58" s="184"/>
      <c r="AF58" s="207" t="n">
        <f aca="false">IF(AE57="+",(Monat.ZUeZ.Total+AF57),(Monat.ZUeZ.Total-AF57))</f>
        <v>0</v>
      </c>
      <c r="AG58" s="33"/>
      <c r="AH58" s="235"/>
      <c r="AI58" s="216" t="n">
        <f aca="false">IF(EB.Anwendung&lt;&gt;"",IF(MONTH(Monat.Tag1)=1,EB.MMS,IF(MONTH(Monat.Tag1)=2,January!Monat.MMS.UeVM,IF(MONTH(Monat.Tag1)=3,Monat.MMS.UeVM,IF(MONTH(Monat.Tag1)=4,March!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,"")</f>
        <v>0</v>
      </c>
      <c r="AJ58" s="172"/>
      <c r="AK58" s="217" t="n">
        <f aca="false">AF58</f>
        <v>0</v>
      </c>
      <c r="AL58" s="172"/>
      <c r="AM58" s="172"/>
      <c r="AN58" s="51"/>
    </row>
    <row r="59" s="148" customFormat="true" ht="11.25" hidden="false" customHeight="true" outlineLevel="0" collapsed="false">
      <c r="A59" s="186"/>
      <c r="B59" s="187"/>
      <c r="C59" s="187"/>
      <c r="D59" s="187"/>
      <c r="E59" s="187"/>
      <c r="F59" s="187"/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  <c r="U59" s="187"/>
      <c r="V59" s="187"/>
      <c r="W59" s="187"/>
      <c r="X59" s="187"/>
      <c r="Y59" s="187"/>
      <c r="Z59" s="187"/>
      <c r="AA59" s="187"/>
      <c r="AB59" s="187"/>
      <c r="AC59" s="187"/>
      <c r="AD59" s="168"/>
      <c r="AE59" s="146"/>
      <c r="AF59" s="179"/>
      <c r="AG59" s="180"/>
      <c r="AH59" s="172"/>
      <c r="AI59" s="172"/>
      <c r="AJ59" s="172"/>
      <c r="AK59" s="171"/>
      <c r="AL59" s="172"/>
      <c r="AM59" s="172"/>
      <c r="AN59" s="39"/>
    </row>
    <row r="60" s="148" customFormat="true" ht="15" hidden="false" customHeight="true" outlineLevel="0" collapsed="false">
      <c r="A60" s="175" t="s">
        <v>148</v>
      </c>
      <c r="B60" s="237" t="str">
        <f aca="true">IF(EB.Wochenarbeitszeit=50/24,IF(T.50_Vetsuisse,IF(WEEKDAY(B$10,2)=7,MAX(0,SUM(OFFSET(B51,0,-MIN(6,DAY(B$10)-1),1,MIN(7,DAY(B$10))))+IF(AND(MONTH(Monat.Tag1)&lt;&gt;1,DAY(B$10)&lt;7), IF(MONTH(Monat.Tag1)=2,January!Monat.AZIstWRestUeVM,IF(MONTH(Monat.Tag1)=3,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-1/24*50),""),""),IF(B45=0,"",B45))</f>
        <v/>
      </c>
      <c r="C60" s="237" t="str">
        <f aca="true">IF(EB.Wochenarbeitszeit=50/24,IF(T.50_Vetsuisse,IF(WEEKDAY(C$10,2)=7,MAX(0,SUM(OFFSET(C51,0,-MIN(6,DAY(C$10)-1),1,MIN(7,DAY(C$10))))+IF(AND(MONTH(Monat.Tag1)&lt;&gt;1,DAY(C$10)&lt;7), IF(MONTH(Monat.Tag1)=2,January!Monat.AZIstWRestUeVM,IF(MONTH(Monat.Tag1)=3,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-1/24*50),""),""),IF(C45=0,"",C45))</f>
        <v/>
      </c>
      <c r="D60" s="237" t="str">
        <f aca="true">IF(EB.Wochenarbeitszeit=50/24,IF(T.50_Vetsuisse,IF(WEEKDAY(D$10,2)=7,MAX(0,SUM(OFFSET(D51,0,-MIN(6,DAY(D$10)-1),1,MIN(7,DAY(D$10))))+IF(AND(MONTH(Monat.Tag1)&lt;&gt;1,DAY(D$10)&lt;7), IF(MONTH(Monat.Tag1)=2,January!Monat.AZIstWRestUeVM,IF(MONTH(Monat.Tag1)=3,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-1/24*50),""),""),IF(D45=0,"",D45))</f>
        <v/>
      </c>
      <c r="E60" s="238" t="str">
        <f aca="true">IF(EB.Wochenarbeitszeit=50/24,IF(T.50_Vetsuisse,IF(WEEKDAY(E$10,2)=7,MAX(0,SUM(OFFSET(E51,0,-MIN(6,DAY(E$10)-1),1,MIN(7,DAY(E$10))))+IF(AND(MONTH(Monat.Tag1)&lt;&gt;1,DAY(E$10)&lt;7), IF(MONTH(Monat.Tag1)=2,January!Monat.AZIstWRestUeVM,IF(MONTH(Monat.Tag1)=3,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-1/24*50),""),""),IF(E45=0,"",E45))</f>
        <v/>
      </c>
      <c r="F60" s="237" t="str">
        <f aca="true">IF(EB.Wochenarbeitszeit=50/24,IF(T.50_Vetsuisse,IF(WEEKDAY(F$10,2)=7,MAX(0,SUM(OFFSET(F51,0,-MIN(6,DAY(F$10)-1),1,MIN(7,DAY(F$10))))+IF(AND(MONTH(Monat.Tag1)&lt;&gt;1,DAY(F$10)&lt;7), IF(MONTH(Monat.Tag1)=2,January!Monat.AZIstWRestUeVM,IF(MONTH(Monat.Tag1)=3,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-1/24*50),""),""),IF(F45=0,"",F45))</f>
        <v/>
      </c>
      <c r="G60" s="237" t="str">
        <f aca="true">IF(EB.Wochenarbeitszeit=50/24,IF(T.50_Vetsuisse,IF(WEEKDAY(G$10,2)=7,MAX(0,SUM(OFFSET(G51,0,-MIN(6,DAY(G$10)-1),1,MIN(7,DAY(G$10))))+IF(AND(MONTH(Monat.Tag1)&lt;&gt;1,DAY(G$10)&lt;7), IF(MONTH(Monat.Tag1)=2,January!Monat.AZIstWRestUeVM,IF(MONTH(Monat.Tag1)=3,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-1/24*50),""),""),IF(G45=0,"",G45))</f>
        <v/>
      </c>
      <c r="H60" s="237" t="str">
        <f aca="true">IF(EB.Wochenarbeitszeit=50/24,IF(T.50_Vetsuisse,IF(WEEKDAY(H$10,2)=7,MAX(0,SUM(OFFSET(H51,0,-MIN(6,DAY(H$10)-1),1,MIN(7,DAY(H$10))))+IF(AND(MONTH(Monat.Tag1)&lt;&gt;1,DAY(H$10)&lt;7), IF(MONTH(Monat.Tag1)=2,January!Monat.AZIstWRestUeVM,IF(MONTH(Monat.Tag1)=3,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-1/24*50),""),""),IF(H45=0,"",H45))</f>
        <v/>
      </c>
      <c r="I60" s="237" t="str">
        <f aca="true">IF(EB.Wochenarbeitszeit=50/24,IF(T.50_Vetsuisse,IF(WEEKDAY(I$10,2)=7,MAX(0,SUM(OFFSET(I51,0,-MIN(6,DAY(I$10)-1),1,MIN(7,DAY(I$10))))+IF(AND(MONTH(Monat.Tag1)&lt;&gt;1,DAY(I$10)&lt;7), IF(MONTH(Monat.Tag1)=2,January!Monat.AZIstWRestUeVM,IF(MONTH(Monat.Tag1)=3,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-1/24*50),""),""),IF(I45=0,"",I45))</f>
        <v/>
      </c>
      <c r="J60" s="238" t="str">
        <f aca="true">IF(EB.Wochenarbeitszeit=50/24,IF(T.50_Vetsuisse,IF(WEEKDAY(J$10,2)=7,MAX(0,SUM(OFFSET(J51,0,-MIN(6,DAY(J$10)-1),1,MIN(7,DAY(J$10))))+IF(AND(MONTH(Monat.Tag1)&lt;&gt;1,DAY(J$10)&lt;7), IF(MONTH(Monat.Tag1)=2,January!Monat.AZIstWRestUeVM,IF(MONTH(Monat.Tag1)=3,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-1/24*50),""),""),IF(J45=0,"",J45))</f>
        <v/>
      </c>
      <c r="K60" s="237" t="str">
        <f aca="true">IF(EB.Wochenarbeitszeit=50/24,IF(T.50_Vetsuisse,IF(WEEKDAY(K$10,2)=7,MAX(0,SUM(OFFSET(K51,0,-MIN(6,DAY(K$10)-1),1,MIN(7,DAY(K$10))))+IF(AND(MONTH(Monat.Tag1)&lt;&gt;1,DAY(K$10)&lt;7), IF(MONTH(Monat.Tag1)=2,January!Monat.AZIstWRestUeVM,IF(MONTH(Monat.Tag1)=3,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-1/24*50),""),""),IF(K45=0,"",K45))</f>
        <v/>
      </c>
      <c r="L60" s="238" t="str">
        <f aca="true">IF(EB.Wochenarbeitszeit=50/24,IF(T.50_Vetsuisse,IF(WEEKDAY(L$10,2)=7,MAX(0,SUM(OFFSET(L51,0,-MIN(6,DAY(L$10)-1),1,MIN(7,DAY(L$10))))+IF(AND(MONTH(Monat.Tag1)&lt;&gt;1,DAY(L$10)&lt;7), IF(MONTH(Monat.Tag1)=2,January!Monat.AZIstWRestUeVM,IF(MONTH(Monat.Tag1)=3,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-1/24*50),""),""),IF(L45=0,"",L45))</f>
        <v/>
      </c>
      <c r="M60" s="237" t="str">
        <f aca="true">IF(EB.Wochenarbeitszeit=50/24,IF(T.50_Vetsuisse,IF(WEEKDAY(M$10,2)=7,MAX(0,SUM(OFFSET(M51,0,-MIN(6,DAY(M$10)-1),1,MIN(7,DAY(M$10))))+IF(AND(MONTH(Monat.Tag1)&lt;&gt;1,DAY(M$10)&lt;7), IF(MONTH(Monat.Tag1)=2,January!Monat.AZIstWRestUeVM,IF(MONTH(Monat.Tag1)=3,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-1/24*50),""),""),IF(M45=0,"",M45))</f>
        <v/>
      </c>
      <c r="N60" s="237" t="str">
        <f aca="true">IF(EB.Wochenarbeitszeit=50/24,IF(T.50_Vetsuisse,IF(WEEKDAY(N$10,2)=7,MAX(0,SUM(OFFSET(N51,0,-MIN(6,DAY(N$10)-1),1,MIN(7,DAY(N$10))))+IF(AND(MONTH(Monat.Tag1)&lt;&gt;1,DAY(N$10)&lt;7), IF(MONTH(Monat.Tag1)=2,January!Monat.AZIstWRestUeVM,IF(MONTH(Monat.Tag1)=3,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-1/24*50),""),""),IF(N45=0,"",N45))</f>
        <v/>
      </c>
      <c r="O60" s="237" t="str">
        <f aca="true">IF(EB.Wochenarbeitszeit=50/24,IF(T.50_Vetsuisse,IF(WEEKDAY(O$10,2)=7,MAX(0,SUM(OFFSET(O51,0,-MIN(6,DAY(O$10)-1),1,MIN(7,DAY(O$10))))+IF(AND(MONTH(Monat.Tag1)&lt;&gt;1,DAY(O$10)&lt;7), IF(MONTH(Monat.Tag1)=2,January!Monat.AZIstWRestUeVM,IF(MONTH(Monat.Tag1)=3,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-1/24*50),""),""),IF(O45=0,"",O45))</f>
        <v/>
      </c>
      <c r="P60" s="237" t="str">
        <f aca="true">IF(EB.Wochenarbeitszeit=50/24,IF(T.50_Vetsuisse,IF(WEEKDAY(P$10,2)=7,MAX(0,SUM(OFFSET(P51,0,-MIN(6,DAY(P$10)-1),1,MIN(7,DAY(P$10))))+IF(AND(MONTH(Monat.Tag1)&lt;&gt;1,DAY(P$10)&lt;7), IF(MONTH(Monat.Tag1)=2,January!Monat.AZIstWRestUeVM,IF(MONTH(Monat.Tag1)=3,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-1/24*50),""),""),IF(P45=0,"",P45))</f>
        <v/>
      </c>
      <c r="Q60" s="238" t="str">
        <f aca="true">IF(EB.Wochenarbeitszeit=50/24,IF(T.50_Vetsuisse,IF(WEEKDAY(Q$10,2)=7,MAX(0,SUM(OFFSET(Q51,0,-MIN(6,DAY(Q$10)-1),1,MIN(7,DAY(Q$10))))+IF(AND(MONTH(Monat.Tag1)&lt;&gt;1,DAY(Q$10)&lt;7), IF(MONTH(Monat.Tag1)=2,January!Monat.AZIstWRestUeVM,IF(MONTH(Monat.Tag1)=3,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-1/24*50),""),""),IF(Q45=0,"",Q45))</f>
        <v/>
      </c>
      <c r="R60" s="237" t="str">
        <f aca="true">IF(EB.Wochenarbeitszeit=50/24,IF(T.50_Vetsuisse,IF(WEEKDAY(R$10,2)=7,MAX(0,SUM(OFFSET(R51,0,-MIN(6,DAY(R$10)-1),1,MIN(7,DAY(R$10))))+IF(AND(MONTH(Monat.Tag1)&lt;&gt;1,DAY(R$10)&lt;7), IF(MONTH(Monat.Tag1)=2,January!Monat.AZIstWRestUeVM,IF(MONTH(Monat.Tag1)=3,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-1/24*50),""),""),IF(R45=0,"",R45))</f>
        <v/>
      </c>
      <c r="S60" s="238" t="str">
        <f aca="true">IF(EB.Wochenarbeitszeit=50/24,IF(T.50_Vetsuisse,IF(WEEKDAY(S$10,2)=7,MAX(0,SUM(OFFSET(S51,0,-MIN(6,DAY(S$10)-1),1,MIN(7,DAY(S$10))))+IF(AND(MONTH(Monat.Tag1)&lt;&gt;1,DAY(S$10)&lt;7), IF(MONTH(Monat.Tag1)=2,January!Monat.AZIstWRestUeVM,IF(MONTH(Monat.Tag1)=3,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-1/24*50),""),""),IF(S45=0,"",S45))</f>
        <v/>
      </c>
      <c r="T60" s="238" t="str">
        <f aca="true">IF(EB.Wochenarbeitszeit=50/24,IF(T.50_Vetsuisse,IF(WEEKDAY(T$10,2)=7,MAX(0,SUM(OFFSET(T51,0,-MIN(6,DAY(T$10)-1),1,MIN(7,DAY(T$10))))+IF(AND(MONTH(Monat.Tag1)&lt;&gt;1,DAY(T$10)&lt;7), IF(MONTH(Monat.Tag1)=2,January!Monat.AZIstWRestUeVM,IF(MONTH(Monat.Tag1)=3,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-1/24*50),""),""),IF(T45=0,"",T45))</f>
        <v/>
      </c>
      <c r="U60" s="237" t="str">
        <f aca="true">IF(EB.Wochenarbeitszeit=50/24,IF(T.50_Vetsuisse,IF(WEEKDAY(U$10,2)=7,MAX(0,SUM(OFFSET(U51,0,-MIN(6,DAY(U$10)-1),1,MIN(7,DAY(U$10))))+IF(AND(MONTH(Monat.Tag1)&lt;&gt;1,DAY(U$10)&lt;7), IF(MONTH(Monat.Tag1)=2,January!Monat.AZIstWRestUeVM,IF(MONTH(Monat.Tag1)=3,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-1/24*50),""),""),IF(U45=0,"",U45))</f>
        <v/>
      </c>
      <c r="V60" s="237" t="str">
        <f aca="true">IF(EB.Wochenarbeitszeit=50/24,IF(T.50_Vetsuisse,IF(WEEKDAY(V$10,2)=7,MAX(0,SUM(OFFSET(V51,0,-MIN(6,DAY(V$10)-1),1,MIN(7,DAY(V$10))))+IF(AND(MONTH(Monat.Tag1)&lt;&gt;1,DAY(V$10)&lt;7), IF(MONTH(Monat.Tag1)=2,January!Monat.AZIstWRestUeVM,IF(MONTH(Monat.Tag1)=3,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-1/24*50),""),""),IF(V45=0,"",V45))</f>
        <v/>
      </c>
      <c r="W60" s="237" t="str">
        <f aca="true">IF(EB.Wochenarbeitszeit=50/24,IF(T.50_Vetsuisse,IF(WEEKDAY(W$10,2)=7,MAX(0,SUM(OFFSET(W51,0,-MIN(6,DAY(W$10)-1),1,MIN(7,DAY(W$10))))+IF(AND(MONTH(Monat.Tag1)&lt;&gt;1,DAY(W$10)&lt;7), IF(MONTH(Monat.Tag1)=2,January!Monat.AZIstWRestUeVM,IF(MONTH(Monat.Tag1)=3,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-1/24*50),""),""),IF(W45=0,"",W45))</f>
        <v/>
      </c>
      <c r="X60" s="238" t="str">
        <f aca="true">IF(EB.Wochenarbeitszeit=50/24,IF(T.50_Vetsuisse,IF(WEEKDAY(X$10,2)=7,MAX(0,SUM(OFFSET(X51,0,-MIN(6,DAY(X$10)-1),1,MIN(7,DAY(X$10))))+IF(AND(MONTH(Monat.Tag1)&lt;&gt;1,DAY(X$10)&lt;7), IF(MONTH(Monat.Tag1)=2,January!Monat.AZIstWRestUeVM,IF(MONTH(Monat.Tag1)=3,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-1/24*50),""),""),IF(X45=0,"",X45))</f>
        <v/>
      </c>
      <c r="Y60" s="237" t="str">
        <f aca="true">IF(EB.Wochenarbeitszeit=50/24,IF(T.50_Vetsuisse,IF(WEEKDAY(Y$10,2)=7,MAX(0,SUM(OFFSET(Y51,0,-MIN(6,DAY(Y$10)-1),1,MIN(7,DAY(Y$10))))+IF(AND(MONTH(Monat.Tag1)&lt;&gt;1,DAY(Y$10)&lt;7), IF(MONTH(Monat.Tag1)=2,January!Monat.AZIstWRestUeVM,IF(MONTH(Monat.Tag1)=3,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-1/24*50),""),""),IF(Y45=0,"",Y45))</f>
        <v/>
      </c>
      <c r="Z60" s="239" t="str">
        <f aca="true">IF(EB.Wochenarbeitszeit=50/24,IF(T.50_Vetsuisse,IF(WEEKDAY(Z$10,2)=7,MAX(0,SUM(OFFSET(Z51,0,-MIN(6,DAY(Z$10)-1),1,MIN(7,DAY(Z$10))))+IF(AND(MONTH(Monat.Tag1)&lt;&gt;1,DAY(Z$10)&lt;7), IF(MONTH(Monat.Tag1)=2,January!Monat.AZIstWRestUeVM,IF(MONTH(Monat.Tag1)=3,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-1/24*50),""),""),IF(Z45=0,"",Z45))</f>
        <v/>
      </c>
      <c r="AA60" s="237" t="str">
        <f aca="true">IF(EB.Wochenarbeitszeit=50/24,IF(T.50_Vetsuisse,IF(WEEKDAY(AA$10,2)=7,MAX(0,SUM(OFFSET(AA51,0,-MIN(6,DAY(AA$10)-1),1,MIN(7,DAY(AA$10))))+IF(AND(MONTH(Monat.Tag1)&lt;&gt;1,DAY(AA$10)&lt;7), IF(MONTH(Monat.Tag1)=2,January!Monat.AZIstWRestUeVM,IF(MONTH(Monat.Tag1)=3,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-1/24*50),""),""),IF(AA45=0,"",AA45))</f>
        <v/>
      </c>
      <c r="AB60" s="237" t="str">
        <f aca="true">IF(EB.Wochenarbeitszeit=50/24,IF(T.50_Vetsuisse,IF(WEEKDAY(AB$10,2)=7,MAX(0,SUM(OFFSET(AB51,0,-MIN(6,DAY(AB$10)-1),1,MIN(7,DAY(AB$10))))+IF(AND(MONTH(Monat.Tag1)&lt;&gt;1,DAY(AB$10)&lt;7), IF(MONTH(Monat.Tag1)=2,January!Monat.AZIstWRestUeVM,IF(MONTH(Monat.Tag1)=3,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-1/24*50),""),""),IF(AB45=0,"",AB45))</f>
        <v/>
      </c>
      <c r="AC60" s="237" t="str">
        <f aca="true">IF(EB.Wochenarbeitszeit=50/24,IF(T.50_Vetsuisse,IF(WEEKDAY(AC$10,2)=7,MAX(0,SUM(OFFSET(AC51,0,-MIN(6,DAY(AC$10)-1),1,MIN(7,DAY(AC$10))))+IF(AND(MONTH(Monat.Tag1)&lt;&gt;1,DAY(AC$10)&lt;7), IF(MONTH(Monat.Tag1)=2,January!Monat.AZIstWRestUeVM,IF(MONTH(Monat.Tag1)=3,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-1/24*50),""),""),IF(AC45=0,"",AC45))</f>
        <v/>
      </c>
      <c r="AD60" s="168" t="str">
        <f aca="false">A60</f>
        <v>Ordered overtime</v>
      </c>
      <c r="AE60" s="184"/>
      <c r="AF60" s="207" t="n">
        <f aca="false">SUM(B60:AC60)</f>
        <v>0</v>
      </c>
      <c r="AG60" s="180"/>
      <c r="AH60" s="172"/>
      <c r="AI60" s="216" t="n">
        <f aca="false">IF(EB.Anwendung&lt;&gt;"",IF(MONTH(Monat.Tag1)=1,0,IF(MONTH(Monat.Tag1)=2,January!Monat.AnUeZUeVM,IF(MONTH(Monat.Tag1)=3,Monat.AnUeZUeVM,IF(MONTH(Monat.Tag1)=4,March!Monat.AnUeZUeVM,IF(MONTH(Monat.Tag1)=5,April!Monat.AnUeZUeVM,IF(MONTH(Monat.Tag1)=6,May!Monat.AnUeZUeVM,IF(MONTH(Monat.Tag1)=7,June!Monat.AnUeZUeVM,IF(MONTH(Monat.Tag1)=8,July!Monat.AnUeZUeVM,IF(MONTH(Monat.Tag1)=9,August!Monat.AnUeZUeVM,IF(MONTH(Monat.Tag1)=10,September!Monat.AnUeZUeVM,IF(MONTH(Monat.Tag1)=11,October!Monat.AnUeZUeVM,IF(MONTH(Monat.Tag1)=12,November!Monat.AnUeZUeVM,"")))))))))))),"")</f>
        <v>0</v>
      </c>
      <c r="AJ60" s="172"/>
      <c r="AK60" s="217" t="n">
        <f aca="false">AF60+AI60</f>
        <v>0</v>
      </c>
      <c r="AL60" s="217" t="n">
        <f aca="true">SUM(OFFSET(Jahr.AngÜZ,-12,0,MONTH(Monat.Tag1),1))</f>
        <v>0</v>
      </c>
      <c r="AM60" s="217" t="n">
        <f aca="false">Jahr.AngÜZ</f>
        <v>0</v>
      </c>
      <c r="AN60" s="39"/>
    </row>
    <row r="61" s="148" customFormat="true" ht="15" hidden="false" customHeight="true" outlineLevel="0" collapsed="false">
      <c r="A61" s="175" t="s">
        <v>149</v>
      </c>
      <c r="B61" s="177"/>
      <c r="C61" s="177"/>
      <c r="D61" s="177"/>
      <c r="E61" s="177"/>
      <c r="F61" s="177"/>
      <c r="G61" s="177"/>
      <c r="H61" s="177"/>
      <c r="I61" s="177"/>
      <c r="J61" s="177"/>
      <c r="K61" s="177"/>
      <c r="L61" s="177"/>
      <c r="M61" s="177"/>
      <c r="N61" s="177"/>
      <c r="O61" s="177"/>
      <c r="P61" s="177"/>
      <c r="Q61" s="177"/>
      <c r="R61" s="177"/>
      <c r="S61" s="177"/>
      <c r="T61" s="177"/>
      <c r="U61" s="177"/>
      <c r="V61" s="177"/>
      <c r="W61" s="177"/>
      <c r="X61" s="177"/>
      <c r="Y61" s="177"/>
      <c r="Z61" s="178"/>
      <c r="AA61" s="177"/>
      <c r="AB61" s="177"/>
      <c r="AC61" s="177"/>
      <c r="AD61" s="168" t="str">
        <f aca="false">A61</f>
        <v>Compensation overtime</v>
      </c>
      <c r="AE61" s="184"/>
      <c r="AF61" s="207" t="n">
        <f aca="false">SUM(B61:AC61)</f>
        <v>0</v>
      </c>
      <c r="AG61" s="180"/>
      <c r="AH61" s="172"/>
      <c r="AI61" s="172"/>
      <c r="AJ61" s="172"/>
      <c r="AK61" s="171"/>
      <c r="AL61" s="172"/>
      <c r="AM61" s="172"/>
      <c r="AN61" s="39"/>
    </row>
    <row r="62" s="231" customFormat="true" ht="15" hidden="true" customHeight="true" outlineLevel="1" collapsed="false">
      <c r="A62" s="219"/>
      <c r="B62" s="224"/>
      <c r="C62" s="224"/>
      <c r="D62" s="224"/>
      <c r="E62" s="152"/>
      <c r="F62" s="224"/>
      <c r="G62" s="224"/>
      <c r="H62" s="224"/>
      <c r="I62" s="224"/>
      <c r="J62" s="222"/>
      <c r="K62" s="224"/>
      <c r="L62" s="223"/>
      <c r="M62" s="224"/>
      <c r="N62" s="224"/>
      <c r="O62" s="224"/>
      <c r="P62" s="224"/>
      <c r="Q62" s="152"/>
      <c r="R62" s="224"/>
      <c r="S62" s="223"/>
      <c r="T62" s="224"/>
      <c r="U62" s="224"/>
      <c r="V62" s="224"/>
      <c r="W62" s="224"/>
      <c r="X62" s="224"/>
      <c r="Y62" s="224"/>
      <c r="Z62" s="152"/>
      <c r="AA62" s="224"/>
      <c r="AB62" s="224"/>
      <c r="AC62" s="224"/>
      <c r="AD62" s="241" t="s">
        <v>150</v>
      </c>
      <c r="AE62" s="242"/>
      <c r="AF62" s="207" t="n">
        <f aca="false">Monat.AnUeZ.Total-Monat.KomUeZ.Total</f>
        <v>0</v>
      </c>
      <c r="AG62" s="180"/>
      <c r="AH62" s="230"/>
      <c r="AI62" s="230"/>
      <c r="AJ62" s="172"/>
      <c r="AK62" s="230"/>
      <c r="AL62" s="230"/>
      <c r="AM62" s="230"/>
      <c r="AN62" s="96"/>
    </row>
    <row r="63" s="148" customFormat="true" ht="15" hidden="false" customHeight="true" outlineLevel="0" collapsed="false">
      <c r="A63" s="186"/>
      <c r="B63" s="152"/>
      <c r="C63" s="152"/>
      <c r="D63" s="152"/>
      <c r="E63" s="152"/>
      <c r="F63" s="152"/>
      <c r="G63" s="152"/>
      <c r="H63" s="152"/>
      <c r="I63" s="152"/>
      <c r="J63" s="152"/>
      <c r="K63" s="152"/>
      <c r="L63" s="223"/>
      <c r="M63" s="152"/>
      <c r="N63" s="152"/>
      <c r="O63" s="152"/>
      <c r="P63" s="152"/>
      <c r="Q63" s="152"/>
      <c r="R63" s="152"/>
      <c r="S63" s="223"/>
      <c r="T63" s="152"/>
      <c r="U63" s="152"/>
      <c r="V63" s="152"/>
      <c r="W63" s="152"/>
      <c r="X63" s="224"/>
      <c r="Y63" s="152"/>
      <c r="Z63" s="152"/>
      <c r="AA63" s="152"/>
      <c r="AB63" s="152"/>
      <c r="AC63" s="152"/>
      <c r="AD63" s="175" t="s">
        <v>151</v>
      </c>
      <c r="AE63" s="184"/>
      <c r="AF63" s="207" t="n">
        <f aca="true">IF(T.50_Vetsuisse,0,IF(AND(AF62&gt;0,Monat.ÜZZSBerechtigt=INDEX(T.JaNein.Bereich,1,1)),(AF62*0.25),0))</f>
        <v>0</v>
      </c>
      <c r="AG63" s="180"/>
      <c r="AH63" s="172"/>
      <c r="AI63" s="230"/>
      <c r="AJ63" s="172"/>
      <c r="AK63" s="230"/>
      <c r="AL63" s="230"/>
      <c r="AM63" s="230"/>
      <c r="AN63" s="39"/>
    </row>
    <row r="64" s="148" customFormat="true" ht="15" hidden="true" customHeight="true" outlineLevel="1" collapsed="false">
      <c r="A64" s="186"/>
      <c r="B64" s="152"/>
      <c r="C64" s="152"/>
      <c r="D64" s="152"/>
      <c r="E64" s="152"/>
      <c r="F64" s="152"/>
      <c r="G64" s="152"/>
      <c r="H64" s="152"/>
      <c r="I64" s="152"/>
      <c r="J64" s="152"/>
      <c r="K64" s="152"/>
      <c r="L64" s="223"/>
      <c r="M64" s="152"/>
      <c r="N64" s="152"/>
      <c r="O64" s="152"/>
      <c r="P64" s="152"/>
      <c r="Q64" s="152"/>
      <c r="R64" s="152"/>
      <c r="S64" s="223"/>
      <c r="T64" s="152"/>
      <c r="U64" s="152"/>
      <c r="V64" s="152"/>
      <c r="W64" s="152"/>
      <c r="X64" s="224"/>
      <c r="Y64" s="152"/>
      <c r="Z64" s="152"/>
      <c r="AA64" s="152"/>
      <c r="AB64" s="152"/>
      <c r="AC64" s="152"/>
      <c r="AD64" s="175" t="s">
        <v>152</v>
      </c>
      <c r="AE64" s="244" t="s">
        <v>146</v>
      </c>
      <c r="AF64" s="245"/>
      <c r="AG64" s="246"/>
      <c r="AH64" s="172"/>
      <c r="AI64" s="230"/>
      <c r="AJ64" s="172"/>
      <c r="AK64" s="230"/>
      <c r="AL64" s="230"/>
      <c r="AM64" s="230"/>
      <c r="AN64" s="39"/>
    </row>
    <row r="65" s="231" customFormat="true" ht="15" hidden="false" customHeight="true" outlineLevel="0" collapsed="false">
      <c r="A65" s="219"/>
      <c r="B65" s="224"/>
      <c r="C65" s="224"/>
      <c r="D65" s="224"/>
      <c r="E65" s="152"/>
      <c r="F65" s="224"/>
      <c r="G65" s="224"/>
      <c r="H65" s="224"/>
      <c r="I65" s="224"/>
      <c r="J65" s="152"/>
      <c r="K65" s="224"/>
      <c r="L65" s="223"/>
      <c r="M65" s="224"/>
      <c r="N65" s="224"/>
      <c r="O65" s="224"/>
      <c r="P65" s="224"/>
      <c r="Q65" s="152"/>
      <c r="R65" s="224"/>
      <c r="S65" s="223"/>
      <c r="T65" s="224"/>
      <c r="U65" s="224"/>
      <c r="V65" s="224"/>
      <c r="W65" s="224"/>
      <c r="X65" s="224"/>
      <c r="Y65" s="224"/>
      <c r="Z65" s="152"/>
      <c r="AA65" s="224"/>
      <c r="AB65" s="224"/>
      <c r="AC65" s="224"/>
      <c r="AD65" s="234" t="s">
        <v>153</v>
      </c>
      <c r="AE65" s="242"/>
      <c r="AF65" s="207" t="n">
        <f aca="false">IF(AE64="+",(AF62+AF63+AF64),(AF62+AF63-AF64))</f>
        <v>0</v>
      </c>
      <c r="AG65" s="33"/>
      <c r="AH65" s="247"/>
      <c r="AI65" s="216" t="n">
        <f aca="false">IF(EB.Anwendung&lt;&gt;"",IF(MONTH(Monat.Tag1)=1,EB.UeZ,IF(MONTH(Monat.Tag1)=2,January!Monat.UeZUeVM,IF(MONTH(Monat.Tag1)=3,Monat.UeZUeVM,IF(MONTH(Monat.Tag1)=4,March!Monat.UeZUeVM,IF(MONTH(Monat.Tag1)=5,April!Monat.UeZUeVM,IF(MONTH(Monat.Tag1)=6,May!Monat.UeZUeVM,IF(MONTH(Monat.Tag1)=7,June!Monat.UeZUeVM,IF(MONTH(Monat.Tag1)=8,July!Monat.UeZUeVM,IF(MONTH(Monat.Tag1)=9,August!Monat.UeZUeVM,IF(MONTH(Monat.Tag1)=10,September!Monat.UeZUeVM,IF(MONTH(Monat.Tag1)=11,October!Monat.UeZUeVM,IF(MONTH(Monat.Tag1)=12,November!Monat.UeZUeVM,"")))))))))))),"")</f>
        <v>0</v>
      </c>
      <c r="AJ65" s="172"/>
      <c r="AK65" s="217" t="n">
        <f aca="false">AF65+AI65</f>
        <v>0</v>
      </c>
      <c r="AL65" s="217" t="n">
        <f aca="true">SUM(OFFSET(J.UeZ.Total,-12,0,MONTH(Monat.Tag1),1))</f>
        <v>0</v>
      </c>
      <c r="AM65" s="217" t="n">
        <f aca="false">J.UeZ.Total</f>
        <v>0</v>
      </c>
      <c r="AN65" s="96"/>
    </row>
    <row r="66" s="148" customFormat="true" ht="11.25" hidden="false" customHeight="true" outlineLevel="1" collapsed="false">
      <c r="A66" s="186"/>
      <c r="B66" s="57"/>
      <c r="C66" s="57"/>
      <c r="D66" s="57"/>
      <c r="E66" s="152"/>
      <c r="F66" s="57"/>
      <c r="G66" s="57"/>
      <c r="H66" s="57"/>
      <c r="I66" s="57"/>
      <c r="J66" s="152"/>
      <c r="K66" s="57"/>
      <c r="L66" s="223"/>
      <c r="M66" s="57"/>
      <c r="N66" s="57"/>
      <c r="O66" s="57"/>
      <c r="P66" s="57"/>
      <c r="Q66" s="152"/>
      <c r="R66" s="57"/>
      <c r="S66" s="223"/>
      <c r="T66" s="57"/>
      <c r="U66" s="57"/>
      <c r="V66" s="57"/>
      <c r="W66" s="57"/>
      <c r="X66" s="224"/>
      <c r="Y66" s="57"/>
      <c r="Z66" s="152"/>
      <c r="AA66" s="57"/>
      <c r="AB66" s="57"/>
      <c r="AC66" s="57"/>
      <c r="AD66" s="175"/>
      <c r="AE66" s="146"/>
      <c r="AF66" s="179"/>
      <c r="AG66" s="180"/>
      <c r="AH66" s="172"/>
      <c r="AI66" s="172"/>
      <c r="AJ66" s="172"/>
      <c r="AK66" s="171"/>
      <c r="AL66" s="172"/>
      <c r="AM66" s="172"/>
      <c r="AN66" s="39"/>
    </row>
    <row r="67" s="148" customFormat="true" ht="15" hidden="false" customHeight="true" outlineLevel="1" collapsed="false">
      <c r="A67" s="175" t="s">
        <v>154</v>
      </c>
      <c r="B67" s="177"/>
      <c r="C67" s="177"/>
      <c r="D67" s="177"/>
      <c r="E67" s="177"/>
      <c r="F67" s="177"/>
      <c r="G67" s="177"/>
      <c r="H67" s="177"/>
      <c r="I67" s="177"/>
      <c r="J67" s="177"/>
      <c r="K67" s="177"/>
      <c r="L67" s="177"/>
      <c r="M67" s="177"/>
      <c r="N67" s="177"/>
      <c r="O67" s="177"/>
      <c r="P67" s="177"/>
      <c r="Q67" s="177"/>
      <c r="R67" s="177"/>
      <c r="S67" s="177"/>
      <c r="T67" s="177"/>
      <c r="U67" s="177"/>
      <c r="V67" s="177"/>
      <c r="W67" s="177"/>
      <c r="X67" s="177"/>
      <c r="Y67" s="177"/>
      <c r="Z67" s="178"/>
      <c r="AA67" s="177"/>
      <c r="AB67" s="177"/>
      <c r="AC67" s="177"/>
      <c r="AD67" s="168" t="str">
        <f aca="false">A67</f>
        <v>Compensation working hours</v>
      </c>
      <c r="AE67" s="184"/>
      <c r="AF67" s="207" t="n">
        <f aca="false">SUM(B67:AC67)</f>
        <v>0</v>
      </c>
      <c r="AG67" s="33"/>
      <c r="AH67" s="216" t="n">
        <f aca="true">OFFSET(EB.MKAStd.Knoten,MONTH(Monat.Tag1),0,1,1)</f>
        <v>0</v>
      </c>
      <c r="AI67" s="248" t="n">
        <f aca="false">IF(EB.Anwendung&lt;&gt;"",IF(MONTH(Monat.Tag1)=1,0,IF(MONTH(Monat.Tag1)=2,January!Monat.KomUeVM,IF(MONTH(Monat.Tag1)=3,Monat.KomUeVM,IF(MONTH(Monat.Tag1)=4,March!Monat.KomUeVM,IF(MONTH(Monat.Tag1)=5,April!Monat.KomUeVM,IF(MONTH(Monat.Tag1)=6,May!Monat.KomUeVM,IF(MONTH(Monat.Tag1)=7,June!Monat.KomUeVM,IF(MONTH(Monat.Tag1)=8,July!Monat.KomUeVM,IF(MONTH(Monat.Tag1)=9,August!Monat.KomUeVM,IF(MONTH(Monat.Tag1)=10,September!Monat.KomUeVM,IF(MONTH(Monat.Tag1)=11,October!Monat.KomUeVM,IF(MONTH(Monat.Tag1)=12,November!Monat.KomUeVM,"")))))))))))),"")</f>
        <v>0</v>
      </c>
      <c r="AJ67" s="172"/>
      <c r="AK67" s="217" t="n">
        <f aca="false">AH67+AI67-Monat.KomAZ.Total</f>
        <v>0</v>
      </c>
      <c r="AL67" s="217" t="n">
        <f aca="true">Jahresabrechnung!P12-SUM(OFFSET(Jahresabrechnung!P15,0,0,MONTH(Monat.Tag1),1))</f>
        <v>3.9375</v>
      </c>
      <c r="AM67" s="217" t="n">
        <f aca="false">Jahresabrechnung!P28</f>
        <v>3.9375</v>
      </c>
      <c r="AN67" s="39"/>
    </row>
    <row r="68" s="148" customFormat="true" ht="11.25" hidden="false" customHeight="true" outlineLevel="0" collapsed="false">
      <c r="A68" s="186"/>
      <c r="B68" s="187"/>
      <c r="C68" s="187"/>
      <c r="D68" s="187"/>
      <c r="E68" s="187"/>
      <c r="F68" s="187"/>
      <c r="G68" s="187"/>
      <c r="H68" s="187"/>
      <c r="I68" s="187"/>
      <c r="J68" s="187"/>
      <c r="K68" s="187"/>
      <c r="L68" s="187"/>
      <c r="M68" s="187"/>
      <c r="N68" s="187"/>
      <c r="O68" s="187"/>
      <c r="P68" s="187"/>
      <c r="Q68" s="187"/>
      <c r="R68" s="187"/>
      <c r="S68" s="187"/>
      <c r="T68" s="187"/>
      <c r="U68" s="187"/>
      <c r="V68" s="187"/>
      <c r="W68" s="187"/>
      <c r="X68" s="187"/>
      <c r="Y68" s="187"/>
      <c r="Z68" s="187"/>
      <c r="AA68" s="187"/>
      <c r="AB68" s="187"/>
      <c r="AC68" s="187"/>
      <c r="AD68" s="168"/>
      <c r="AE68" s="146"/>
      <c r="AF68" s="179"/>
      <c r="AG68" s="180"/>
      <c r="AH68" s="172"/>
      <c r="AI68" s="172"/>
      <c r="AJ68" s="172"/>
      <c r="AK68" s="171"/>
      <c r="AL68" s="172"/>
      <c r="AM68" s="172"/>
      <c r="AN68" s="39"/>
    </row>
    <row r="69" s="148" customFormat="true" ht="15" hidden="true" customHeight="true" outlineLevel="0" collapsed="false">
      <c r="A69" s="175" t="s">
        <v>155</v>
      </c>
      <c r="B69" s="249" t="n">
        <f aca="true">IF(AND(T.50_Vetsuisse,B72=INDEX(T.JaNein.Bereich,1,1),B73&gt;0,MOD(IFERROR(MATCH(1,B13:B22,0),1),2)=0),1, IF(AND(T.ServiceCenterIrchel,B72=INDEX(T.JaNein.Bereich,1,1),B77&gt;0),1, IF(AND(T.50_Vetsuisse=0,T.ServiceCenterIrchel=0,B77&gt;0),1,0)))</f>
        <v>0</v>
      </c>
      <c r="C69" s="249" t="n">
        <f aca="true">IF(AND(T.50_Vetsuisse,C72=INDEX(T.JaNein.Bereich,1,1),C73&gt;0,MOD(IFERROR(MATCH(1,C13:C22,0),1),2)=0),1, IF(AND(T.ServiceCenterIrchel,C72=INDEX(T.JaNein.Bereich,1,1),C77&gt;0),1, IF(AND(T.50_Vetsuisse=0,T.ServiceCenterIrchel=0,C77&gt;0),1,0)))</f>
        <v>0</v>
      </c>
      <c r="D69" s="249" t="n">
        <f aca="true">IF(AND(T.50_Vetsuisse,D72=INDEX(T.JaNein.Bereich,1,1),D73&gt;0,MOD(IFERROR(MATCH(1,D13:D22,0),1),2)=0),1, IF(AND(T.ServiceCenterIrchel,D72=INDEX(T.JaNein.Bereich,1,1),D77&gt;0),1, IF(AND(T.50_Vetsuisse=0,T.ServiceCenterIrchel=0,D77&gt;0),1,0)))</f>
        <v>0</v>
      </c>
      <c r="E69" s="249" t="n">
        <f aca="true">IF(AND(T.50_Vetsuisse,E72=INDEX(T.JaNein.Bereich,1,1),E73&gt;0,MOD(IFERROR(MATCH(1,E13:E22,0),1),2)=0),1, IF(AND(T.ServiceCenterIrchel,E72=INDEX(T.JaNein.Bereich,1,1),E77&gt;0),1, IF(AND(T.50_Vetsuisse=0,T.ServiceCenterIrchel=0,E77&gt;0),1,0)))</f>
        <v>0</v>
      </c>
      <c r="F69" s="249" t="n">
        <f aca="true">IF(AND(T.50_Vetsuisse,F72=INDEX(T.JaNein.Bereich,1,1),F73&gt;0,MOD(IFERROR(MATCH(1,F13:F22,0),1),2)=0),1, IF(AND(T.ServiceCenterIrchel,F72=INDEX(T.JaNein.Bereich,1,1),F77&gt;0),1, IF(AND(T.50_Vetsuisse=0,T.ServiceCenterIrchel=0,F77&gt;0),1,0)))</f>
        <v>0</v>
      </c>
      <c r="G69" s="249" t="n">
        <f aca="true">IF(AND(T.50_Vetsuisse,G72=INDEX(T.JaNein.Bereich,1,1),G73&gt;0,MOD(IFERROR(MATCH(1,G13:G22,0),1),2)=0),1, IF(AND(T.ServiceCenterIrchel,G72=INDEX(T.JaNein.Bereich,1,1),G77&gt;0),1, IF(AND(T.50_Vetsuisse=0,T.ServiceCenterIrchel=0,G77&gt;0),1,0)))</f>
        <v>0</v>
      </c>
      <c r="H69" s="249" t="n">
        <f aca="true">IF(AND(T.50_Vetsuisse,H72=INDEX(T.JaNein.Bereich,1,1),H73&gt;0,MOD(IFERROR(MATCH(1,H13:H22,0),1),2)=0),1, IF(AND(T.ServiceCenterIrchel,H72=INDEX(T.JaNein.Bereich,1,1),H77&gt;0),1, IF(AND(T.50_Vetsuisse=0,T.ServiceCenterIrchel=0,H77&gt;0),1,0)))</f>
        <v>0</v>
      </c>
      <c r="I69" s="249" t="n">
        <f aca="true">IF(AND(T.50_Vetsuisse,I72=INDEX(T.JaNein.Bereich,1,1),I73&gt;0,MOD(IFERROR(MATCH(1,I13:I22,0),1),2)=0),1, IF(AND(T.ServiceCenterIrchel,I72=INDEX(T.JaNein.Bereich,1,1),I77&gt;0),1, IF(AND(T.50_Vetsuisse=0,T.ServiceCenterIrchel=0,I77&gt;0),1,0)))</f>
        <v>0</v>
      </c>
      <c r="J69" s="249" t="n">
        <f aca="true">IF(AND(T.50_Vetsuisse,J72=INDEX(T.JaNein.Bereich,1,1),J73&gt;0,MOD(IFERROR(MATCH(1,J13:J22,0),1),2)=0),1, IF(AND(T.ServiceCenterIrchel,J72=INDEX(T.JaNein.Bereich,1,1),J77&gt;0),1, IF(AND(T.50_Vetsuisse=0,T.ServiceCenterIrchel=0,J77&gt;0),1,0)))</f>
        <v>0</v>
      </c>
      <c r="K69" s="249" t="n">
        <f aca="true">IF(AND(T.50_Vetsuisse,K72=INDEX(T.JaNein.Bereich,1,1),K73&gt;0,MOD(IFERROR(MATCH(1,K13:K22,0),1),2)=0),1, IF(AND(T.ServiceCenterIrchel,K72=INDEX(T.JaNein.Bereich,1,1),K77&gt;0),1, IF(AND(T.50_Vetsuisse=0,T.ServiceCenterIrchel=0,K77&gt;0),1,0)))</f>
        <v>0</v>
      </c>
      <c r="L69" s="249" t="n">
        <f aca="true">IF(AND(T.50_Vetsuisse,L72=INDEX(T.JaNein.Bereich,1,1),L73&gt;0,MOD(IFERROR(MATCH(1,L13:L22,0),1),2)=0),1, IF(AND(T.ServiceCenterIrchel,L72=INDEX(T.JaNein.Bereich,1,1),L77&gt;0),1, IF(AND(T.50_Vetsuisse=0,T.ServiceCenterIrchel=0,L77&gt;0),1,0)))</f>
        <v>0</v>
      </c>
      <c r="M69" s="249" t="n">
        <f aca="true">IF(AND(T.50_Vetsuisse,M72=INDEX(T.JaNein.Bereich,1,1),M73&gt;0,MOD(IFERROR(MATCH(1,M13:M22,0),1),2)=0),1, IF(AND(T.ServiceCenterIrchel,M72=INDEX(T.JaNein.Bereich,1,1),M77&gt;0),1, IF(AND(T.50_Vetsuisse=0,T.ServiceCenterIrchel=0,M77&gt;0),1,0)))</f>
        <v>0</v>
      </c>
      <c r="N69" s="249" t="n">
        <f aca="true">IF(AND(T.50_Vetsuisse,N72=INDEX(T.JaNein.Bereich,1,1),N73&gt;0,MOD(IFERROR(MATCH(1,N13:N22,0),1),2)=0),1, IF(AND(T.ServiceCenterIrchel,N72=INDEX(T.JaNein.Bereich,1,1),N77&gt;0),1, IF(AND(T.50_Vetsuisse=0,T.ServiceCenterIrchel=0,N77&gt;0),1,0)))</f>
        <v>0</v>
      </c>
      <c r="O69" s="249" t="n">
        <f aca="true">IF(AND(T.50_Vetsuisse,O72=INDEX(T.JaNein.Bereich,1,1),O73&gt;0,MOD(IFERROR(MATCH(1,O13:O22,0),1),2)=0),1, IF(AND(T.ServiceCenterIrchel,O72=INDEX(T.JaNein.Bereich,1,1),O77&gt;0),1, IF(AND(T.50_Vetsuisse=0,T.ServiceCenterIrchel=0,O77&gt;0),1,0)))</f>
        <v>0</v>
      </c>
      <c r="P69" s="249" t="n">
        <f aca="true">IF(AND(T.50_Vetsuisse,P72=INDEX(T.JaNein.Bereich,1,1),P73&gt;0,MOD(IFERROR(MATCH(1,P13:P22,0),1),2)=0),1, IF(AND(T.ServiceCenterIrchel,P72=INDEX(T.JaNein.Bereich,1,1),P77&gt;0),1, IF(AND(T.50_Vetsuisse=0,T.ServiceCenterIrchel=0,P77&gt;0),1,0)))</f>
        <v>0</v>
      </c>
      <c r="Q69" s="249" t="n">
        <f aca="true">IF(AND(T.50_Vetsuisse,Q72=INDEX(T.JaNein.Bereich,1,1),Q73&gt;0,MOD(IFERROR(MATCH(1,Q13:Q22,0),1),2)=0),1, IF(AND(T.ServiceCenterIrchel,Q72=INDEX(T.JaNein.Bereich,1,1),Q77&gt;0),1, IF(AND(T.50_Vetsuisse=0,T.ServiceCenterIrchel=0,Q77&gt;0),1,0)))</f>
        <v>0</v>
      </c>
      <c r="R69" s="249" t="n">
        <f aca="true">IF(AND(T.50_Vetsuisse,R72=INDEX(T.JaNein.Bereich,1,1),R73&gt;0,MOD(IFERROR(MATCH(1,R13:R22,0),1),2)=0),1, IF(AND(T.ServiceCenterIrchel,R72=INDEX(T.JaNein.Bereich,1,1),R77&gt;0),1, IF(AND(T.50_Vetsuisse=0,T.ServiceCenterIrchel=0,R77&gt;0),1,0)))</f>
        <v>0</v>
      </c>
      <c r="S69" s="249" t="n">
        <f aca="true">IF(AND(T.50_Vetsuisse,S72=INDEX(T.JaNein.Bereich,1,1),S73&gt;0,MOD(IFERROR(MATCH(1,S13:S22,0),1),2)=0),1, IF(AND(T.ServiceCenterIrchel,S72=INDEX(T.JaNein.Bereich,1,1),S77&gt;0),1, IF(AND(T.50_Vetsuisse=0,T.ServiceCenterIrchel=0,S77&gt;0),1,0)))</f>
        <v>0</v>
      </c>
      <c r="T69" s="249" t="n">
        <f aca="true">IF(AND(T.50_Vetsuisse,T72=INDEX(T.JaNein.Bereich,1,1),T73&gt;0,MOD(IFERROR(MATCH(1,T13:T22,0),1),2)=0),1, IF(AND(T.ServiceCenterIrchel,T72=INDEX(T.JaNein.Bereich,1,1),T77&gt;0),1, IF(AND(T.50_Vetsuisse=0,T.ServiceCenterIrchel=0,T77&gt;0),1,0)))</f>
        <v>0</v>
      </c>
      <c r="U69" s="249" t="n">
        <f aca="true">IF(AND(T.50_Vetsuisse,U72=INDEX(T.JaNein.Bereich,1,1),U73&gt;0,MOD(IFERROR(MATCH(1,U13:U22,0),1),2)=0),1, IF(AND(T.ServiceCenterIrchel,U72=INDEX(T.JaNein.Bereich,1,1),U77&gt;0),1, IF(AND(T.50_Vetsuisse=0,T.ServiceCenterIrchel=0,U77&gt;0),1,0)))</f>
        <v>0</v>
      </c>
      <c r="V69" s="249" t="n">
        <f aca="true">IF(AND(T.50_Vetsuisse,V72=INDEX(T.JaNein.Bereich,1,1),V73&gt;0,MOD(IFERROR(MATCH(1,V13:V22,0),1),2)=0),1, IF(AND(T.ServiceCenterIrchel,V72=INDEX(T.JaNein.Bereich,1,1),V77&gt;0),1, IF(AND(T.50_Vetsuisse=0,T.ServiceCenterIrchel=0,V77&gt;0),1,0)))</f>
        <v>0</v>
      </c>
      <c r="W69" s="249" t="n">
        <f aca="true">IF(AND(T.50_Vetsuisse,W72=INDEX(T.JaNein.Bereich,1,1),W73&gt;0,MOD(IFERROR(MATCH(1,W13:W22,0),1),2)=0),1, IF(AND(T.ServiceCenterIrchel,W72=INDEX(T.JaNein.Bereich,1,1),W77&gt;0),1, IF(AND(T.50_Vetsuisse=0,T.ServiceCenterIrchel=0,W77&gt;0),1,0)))</f>
        <v>0</v>
      </c>
      <c r="X69" s="249" t="n">
        <f aca="true">IF(AND(T.50_Vetsuisse,X72=INDEX(T.JaNein.Bereich,1,1),X73&gt;0,MOD(IFERROR(MATCH(1,X13:X22,0),1),2)=0),1, IF(AND(T.ServiceCenterIrchel,X72=INDEX(T.JaNein.Bereich,1,1),X77&gt;0),1, IF(AND(T.50_Vetsuisse=0,T.ServiceCenterIrchel=0,X77&gt;0),1,0)))</f>
        <v>0</v>
      </c>
      <c r="Y69" s="249" t="n">
        <f aca="true">IF(AND(T.50_Vetsuisse,Y72=INDEX(T.JaNein.Bereich,1,1),Y73&gt;0,MOD(IFERROR(MATCH(1,Y13:Y22,0),1),2)=0),1, IF(AND(T.ServiceCenterIrchel,Y72=INDEX(T.JaNein.Bereich,1,1),Y77&gt;0),1, IF(AND(T.50_Vetsuisse=0,T.ServiceCenterIrchel=0,Y77&gt;0),1,0)))</f>
        <v>0</v>
      </c>
      <c r="Z69" s="249" t="n">
        <f aca="true">IF(AND(T.50_Vetsuisse,Z72=INDEX(T.JaNein.Bereich,1,1),Z73&gt;0,MOD(IFERROR(MATCH(1,Z13:Z22,0),1),2)=0),1, IF(AND(T.ServiceCenterIrchel,Z72=INDEX(T.JaNein.Bereich,1,1),Z77&gt;0),1, IF(AND(T.50_Vetsuisse=0,T.ServiceCenterIrchel=0,Z77&gt;0),1,0)))</f>
        <v>0</v>
      </c>
      <c r="AA69" s="249" t="n">
        <f aca="true">IF(AND(T.50_Vetsuisse,AA72=INDEX(T.JaNein.Bereich,1,1),AA73&gt;0,MOD(IFERROR(MATCH(1,AA13:AA22,0),1),2)=0),1, IF(AND(T.ServiceCenterIrchel,AA72=INDEX(T.JaNein.Bereich,1,1),AA77&gt;0),1, IF(AND(T.50_Vetsuisse=0,T.ServiceCenterIrchel=0,AA77&gt;0),1,0)))</f>
        <v>0</v>
      </c>
      <c r="AB69" s="249" t="n">
        <f aca="true">IF(AND(T.50_Vetsuisse,AB72=INDEX(T.JaNein.Bereich,1,1),AB73&gt;0,MOD(IFERROR(MATCH(1,AB13:AB22,0),1),2)=0),1, IF(AND(T.ServiceCenterIrchel,AB72=INDEX(T.JaNein.Bereich,1,1),AB77&gt;0),1, IF(AND(T.50_Vetsuisse=0,T.ServiceCenterIrchel=0,AB77&gt;0),1,0)))</f>
        <v>0</v>
      </c>
      <c r="AC69" s="249" t="n">
        <f aca="true">IF(AND(T.50_Vetsuisse,AC72=INDEX(T.JaNein.Bereich,1,1),AC73&gt;0,MOD(IFERROR(MATCH(1,AC13:AC22,0),1),2)=0),1, IF(AND(T.ServiceCenterIrchel,AC72=INDEX(T.JaNein.Bereich,1,1),AC77&gt;0),1, IF(AND(T.50_Vetsuisse=0,T.ServiceCenterIrchel=0,AC77&gt;0),1,0)))</f>
        <v>0</v>
      </c>
      <c r="AD69" s="168" t="str">
        <f aca="false">A69</f>
        <v>Counter night shift</v>
      </c>
      <c r="AE69" s="250"/>
      <c r="AF69" s="251" t="n">
        <f aca="false">SUM(B69:AC69)</f>
        <v>0</v>
      </c>
      <c r="AG69" s="33"/>
      <c r="AH69" s="192"/>
      <c r="AI69" s="252" t="n">
        <f aca="false">IF(EB.Anwendung&lt;&gt;"",IF(MONTH(Monat.Tag1)=1,0,IF(MONTH(Monat.Tag1)=2,January!Monat.ZählerNDUe,IF(MONTH(Monat.Tag1)=3,Monat.ZählerNDUe,IF(MONTH(Monat.Tag1)=4,March!Monat.ZählerNDUe,IF(MONTH(Monat.Tag1)=5,April!Monat.ZählerNDUe,IF(MONTH(Monat.Tag1)=6,May!Monat.ZählerNDUe,IF(MONTH(Monat.Tag1)=7,June!Monat.ZählerNDUe,IF(MONTH(Monat.Tag1)=8,July!Monat.ZählerNDUe,IF(MONTH(Monat.Tag1)=9,August!Monat.ZählerNDUe,IF(MONTH(Monat.Tag1)=10,September!Monat.ZählerNDUe,IF(MONTH(Monat.Tag1)=11,October!Monat.ZählerNDUe,IF(MONTH(Monat.Tag1)=12,November!Monat.ZählerNDUe,"")))))))))))),"")</f>
        <v>0</v>
      </c>
      <c r="AJ69" s="172"/>
      <c r="AK69" s="253" t="n">
        <f aca="false">AI69+AF69</f>
        <v>0</v>
      </c>
      <c r="AL69" s="171"/>
      <c r="AM69" s="171"/>
      <c r="AN69" s="39"/>
    </row>
    <row r="70" s="148" customFormat="true" ht="15" hidden="true" customHeight="true" outlineLevel="0" collapsed="false">
      <c r="A70" s="175" t="s">
        <v>156</v>
      </c>
      <c r="B70" s="249" t="n">
        <f aca="false">IF(DAY(B$10)=1,$AI$69,A70)+B69</f>
        <v>0</v>
      </c>
      <c r="C70" s="249" t="n">
        <f aca="false">IF(DAY(C$10)=1,$AI$69,B70)+C69</f>
        <v>0</v>
      </c>
      <c r="D70" s="249" t="n">
        <f aca="false">IF(DAY(D$10)=1,$AI$69,C70)+D69</f>
        <v>0</v>
      </c>
      <c r="E70" s="249" t="n">
        <f aca="false">IF(DAY(E$10)=1,$AI$69,D70)+E69</f>
        <v>0</v>
      </c>
      <c r="F70" s="249" t="n">
        <f aca="false">IF(DAY(F$10)=1,$AI$69,E70)+F69</f>
        <v>0</v>
      </c>
      <c r="G70" s="249" t="n">
        <f aca="false">IF(DAY(G$10)=1,$AI$69,F70)+G69</f>
        <v>0</v>
      </c>
      <c r="H70" s="249" t="n">
        <f aca="false">IF(DAY(H$10)=1,$AI$69,G70)+H69</f>
        <v>0</v>
      </c>
      <c r="I70" s="249" t="n">
        <f aca="false">IF(DAY(I$10)=1,$AI$69,H70)+I69</f>
        <v>0</v>
      </c>
      <c r="J70" s="249" t="n">
        <f aca="false">IF(DAY(J$10)=1,$AI$69,I70)+J69</f>
        <v>0</v>
      </c>
      <c r="K70" s="249" t="n">
        <f aca="false">IF(DAY(K$10)=1,$AI$69,J70)+K69</f>
        <v>0</v>
      </c>
      <c r="L70" s="249" t="n">
        <f aca="false">IF(DAY(L$10)=1,$AI$69,K70)+L69</f>
        <v>0</v>
      </c>
      <c r="M70" s="249" t="n">
        <f aca="false">IF(DAY(M$10)=1,$AI$69,L70)+M69</f>
        <v>0</v>
      </c>
      <c r="N70" s="249" t="n">
        <f aca="false">IF(DAY(N$10)=1,$AI$69,M70)+N69</f>
        <v>0</v>
      </c>
      <c r="O70" s="249" t="n">
        <f aca="false">IF(DAY(O$10)=1,$AI$69,N70)+O69</f>
        <v>0</v>
      </c>
      <c r="P70" s="249" t="n">
        <f aca="false">IF(DAY(P$10)=1,$AI$69,O70)+P69</f>
        <v>0</v>
      </c>
      <c r="Q70" s="249" t="n">
        <f aca="false">IF(DAY(Q$10)=1,$AI$69,P70)+Q69</f>
        <v>0</v>
      </c>
      <c r="R70" s="249" t="n">
        <f aca="false">IF(DAY(R$10)=1,$AI$69,Q70)+R69</f>
        <v>0</v>
      </c>
      <c r="S70" s="249" t="n">
        <f aca="false">IF(DAY(S$10)=1,$AI$69,R70)+S69</f>
        <v>0</v>
      </c>
      <c r="T70" s="249" t="n">
        <f aca="false">IF(DAY(T$10)=1,$AI$69,S70)+T69</f>
        <v>0</v>
      </c>
      <c r="U70" s="249" t="n">
        <f aca="false">IF(DAY(U$10)=1,$AI$69,T70)+U69</f>
        <v>0</v>
      </c>
      <c r="V70" s="249" t="n">
        <f aca="false">IF(DAY(V$10)=1,$AI$69,U70)+V69</f>
        <v>0</v>
      </c>
      <c r="W70" s="249" t="n">
        <f aca="false">IF(DAY(W$10)=1,$AI$69,V70)+W69</f>
        <v>0</v>
      </c>
      <c r="X70" s="249" t="n">
        <f aca="false">IF(DAY(X$10)=1,$AI$69,W70)+X69</f>
        <v>0</v>
      </c>
      <c r="Y70" s="249" t="n">
        <f aca="false">IF(DAY(Y$10)=1,$AI$69,X70)+Y69</f>
        <v>0</v>
      </c>
      <c r="Z70" s="249" t="n">
        <f aca="false">IF(DAY(Z$10)=1,$AI$69,Y70)+Z69</f>
        <v>0</v>
      </c>
      <c r="AA70" s="249" t="n">
        <f aca="false">IF(DAY(AA$10)=1,$AI$69,Z70)+AA69</f>
        <v>0</v>
      </c>
      <c r="AB70" s="249" t="n">
        <f aca="false">IF(DAY(AB$10)=1,$AI$69,AA70)+AB69</f>
        <v>0</v>
      </c>
      <c r="AC70" s="249" t="n">
        <f aca="false">IF(DAY(AC$10)=1,$AI$69,AB70)+AC69</f>
        <v>0</v>
      </c>
      <c r="AD70" s="168" t="str">
        <f aca="false">A70</f>
        <v>Balance counter night shift</v>
      </c>
      <c r="AE70" s="197"/>
      <c r="AF70" s="192"/>
      <c r="AG70" s="27"/>
      <c r="AH70" s="235"/>
      <c r="AI70" s="235"/>
      <c r="AJ70" s="172"/>
      <c r="AK70" s="254"/>
      <c r="AL70" s="171"/>
      <c r="AM70" s="171"/>
      <c r="AN70" s="39"/>
    </row>
    <row r="71" s="148" customFormat="true" ht="15" hidden="true" customHeight="true" outlineLevel="1" collapsed="false">
      <c r="A71" s="175" t="s">
        <v>157</v>
      </c>
      <c r="B71" s="176"/>
      <c r="C71" s="176"/>
      <c r="D71" s="176"/>
      <c r="E71" s="177"/>
      <c r="F71" s="176"/>
      <c r="G71" s="176"/>
      <c r="H71" s="176"/>
      <c r="I71" s="176"/>
      <c r="J71" s="177"/>
      <c r="K71" s="176"/>
      <c r="L71" s="177"/>
      <c r="M71" s="176"/>
      <c r="N71" s="176"/>
      <c r="O71" s="176"/>
      <c r="P71" s="176"/>
      <c r="Q71" s="177"/>
      <c r="R71" s="176"/>
      <c r="S71" s="177"/>
      <c r="T71" s="177"/>
      <c r="U71" s="176"/>
      <c r="V71" s="176"/>
      <c r="W71" s="176"/>
      <c r="X71" s="177"/>
      <c r="Y71" s="176"/>
      <c r="Z71" s="178"/>
      <c r="AA71" s="176"/>
      <c r="AB71" s="176"/>
      <c r="AC71" s="176"/>
      <c r="AD71" s="168" t="str">
        <f aca="false">A71</f>
        <v>Compensation TS night shift</v>
      </c>
      <c r="AE71" s="184"/>
      <c r="AF71" s="207" t="n">
        <f aca="false">SUM(B71:AC71)</f>
        <v>0</v>
      </c>
      <c r="AG71" s="33"/>
      <c r="AH71" s="235"/>
      <c r="AI71" s="216" t="n">
        <f aca="false">IF(EB.Anwendung&lt;&gt;"",IF(MONTH(Monat.Tag1)=1,0,IF(MONTH(Monat.Tag1)=2,January!Monat.KompZZSNDUeVM,IF(MONTH(Monat.Tag1)=3,Monat.KompZZSNDUeVM,IF(MONTH(Monat.Tag1)=4,March!Monat.KompZZSNDUeVM,IF(MONTH(Monat.Tag1)=5,April!Monat.KompZZSNDUeVM,IF(MONTH(Monat.Tag1)=6,May!Monat.KompZZSNDUeVM,IF(MONTH(Monat.Tag1)=7,June!Monat.KompZZSNDUeVM,IF(MONTH(Monat.Tag1)=8,July!Monat.KompZZSNDUeVM,IF(MONTH(Monat.Tag1)=9,August!Monat.KompZZSNDUeVM,IF(MONTH(Monat.Tag1)=10,September!Monat.KompZZSNDUeVM,IF(MONTH(Monat.Tag1)=11,October!Monat.KompZZSNDUeVM,IF(MONTH(Monat.Tag1)=12,November!Monat.KompZZSNDUeVM,"")))))))))))),"")</f>
        <v>0</v>
      </c>
      <c r="AJ71" s="172"/>
      <c r="AK71" s="217" t="n">
        <f aca="false">AF71+AI71</f>
        <v>0</v>
      </c>
      <c r="AL71" s="217" t="n">
        <f aca="true">SUM(OFFSET(Jahr.KompZZSND,-12,0,MONTH(Monat.Tag1),1))</f>
        <v>0</v>
      </c>
      <c r="AM71" s="217" t="n">
        <f aca="false">Jahr.KompZZSND</f>
        <v>0</v>
      </c>
      <c r="AN71" s="39"/>
    </row>
    <row r="72" s="148" customFormat="true" ht="15" hidden="true" customHeight="true" outlineLevel="1" collapsed="false">
      <c r="A72" s="175" t="s">
        <v>158</v>
      </c>
      <c r="B72" s="255"/>
      <c r="C72" s="255"/>
      <c r="D72" s="255"/>
      <c r="E72" s="255"/>
      <c r="F72" s="255"/>
      <c r="G72" s="255"/>
      <c r="H72" s="255"/>
      <c r="I72" s="255"/>
      <c r="J72" s="255"/>
      <c r="K72" s="255"/>
      <c r="L72" s="255"/>
      <c r="M72" s="255"/>
      <c r="N72" s="255"/>
      <c r="O72" s="255"/>
      <c r="P72" s="255"/>
      <c r="Q72" s="255"/>
      <c r="R72" s="255"/>
      <c r="S72" s="255"/>
      <c r="T72" s="255"/>
      <c r="U72" s="255"/>
      <c r="V72" s="255"/>
      <c r="W72" s="255"/>
      <c r="X72" s="255"/>
      <c r="Y72" s="255"/>
      <c r="Z72" s="255"/>
      <c r="AA72" s="255"/>
      <c r="AB72" s="255"/>
      <c r="AC72" s="255"/>
      <c r="AD72" s="168" t="str">
        <f aca="false">A72</f>
        <v>Start pl. night shift Yes/No</v>
      </c>
      <c r="AE72" s="184"/>
      <c r="AF72" s="192"/>
      <c r="AG72" s="198" t="n">
        <f aca="true">IFERROR(SUMPRODUCT((B72:AC72=INDEX(T.JaNein.Bereich,1))*(B72:AC72&lt;&gt;"")),0)</f>
        <v>0</v>
      </c>
      <c r="AH72" s="235"/>
      <c r="AI72" s="198" t="n">
        <f aca="false">AI69</f>
        <v>0</v>
      </c>
      <c r="AJ72" s="172"/>
      <c r="AK72" s="253" t="n">
        <f aca="false">AK69</f>
        <v>0</v>
      </c>
      <c r="AL72" s="172"/>
      <c r="AM72" s="172"/>
      <c r="AN72" s="39"/>
    </row>
    <row r="73" s="148" customFormat="true" ht="15" hidden="false" customHeight="true" outlineLevel="1" collapsed="false">
      <c r="A73" s="175" t="s">
        <v>159</v>
      </c>
      <c r="B73" s="256" t="n">
        <f aca="false">IF(B$12=0,0,IF(OR(T.50_Vetsuisse,T.ServiceCenterIrchel),ROUND(B14-B13+MAX(0,T.Nachtab-MAX(T.Nachtbis,B14))-MAX(0,T.Nachtab-MAX(B13,T.Nachtbis))+(B13&gt;B14)*(1+T.Nachtbis-T.Nachtab)+B16-B15+MAX(0,T.Nachtab-MAX(T.Nachtbis,B16))-MAX(0,T.Nachtab-MAX(B15,T.Nachtbis))+(B15&gt;B16)*(1+T.Nachtbis-T.Nachtab)+B18-B17+MAX(0,T.Nachtab-MAX(T.Nachtbis,B18))-MAX(0,T.Nachtab-MAX(B17,T.Nachtbis))+(B17&gt;B18)*(1+T.Nachtbis-T.Nachtab)+B20-B19+MAX(0,T.Nachtab-MAX(T.Nachtbis,B20))-MAX(0,T.Nachtab-MAX(B19,T.Nachtbis))+(B19&gt;B20)*(1+T.Nachtbis-T.Nachtab)+B22-B21+MAX(0,T.Nachtab-MAX(T.Nachtbis,B22))-MAX(0,T.Nachtab-MAX(B21,T.Nachtbis))+(B21&gt;B22)*(1+T.Nachtbis-T.Nachtab),9), IF(AND(WEEKDAY(B$10,2)&lt;6,B$11&lt;&gt;0),ROUND(B36-B35+MAX(0,T.Nachtab-MAX(T.Nachtbis,B36))-MAX(0,T.Nachtab-MAX(B35,T.Nachtbis))+(B35&gt;B36)*(1+T.Nachtbis-T.Nachtab)+B38-B37+MAX(0,T.Nachtab-MAX(T.Nachtbis,B38))-MAX(0,T.Nachtab-MAX(B37,T.Nachtbis))+(B37&gt;B38)*(1+T.Nachtbis-T.Nachtab)+B40-B39+MAX(0,T.Nachtab-MAX(T.Nachtbis,B40))-MAX(0,T.Nachtab-MAX(B39,T.Nachtbis))+(B39&gt;B40)*(1+T.Nachtbis-T.Nachtab)+B42-B41+MAX(0,T.Nachtab-MAX(T.Nachtbis,B42))-MAX(0,T.Nachtab-MAX(B41,T.Nachtbis))+(B41&gt;B42)*(1+T.Nachtbis-T.Nachtab)+B44-B43+MAX(0,T.Nachtab-MAX(T.Nachtbis,B44))-MAX(0,T.Nachtab-MAX(B43,T.Nachtbis))+(B43&gt;B44)*(1+T.Nachtbis-T.Nachtab),9),0)))</f>
        <v>0</v>
      </c>
      <c r="C73" s="256" t="n">
        <f aca="false">IF(C$12=0,0,IF(OR(T.50_Vetsuisse,T.ServiceCenterIrchel),ROUND(C14-C13+MAX(0,T.Nachtab-MAX(T.Nachtbis,C14))-MAX(0,T.Nachtab-MAX(C13,T.Nachtbis))+(C13&gt;C14)*(1+T.Nachtbis-T.Nachtab)+C16-C15+MAX(0,T.Nachtab-MAX(T.Nachtbis,C16))-MAX(0,T.Nachtab-MAX(C15,T.Nachtbis))+(C15&gt;C16)*(1+T.Nachtbis-T.Nachtab)+C18-C17+MAX(0,T.Nachtab-MAX(T.Nachtbis,C18))-MAX(0,T.Nachtab-MAX(C17,T.Nachtbis))+(C17&gt;C18)*(1+T.Nachtbis-T.Nachtab)+C20-C19+MAX(0,T.Nachtab-MAX(T.Nachtbis,C20))-MAX(0,T.Nachtab-MAX(C19,T.Nachtbis))+(C19&gt;C20)*(1+T.Nachtbis-T.Nachtab)+C22-C21+MAX(0,T.Nachtab-MAX(T.Nachtbis,C22))-MAX(0,T.Nachtab-MAX(C21,T.Nachtbis))+(C21&gt;C22)*(1+T.Nachtbis-T.Nachtab),9), IF(AND(WEEKDAY(C$10,2)&lt;6,C$11&lt;&gt;0),ROUND(C36-C35+MAX(0,T.Nachtab-MAX(T.Nachtbis,C36))-MAX(0,T.Nachtab-MAX(C35,T.Nachtbis))+(C35&gt;C36)*(1+T.Nachtbis-T.Nachtab)+C38-C37+MAX(0,T.Nachtab-MAX(T.Nachtbis,C38))-MAX(0,T.Nachtab-MAX(C37,T.Nachtbis))+(C37&gt;C38)*(1+T.Nachtbis-T.Nachtab)+C40-C39+MAX(0,T.Nachtab-MAX(T.Nachtbis,C40))-MAX(0,T.Nachtab-MAX(C39,T.Nachtbis))+(C39&gt;C40)*(1+T.Nachtbis-T.Nachtab)+C42-C41+MAX(0,T.Nachtab-MAX(T.Nachtbis,C42))-MAX(0,T.Nachtab-MAX(C41,T.Nachtbis))+(C41&gt;C42)*(1+T.Nachtbis-T.Nachtab)+C44-C43+MAX(0,T.Nachtab-MAX(T.Nachtbis,C44))-MAX(0,T.Nachtab-MAX(C43,T.Nachtbis))+(C43&gt;C44)*(1+T.Nachtbis-T.Nachtab),9),0)))</f>
        <v>0</v>
      </c>
      <c r="D73" s="256" t="n">
        <f aca="false">IF(D$12=0,0,IF(OR(T.50_Vetsuisse,T.ServiceCenterIrchel),ROUND(D14-D13+MAX(0,T.Nachtab-MAX(T.Nachtbis,D14))-MAX(0,T.Nachtab-MAX(D13,T.Nachtbis))+(D13&gt;D14)*(1+T.Nachtbis-T.Nachtab)+D16-D15+MAX(0,T.Nachtab-MAX(T.Nachtbis,D16))-MAX(0,T.Nachtab-MAX(D15,T.Nachtbis))+(D15&gt;D16)*(1+T.Nachtbis-T.Nachtab)+D18-D17+MAX(0,T.Nachtab-MAX(T.Nachtbis,D18))-MAX(0,T.Nachtab-MAX(D17,T.Nachtbis))+(D17&gt;D18)*(1+T.Nachtbis-T.Nachtab)+D20-D19+MAX(0,T.Nachtab-MAX(T.Nachtbis,D20))-MAX(0,T.Nachtab-MAX(D19,T.Nachtbis))+(D19&gt;D20)*(1+T.Nachtbis-T.Nachtab)+D22-D21+MAX(0,T.Nachtab-MAX(T.Nachtbis,D22))-MAX(0,T.Nachtab-MAX(D21,T.Nachtbis))+(D21&gt;D22)*(1+T.Nachtbis-T.Nachtab),9), IF(AND(WEEKDAY(D$10,2)&lt;6,D$11&lt;&gt;0),ROUND(D36-D35+MAX(0,T.Nachtab-MAX(T.Nachtbis,D36))-MAX(0,T.Nachtab-MAX(D35,T.Nachtbis))+(D35&gt;D36)*(1+T.Nachtbis-T.Nachtab)+D38-D37+MAX(0,T.Nachtab-MAX(T.Nachtbis,D38))-MAX(0,T.Nachtab-MAX(D37,T.Nachtbis))+(D37&gt;D38)*(1+T.Nachtbis-T.Nachtab)+D40-D39+MAX(0,T.Nachtab-MAX(T.Nachtbis,D40))-MAX(0,T.Nachtab-MAX(D39,T.Nachtbis))+(D39&gt;D40)*(1+T.Nachtbis-T.Nachtab)+D42-D41+MAX(0,T.Nachtab-MAX(T.Nachtbis,D42))-MAX(0,T.Nachtab-MAX(D41,T.Nachtbis))+(D41&gt;D42)*(1+T.Nachtbis-T.Nachtab)+D44-D43+MAX(0,T.Nachtab-MAX(T.Nachtbis,D44))-MAX(0,T.Nachtab-MAX(D43,T.Nachtbis))+(D43&gt;D44)*(1+T.Nachtbis-T.Nachtab),9),0)))</f>
        <v>0</v>
      </c>
      <c r="E73" s="256" t="n">
        <f aca="false">IF(E$12=0,0,IF(OR(T.50_Vetsuisse,T.ServiceCenterIrchel),ROUND(E14-E13+MAX(0,T.Nachtab-MAX(T.Nachtbis,E14))-MAX(0,T.Nachtab-MAX(E13,T.Nachtbis))+(E13&gt;E14)*(1+T.Nachtbis-T.Nachtab)+E16-E15+MAX(0,T.Nachtab-MAX(T.Nachtbis,E16))-MAX(0,T.Nachtab-MAX(E15,T.Nachtbis))+(E15&gt;E16)*(1+T.Nachtbis-T.Nachtab)+E18-E17+MAX(0,T.Nachtab-MAX(T.Nachtbis,E18))-MAX(0,T.Nachtab-MAX(E17,T.Nachtbis))+(E17&gt;E18)*(1+T.Nachtbis-T.Nachtab)+E20-E19+MAX(0,T.Nachtab-MAX(T.Nachtbis,E20))-MAX(0,T.Nachtab-MAX(E19,T.Nachtbis))+(E19&gt;E20)*(1+T.Nachtbis-T.Nachtab)+E22-E21+MAX(0,T.Nachtab-MAX(T.Nachtbis,E22))-MAX(0,T.Nachtab-MAX(E21,T.Nachtbis))+(E21&gt;E22)*(1+T.Nachtbis-T.Nachtab),9), IF(AND(WEEKDAY(E$10,2)&lt;6,E$11&lt;&gt;0),ROUND(E36-E35+MAX(0,T.Nachtab-MAX(T.Nachtbis,E36))-MAX(0,T.Nachtab-MAX(E35,T.Nachtbis))+(E35&gt;E36)*(1+T.Nachtbis-T.Nachtab)+E38-E37+MAX(0,T.Nachtab-MAX(T.Nachtbis,E38))-MAX(0,T.Nachtab-MAX(E37,T.Nachtbis))+(E37&gt;E38)*(1+T.Nachtbis-T.Nachtab)+E40-E39+MAX(0,T.Nachtab-MAX(T.Nachtbis,E40))-MAX(0,T.Nachtab-MAX(E39,T.Nachtbis))+(E39&gt;E40)*(1+T.Nachtbis-T.Nachtab)+E42-E41+MAX(0,T.Nachtab-MAX(T.Nachtbis,E42))-MAX(0,T.Nachtab-MAX(E41,T.Nachtbis))+(E41&gt;E42)*(1+T.Nachtbis-T.Nachtab)+E44-E43+MAX(0,T.Nachtab-MAX(T.Nachtbis,E44))-MAX(0,T.Nachtab-MAX(E43,T.Nachtbis))+(E43&gt;E44)*(1+T.Nachtbis-T.Nachtab),9),0)))</f>
        <v>0</v>
      </c>
      <c r="F73" s="256" t="n">
        <f aca="false">IF(F$12=0,0,IF(OR(T.50_Vetsuisse,T.ServiceCenterIrchel),ROUND(F14-F13+MAX(0,T.Nachtab-MAX(T.Nachtbis,F14))-MAX(0,T.Nachtab-MAX(F13,T.Nachtbis))+(F13&gt;F14)*(1+T.Nachtbis-T.Nachtab)+F16-F15+MAX(0,T.Nachtab-MAX(T.Nachtbis,F16))-MAX(0,T.Nachtab-MAX(F15,T.Nachtbis))+(F15&gt;F16)*(1+T.Nachtbis-T.Nachtab)+F18-F17+MAX(0,T.Nachtab-MAX(T.Nachtbis,F18))-MAX(0,T.Nachtab-MAX(F17,T.Nachtbis))+(F17&gt;F18)*(1+T.Nachtbis-T.Nachtab)+F20-F19+MAX(0,T.Nachtab-MAX(T.Nachtbis,F20))-MAX(0,T.Nachtab-MAX(F19,T.Nachtbis))+(F19&gt;F20)*(1+T.Nachtbis-T.Nachtab)+F22-F21+MAX(0,T.Nachtab-MAX(T.Nachtbis,F22))-MAX(0,T.Nachtab-MAX(F21,T.Nachtbis))+(F21&gt;F22)*(1+T.Nachtbis-T.Nachtab),9), IF(AND(WEEKDAY(F$10,2)&lt;6,F$11&lt;&gt;0),ROUND(F36-F35+MAX(0,T.Nachtab-MAX(T.Nachtbis,F36))-MAX(0,T.Nachtab-MAX(F35,T.Nachtbis))+(F35&gt;F36)*(1+T.Nachtbis-T.Nachtab)+F38-F37+MAX(0,T.Nachtab-MAX(T.Nachtbis,F38))-MAX(0,T.Nachtab-MAX(F37,T.Nachtbis))+(F37&gt;F38)*(1+T.Nachtbis-T.Nachtab)+F40-F39+MAX(0,T.Nachtab-MAX(T.Nachtbis,F40))-MAX(0,T.Nachtab-MAX(F39,T.Nachtbis))+(F39&gt;F40)*(1+T.Nachtbis-T.Nachtab)+F42-F41+MAX(0,T.Nachtab-MAX(T.Nachtbis,F42))-MAX(0,T.Nachtab-MAX(F41,T.Nachtbis))+(F41&gt;F42)*(1+T.Nachtbis-T.Nachtab)+F44-F43+MAX(0,T.Nachtab-MAX(T.Nachtbis,F44))-MAX(0,T.Nachtab-MAX(F43,T.Nachtbis))+(F43&gt;F44)*(1+T.Nachtbis-T.Nachtab),9),0)))</f>
        <v>0</v>
      </c>
      <c r="G73" s="256" t="n">
        <f aca="false">IF(G$12=0,0,IF(OR(T.50_Vetsuisse,T.ServiceCenterIrchel),ROUND(G14-G13+MAX(0,T.Nachtab-MAX(T.Nachtbis,G14))-MAX(0,T.Nachtab-MAX(G13,T.Nachtbis))+(G13&gt;G14)*(1+T.Nachtbis-T.Nachtab)+G16-G15+MAX(0,T.Nachtab-MAX(T.Nachtbis,G16))-MAX(0,T.Nachtab-MAX(G15,T.Nachtbis))+(G15&gt;G16)*(1+T.Nachtbis-T.Nachtab)+G18-G17+MAX(0,T.Nachtab-MAX(T.Nachtbis,G18))-MAX(0,T.Nachtab-MAX(G17,T.Nachtbis))+(G17&gt;G18)*(1+T.Nachtbis-T.Nachtab)+G20-G19+MAX(0,T.Nachtab-MAX(T.Nachtbis,G20))-MAX(0,T.Nachtab-MAX(G19,T.Nachtbis))+(G19&gt;G20)*(1+T.Nachtbis-T.Nachtab)+G22-G21+MAX(0,T.Nachtab-MAX(T.Nachtbis,G22))-MAX(0,T.Nachtab-MAX(G21,T.Nachtbis))+(G21&gt;G22)*(1+T.Nachtbis-T.Nachtab),9), IF(AND(WEEKDAY(G$10,2)&lt;6,G$11&lt;&gt;0),ROUND(G36-G35+MAX(0,T.Nachtab-MAX(T.Nachtbis,G36))-MAX(0,T.Nachtab-MAX(G35,T.Nachtbis))+(G35&gt;G36)*(1+T.Nachtbis-T.Nachtab)+G38-G37+MAX(0,T.Nachtab-MAX(T.Nachtbis,G38))-MAX(0,T.Nachtab-MAX(G37,T.Nachtbis))+(G37&gt;G38)*(1+T.Nachtbis-T.Nachtab)+G40-G39+MAX(0,T.Nachtab-MAX(T.Nachtbis,G40))-MAX(0,T.Nachtab-MAX(G39,T.Nachtbis))+(G39&gt;G40)*(1+T.Nachtbis-T.Nachtab)+G42-G41+MAX(0,T.Nachtab-MAX(T.Nachtbis,G42))-MAX(0,T.Nachtab-MAX(G41,T.Nachtbis))+(G41&gt;G42)*(1+T.Nachtbis-T.Nachtab)+G44-G43+MAX(0,T.Nachtab-MAX(T.Nachtbis,G44))-MAX(0,T.Nachtab-MAX(G43,T.Nachtbis))+(G43&gt;G44)*(1+T.Nachtbis-T.Nachtab),9),0)))</f>
        <v>0</v>
      </c>
      <c r="H73" s="256" t="n">
        <f aca="false">IF(H$12=0,0,IF(OR(T.50_Vetsuisse,T.ServiceCenterIrchel),ROUND(H14-H13+MAX(0,T.Nachtab-MAX(T.Nachtbis,H14))-MAX(0,T.Nachtab-MAX(H13,T.Nachtbis))+(H13&gt;H14)*(1+T.Nachtbis-T.Nachtab)+H16-H15+MAX(0,T.Nachtab-MAX(T.Nachtbis,H16))-MAX(0,T.Nachtab-MAX(H15,T.Nachtbis))+(H15&gt;H16)*(1+T.Nachtbis-T.Nachtab)+H18-H17+MAX(0,T.Nachtab-MAX(T.Nachtbis,H18))-MAX(0,T.Nachtab-MAX(H17,T.Nachtbis))+(H17&gt;H18)*(1+T.Nachtbis-T.Nachtab)+H20-H19+MAX(0,T.Nachtab-MAX(T.Nachtbis,H20))-MAX(0,T.Nachtab-MAX(H19,T.Nachtbis))+(H19&gt;H20)*(1+T.Nachtbis-T.Nachtab)+H22-H21+MAX(0,T.Nachtab-MAX(T.Nachtbis,H22))-MAX(0,T.Nachtab-MAX(H21,T.Nachtbis))+(H21&gt;H22)*(1+T.Nachtbis-T.Nachtab),9), IF(AND(WEEKDAY(H$10,2)&lt;6,H$11&lt;&gt;0),ROUND(H36-H35+MAX(0,T.Nachtab-MAX(T.Nachtbis,H36))-MAX(0,T.Nachtab-MAX(H35,T.Nachtbis))+(H35&gt;H36)*(1+T.Nachtbis-T.Nachtab)+H38-H37+MAX(0,T.Nachtab-MAX(T.Nachtbis,H38))-MAX(0,T.Nachtab-MAX(H37,T.Nachtbis))+(H37&gt;H38)*(1+T.Nachtbis-T.Nachtab)+H40-H39+MAX(0,T.Nachtab-MAX(T.Nachtbis,H40))-MAX(0,T.Nachtab-MAX(H39,T.Nachtbis))+(H39&gt;H40)*(1+T.Nachtbis-T.Nachtab)+H42-H41+MAX(0,T.Nachtab-MAX(T.Nachtbis,H42))-MAX(0,T.Nachtab-MAX(H41,T.Nachtbis))+(H41&gt;H42)*(1+T.Nachtbis-T.Nachtab)+H44-H43+MAX(0,T.Nachtab-MAX(T.Nachtbis,H44))-MAX(0,T.Nachtab-MAX(H43,T.Nachtbis))+(H43&gt;H44)*(1+T.Nachtbis-T.Nachtab),9),0)))</f>
        <v>0</v>
      </c>
      <c r="I73" s="256" t="n">
        <f aca="false">IF(I$12=0,0,IF(OR(T.50_Vetsuisse,T.ServiceCenterIrchel),ROUND(I14-I13+MAX(0,T.Nachtab-MAX(T.Nachtbis,I14))-MAX(0,T.Nachtab-MAX(I13,T.Nachtbis))+(I13&gt;I14)*(1+T.Nachtbis-T.Nachtab)+I16-I15+MAX(0,T.Nachtab-MAX(T.Nachtbis,I16))-MAX(0,T.Nachtab-MAX(I15,T.Nachtbis))+(I15&gt;I16)*(1+T.Nachtbis-T.Nachtab)+I18-I17+MAX(0,T.Nachtab-MAX(T.Nachtbis,I18))-MAX(0,T.Nachtab-MAX(I17,T.Nachtbis))+(I17&gt;I18)*(1+T.Nachtbis-T.Nachtab)+I20-I19+MAX(0,T.Nachtab-MAX(T.Nachtbis,I20))-MAX(0,T.Nachtab-MAX(I19,T.Nachtbis))+(I19&gt;I20)*(1+T.Nachtbis-T.Nachtab)+I22-I21+MAX(0,T.Nachtab-MAX(T.Nachtbis,I22))-MAX(0,T.Nachtab-MAX(I21,T.Nachtbis))+(I21&gt;I22)*(1+T.Nachtbis-T.Nachtab),9), IF(AND(WEEKDAY(I$10,2)&lt;6,I$11&lt;&gt;0),ROUND(I36-I35+MAX(0,T.Nachtab-MAX(T.Nachtbis,I36))-MAX(0,T.Nachtab-MAX(I35,T.Nachtbis))+(I35&gt;I36)*(1+T.Nachtbis-T.Nachtab)+I38-I37+MAX(0,T.Nachtab-MAX(T.Nachtbis,I38))-MAX(0,T.Nachtab-MAX(I37,T.Nachtbis))+(I37&gt;I38)*(1+T.Nachtbis-T.Nachtab)+I40-I39+MAX(0,T.Nachtab-MAX(T.Nachtbis,I40))-MAX(0,T.Nachtab-MAX(I39,T.Nachtbis))+(I39&gt;I40)*(1+T.Nachtbis-T.Nachtab)+I42-I41+MAX(0,T.Nachtab-MAX(T.Nachtbis,I42))-MAX(0,T.Nachtab-MAX(I41,T.Nachtbis))+(I41&gt;I42)*(1+T.Nachtbis-T.Nachtab)+I44-I43+MAX(0,T.Nachtab-MAX(T.Nachtbis,I44))-MAX(0,T.Nachtab-MAX(I43,T.Nachtbis))+(I43&gt;I44)*(1+T.Nachtbis-T.Nachtab),9),0)))</f>
        <v>0</v>
      </c>
      <c r="J73" s="256" t="n">
        <f aca="false">IF(J$12=0,0,IF(OR(T.50_Vetsuisse,T.ServiceCenterIrchel),ROUND(J14-J13+MAX(0,T.Nachtab-MAX(T.Nachtbis,J14))-MAX(0,T.Nachtab-MAX(J13,T.Nachtbis))+(J13&gt;J14)*(1+T.Nachtbis-T.Nachtab)+J16-J15+MAX(0,T.Nachtab-MAX(T.Nachtbis,J16))-MAX(0,T.Nachtab-MAX(J15,T.Nachtbis))+(J15&gt;J16)*(1+T.Nachtbis-T.Nachtab)+J18-J17+MAX(0,T.Nachtab-MAX(T.Nachtbis,J18))-MAX(0,T.Nachtab-MAX(J17,T.Nachtbis))+(J17&gt;J18)*(1+T.Nachtbis-T.Nachtab)+J20-J19+MAX(0,T.Nachtab-MAX(T.Nachtbis,J20))-MAX(0,T.Nachtab-MAX(J19,T.Nachtbis))+(J19&gt;J20)*(1+T.Nachtbis-T.Nachtab)+J22-J21+MAX(0,T.Nachtab-MAX(T.Nachtbis,J22))-MAX(0,T.Nachtab-MAX(J21,T.Nachtbis))+(J21&gt;J22)*(1+T.Nachtbis-T.Nachtab),9), IF(AND(WEEKDAY(J$10,2)&lt;6,J$11&lt;&gt;0),ROUND(J36-J35+MAX(0,T.Nachtab-MAX(T.Nachtbis,J36))-MAX(0,T.Nachtab-MAX(J35,T.Nachtbis))+(J35&gt;J36)*(1+T.Nachtbis-T.Nachtab)+J38-J37+MAX(0,T.Nachtab-MAX(T.Nachtbis,J38))-MAX(0,T.Nachtab-MAX(J37,T.Nachtbis))+(J37&gt;J38)*(1+T.Nachtbis-T.Nachtab)+J40-J39+MAX(0,T.Nachtab-MAX(T.Nachtbis,J40))-MAX(0,T.Nachtab-MAX(J39,T.Nachtbis))+(J39&gt;J40)*(1+T.Nachtbis-T.Nachtab)+J42-J41+MAX(0,T.Nachtab-MAX(T.Nachtbis,J42))-MAX(0,T.Nachtab-MAX(J41,T.Nachtbis))+(J41&gt;J42)*(1+T.Nachtbis-T.Nachtab)+J44-J43+MAX(0,T.Nachtab-MAX(T.Nachtbis,J44))-MAX(0,T.Nachtab-MAX(J43,T.Nachtbis))+(J43&gt;J44)*(1+T.Nachtbis-T.Nachtab),9),0)))</f>
        <v>0</v>
      </c>
      <c r="K73" s="256" t="n">
        <f aca="false">IF(K$12=0,0,IF(OR(T.50_Vetsuisse,T.ServiceCenterIrchel),ROUND(K14-K13+MAX(0,T.Nachtab-MAX(T.Nachtbis,K14))-MAX(0,T.Nachtab-MAX(K13,T.Nachtbis))+(K13&gt;K14)*(1+T.Nachtbis-T.Nachtab)+K16-K15+MAX(0,T.Nachtab-MAX(T.Nachtbis,K16))-MAX(0,T.Nachtab-MAX(K15,T.Nachtbis))+(K15&gt;K16)*(1+T.Nachtbis-T.Nachtab)+K18-K17+MAX(0,T.Nachtab-MAX(T.Nachtbis,K18))-MAX(0,T.Nachtab-MAX(K17,T.Nachtbis))+(K17&gt;K18)*(1+T.Nachtbis-T.Nachtab)+K20-K19+MAX(0,T.Nachtab-MAX(T.Nachtbis,K20))-MAX(0,T.Nachtab-MAX(K19,T.Nachtbis))+(K19&gt;K20)*(1+T.Nachtbis-T.Nachtab)+K22-K21+MAX(0,T.Nachtab-MAX(T.Nachtbis,K22))-MAX(0,T.Nachtab-MAX(K21,T.Nachtbis))+(K21&gt;K22)*(1+T.Nachtbis-T.Nachtab),9), IF(AND(WEEKDAY(K$10,2)&lt;6,K$11&lt;&gt;0),ROUND(K36-K35+MAX(0,T.Nachtab-MAX(T.Nachtbis,K36))-MAX(0,T.Nachtab-MAX(K35,T.Nachtbis))+(K35&gt;K36)*(1+T.Nachtbis-T.Nachtab)+K38-K37+MAX(0,T.Nachtab-MAX(T.Nachtbis,K38))-MAX(0,T.Nachtab-MAX(K37,T.Nachtbis))+(K37&gt;K38)*(1+T.Nachtbis-T.Nachtab)+K40-K39+MAX(0,T.Nachtab-MAX(T.Nachtbis,K40))-MAX(0,T.Nachtab-MAX(K39,T.Nachtbis))+(K39&gt;K40)*(1+T.Nachtbis-T.Nachtab)+K42-K41+MAX(0,T.Nachtab-MAX(T.Nachtbis,K42))-MAX(0,T.Nachtab-MAX(K41,T.Nachtbis))+(K41&gt;K42)*(1+T.Nachtbis-T.Nachtab)+K44-K43+MAX(0,T.Nachtab-MAX(T.Nachtbis,K44))-MAX(0,T.Nachtab-MAX(K43,T.Nachtbis))+(K43&gt;K44)*(1+T.Nachtbis-T.Nachtab),9),0)))</f>
        <v>0</v>
      </c>
      <c r="L73" s="256" t="n">
        <f aca="false">IF(L$12=0,0,IF(OR(T.50_Vetsuisse,T.ServiceCenterIrchel),ROUND(L14-L13+MAX(0,T.Nachtab-MAX(T.Nachtbis,L14))-MAX(0,T.Nachtab-MAX(L13,T.Nachtbis))+(L13&gt;L14)*(1+T.Nachtbis-T.Nachtab)+L16-L15+MAX(0,T.Nachtab-MAX(T.Nachtbis,L16))-MAX(0,T.Nachtab-MAX(L15,T.Nachtbis))+(L15&gt;L16)*(1+T.Nachtbis-T.Nachtab)+L18-L17+MAX(0,T.Nachtab-MAX(T.Nachtbis,L18))-MAX(0,T.Nachtab-MAX(L17,T.Nachtbis))+(L17&gt;L18)*(1+T.Nachtbis-T.Nachtab)+L20-L19+MAX(0,T.Nachtab-MAX(T.Nachtbis,L20))-MAX(0,T.Nachtab-MAX(L19,T.Nachtbis))+(L19&gt;L20)*(1+T.Nachtbis-T.Nachtab)+L22-L21+MAX(0,T.Nachtab-MAX(T.Nachtbis,L22))-MAX(0,T.Nachtab-MAX(L21,T.Nachtbis))+(L21&gt;L22)*(1+T.Nachtbis-T.Nachtab),9), IF(AND(WEEKDAY(L$10,2)&lt;6,L$11&lt;&gt;0),ROUND(L36-L35+MAX(0,T.Nachtab-MAX(T.Nachtbis,L36))-MAX(0,T.Nachtab-MAX(L35,T.Nachtbis))+(L35&gt;L36)*(1+T.Nachtbis-T.Nachtab)+L38-L37+MAX(0,T.Nachtab-MAX(T.Nachtbis,L38))-MAX(0,T.Nachtab-MAX(L37,T.Nachtbis))+(L37&gt;L38)*(1+T.Nachtbis-T.Nachtab)+L40-L39+MAX(0,T.Nachtab-MAX(T.Nachtbis,L40))-MAX(0,T.Nachtab-MAX(L39,T.Nachtbis))+(L39&gt;L40)*(1+T.Nachtbis-T.Nachtab)+L42-L41+MAX(0,T.Nachtab-MAX(T.Nachtbis,L42))-MAX(0,T.Nachtab-MAX(L41,T.Nachtbis))+(L41&gt;L42)*(1+T.Nachtbis-T.Nachtab)+L44-L43+MAX(0,T.Nachtab-MAX(T.Nachtbis,L44))-MAX(0,T.Nachtab-MAX(L43,T.Nachtbis))+(L43&gt;L44)*(1+T.Nachtbis-T.Nachtab),9),0)))</f>
        <v>0</v>
      </c>
      <c r="M73" s="256" t="n">
        <f aca="false">IF(M$12=0,0,IF(OR(T.50_Vetsuisse,T.ServiceCenterIrchel),ROUND(M14-M13+MAX(0,T.Nachtab-MAX(T.Nachtbis,M14))-MAX(0,T.Nachtab-MAX(M13,T.Nachtbis))+(M13&gt;M14)*(1+T.Nachtbis-T.Nachtab)+M16-M15+MAX(0,T.Nachtab-MAX(T.Nachtbis,M16))-MAX(0,T.Nachtab-MAX(M15,T.Nachtbis))+(M15&gt;M16)*(1+T.Nachtbis-T.Nachtab)+M18-M17+MAX(0,T.Nachtab-MAX(T.Nachtbis,M18))-MAX(0,T.Nachtab-MAX(M17,T.Nachtbis))+(M17&gt;M18)*(1+T.Nachtbis-T.Nachtab)+M20-M19+MAX(0,T.Nachtab-MAX(T.Nachtbis,M20))-MAX(0,T.Nachtab-MAX(M19,T.Nachtbis))+(M19&gt;M20)*(1+T.Nachtbis-T.Nachtab)+M22-M21+MAX(0,T.Nachtab-MAX(T.Nachtbis,M22))-MAX(0,T.Nachtab-MAX(M21,T.Nachtbis))+(M21&gt;M22)*(1+T.Nachtbis-T.Nachtab),9), IF(AND(WEEKDAY(M$10,2)&lt;6,M$11&lt;&gt;0),ROUND(M36-M35+MAX(0,T.Nachtab-MAX(T.Nachtbis,M36))-MAX(0,T.Nachtab-MAX(M35,T.Nachtbis))+(M35&gt;M36)*(1+T.Nachtbis-T.Nachtab)+M38-M37+MAX(0,T.Nachtab-MAX(T.Nachtbis,M38))-MAX(0,T.Nachtab-MAX(M37,T.Nachtbis))+(M37&gt;M38)*(1+T.Nachtbis-T.Nachtab)+M40-M39+MAX(0,T.Nachtab-MAX(T.Nachtbis,M40))-MAX(0,T.Nachtab-MAX(M39,T.Nachtbis))+(M39&gt;M40)*(1+T.Nachtbis-T.Nachtab)+M42-M41+MAX(0,T.Nachtab-MAX(T.Nachtbis,M42))-MAX(0,T.Nachtab-MAX(M41,T.Nachtbis))+(M41&gt;M42)*(1+T.Nachtbis-T.Nachtab)+M44-M43+MAX(0,T.Nachtab-MAX(T.Nachtbis,M44))-MAX(0,T.Nachtab-MAX(M43,T.Nachtbis))+(M43&gt;M44)*(1+T.Nachtbis-T.Nachtab),9),0)))</f>
        <v>0</v>
      </c>
      <c r="N73" s="256" t="n">
        <f aca="false">IF(N$12=0,0,IF(OR(T.50_Vetsuisse,T.ServiceCenterIrchel),ROUND(N14-N13+MAX(0,T.Nachtab-MAX(T.Nachtbis,N14))-MAX(0,T.Nachtab-MAX(N13,T.Nachtbis))+(N13&gt;N14)*(1+T.Nachtbis-T.Nachtab)+N16-N15+MAX(0,T.Nachtab-MAX(T.Nachtbis,N16))-MAX(0,T.Nachtab-MAX(N15,T.Nachtbis))+(N15&gt;N16)*(1+T.Nachtbis-T.Nachtab)+N18-N17+MAX(0,T.Nachtab-MAX(T.Nachtbis,N18))-MAX(0,T.Nachtab-MAX(N17,T.Nachtbis))+(N17&gt;N18)*(1+T.Nachtbis-T.Nachtab)+N20-N19+MAX(0,T.Nachtab-MAX(T.Nachtbis,N20))-MAX(0,T.Nachtab-MAX(N19,T.Nachtbis))+(N19&gt;N20)*(1+T.Nachtbis-T.Nachtab)+N22-N21+MAX(0,T.Nachtab-MAX(T.Nachtbis,N22))-MAX(0,T.Nachtab-MAX(N21,T.Nachtbis))+(N21&gt;N22)*(1+T.Nachtbis-T.Nachtab),9), IF(AND(WEEKDAY(N$10,2)&lt;6,N$11&lt;&gt;0),ROUND(N36-N35+MAX(0,T.Nachtab-MAX(T.Nachtbis,N36))-MAX(0,T.Nachtab-MAX(N35,T.Nachtbis))+(N35&gt;N36)*(1+T.Nachtbis-T.Nachtab)+N38-N37+MAX(0,T.Nachtab-MAX(T.Nachtbis,N38))-MAX(0,T.Nachtab-MAX(N37,T.Nachtbis))+(N37&gt;N38)*(1+T.Nachtbis-T.Nachtab)+N40-N39+MAX(0,T.Nachtab-MAX(T.Nachtbis,N40))-MAX(0,T.Nachtab-MAX(N39,T.Nachtbis))+(N39&gt;N40)*(1+T.Nachtbis-T.Nachtab)+N42-N41+MAX(0,T.Nachtab-MAX(T.Nachtbis,N42))-MAX(0,T.Nachtab-MAX(N41,T.Nachtbis))+(N41&gt;N42)*(1+T.Nachtbis-T.Nachtab)+N44-N43+MAX(0,T.Nachtab-MAX(T.Nachtbis,N44))-MAX(0,T.Nachtab-MAX(N43,T.Nachtbis))+(N43&gt;N44)*(1+T.Nachtbis-T.Nachtab),9),0)))</f>
        <v>0</v>
      </c>
      <c r="O73" s="256" t="n">
        <f aca="false">IF(O$12=0,0,IF(OR(T.50_Vetsuisse,T.ServiceCenterIrchel),ROUND(O14-O13+MAX(0,T.Nachtab-MAX(T.Nachtbis,O14))-MAX(0,T.Nachtab-MAX(O13,T.Nachtbis))+(O13&gt;O14)*(1+T.Nachtbis-T.Nachtab)+O16-O15+MAX(0,T.Nachtab-MAX(T.Nachtbis,O16))-MAX(0,T.Nachtab-MAX(O15,T.Nachtbis))+(O15&gt;O16)*(1+T.Nachtbis-T.Nachtab)+O18-O17+MAX(0,T.Nachtab-MAX(T.Nachtbis,O18))-MAX(0,T.Nachtab-MAX(O17,T.Nachtbis))+(O17&gt;O18)*(1+T.Nachtbis-T.Nachtab)+O20-O19+MAX(0,T.Nachtab-MAX(T.Nachtbis,O20))-MAX(0,T.Nachtab-MAX(O19,T.Nachtbis))+(O19&gt;O20)*(1+T.Nachtbis-T.Nachtab)+O22-O21+MAX(0,T.Nachtab-MAX(T.Nachtbis,O22))-MAX(0,T.Nachtab-MAX(O21,T.Nachtbis))+(O21&gt;O22)*(1+T.Nachtbis-T.Nachtab),9), IF(AND(WEEKDAY(O$10,2)&lt;6,O$11&lt;&gt;0),ROUND(O36-O35+MAX(0,T.Nachtab-MAX(T.Nachtbis,O36))-MAX(0,T.Nachtab-MAX(O35,T.Nachtbis))+(O35&gt;O36)*(1+T.Nachtbis-T.Nachtab)+O38-O37+MAX(0,T.Nachtab-MAX(T.Nachtbis,O38))-MAX(0,T.Nachtab-MAX(O37,T.Nachtbis))+(O37&gt;O38)*(1+T.Nachtbis-T.Nachtab)+O40-O39+MAX(0,T.Nachtab-MAX(T.Nachtbis,O40))-MAX(0,T.Nachtab-MAX(O39,T.Nachtbis))+(O39&gt;O40)*(1+T.Nachtbis-T.Nachtab)+O42-O41+MAX(0,T.Nachtab-MAX(T.Nachtbis,O42))-MAX(0,T.Nachtab-MAX(O41,T.Nachtbis))+(O41&gt;O42)*(1+T.Nachtbis-T.Nachtab)+O44-O43+MAX(0,T.Nachtab-MAX(T.Nachtbis,O44))-MAX(0,T.Nachtab-MAX(O43,T.Nachtbis))+(O43&gt;O44)*(1+T.Nachtbis-T.Nachtab),9),0)))</f>
        <v>0</v>
      </c>
      <c r="P73" s="256" t="n">
        <f aca="false">IF(P$12=0,0,IF(OR(T.50_Vetsuisse,T.ServiceCenterIrchel),ROUND(P14-P13+MAX(0,T.Nachtab-MAX(T.Nachtbis,P14))-MAX(0,T.Nachtab-MAX(P13,T.Nachtbis))+(P13&gt;P14)*(1+T.Nachtbis-T.Nachtab)+P16-P15+MAX(0,T.Nachtab-MAX(T.Nachtbis,P16))-MAX(0,T.Nachtab-MAX(P15,T.Nachtbis))+(P15&gt;P16)*(1+T.Nachtbis-T.Nachtab)+P18-P17+MAX(0,T.Nachtab-MAX(T.Nachtbis,P18))-MAX(0,T.Nachtab-MAX(P17,T.Nachtbis))+(P17&gt;P18)*(1+T.Nachtbis-T.Nachtab)+P20-P19+MAX(0,T.Nachtab-MAX(T.Nachtbis,P20))-MAX(0,T.Nachtab-MAX(P19,T.Nachtbis))+(P19&gt;P20)*(1+T.Nachtbis-T.Nachtab)+P22-P21+MAX(0,T.Nachtab-MAX(T.Nachtbis,P22))-MAX(0,T.Nachtab-MAX(P21,T.Nachtbis))+(P21&gt;P22)*(1+T.Nachtbis-T.Nachtab),9), IF(AND(WEEKDAY(P$10,2)&lt;6,P$11&lt;&gt;0),ROUND(P36-P35+MAX(0,T.Nachtab-MAX(T.Nachtbis,P36))-MAX(0,T.Nachtab-MAX(P35,T.Nachtbis))+(P35&gt;P36)*(1+T.Nachtbis-T.Nachtab)+P38-P37+MAX(0,T.Nachtab-MAX(T.Nachtbis,P38))-MAX(0,T.Nachtab-MAX(P37,T.Nachtbis))+(P37&gt;P38)*(1+T.Nachtbis-T.Nachtab)+P40-P39+MAX(0,T.Nachtab-MAX(T.Nachtbis,P40))-MAX(0,T.Nachtab-MAX(P39,T.Nachtbis))+(P39&gt;P40)*(1+T.Nachtbis-T.Nachtab)+P42-P41+MAX(0,T.Nachtab-MAX(T.Nachtbis,P42))-MAX(0,T.Nachtab-MAX(P41,T.Nachtbis))+(P41&gt;P42)*(1+T.Nachtbis-T.Nachtab)+P44-P43+MAX(0,T.Nachtab-MAX(T.Nachtbis,P44))-MAX(0,T.Nachtab-MAX(P43,T.Nachtbis))+(P43&gt;P44)*(1+T.Nachtbis-T.Nachtab),9),0)))</f>
        <v>0</v>
      </c>
      <c r="Q73" s="256" t="n">
        <f aca="false">IF(Q$12=0,0,IF(OR(T.50_Vetsuisse,T.ServiceCenterIrchel),ROUND(Q14-Q13+MAX(0,T.Nachtab-MAX(T.Nachtbis,Q14))-MAX(0,T.Nachtab-MAX(Q13,T.Nachtbis))+(Q13&gt;Q14)*(1+T.Nachtbis-T.Nachtab)+Q16-Q15+MAX(0,T.Nachtab-MAX(T.Nachtbis,Q16))-MAX(0,T.Nachtab-MAX(Q15,T.Nachtbis))+(Q15&gt;Q16)*(1+T.Nachtbis-T.Nachtab)+Q18-Q17+MAX(0,T.Nachtab-MAX(T.Nachtbis,Q18))-MAX(0,T.Nachtab-MAX(Q17,T.Nachtbis))+(Q17&gt;Q18)*(1+T.Nachtbis-T.Nachtab)+Q20-Q19+MAX(0,T.Nachtab-MAX(T.Nachtbis,Q20))-MAX(0,T.Nachtab-MAX(Q19,T.Nachtbis))+(Q19&gt;Q20)*(1+T.Nachtbis-T.Nachtab)+Q22-Q21+MAX(0,T.Nachtab-MAX(T.Nachtbis,Q22))-MAX(0,T.Nachtab-MAX(Q21,T.Nachtbis))+(Q21&gt;Q22)*(1+T.Nachtbis-T.Nachtab),9), IF(AND(WEEKDAY(Q$10,2)&lt;6,Q$11&lt;&gt;0),ROUND(Q36-Q35+MAX(0,T.Nachtab-MAX(T.Nachtbis,Q36))-MAX(0,T.Nachtab-MAX(Q35,T.Nachtbis))+(Q35&gt;Q36)*(1+T.Nachtbis-T.Nachtab)+Q38-Q37+MAX(0,T.Nachtab-MAX(T.Nachtbis,Q38))-MAX(0,T.Nachtab-MAX(Q37,T.Nachtbis))+(Q37&gt;Q38)*(1+T.Nachtbis-T.Nachtab)+Q40-Q39+MAX(0,T.Nachtab-MAX(T.Nachtbis,Q40))-MAX(0,T.Nachtab-MAX(Q39,T.Nachtbis))+(Q39&gt;Q40)*(1+T.Nachtbis-T.Nachtab)+Q42-Q41+MAX(0,T.Nachtab-MAX(T.Nachtbis,Q42))-MAX(0,T.Nachtab-MAX(Q41,T.Nachtbis))+(Q41&gt;Q42)*(1+T.Nachtbis-T.Nachtab)+Q44-Q43+MAX(0,T.Nachtab-MAX(T.Nachtbis,Q44))-MAX(0,T.Nachtab-MAX(Q43,T.Nachtbis))+(Q43&gt;Q44)*(1+T.Nachtbis-T.Nachtab),9),0)))</f>
        <v>0</v>
      </c>
      <c r="R73" s="256" t="n">
        <f aca="false">IF(R$12=0,0,IF(OR(T.50_Vetsuisse,T.ServiceCenterIrchel),ROUND(R14-R13+MAX(0,T.Nachtab-MAX(T.Nachtbis,R14))-MAX(0,T.Nachtab-MAX(R13,T.Nachtbis))+(R13&gt;R14)*(1+T.Nachtbis-T.Nachtab)+R16-R15+MAX(0,T.Nachtab-MAX(T.Nachtbis,R16))-MAX(0,T.Nachtab-MAX(R15,T.Nachtbis))+(R15&gt;R16)*(1+T.Nachtbis-T.Nachtab)+R18-R17+MAX(0,T.Nachtab-MAX(T.Nachtbis,R18))-MAX(0,T.Nachtab-MAX(R17,T.Nachtbis))+(R17&gt;R18)*(1+T.Nachtbis-T.Nachtab)+R20-R19+MAX(0,T.Nachtab-MAX(T.Nachtbis,R20))-MAX(0,T.Nachtab-MAX(R19,T.Nachtbis))+(R19&gt;R20)*(1+T.Nachtbis-T.Nachtab)+R22-R21+MAX(0,T.Nachtab-MAX(T.Nachtbis,R22))-MAX(0,T.Nachtab-MAX(R21,T.Nachtbis))+(R21&gt;R22)*(1+T.Nachtbis-T.Nachtab),9), IF(AND(WEEKDAY(R$10,2)&lt;6,R$11&lt;&gt;0),ROUND(R36-R35+MAX(0,T.Nachtab-MAX(T.Nachtbis,R36))-MAX(0,T.Nachtab-MAX(R35,T.Nachtbis))+(R35&gt;R36)*(1+T.Nachtbis-T.Nachtab)+R38-R37+MAX(0,T.Nachtab-MAX(T.Nachtbis,R38))-MAX(0,T.Nachtab-MAX(R37,T.Nachtbis))+(R37&gt;R38)*(1+T.Nachtbis-T.Nachtab)+R40-R39+MAX(0,T.Nachtab-MAX(T.Nachtbis,R40))-MAX(0,T.Nachtab-MAX(R39,T.Nachtbis))+(R39&gt;R40)*(1+T.Nachtbis-T.Nachtab)+R42-R41+MAX(0,T.Nachtab-MAX(T.Nachtbis,R42))-MAX(0,T.Nachtab-MAX(R41,T.Nachtbis))+(R41&gt;R42)*(1+T.Nachtbis-T.Nachtab)+R44-R43+MAX(0,T.Nachtab-MAX(T.Nachtbis,R44))-MAX(0,T.Nachtab-MAX(R43,T.Nachtbis))+(R43&gt;R44)*(1+T.Nachtbis-T.Nachtab),9),0)))</f>
        <v>0</v>
      </c>
      <c r="S73" s="256" t="n">
        <f aca="false">IF(S$12=0,0,IF(OR(T.50_Vetsuisse,T.ServiceCenterIrchel),ROUND(S14-S13+MAX(0,T.Nachtab-MAX(T.Nachtbis,S14))-MAX(0,T.Nachtab-MAX(S13,T.Nachtbis))+(S13&gt;S14)*(1+T.Nachtbis-T.Nachtab)+S16-S15+MAX(0,T.Nachtab-MAX(T.Nachtbis,S16))-MAX(0,T.Nachtab-MAX(S15,T.Nachtbis))+(S15&gt;S16)*(1+T.Nachtbis-T.Nachtab)+S18-S17+MAX(0,T.Nachtab-MAX(T.Nachtbis,S18))-MAX(0,T.Nachtab-MAX(S17,T.Nachtbis))+(S17&gt;S18)*(1+T.Nachtbis-T.Nachtab)+S20-S19+MAX(0,T.Nachtab-MAX(T.Nachtbis,S20))-MAX(0,T.Nachtab-MAX(S19,T.Nachtbis))+(S19&gt;S20)*(1+T.Nachtbis-T.Nachtab)+S22-S21+MAX(0,T.Nachtab-MAX(T.Nachtbis,S22))-MAX(0,T.Nachtab-MAX(S21,T.Nachtbis))+(S21&gt;S22)*(1+T.Nachtbis-T.Nachtab),9), IF(AND(WEEKDAY(S$10,2)&lt;6,S$11&lt;&gt;0),ROUND(S36-S35+MAX(0,T.Nachtab-MAX(T.Nachtbis,S36))-MAX(0,T.Nachtab-MAX(S35,T.Nachtbis))+(S35&gt;S36)*(1+T.Nachtbis-T.Nachtab)+S38-S37+MAX(0,T.Nachtab-MAX(T.Nachtbis,S38))-MAX(0,T.Nachtab-MAX(S37,T.Nachtbis))+(S37&gt;S38)*(1+T.Nachtbis-T.Nachtab)+S40-S39+MAX(0,T.Nachtab-MAX(T.Nachtbis,S40))-MAX(0,T.Nachtab-MAX(S39,T.Nachtbis))+(S39&gt;S40)*(1+T.Nachtbis-T.Nachtab)+S42-S41+MAX(0,T.Nachtab-MAX(T.Nachtbis,S42))-MAX(0,T.Nachtab-MAX(S41,T.Nachtbis))+(S41&gt;S42)*(1+T.Nachtbis-T.Nachtab)+S44-S43+MAX(0,T.Nachtab-MAX(T.Nachtbis,S44))-MAX(0,T.Nachtab-MAX(S43,T.Nachtbis))+(S43&gt;S44)*(1+T.Nachtbis-T.Nachtab),9),0)))</f>
        <v>0</v>
      </c>
      <c r="T73" s="256" t="n">
        <f aca="false">IF(T$12=0,0,IF(OR(T.50_Vetsuisse,T.ServiceCenterIrchel),ROUND(T14-T13+MAX(0,T.Nachtab-MAX(T.Nachtbis,T14))-MAX(0,T.Nachtab-MAX(T13,T.Nachtbis))+(T13&gt;T14)*(1+T.Nachtbis-T.Nachtab)+T16-T15+MAX(0,T.Nachtab-MAX(T.Nachtbis,T16))-MAX(0,T.Nachtab-MAX(T15,T.Nachtbis))+(T15&gt;T16)*(1+T.Nachtbis-T.Nachtab)+T18-T17+MAX(0,T.Nachtab-MAX(T.Nachtbis,T18))-MAX(0,T.Nachtab-MAX(T17,T.Nachtbis))+(T17&gt;T18)*(1+T.Nachtbis-T.Nachtab)+T20-T19+MAX(0,T.Nachtab-MAX(T.Nachtbis,T20))-MAX(0,T.Nachtab-MAX(T19,T.Nachtbis))+(T19&gt;T20)*(1+T.Nachtbis-T.Nachtab)+T22-T21+MAX(0,T.Nachtab-MAX(T.Nachtbis,T22))-MAX(0,T.Nachtab-MAX(T21,T.Nachtbis))+(T21&gt;T22)*(1+T.Nachtbis-T.Nachtab),9), IF(AND(WEEKDAY(T$10,2)&lt;6,T$11&lt;&gt;0),ROUND(T36-T35+MAX(0,T.Nachtab-MAX(T.Nachtbis,T36))-MAX(0,T.Nachtab-MAX(T35,T.Nachtbis))+(T35&gt;T36)*(1+T.Nachtbis-T.Nachtab)+T38-T37+MAX(0,T.Nachtab-MAX(T.Nachtbis,T38))-MAX(0,T.Nachtab-MAX(T37,T.Nachtbis))+(T37&gt;T38)*(1+T.Nachtbis-T.Nachtab)+T40-T39+MAX(0,T.Nachtab-MAX(T.Nachtbis,T40))-MAX(0,T.Nachtab-MAX(T39,T.Nachtbis))+(T39&gt;T40)*(1+T.Nachtbis-T.Nachtab)+T42-T41+MAX(0,T.Nachtab-MAX(T.Nachtbis,T42))-MAX(0,T.Nachtab-MAX(T41,T.Nachtbis))+(T41&gt;T42)*(1+T.Nachtbis-T.Nachtab)+T44-T43+MAX(0,T.Nachtab-MAX(T.Nachtbis,T44))-MAX(0,T.Nachtab-MAX(T43,T.Nachtbis))+(T43&gt;T44)*(1+T.Nachtbis-T.Nachtab),9),0)))</f>
        <v>0</v>
      </c>
      <c r="U73" s="256" t="n">
        <f aca="false">IF(U$12=0,0,IF(OR(T.50_Vetsuisse,T.ServiceCenterIrchel),ROUND(U14-U13+MAX(0,T.Nachtab-MAX(T.Nachtbis,U14))-MAX(0,T.Nachtab-MAX(U13,T.Nachtbis))+(U13&gt;U14)*(1+T.Nachtbis-T.Nachtab)+U16-U15+MAX(0,T.Nachtab-MAX(T.Nachtbis,U16))-MAX(0,T.Nachtab-MAX(U15,T.Nachtbis))+(U15&gt;U16)*(1+T.Nachtbis-T.Nachtab)+U18-U17+MAX(0,T.Nachtab-MAX(T.Nachtbis,U18))-MAX(0,T.Nachtab-MAX(U17,T.Nachtbis))+(U17&gt;U18)*(1+T.Nachtbis-T.Nachtab)+U20-U19+MAX(0,T.Nachtab-MAX(T.Nachtbis,U20))-MAX(0,T.Nachtab-MAX(U19,T.Nachtbis))+(U19&gt;U20)*(1+T.Nachtbis-T.Nachtab)+U22-U21+MAX(0,T.Nachtab-MAX(T.Nachtbis,U22))-MAX(0,T.Nachtab-MAX(U21,T.Nachtbis))+(U21&gt;U22)*(1+T.Nachtbis-T.Nachtab),9), IF(AND(WEEKDAY(U$10,2)&lt;6,U$11&lt;&gt;0),ROUND(U36-U35+MAX(0,T.Nachtab-MAX(T.Nachtbis,U36))-MAX(0,T.Nachtab-MAX(U35,T.Nachtbis))+(U35&gt;U36)*(1+T.Nachtbis-T.Nachtab)+U38-U37+MAX(0,T.Nachtab-MAX(T.Nachtbis,U38))-MAX(0,T.Nachtab-MAX(U37,T.Nachtbis))+(U37&gt;U38)*(1+T.Nachtbis-T.Nachtab)+U40-U39+MAX(0,T.Nachtab-MAX(T.Nachtbis,U40))-MAX(0,T.Nachtab-MAX(U39,T.Nachtbis))+(U39&gt;U40)*(1+T.Nachtbis-T.Nachtab)+U42-U41+MAX(0,T.Nachtab-MAX(T.Nachtbis,U42))-MAX(0,T.Nachtab-MAX(U41,T.Nachtbis))+(U41&gt;U42)*(1+T.Nachtbis-T.Nachtab)+U44-U43+MAX(0,T.Nachtab-MAX(T.Nachtbis,U44))-MAX(0,T.Nachtab-MAX(U43,T.Nachtbis))+(U43&gt;U44)*(1+T.Nachtbis-T.Nachtab),9),0)))</f>
        <v>0</v>
      </c>
      <c r="V73" s="256" t="n">
        <f aca="false">IF(V$12=0,0,IF(OR(T.50_Vetsuisse,T.ServiceCenterIrchel),ROUND(V14-V13+MAX(0,T.Nachtab-MAX(T.Nachtbis,V14))-MAX(0,T.Nachtab-MAX(V13,T.Nachtbis))+(V13&gt;V14)*(1+T.Nachtbis-T.Nachtab)+V16-V15+MAX(0,T.Nachtab-MAX(T.Nachtbis,V16))-MAX(0,T.Nachtab-MAX(V15,T.Nachtbis))+(V15&gt;V16)*(1+T.Nachtbis-T.Nachtab)+V18-V17+MAX(0,T.Nachtab-MAX(T.Nachtbis,V18))-MAX(0,T.Nachtab-MAX(V17,T.Nachtbis))+(V17&gt;V18)*(1+T.Nachtbis-T.Nachtab)+V20-V19+MAX(0,T.Nachtab-MAX(T.Nachtbis,V20))-MAX(0,T.Nachtab-MAX(V19,T.Nachtbis))+(V19&gt;V20)*(1+T.Nachtbis-T.Nachtab)+V22-V21+MAX(0,T.Nachtab-MAX(T.Nachtbis,V22))-MAX(0,T.Nachtab-MAX(V21,T.Nachtbis))+(V21&gt;V22)*(1+T.Nachtbis-T.Nachtab),9), IF(AND(WEEKDAY(V$10,2)&lt;6,V$11&lt;&gt;0),ROUND(V36-V35+MAX(0,T.Nachtab-MAX(T.Nachtbis,V36))-MAX(0,T.Nachtab-MAX(V35,T.Nachtbis))+(V35&gt;V36)*(1+T.Nachtbis-T.Nachtab)+V38-V37+MAX(0,T.Nachtab-MAX(T.Nachtbis,V38))-MAX(0,T.Nachtab-MAX(V37,T.Nachtbis))+(V37&gt;V38)*(1+T.Nachtbis-T.Nachtab)+V40-V39+MAX(0,T.Nachtab-MAX(T.Nachtbis,V40))-MAX(0,T.Nachtab-MAX(V39,T.Nachtbis))+(V39&gt;V40)*(1+T.Nachtbis-T.Nachtab)+V42-V41+MAX(0,T.Nachtab-MAX(T.Nachtbis,V42))-MAX(0,T.Nachtab-MAX(V41,T.Nachtbis))+(V41&gt;V42)*(1+T.Nachtbis-T.Nachtab)+V44-V43+MAX(0,T.Nachtab-MAX(T.Nachtbis,V44))-MAX(0,T.Nachtab-MAX(V43,T.Nachtbis))+(V43&gt;V44)*(1+T.Nachtbis-T.Nachtab),9),0)))</f>
        <v>0</v>
      </c>
      <c r="W73" s="256" t="n">
        <f aca="false">IF(W$12=0,0,IF(OR(T.50_Vetsuisse,T.ServiceCenterIrchel),ROUND(W14-W13+MAX(0,T.Nachtab-MAX(T.Nachtbis,W14))-MAX(0,T.Nachtab-MAX(W13,T.Nachtbis))+(W13&gt;W14)*(1+T.Nachtbis-T.Nachtab)+W16-W15+MAX(0,T.Nachtab-MAX(T.Nachtbis,W16))-MAX(0,T.Nachtab-MAX(W15,T.Nachtbis))+(W15&gt;W16)*(1+T.Nachtbis-T.Nachtab)+W18-W17+MAX(0,T.Nachtab-MAX(T.Nachtbis,W18))-MAX(0,T.Nachtab-MAX(W17,T.Nachtbis))+(W17&gt;W18)*(1+T.Nachtbis-T.Nachtab)+W20-W19+MAX(0,T.Nachtab-MAX(T.Nachtbis,W20))-MAX(0,T.Nachtab-MAX(W19,T.Nachtbis))+(W19&gt;W20)*(1+T.Nachtbis-T.Nachtab)+W22-W21+MAX(0,T.Nachtab-MAX(T.Nachtbis,W22))-MAX(0,T.Nachtab-MAX(W21,T.Nachtbis))+(W21&gt;W22)*(1+T.Nachtbis-T.Nachtab),9), IF(AND(WEEKDAY(W$10,2)&lt;6,W$11&lt;&gt;0),ROUND(W36-W35+MAX(0,T.Nachtab-MAX(T.Nachtbis,W36))-MAX(0,T.Nachtab-MAX(W35,T.Nachtbis))+(W35&gt;W36)*(1+T.Nachtbis-T.Nachtab)+W38-W37+MAX(0,T.Nachtab-MAX(T.Nachtbis,W38))-MAX(0,T.Nachtab-MAX(W37,T.Nachtbis))+(W37&gt;W38)*(1+T.Nachtbis-T.Nachtab)+W40-W39+MAX(0,T.Nachtab-MAX(T.Nachtbis,W40))-MAX(0,T.Nachtab-MAX(W39,T.Nachtbis))+(W39&gt;W40)*(1+T.Nachtbis-T.Nachtab)+W42-W41+MAX(0,T.Nachtab-MAX(T.Nachtbis,W42))-MAX(0,T.Nachtab-MAX(W41,T.Nachtbis))+(W41&gt;W42)*(1+T.Nachtbis-T.Nachtab)+W44-W43+MAX(0,T.Nachtab-MAX(T.Nachtbis,W44))-MAX(0,T.Nachtab-MAX(W43,T.Nachtbis))+(W43&gt;W44)*(1+T.Nachtbis-T.Nachtab),9),0)))</f>
        <v>0</v>
      </c>
      <c r="X73" s="256" t="n">
        <f aca="false">IF(X$12=0,0,IF(OR(T.50_Vetsuisse,T.ServiceCenterIrchel),ROUND(X14-X13+MAX(0,T.Nachtab-MAX(T.Nachtbis,X14))-MAX(0,T.Nachtab-MAX(X13,T.Nachtbis))+(X13&gt;X14)*(1+T.Nachtbis-T.Nachtab)+X16-X15+MAX(0,T.Nachtab-MAX(T.Nachtbis,X16))-MAX(0,T.Nachtab-MAX(X15,T.Nachtbis))+(X15&gt;X16)*(1+T.Nachtbis-T.Nachtab)+X18-X17+MAX(0,T.Nachtab-MAX(T.Nachtbis,X18))-MAX(0,T.Nachtab-MAX(X17,T.Nachtbis))+(X17&gt;X18)*(1+T.Nachtbis-T.Nachtab)+X20-X19+MAX(0,T.Nachtab-MAX(T.Nachtbis,X20))-MAX(0,T.Nachtab-MAX(X19,T.Nachtbis))+(X19&gt;X20)*(1+T.Nachtbis-T.Nachtab)+X22-X21+MAX(0,T.Nachtab-MAX(T.Nachtbis,X22))-MAX(0,T.Nachtab-MAX(X21,T.Nachtbis))+(X21&gt;X22)*(1+T.Nachtbis-T.Nachtab),9), IF(AND(WEEKDAY(X$10,2)&lt;6,X$11&lt;&gt;0),ROUND(X36-X35+MAX(0,T.Nachtab-MAX(T.Nachtbis,X36))-MAX(0,T.Nachtab-MAX(X35,T.Nachtbis))+(X35&gt;X36)*(1+T.Nachtbis-T.Nachtab)+X38-X37+MAX(0,T.Nachtab-MAX(T.Nachtbis,X38))-MAX(0,T.Nachtab-MAX(X37,T.Nachtbis))+(X37&gt;X38)*(1+T.Nachtbis-T.Nachtab)+X40-X39+MAX(0,T.Nachtab-MAX(T.Nachtbis,X40))-MAX(0,T.Nachtab-MAX(X39,T.Nachtbis))+(X39&gt;X40)*(1+T.Nachtbis-T.Nachtab)+X42-X41+MAX(0,T.Nachtab-MAX(T.Nachtbis,X42))-MAX(0,T.Nachtab-MAX(X41,T.Nachtbis))+(X41&gt;X42)*(1+T.Nachtbis-T.Nachtab)+X44-X43+MAX(0,T.Nachtab-MAX(T.Nachtbis,X44))-MAX(0,T.Nachtab-MAX(X43,T.Nachtbis))+(X43&gt;X44)*(1+T.Nachtbis-T.Nachtab),9),0)))</f>
        <v>0</v>
      </c>
      <c r="Y73" s="256" t="n">
        <f aca="false">IF(Y$12=0,0,IF(OR(T.50_Vetsuisse,T.ServiceCenterIrchel),ROUND(Y14-Y13+MAX(0,T.Nachtab-MAX(T.Nachtbis,Y14))-MAX(0,T.Nachtab-MAX(Y13,T.Nachtbis))+(Y13&gt;Y14)*(1+T.Nachtbis-T.Nachtab)+Y16-Y15+MAX(0,T.Nachtab-MAX(T.Nachtbis,Y16))-MAX(0,T.Nachtab-MAX(Y15,T.Nachtbis))+(Y15&gt;Y16)*(1+T.Nachtbis-T.Nachtab)+Y18-Y17+MAX(0,T.Nachtab-MAX(T.Nachtbis,Y18))-MAX(0,T.Nachtab-MAX(Y17,T.Nachtbis))+(Y17&gt;Y18)*(1+T.Nachtbis-T.Nachtab)+Y20-Y19+MAX(0,T.Nachtab-MAX(T.Nachtbis,Y20))-MAX(0,T.Nachtab-MAX(Y19,T.Nachtbis))+(Y19&gt;Y20)*(1+T.Nachtbis-T.Nachtab)+Y22-Y21+MAX(0,T.Nachtab-MAX(T.Nachtbis,Y22))-MAX(0,T.Nachtab-MAX(Y21,T.Nachtbis))+(Y21&gt;Y22)*(1+T.Nachtbis-T.Nachtab),9), IF(AND(WEEKDAY(Y$10,2)&lt;6,Y$11&lt;&gt;0),ROUND(Y36-Y35+MAX(0,T.Nachtab-MAX(T.Nachtbis,Y36))-MAX(0,T.Nachtab-MAX(Y35,T.Nachtbis))+(Y35&gt;Y36)*(1+T.Nachtbis-T.Nachtab)+Y38-Y37+MAX(0,T.Nachtab-MAX(T.Nachtbis,Y38))-MAX(0,T.Nachtab-MAX(Y37,T.Nachtbis))+(Y37&gt;Y38)*(1+T.Nachtbis-T.Nachtab)+Y40-Y39+MAX(0,T.Nachtab-MAX(T.Nachtbis,Y40))-MAX(0,T.Nachtab-MAX(Y39,T.Nachtbis))+(Y39&gt;Y40)*(1+T.Nachtbis-T.Nachtab)+Y42-Y41+MAX(0,T.Nachtab-MAX(T.Nachtbis,Y42))-MAX(0,T.Nachtab-MAX(Y41,T.Nachtbis))+(Y41&gt;Y42)*(1+T.Nachtbis-T.Nachtab)+Y44-Y43+MAX(0,T.Nachtab-MAX(T.Nachtbis,Y44))-MAX(0,T.Nachtab-MAX(Y43,T.Nachtbis))+(Y43&gt;Y44)*(1+T.Nachtbis-T.Nachtab),9),0)))</f>
        <v>0</v>
      </c>
      <c r="Z73" s="256" t="n">
        <f aca="false">IF(Z$12=0,0,IF(OR(T.50_Vetsuisse,T.ServiceCenterIrchel),ROUND(Z14-Z13+MAX(0,T.Nachtab-MAX(T.Nachtbis,Z14))-MAX(0,T.Nachtab-MAX(Z13,T.Nachtbis))+(Z13&gt;Z14)*(1+T.Nachtbis-T.Nachtab)+Z16-Z15+MAX(0,T.Nachtab-MAX(T.Nachtbis,Z16))-MAX(0,T.Nachtab-MAX(Z15,T.Nachtbis))+(Z15&gt;Z16)*(1+T.Nachtbis-T.Nachtab)+Z18-Z17+MAX(0,T.Nachtab-MAX(T.Nachtbis,Z18))-MAX(0,T.Nachtab-MAX(Z17,T.Nachtbis))+(Z17&gt;Z18)*(1+T.Nachtbis-T.Nachtab)+Z20-Z19+MAX(0,T.Nachtab-MAX(T.Nachtbis,Z20))-MAX(0,T.Nachtab-MAX(Z19,T.Nachtbis))+(Z19&gt;Z20)*(1+T.Nachtbis-T.Nachtab)+Z22-Z21+MAX(0,T.Nachtab-MAX(T.Nachtbis,Z22))-MAX(0,T.Nachtab-MAX(Z21,T.Nachtbis))+(Z21&gt;Z22)*(1+T.Nachtbis-T.Nachtab),9), IF(AND(WEEKDAY(Z$10,2)&lt;6,Z$11&lt;&gt;0),ROUND(Z36-Z35+MAX(0,T.Nachtab-MAX(T.Nachtbis,Z36))-MAX(0,T.Nachtab-MAX(Z35,T.Nachtbis))+(Z35&gt;Z36)*(1+T.Nachtbis-T.Nachtab)+Z38-Z37+MAX(0,T.Nachtab-MAX(T.Nachtbis,Z38))-MAX(0,T.Nachtab-MAX(Z37,T.Nachtbis))+(Z37&gt;Z38)*(1+T.Nachtbis-T.Nachtab)+Z40-Z39+MAX(0,T.Nachtab-MAX(T.Nachtbis,Z40))-MAX(0,T.Nachtab-MAX(Z39,T.Nachtbis))+(Z39&gt;Z40)*(1+T.Nachtbis-T.Nachtab)+Z42-Z41+MAX(0,T.Nachtab-MAX(T.Nachtbis,Z42))-MAX(0,T.Nachtab-MAX(Z41,T.Nachtbis))+(Z41&gt;Z42)*(1+T.Nachtbis-T.Nachtab)+Z44-Z43+MAX(0,T.Nachtab-MAX(T.Nachtbis,Z44))-MAX(0,T.Nachtab-MAX(Z43,T.Nachtbis))+(Z43&gt;Z44)*(1+T.Nachtbis-T.Nachtab),9),0)))</f>
        <v>0</v>
      </c>
      <c r="AA73" s="256" t="n">
        <f aca="false">IF(AA$12=0,0,IF(OR(T.50_Vetsuisse,T.ServiceCenterIrchel),ROUND(AA14-AA13+MAX(0,T.Nachtab-MAX(T.Nachtbis,AA14))-MAX(0,T.Nachtab-MAX(AA13,T.Nachtbis))+(AA13&gt;AA14)*(1+T.Nachtbis-T.Nachtab)+AA16-AA15+MAX(0,T.Nachtab-MAX(T.Nachtbis,AA16))-MAX(0,T.Nachtab-MAX(AA15,T.Nachtbis))+(AA15&gt;AA16)*(1+T.Nachtbis-T.Nachtab)+AA18-AA17+MAX(0,T.Nachtab-MAX(T.Nachtbis,AA18))-MAX(0,T.Nachtab-MAX(AA17,T.Nachtbis))+(AA17&gt;AA18)*(1+T.Nachtbis-T.Nachtab)+AA20-AA19+MAX(0,T.Nachtab-MAX(T.Nachtbis,AA20))-MAX(0,T.Nachtab-MAX(AA19,T.Nachtbis))+(AA19&gt;AA20)*(1+T.Nachtbis-T.Nachtab)+AA22-AA21+MAX(0,T.Nachtab-MAX(T.Nachtbis,AA22))-MAX(0,T.Nachtab-MAX(AA21,T.Nachtbis))+(AA21&gt;AA22)*(1+T.Nachtbis-T.Nachtab),9), IF(AND(WEEKDAY(AA$10,2)&lt;6,AA$11&lt;&gt;0),ROUND(AA36-AA35+MAX(0,T.Nachtab-MAX(T.Nachtbis,AA36))-MAX(0,T.Nachtab-MAX(AA35,T.Nachtbis))+(AA35&gt;AA36)*(1+T.Nachtbis-T.Nachtab)+AA38-AA37+MAX(0,T.Nachtab-MAX(T.Nachtbis,AA38))-MAX(0,T.Nachtab-MAX(AA37,T.Nachtbis))+(AA37&gt;AA38)*(1+T.Nachtbis-T.Nachtab)+AA40-AA39+MAX(0,T.Nachtab-MAX(T.Nachtbis,AA40))-MAX(0,T.Nachtab-MAX(AA39,T.Nachtbis))+(AA39&gt;AA40)*(1+T.Nachtbis-T.Nachtab)+AA42-AA41+MAX(0,T.Nachtab-MAX(T.Nachtbis,AA42))-MAX(0,T.Nachtab-MAX(AA41,T.Nachtbis))+(AA41&gt;AA42)*(1+T.Nachtbis-T.Nachtab)+AA44-AA43+MAX(0,T.Nachtab-MAX(T.Nachtbis,AA44))-MAX(0,T.Nachtab-MAX(AA43,T.Nachtbis))+(AA43&gt;AA44)*(1+T.Nachtbis-T.Nachtab),9),0)))</f>
        <v>0</v>
      </c>
      <c r="AB73" s="256" t="n">
        <f aca="false">IF(AB$12=0,0,IF(OR(T.50_Vetsuisse,T.ServiceCenterIrchel),ROUND(AB14-AB13+MAX(0,T.Nachtab-MAX(T.Nachtbis,AB14))-MAX(0,T.Nachtab-MAX(AB13,T.Nachtbis))+(AB13&gt;AB14)*(1+T.Nachtbis-T.Nachtab)+AB16-AB15+MAX(0,T.Nachtab-MAX(T.Nachtbis,AB16))-MAX(0,T.Nachtab-MAX(AB15,T.Nachtbis))+(AB15&gt;AB16)*(1+T.Nachtbis-T.Nachtab)+AB18-AB17+MAX(0,T.Nachtab-MAX(T.Nachtbis,AB18))-MAX(0,T.Nachtab-MAX(AB17,T.Nachtbis))+(AB17&gt;AB18)*(1+T.Nachtbis-T.Nachtab)+AB20-AB19+MAX(0,T.Nachtab-MAX(T.Nachtbis,AB20))-MAX(0,T.Nachtab-MAX(AB19,T.Nachtbis))+(AB19&gt;AB20)*(1+T.Nachtbis-T.Nachtab)+AB22-AB21+MAX(0,T.Nachtab-MAX(T.Nachtbis,AB22))-MAX(0,T.Nachtab-MAX(AB21,T.Nachtbis))+(AB21&gt;AB22)*(1+T.Nachtbis-T.Nachtab),9), IF(AND(WEEKDAY(AB$10,2)&lt;6,AB$11&lt;&gt;0),ROUND(AB36-AB35+MAX(0,T.Nachtab-MAX(T.Nachtbis,AB36))-MAX(0,T.Nachtab-MAX(AB35,T.Nachtbis))+(AB35&gt;AB36)*(1+T.Nachtbis-T.Nachtab)+AB38-AB37+MAX(0,T.Nachtab-MAX(T.Nachtbis,AB38))-MAX(0,T.Nachtab-MAX(AB37,T.Nachtbis))+(AB37&gt;AB38)*(1+T.Nachtbis-T.Nachtab)+AB40-AB39+MAX(0,T.Nachtab-MAX(T.Nachtbis,AB40))-MAX(0,T.Nachtab-MAX(AB39,T.Nachtbis))+(AB39&gt;AB40)*(1+T.Nachtbis-T.Nachtab)+AB42-AB41+MAX(0,T.Nachtab-MAX(T.Nachtbis,AB42))-MAX(0,T.Nachtab-MAX(AB41,T.Nachtbis))+(AB41&gt;AB42)*(1+T.Nachtbis-T.Nachtab)+AB44-AB43+MAX(0,T.Nachtab-MAX(T.Nachtbis,AB44))-MAX(0,T.Nachtab-MAX(AB43,T.Nachtbis))+(AB43&gt;AB44)*(1+T.Nachtbis-T.Nachtab),9),0)))</f>
        <v>0</v>
      </c>
      <c r="AC73" s="256" t="n">
        <f aca="false">IF(AC$12=0,0,IF(OR(T.50_Vetsuisse,T.ServiceCenterIrchel),ROUND(AC14-AC13+MAX(0,T.Nachtab-MAX(T.Nachtbis,AC14))-MAX(0,T.Nachtab-MAX(AC13,T.Nachtbis))+(AC13&gt;AC14)*(1+T.Nachtbis-T.Nachtab)+AC16-AC15+MAX(0,T.Nachtab-MAX(T.Nachtbis,AC16))-MAX(0,T.Nachtab-MAX(AC15,T.Nachtbis))+(AC15&gt;AC16)*(1+T.Nachtbis-T.Nachtab)+AC18-AC17+MAX(0,T.Nachtab-MAX(T.Nachtbis,AC18))-MAX(0,T.Nachtab-MAX(AC17,T.Nachtbis))+(AC17&gt;AC18)*(1+T.Nachtbis-T.Nachtab)+AC20-AC19+MAX(0,T.Nachtab-MAX(T.Nachtbis,AC20))-MAX(0,T.Nachtab-MAX(AC19,T.Nachtbis))+(AC19&gt;AC20)*(1+T.Nachtbis-T.Nachtab)+AC22-AC21+MAX(0,T.Nachtab-MAX(T.Nachtbis,AC22))-MAX(0,T.Nachtab-MAX(AC21,T.Nachtbis))+(AC21&gt;AC22)*(1+T.Nachtbis-T.Nachtab),9), IF(AND(WEEKDAY(AC$10,2)&lt;6,AC$11&lt;&gt;0),ROUND(AC36-AC35+MAX(0,T.Nachtab-MAX(T.Nachtbis,AC36))-MAX(0,T.Nachtab-MAX(AC35,T.Nachtbis))+(AC35&gt;AC36)*(1+T.Nachtbis-T.Nachtab)+AC38-AC37+MAX(0,T.Nachtab-MAX(T.Nachtbis,AC38))-MAX(0,T.Nachtab-MAX(AC37,T.Nachtbis))+(AC37&gt;AC38)*(1+T.Nachtbis-T.Nachtab)+AC40-AC39+MAX(0,T.Nachtab-MAX(T.Nachtbis,AC40))-MAX(0,T.Nachtab-MAX(AC39,T.Nachtbis))+(AC39&gt;AC40)*(1+T.Nachtbis-T.Nachtab)+AC42-AC41+MAX(0,T.Nachtab-MAX(T.Nachtbis,AC42))-MAX(0,T.Nachtab-MAX(AC41,T.Nachtbis))+(AC41&gt;AC42)*(1+T.Nachtbis-T.Nachtab)+AC44-AC43+MAX(0,T.Nachtab-MAX(T.Nachtbis,AC44))-MAX(0,T.Nachtab-MAX(AC43,T.Nachtbis))+(AC43&gt;AC44)*(1+T.Nachtbis-T.Nachtab),9),0)))</f>
        <v>0</v>
      </c>
      <c r="AD73" s="168" t="str">
        <f aca="false">A73</f>
        <v>Night shift</v>
      </c>
      <c r="AE73" s="197"/>
      <c r="AF73" s="207" t="n">
        <f aca="false">SUM(B73:AC73)</f>
        <v>0</v>
      </c>
      <c r="AG73" s="198" t="n">
        <f aca="false">IF(OR(T.50_Vetsuisse,T.ServiceCenterIrchel),AF69, IFERROR(SUMPRODUCT((B77:AC77&gt;0)*(B77:AC77&lt;&gt;"")),0))</f>
        <v>0</v>
      </c>
      <c r="AH73" s="192"/>
      <c r="AI73" s="216" t="n">
        <f aca="false">IF(EB.Anwendung&lt;&gt;"",IF(MONTH(Monat.Tag1)=1,0,IF(MONTH(Monat.Tag1)=2,January!Monat.NDUeVM,IF(MONTH(Monat.Tag1)=3,Monat.NDUeVM,IF(MONTH(Monat.Tag1)=4,March!Monat.NDUeVM,IF(MONTH(Monat.Tag1)=5,April!Monat.NDUeVM,IF(MONTH(Monat.Tag1)=6,May!Monat.NDUeVM,IF(MONTH(Monat.Tag1)=7,June!Monat.NDUeVM,IF(MONTH(Monat.Tag1)=8,July!Monat.NDUeVM,IF(MONTH(Monat.Tag1)=9,August!Monat.NDUeVM,IF(MONTH(Monat.Tag1)=10,September!Monat.NDUeVM,IF(MONTH(Monat.Tag1)=11,October!Monat.NDUeVM,IF(MONTH(Monat.Tag1)=12,November!Monat.NDUeVM,"")))))))))))),"")</f>
        <v>0</v>
      </c>
      <c r="AJ73" s="172"/>
      <c r="AK73" s="217" t="n">
        <f aca="false">AF73+AI73</f>
        <v>0</v>
      </c>
      <c r="AL73" s="171"/>
      <c r="AM73" s="171"/>
      <c r="AN73" s="39"/>
    </row>
    <row r="74" s="148" customFormat="true" ht="3.75" hidden="true" customHeight="true" outlineLevel="0" collapsed="false">
      <c r="A74" s="186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168"/>
      <c r="AE74" s="146"/>
      <c r="AF74" s="179"/>
      <c r="AG74" s="180"/>
      <c r="AH74" s="172"/>
      <c r="AI74" s="172"/>
      <c r="AJ74" s="172"/>
      <c r="AK74" s="171"/>
      <c r="AL74" s="172"/>
      <c r="AM74" s="172"/>
      <c r="AN74" s="39"/>
    </row>
    <row r="75" s="148" customFormat="true" ht="16.5" hidden="true" customHeight="true" outlineLevel="1" collapsed="false">
      <c r="A75" s="181" t="s">
        <v>160</v>
      </c>
      <c r="B75" s="182" t="n">
        <f aca="false">IF(B73&gt;0,ROUND(B73- IF(B13&lt;T.Nachtbis,MIN(T.Nachtbis-B13,B14-B13)+IF(B15&lt;T.Nachtbis,MIN(T.Nachtbis-B15,B16-B15)+IF(B17&lt;T.Nachtbis,MIN(T.Nachtbis-B17,B18-B17)+IF(B19&lt;T.Nachtbis,MIN(T.Nachtbis-B19,B20-B19)+IF(B21&lt;T.Nachtbis,MIN(T.Nachtbis-B21,B22-B21),0),0),0),0),0),9),0)</f>
        <v>0</v>
      </c>
      <c r="C75" s="182" t="n">
        <f aca="false">IF(C73&gt;0,ROUND(C73- IF(C13&lt;T.Nachtbis,MIN(T.Nachtbis-C13,C14-C13)+IF(C15&lt;T.Nachtbis,MIN(T.Nachtbis-C15,C16-C15)+IF(C17&lt;T.Nachtbis,MIN(T.Nachtbis-C17,C18-C17)+IF(C19&lt;T.Nachtbis,MIN(T.Nachtbis-C19,C20-C19)+IF(C21&lt;T.Nachtbis,MIN(T.Nachtbis-C21,C22-C21),0),0),0),0),0),9),0)</f>
        <v>0</v>
      </c>
      <c r="D75" s="182" t="n">
        <f aca="false">IF(D73&gt;0,ROUND(D73- IF(D13&lt;T.Nachtbis,MIN(T.Nachtbis-D13,D14-D13)+IF(D15&lt;T.Nachtbis,MIN(T.Nachtbis-D15,D16-D15)+IF(D17&lt;T.Nachtbis,MIN(T.Nachtbis-D17,D18-D17)+IF(D19&lt;T.Nachtbis,MIN(T.Nachtbis-D19,D20-D19)+IF(D21&lt;T.Nachtbis,MIN(T.Nachtbis-D21,D22-D21),0),0),0),0),0),9),0)</f>
        <v>0</v>
      </c>
      <c r="E75" s="182" t="n">
        <f aca="false">IF(E73&gt;0,ROUND(E73- IF(E13&lt;T.Nachtbis,MIN(T.Nachtbis-E13,E14-E13)+IF(E15&lt;T.Nachtbis,MIN(T.Nachtbis-E15,E16-E15)+IF(E17&lt;T.Nachtbis,MIN(T.Nachtbis-E17,E18-E17)+IF(E19&lt;T.Nachtbis,MIN(T.Nachtbis-E19,E20-E19)+IF(E21&lt;T.Nachtbis,MIN(T.Nachtbis-E21,E22-E21),0),0),0),0),0),9),0)</f>
        <v>0</v>
      </c>
      <c r="F75" s="182" t="n">
        <f aca="false">IF(F73&gt;0,ROUND(F73- IF(F13&lt;T.Nachtbis,MIN(T.Nachtbis-F13,F14-F13)+IF(F15&lt;T.Nachtbis,MIN(T.Nachtbis-F15,F16-F15)+IF(F17&lt;T.Nachtbis,MIN(T.Nachtbis-F17,F18-F17)+IF(F19&lt;T.Nachtbis,MIN(T.Nachtbis-F19,F20-F19)+IF(F21&lt;T.Nachtbis,MIN(T.Nachtbis-F21,F22-F21),0),0),0),0),0),9),0)</f>
        <v>0</v>
      </c>
      <c r="G75" s="182" t="n">
        <f aca="false">IF(G73&gt;0,ROUND(G73- IF(G13&lt;T.Nachtbis,MIN(T.Nachtbis-G13,G14-G13)+IF(G15&lt;T.Nachtbis,MIN(T.Nachtbis-G15,G16-G15)+IF(G17&lt;T.Nachtbis,MIN(T.Nachtbis-G17,G18-G17)+IF(G19&lt;T.Nachtbis,MIN(T.Nachtbis-G19,G20-G19)+IF(G21&lt;T.Nachtbis,MIN(T.Nachtbis-G21,G22-G21),0),0),0),0),0),9),0)</f>
        <v>0</v>
      </c>
      <c r="H75" s="182" t="n">
        <f aca="false">IF(H73&gt;0,ROUND(H73- IF(H13&lt;T.Nachtbis,MIN(T.Nachtbis-H13,H14-H13)+IF(H15&lt;T.Nachtbis,MIN(T.Nachtbis-H15,H16-H15)+IF(H17&lt;T.Nachtbis,MIN(T.Nachtbis-H17,H18-H17)+IF(H19&lt;T.Nachtbis,MIN(T.Nachtbis-H19,H20-H19)+IF(H21&lt;T.Nachtbis,MIN(T.Nachtbis-H21,H22-H21),0),0),0),0),0),9),0)</f>
        <v>0</v>
      </c>
      <c r="I75" s="182" t="n">
        <f aca="false">IF(I73&gt;0,ROUND(I73- IF(I13&lt;T.Nachtbis,MIN(T.Nachtbis-I13,I14-I13)+IF(I15&lt;T.Nachtbis,MIN(T.Nachtbis-I15,I16-I15)+IF(I17&lt;T.Nachtbis,MIN(T.Nachtbis-I17,I18-I17)+IF(I19&lt;T.Nachtbis,MIN(T.Nachtbis-I19,I20-I19)+IF(I21&lt;T.Nachtbis,MIN(T.Nachtbis-I21,I22-I21),0),0),0),0),0),9),0)</f>
        <v>0</v>
      </c>
      <c r="J75" s="182" t="n">
        <f aca="false">IF(J73&gt;0,ROUND(J73- IF(J13&lt;T.Nachtbis,MIN(T.Nachtbis-J13,J14-J13)+IF(J15&lt;T.Nachtbis,MIN(T.Nachtbis-J15,J16-J15)+IF(J17&lt;T.Nachtbis,MIN(T.Nachtbis-J17,J18-J17)+IF(J19&lt;T.Nachtbis,MIN(T.Nachtbis-J19,J20-J19)+IF(J21&lt;T.Nachtbis,MIN(T.Nachtbis-J21,J22-J21),0),0),0),0),0),9),0)</f>
        <v>0</v>
      </c>
      <c r="K75" s="182" t="n">
        <f aca="false">IF(K73&gt;0,ROUND(K73- IF(K13&lt;T.Nachtbis,MIN(T.Nachtbis-K13,K14-K13)+IF(K15&lt;T.Nachtbis,MIN(T.Nachtbis-K15,K16-K15)+IF(K17&lt;T.Nachtbis,MIN(T.Nachtbis-K17,K18-K17)+IF(K19&lt;T.Nachtbis,MIN(T.Nachtbis-K19,K20-K19)+IF(K21&lt;T.Nachtbis,MIN(T.Nachtbis-K21,K22-K21),0),0),0),0),0),9),0)</f>
        <v>0</v>
      </c>
      <c r="L75" s="182" t="n">
        <f aca="false">IF(L73&gt;0,ROUND(L73- IF(L13&lt;T.Nachtbis,MIN(T.Nachtbis-L13,L14-L13)+IF(L15&lt;T.Nachtbis,MIN(T.Nachtbis-L15,L16-L15)+IF(L17&lt;T.Nachtbis,MIN(T.Nachtbis-L17,L18-L17)+IF(L19&lt;T.Nachtbis,MIN(T.Nachtbis-L19,L20-L19)+IF(L21&lt;T.Nachtbis,MIN(T.Nachtbis-L21,L22-L21),0),0),0),0),0),9),0)</f>
        <v>0</v>
      </c>
      <c r="M75" s="182" t="n">
        <f aca="false">IF(M73&gt;0,ROUND(M73- IF(M13&lt;T.Nachtbis,MIN(T.Nachtbis-M13,M14-M13)+IF(M15&lt;T.Nachtbis,MIN(T.Nachtbis-M15,M16-M15)+IF(M17&lt;T.Nachtbis,MIN(T.Nachtbis-M17,M18-M17)+IF(M19&lt;T.Nachtbis,MIN(T.Nachtbis-M19,M20-M19)+IF(M21&lt;T.Nachtbis,MIN(T.Nachtbis-M21,M22-M21),0),0),0),0),0),9),0)</f>
        <v>0</v>
      </c>
      <c r="N75" s="182" t="n">
        <f aca="false">IF(N73&gt;0,ROUND(N73- IF(N13&lt;T.Nachtbis,MIN(T.Nachtbis-N13,N14-N13)+IF(N15&lt;T.Nachtbis,MIN(T.Nachtbis-N15,N16-N15)+IF(N17&lt;T.Nachtbis,MIN(T.Nachtbis-N17,N18-N17)+IF(N19&lt;T.Nachtbis,MIN(T.Nachtbis-N19,N20-N19)+IF(N21&lt;T.Nachtbis,MIN(T.Nachtbis-N21,N22-N21),0),0),0),0),0),9),0)</f>
        <v>0</v>
      </c>
      <c r="O75" s="182" t="n">
        <f aca="false">IF(O73&gt;0,ROUND(O73- IF(O13&lt;T.Nachtbis,MIN(T.Nachtbis-O13,O14-O13)+IF(O15&lt;T.Nachtbis,MIN(T.Nachtbis-O15,O16-O15)+IF(O17&lt;T.Nachtbis,MIN(T.Nachtbis-O17,O18-O17)+IF(O19&lt;T.Nachtbis,MIN(T.Nachtbis-O19,O20-O19)+IF(O21&lt;T.Nachtbis,MIN(T.Nachtbis-O21,O22-O21),0),0),0),0),0),9),0)</f>
        <v>0</v>
      </c>
      <c r="P75" s="182" t="n">
        <f aca="false">IF(P73&gt;0,ROUND(P73- IF(P13&lt;T.Nachtbis,MIN(T.Nachtbis-P13,P14-P13)+IF(P15&lt;T.Nachtbis,MIN(T.Nachtbis-P15,P16-P15)+IF(P17&lt;T.Nachtbis,MIN(T.Nachtbis-P17,P18-P17)+IF(P19&lt;T.Nachtbis,MIN(T.Nachtbis-P19,P20-P19)+IF(P21&lt;T.Nachtbis,MIN(T.Nachtbis-P21,P22-P21),0),0),0),0),0),9),0)</f>
        <v>0</v>
      </c>
      <c r="Q75" s="182" t="n">
        <f aca="false">IF(Q73&gt;0,ROUND(Q73- IF(Q13&lt;T.Nachtbis,MIN(T.Nachtbis-Q13,Q14-Q13)+IF(Q15&lt;T.Nachtbis,MIN(T.Nachtbis-Q15,Q16-Q15)+IF(Q17&lt;T.Nachtbis,MIN(T.Nachtbis-Q17,Q18-Q17)+IF(Q19&lt;T.Nachtbis,MIN(T.Nachtbis-Q19,Q20-Q19)+IF(Q21&lt;T.Nachtbis,MIN(T.Nachtbis-Q21,Q22-Q21),0),0),0),0),0),9),0)</f>
        <v>0</v>
      </c>
      <c r="R75" s="182" t="n">
        <f aca="false">IF(R73&gt;0,ROUND(R73- IF(R13&lt;T.Nachtbis,MIN(T.Nachtbis-R13,R14-R13)+IF(R15&lt;T.Nachtbis,MIN(T.Nachtbis-R15,R16-R15)+IF(R17&lt;T.Nachtbis,MIN(T.Nachtbis-R17,R18-R17)+IF(R19&lt;T.Nachtbis,MIN(T.Nachtbis-R19,R20-R19)+IF(R21&lt;T.Nachtbis,MIN(T.Nachtbis-R21,R22-R21),0),0),0),0),0),9),0)</f>
        <v>0</v>
      </c>
      <c r="S75" s="182" t="n">
        <f aca="false">IF(S73&gt;0,ROUND(S73- IF(S13&lt;T.Nachtbis,MIN(T.Nachtbis-S13,S14-S13)+IF(S15&lt;T.Nachtbis,MIN(T.Nachtbis-S15,S16-S15)+IF(S17&lt;T.Nachtbis,MIN(T.Nachtbis-S17,S18-S17)+IF(S19&lt;T.Nachtbis,MIN(T.Nachtbis-S19,S20-S19)+IF(S21&lt;T.Nachtbis,MIN(T.Nachtbis-S21,S22-S21),0),0),0),0),0),9),0)</f>
        <v>0</v>
      </c>
      <c r="T75" s="182" t="n">
        <f aca="false">IF(T73&gt;0,ROUND(T73- IF(T13&lt;T.Nachtbis,MIN(T.Nachtbis-T13,T14-T13)+IF(T15&lt;T.Nachtbis,MIN(T.Nachtbis-T15,T16-T15)+IF(T17&lt;T.Nachtbis,MIN(T.Nachtbis-T17,T18-T17)+IF(T19&lt;T.Nachtbis,MIN(T.Nachtbis-T19,T20-T19)+IF(T21&lt;T.Nachtbis,MIN(T.Nachtbis-T21,T22-T21),0),0),0),0),0),9),0)</f>
        <v>0</v>
      </c>
      <c r="U75" s="182" t="n">
        <f aca="false">IF(U73&gt;0,ROUND(U73- IF(U13&lt;T.Nachtbis,MIN(T.Nachtbis-U13,U14-U13)+IF(U15&lt;T.Nachtbis,MIN(T.Nachtbis-U15,U16-U15)+IF(U17&lt;T.Nachtbis,MIN(T.Nachtbis-U17,U18-U17)+IF(U19&lt;T.Nachtbis,MIN(T.Nachtbis-U19,U20-U19)+IF(U21&lt;T.Nachtbis,MIN(T.Nachtbis-U21,U22-U21),0),0),0),0),0),9),0)</f>
        <v>0</v>
      </c>
      <c r="V75" s="182" t="n">
        <f aca="false">IF(V73&gt;0,ROUND(V73- IF(V13&lt;T.Nachtbis,MIN(T.Nachtbis-V13,V14-V13)+IF(V15&lt;T.Nachtbis,MIN(T.Nachtbis-V15,V16-V15)+IF(V17&lt;T.Nachtbis,MIN(T.Nachtbis-V17,V18-V17)+IF(V19&lt;T.Nachtbis,MIN(T.Nachtbis-V19,V20-V19)+IF(V21&lt;T.Nachtbis,MIN(T.Nachtbis-V21,V22-V21),0),0),0),0),0),9),0)</f>
        <v>0</v>
      </c>
      <c r="W75" s="182" t="n">
        <f aca="false">IF(W73&gt;0,ROUND(W73- IF(W13&lt;T.Nachtbis,MIN(T.Nachtbis-W13,W14-W13)+IF(W15&lt;T.Nachtbis,MIN(T.Nachtbis-W15,W16-W15)+IF(W17&lt;T.Nachtbis,MIN(T.Nachtbis-W17,W18-W17)+IF(W19&lt;T.Nachtbis,MIN(T.Nachtbis-W19,W20-W19)+IF(W21&lt;T.Nachtbis,MIN(T.Nachtbis-W21,W22-W21),0),0),0),0),0),9),0)</f>
        <v>0</v>
      </c>
      <c r="X75" s="182" t="n">
        <f aca="false">IF(X73&gt;0,ROUND(X73- IF(X13&lt;T.Nachtbis,MIN(T.Nachtbis-X13,X14-X13)+IF(X15&lt;T.Nachtbis,MIN(T.Nachtbis-X15,X16-X15)+IF(X17&lt;T.Nachtbis,MIN(T.Nachtbis-X17,X18-X17)+IF(X19&lt;T.Nachtbis,MIN(T.Nachtbis-X19,X20-X19)+IF(X21&lt;T.Nachtbis,MIN(T.Nachtbis-X21,X22-X21),0),0),0),0),0),9),0)</f>
        <v>0</v>
      </c>
      <c r="Y75" s="182" t="n">
        <f aca="false">IF(Y73&gt;0,ROUND(Y73- IF(Y13&lt;T.Nachtbis,MIN(T.Nachtbis-Y13,Y14-Y13)+IF(Y15&lt;T.Nachtbis,MIN(T.Nachtbis-Y15,Y16-Y15)+IF(Y17&lt;T.Nachtbis,MIN(T.Nachtbis-Y17,Y18-Y17)+IF(Y19&lt;T.Nachtbis,MIN(T.Nachtbis-Y19,Y20-Y19)+IF(Y21&lt;T.Nachtbis,MIN(T.Nachtbis-Y21,Y22-Y21),0),0),0),0),0),9),0)</f>
        <v>0</v>
      </c>
      <c r="Z75" s="182" t="n">
        <f aca="false">IF(Z73&gt;0,ROUND(Z73- IF(Z13&lt;T.Nachtbis,MIN(T.Nachtbis-Z13,Z14-Z13)+IF(Z15&lt;T.Nachtbis,MIN(T.Nachtbis-Z15,Z16-Z15)+IF(Z17&lt;T.Nachtbis,MIN(T.Nachtbis-Z17,Z18-Z17)+IF(Z19&lt;T.Nachtbis,MIN(T.Nachtbis-Z19,Z20-Z19)+IF(Z21&lt;T.Nachtbis,MIN(T.Nachtbis-Z21,Z22-Z21),0),0),0),0),0),9),0)</f>
        <v>0</v>
      </c>
      <c r="AA75" s="182" t="n">
        <f aca="false">IF(AA73&gt;0,ROUND(AA73- IF(AA13&lt;T.Nachtbis,MIN(T.Nachtbis-AA13,AA14-AA13)+IF(AA15&lt;T.Nachtbis,MIN(T.Nachtbis-AA15,AA16-AA15)+IF(AA17&lt;T.Nachtbis,MIN(T.Nachtbis-AA17,AA18-AA17)+IF(AA19&lt;T.Nachtbis,MIN(T.Nachtbis-AA19,AA20-AA19)+IF(AA21&lt;T.Nachtbis,MIN(T.Nachtbis-AA21,AA22-AA21),0),0),0),0),0),9),0)</f>
        <v>0</v>
      </c>
      <c r="AB75" s="182" t="n">
        <f aca="false">IF(AB73&gt;0,ROUND(AB73- IF(AB13&lt;T.Nachtbis,MIN(T.Nachtbis-AB13,AB14-AB13)+IF(AB15&lt;T.Nachtbis,MIN(T.Nachtbis-AB15,AB16-AB15)+IF(AB17&lt;T.Nachtbis,MIN(T.Nachtbis-AB17,AB18-AB17)+IF(AB19&lt;T.Nachtbis,MIN(T.Nachtbis-AB19,AB20-AB19)+IF(AB21&lt;T.Nachtbis,MIN(T.Nachtbis-AB21,AB22-AB21),0),0),0),0),0),9),0)</f>
        <v>0</v>
      </c>
      <c r="AC75" s="182" t="n">
        <f aca="false">IF(AC73&gt;0,ROUND(AC73- IF(AC13&lt;T.Nachtbis,MIN(T.Nachtbis-AC13,AC14-AC13)+IF(AC15&lt;T.Nachtbis,MIN(T.Nachtbis-AC15,AC16-AC15)+IF(AC17&lt;T.Nachtbis,MIN(T.Nachtbis-AC17,AC18-AC17)+IF(AC19&lt;T.Nachtbis,MIN(T.Nachtbis-AC19,AC20-AC19)+IF(AC21&lt;T.Nachtbis,MIN(T.Nachtbis-AC21,AC22-AC21),0),0),0),0),0),9),0)</f>
        <v>0</v>
      </c>
      <c r="AD75" s="183" t="str">
        <f aca="false">A75</f>
        <v>Total NS hours today</v>
      </c>
      <c r="AE75" s="146"/>
      <c r="AF75" s="179"/>
      <c r="AG75" s="180"/>
      <c r="AH75" s="172"/>
      <c r="AI75" s="172"/>
      <c r="AJ75" s="172"/>
      <c r="AK75" s="171"/>
      <c r="AL75" s="172"/>
      <c r="AM75" s="172"/>
      <c r="AN75" s="39"/>
    </row>
    <row r="76" s="148" customFormat="true" ht="16.5" hidden="true" customHeight="true" outlineLevel="1" collapsed="false">
      <c r="A76" s="181" t="s">
        <v>161</v>
      </c>
      <c r="B76" s="193" t="n">
        <f aca="false">B73-B75</f>
        <v>0</v>
      </c>
      <c r="C76" s="193" t="n">
        <f aca="false">C73-C75</f>
        <v>0</v>
      </c>
      <c r="D76" s="193" t="n">
        <f aca="false">D73-D75</f>
        <v>0</v>
      </c>
      <c r="E76" s="193" t="n">
        <f aca="false">E73-E75</f>
        <v>0</v>
      </c>
      <c r="F76" s="193" t="n">
        <f aca="false">F73-F75</f>
        <v>0</v>
      </c>
      <c r="G76" s="193" t="n">
        <f aca="false">G73-G75</f>
        <v>0</v>
      </c>
      <c r="H76" s="193" t="n">
        <f aca="false">H73-H75</f>
        <v>0</v>
      </c>
      <c r="I76" s="193" t="n">
        <f aca="false">I73-I75</f>
        <v>0</v>
      </c>
      <c r="J76" s="193" t="n">
        <f aca="false">J73-J75</f>
        <v>0</v>
      </c>
      <c r="K76" s="193" t="n">
        <f aca="false">K73-K75</f>
        <v>0</v>
      </c>
      <c r="L76" s="193" t="n">
        <f aca="false">L73-L75</f>
        <v>0</v>
      </c>
      <c r="M76" s="193" t="n">
        <f aca="false">M73-M75</f>
        <v>0</v>
      </c>
      <c r="N76" s="193" t="n">
        <f aca="false">N73-N75</f>
        <v>0</v>
      </c>
      <c r="O76" s="193" t="n">
        <f aca="false">O73-O75</f>
        <v>0</v>
      </c>
      <c r="P76" s="193" t="n">
        <f aca="false">P73-P75</f>
        <v>0</v>
      </c>
      <c r="Q76" s="193" t="n">
        <f aca="false">Q73-Q75</f>
        <v>0</v>
      </c>
      <c r="R76" s="193" t="n">
        <f aca="false">R73-R75</f>
        <v>0</v>
      </c>
      <c r="S76" s="193" t="n">
        <f aca="false">S73-S75</f>
        <v>0</v>
      </c>
      <c r="T76" s="193" t="n">
        <f aca="false">T73-T75</f>
        <v>0</v>
      </c>
      <c r="U76" s="193" t="n">
        <f aca="false">U73-U75</f>
        <v>0</v>
      </c>
      <c r="V76" s="193" t="n">
        <f aca="false">V73-V75</f>
        <v>0</v>
      </c>
      <c r="W76" s="193" t="n">
        <f aca="false">W73-W75</f>
        <v>0</v>
      </c>
      <c r="X76" s="193" t="n">
        <f aca="false">X73-X75</f>
        <v>0</v>
      </c>
      <c r="Y76" s="193" t="n">
        <f aca="false">Y73-Y75</f>
        <v>0</v>
      </c>
      <c r="Z76" s="193" t="n">
        <f aca="false">Z73-Z75</f>
        <v>0</v>
      </c>
      <c r="AA76" s="193" t="n">
        <f aca="false">AA73-AA75</f>
        <v>0</v>
      </c>
      <c r="AB76" s="193" t="n">
        <f aca="false">AB73-AB75</f>
        <v>0</v>
      </c>
      <c r="AC76" s="193" t="n">
        <f aca="false">AC73-AC75</f>
        <v>0</v>
      </c>
      <c r="AD76" s="183" t="str">
        <f aca="false">A76</f>
        <v>Total NS hours yesterday</v>
      </c>
      <c r="AE76" s="146"/>
      <c r="AF76" s="179"/>
      <c r="AG76" s="180"/>
      <c r="AH76" s="172"/>
      <c r="AI76" s="172"/>
      <c r="AJ76" s="199" t="n">
        <f aca="false">IF(EB.Anwendung&lt;&gt;"",IF(MONTH(Monat.Tag1)=12,0,IF(MONTH(Monat.Tag1)=1,Monat.NDgesternTag1,IF(MONTH(Monat.Tag1)=2,March!Monat.NDgesternTag1,IF(MONTH(Monat.Tag1)=3,April!Monat.NDgesternTag1,IF(MONTH(Monat.Tag1)=4,May!Monat.NDgesternTag1,IF(MONTH(Monat.Tag1)=5,June!Monat.NDgesternTag1,IF(MONTH(Monat.Tag1)=6,July!Monat.NDgesternTag1,IF(MONTH(Monat.Tag1)=7,August!Monat.NDgesternTag1,IF(MONTH(Monat.Tag1)=8,September!Monat.NDgesternTag1,IF(MONTH(Monat.Tag1)=9,October!Monat.NDgesternTag1,IF(MONTH(Monat.Tag1)=10,November!Monat.NDgesternTag1,IF(MONTH(Monat.Tag1)=11,December!Monat.NDgesternTag1,"")))))))))))),"")</f>
        <v>0</v>
      </c>
      <c r="AK76" s="171"/>
      <c r="AL76" s="172"/>
      <c r="AM76" s="172"/>
      <c r="AN76" s="39"/>
    </row>
    <row r="77" s="148" customFormat="true" ht="16.5" hidden="true" customHeight="true" outlineLevel="1" collapsed="false">
      <c r="A77" s="181" t="s">
        <v>162</v>
      </c>
      <c r="B77" s="182" t="n">
        <f aca="false">B75+IF(B$10=EOMONTH(B$10,0),$AJ76,C76)</f>
        <v>0</v>
      </c>
      <c r="C77" s="182" t="n">
        <f aca="false">C75+IF(C$10=EOMONTH(C$10,0),$AJ76,D76)</f>
        <v>0</v>
      </c>
      <c r="D77" s="182" t="n">
        <f aca="false">D75+IF(D$10=EOMONTH(D$10,0),$AJ76,E76)</f>
        <v>0</v>
      </c>
      <c r="E77" s="182" t="n">
        <f aca="false">E75+IF(E$10=EOMONTH(E$10,0),$AJ76,F76)</f>
        <v>0</v>
      </c>
      <c r="F77" s="182" t="n">
        <f aca="false">F75+IF(F$10=EOMONTH(F$10,0),$AJ76,G76)</f>
        <v>0</v>
      </c>
      <c r="G77" s="182" t="n">
        <f aca="false">G75+IF(G$10=EOMONTH(G$10,0),$AJ76,H76)</f>
        <v>0</v>
      </c>
      <c r="H77" s="182" t="n">
        <f aca="false">H75+IF(H$10=EOMONTH(H$10,0),$AJ76,I76)</f>
        <v>0</v>
      </c>
      <c r="I77" s="182" t="n">
        <f aca="false">I75+IF(I$10=EOMONTH(I$10,0),$AJ76,J76)</f>
        <v>0</v>
      </c>
      <c r="J77" s="182" t="n">
        <f aca="false">J75+IF(J$10=EOMONTH(J$10,0),$AJ76,K76)</f>
        <v>0</v>
      </c>
      <c r="K77" s="182" t="n">
        <f aca="false">K75+IF(K$10=EOMONTH(K$10,0),$AJ76,L76)</f>
        <v>0</v>
      </c>
      <c r="L77" s="182" t="n">
        <f aca="false">L75+IF(L$10=EOMONTH(L$10,0),$AJ76,M76)</f>
        <v>0</v>
      </c>
      <c r="M77" s="182" t="n">
        <f aca="false">M75+IF(M$10=EOMONTH(M$10,0),$AJ76,N76)</f>
        <v>0</v>
      </c>
      <c r="N77" s="182" t="n">
        <f aca="false">N75+IF(N$10=EOMONTH(N$10,0),$AJ76,O76)</f>
        <v>0</v>
      </c>
      <c r="O77" s="182" t="n">
        <f aca="false">O75+IF(O$10=EOMONTH(O$10,0),$AJ76,P76)</f>
        <v>0</v>
      </c>
      <c r="P77" s="182" t="n">
        <f aca="false">P75+IF(P$10=EOMONTH(P$10,0),$AJ76,Q76)</f>
        <v>0</v>
      </c>
      <c r="Q77" s="182" t="n">
        <f aca="false">Q75+IF(Q$10=EOMONTH(Q$10,0),$AJ76,R76)</f>
        <v>0</v>
      </c>
      <c r="R77" s="182" t="n">
        <f aca="false">R75+IF(R$10=EOMONTH(R$10,0),$AJ76,S76)</f>
        <v>0</v>
      </c>
      <c r="S77" s="182" t="n">
        <f aca="false">S75+IF(S$10=EOMONTH(S$10,0),$AJ76,T76)</f>
        <v>0</v>
      </c>
      <c r="T77" s="182" t="n">
        <f aca="false">T75+IF(T$10=EOMONTH(T$10,0),$AJ76,U76)</f>
        <v>0</v>
      </c>
      <c r="U77" s="182" t="n">
        <f aca="false">U75+IF(U$10=EOMONTH(U$10,0),$AJ76,V76)</f>
        <v>0</v>
      </c>
      <c r="V77" s="182" t="n">
        <f aca="false">V75+IF(V$10=EOMONTH(V$10,0),$AJ76,W76)</f>
        <v>0</v>
      </c>
      <c r="W77" s="182" t="n">
        <f aca="false">W75+IF(W$10=EOMONTH(W$10,0),$AJ76,X76)</f>
        <v>0</v>
      </c>
      <c r="X77" s="182" t="n">
        <f aca="false">X75+IF(X$10=EOMONTH(X$10,0),$AJ76,Y76)</f>
        <v>0</v>
      </c>
      <c r="Y77" s="182" t="n">
        <f aca="false">Y75+IF(Y$10=EOMONTH(Y$10,0),$AJ76,Z76)</f>
        <v>0</v>
      </c>
      <c r="Z77" s="182" t="n">
        <f aca="false">Z75+IF(Z$10=EOMONTH(Z$10,0),$AJ76,AA76)</f>
        <v>0</v>
      </c>
      <c r="AA77" s="182" t="n">
        <f aca="false">AA75+IF(AA$10=EOMONTH(AA$10,0),$AJ76,AB76)</f>
        <v>0</v>
      </c>
      <c r="AB77" s="182" t="n">
        <f aca="false">AB75+IF(AB$10=EOMONTH(AB$10,0),$AJ76,AC76)</f>
        <v>0</v>
      </c>
      <c r="AC77" s="182" t="n">
        <f aca="false">AC75+IF(AC$10=EOMONTH(AC$10,0),$AJ76,#REF!)</f>
        <v>0</v>
      </c>
      <c r="AD77" s="183" t="str">
        <f aca="false">A77</f>
        <v>Total NS hours</v>
      </c>
      <c r="AE77" s="184"/>
      <c r="AF77" s="185" t="n">
        <f aca="false">SUM(B77:AC77)</f>
        <v>0</v>
      </c>
      <c r="AG77" s="180"/>
      <c r="AH77" s="172"/>
      <c r="AI77" s="172"/>
      <c r="AJ77" s="172"/>
      <c r="AK77" s="171"/>
      <c r="AL77" s="172"/>
      <c r="AM77" s="172"/>
      <c r="AN77" s="39"/>
    </row>
    <row r="78" s="148" customFormat="true" ht="3.75" hidden="true" customHeight="true" outlineLevel="0" collapsed="false">
      <c r="A78" s="186"/>
      <c r="B78" s="187"/>
      <c r="C78" s="187"/>
      <c r="D78" s="187"/>
      <c r="E78" s="187"/>
      <c r="F78" s="187"/>
      <c r="G78" s="187"/>
      <c r="H78" s="187"/>
      <c r="I78" s="187"/>
      <c r="J78" s="187"/>
      <c r="K78" s="187"/>
      <c r="L78" s="187"/>
      <c r="M78" s="187"/>
      <c r="N78" s="187"/>
      <c r="O78" s="187"/>
      <c r="P78" s="187"/>
      <c r="Q78" s="187"/>
      <c r="R78" s="187"/>
      <c r="S78" s="187"/>
      <c r="T78" s="187"/>
      <c r="U78" s="187"/>
      <c r="V78" s="187"/>
      <c r="W78" s="187"/>
      <c r="X78" s="187"/>
      <c r="Y78" s="187"/>
      <c r="Z78" s="187"/>
      <c r="AA78" s="187"/>
      <c r="AB78" s="187"/>
      <c r="AC78" s="187"/>
      <c r="AD78" s="168"/>
      <c r="AE78" s="202"/>
      <c r="AF78" s="188"/>
      <c r="AG78" s="180"/>
      <c r="AH78" s="172"/>
      <c r="AI78" s="172"/>
      <c r="AJ78" s="172"/>
      <c r="AK78" s="171"/>
      <c r="AL78" s="172"/>
      <c r="AM78" s="172"/>
      <c r="AN78" s="39"/>
    </row>
    <row r="79" s="148" customFormat="true" ht="15" hidden="true" customHeight="true" outlineLevel="1" collapsed="false">
      <c r="A79" s="175" t="s">
        <v>84</v>
      </c>
      <c r="B79" s="256" t="n">
        <f aca="false">IF(AND(T.50_Vetsuisse,B70&gt;24),ROUND(B73*T.50_VetsuisseZZSND,9), IF(AND(T.ServiceCenterIrchel,B69&gt;0,B77&gt;=ROUND(1/24*8,9)),ROUND(B77*T.ServiceCenterIrchelZZSND,9),))</f>
        <v>0</v>
      </c>
      <c r="C79" s="256" t="n">
        <f aca="false">IF(AND(T.50_Vetsuisse,C70&gt;24),ROUND(C73*T.50_VetsuisseZZSND,9), IF(AND(T.ServiceCenterIrchel,C69&gt;0,C77&gt;=ROUND(1/24*8,9)),ROUND(C77*T.ServiceCenterIrchelZZSND,9),))</f>
        <v>0</v>
      </c>
      <c r="D79" s="256" t="n">
        <f aca="false">IF(AND(T.50_Vetsuisse,D70&gt;24),ROUND(D73*T.50_VetsuisseZZSND,9), IF(AND(T.ServiceCenterIrchel,D69&gt;0,D77&gt;=ROUND(1/24*8,9)),ROUND(D77*T.ServiceCenterIrchelZZSND,9),))</f>
        <v>0</v>
      </c>
      <c r="E79" s="256" t="n">
        <f aca="false">IF(AND(T.50_Vetsuisse,E70&gt;24),ROUND(E73*T.50_VetsuisseZZSND,9), IF(AND(T.ServiceCenterIrchel,E69&gt;0,E77&gt;=ROUND(1/24*8,9)),ROUND(E77*T.ServiceCenterIrchelZZSND,9),))</f>
        <v>0</v>
      </c>
      <c r="F79" s="256" t="n">
        <f aca="false">IF(AND(T.50_Vetsuisse,F70&gt;24),ROUND(F73*T.50_VetsuisseZZSND,9), IF(AND(T.ServiceCenterIrchel,F69&gt;0,F77&gt;=ROUND(1/24*8,9)),ROUND(F77*T.ServiceCenterIrchelZZSND,9),))</f>
        <v>0</v>
      </c>
      <c r="G79" s="256" t="n">
        <f aca="false">IF(AND(T.50_Vetsuisse,G70&gt;24),ROUND(G73*T.50_VetsuisseZZSND,9), IF(AND(T.ServiceCenterIrchel,G69&gt;0,G77&gt;=ROUND(1/24*8,9)),ROUND(G77*T.ServiceCenterIrchelZZSND,9),))</f>
        <v>0</v>
      </c>
      <c r="H79" s="256" t="n">
        <f aca="false">IF(AND(T.50_Vetsuisse,H70&gt;24),ROUND(H73*T.50_VetsuisseZZSND,9), IF(AND(T.ServiceCenterIrchel,H69&gt;0,H77&gt;=ROUND(1/24*8,9)),ROUND(H77*T.ServiceCenterIrchelZZSND,9),))</f>
        <v>0</v>
      </c>
      <c r="I79" s="256" t="n">
        <f aca="false">IF(AND(T.50_Vetsuisse,I70&gt;24),ROUND(I73*T.50_VetsuisseZZSND,9), IF(AND(T.ServiceCenterIrchel,I69&gt;0,I77&gt;=ROUND(1/24*8,9)),ROUND(I77*T.ServiceCenterIrchelZZSND,9),))</f>
        <v>0</v>
      </c>
      <c r="J79" s="256" t="n">
        <f aca="false">IF(AND(T.50_Vetsuisse,J70&gt;24),ROUND(J73*T.50_VetsuisseZZSND,9), IF(AND(T.ServiceCenterIrchel,J69&gt;0,J77&gt;=ROUND(1/24*8,9)),ROUND(J77*T.ServiceCenterIrchelZZSND,9),))</f>
        <v>0</v>
      </c>
      <c r="K79" s="256" t="n">
        <f aca="false">IF(AND(T.50_Vetsuisse,K70&gt;24),ROUND(K73*T.50_VetsuisseZZSND,9), IF(AND(T.ServiceCenterIrchel,K69&gt;0,K77&gt;=ROUND(1/24*8,9)),ROUND(K77*T.ServiceCenterIrchelZZSND,9),))</f>
        <v>0</v>
      </c>
      <c r="L79" s="256" t="n">
        <f aca="false">IF(AND(T.50_Vetsuisse,L70&gt;24),ROUND(L73*T.50_VetsuisseZZSND,9), IF(AND(T.ServiceCenterIrchel,L69&gt;0,L77&gt;=ROUND(1/24*8,9)),ROUND(L77*T.ServiceCenterIrchelZZSND,9),))</f>
        <v>0</v>
      </c>
      <c r="M79" s="256" t="n">
        <f aca="false">IF(AND(T.50_Vetsuisse,M70&gt;24),ROUND(M73*T.50_VetsuisseZZSND,9), IF(AND(T.ServiceCenterIrchel,M69&gt;0,M77&gt;=ROUND(1/24*8,9)),ROUND(M77*T.ServiceCenterIrchelZZSND,9),))</f>
        <v>0</v>
      </c>
      <c r="N79" s="256" t="n">
        <f aca="false">IF(AND(T.50_Vetsuisse,N70&gt;24),ROUND(N73*T.50_VetsuisseZZSND,9), IF(AND(T.ServiceCenterIrchel,N69&gt;0,N77&gt;=ROUND(1/24*8,9)),ROUND(N77*T.ServiceCenterIrchelZZSND,9),))</f>
        <v>0</v>
      </c>
      <c r="O79" s="256" t="n">
        <f aca="false">IF(AND(T.50_Vetsuisse,O70&gt;24),ROUND(O73*T.50_VetsuisseZZSND,9), IF(AND(T.ServiceCenterIrchel,O69&gt;0,O77&gt;=ROUND(1/24*8,9)),ROUND(O77*T.ServiceCenterIrchelZZSND,9),))</f>
        <v>0</v>
      </c>
      <c r="P79" s="256" t="n">
        <f aca="false">IF(AND(T.50_Vetsuisse,P70&gt;24),ROUND(P73*T.50_VetsuisseZZSND,9), IF(AND(T.ServiceCenterIrchel,P69&gt;0,P77&gt;=ROUND(1/24*8,9)),ROUND(P77*T.ServiceCenterIrchelZZSND,9),))</f>
        <v>0</v>
      </c>
      <c r="Q79" s="256" t="n">
        <f aca="false">IF(AND(T.50_Vetsuisse,Q70&gt;24),ROUND(Q73*T.50_VetsuisseZZSND,9), IF(AND(T.ServiceCenterIrchel,Q69&gt;0,Q77&gt;=ROUND(1/24*8,9)),ROUND(Q77*T.ServiceCenterIrchelZZSND,9),))</f>
        <v>0</v>
      </c>
      <c r="R79" s="256" t="n">
        <f aca="false">IF(AND(T.50_Vetsuisse,R70&gt;24),ROUND(R73*T.50_VetsuisseZZSND,9), IF(AND(T.ServiceCenterIrchel,R69&gt;0,R77&gt;=ROUND(1/24*8,9)),ROUND(R77*T.ServiceCenterIrchelZZSND,9),))</f>
        <v>0</v>
      </c>
      <c r="S79" s="256" t="n">
        <f aca="false">IF(AND(T.50_Vetsuisse,S70&gt;24),ROUND(S73*T.50_VetsuisseZZSND,9), IF(AND(T.ServiceCenterIrchel,S69&gt;0,S77&gt;=ROUND(1/24*8,9)),ROUND(S77*T.ServiceCenterIrchelZZSND,9),))</f>
        <v>0</v>
      </c>
      <c r="T79" s="256" t="n">
        <f aca="false">IF(AND(T.50_Vetsuisse,T70&gt;24),ROUND(T73*T.50_VetsuisseZZSND,9), IF(AND(T.ServiceCenterIrchel,T69&gt;0,T77&gt;=ROUND(1/24*8,9)),ROUND(T77*T.ServiceCenterIrchelZZSND,9),))</f>
        <v>0</v>
      </c>
      <c r="U79" s="256" t="n">
        <f aca="false">IF(AND(T.50_Vetsuisse,U70&gt;24),ROUND(U73*T.50_VetsuisseZZSND,9), IF(AND(T.ServiceCenterIrchel,U69&gt;0,U77&gt;=ROUND(1/24*8,9)),ROUND(U77*T.ServiceCenterIrchelZZSND,9),))</f>
        <v>0</v>
      </c>
      <c r="V79" s="256" t="n">
        <f aca="false">IF(AND(T.50_Vetsuisse,V70&gt;24),ROUND(V73*T.50_VetsuisseZZSND,9), IF(AND(T.ServiceCenterIrchel,V69&gt;0,V77&gt;=ROUND(1/24*8,9)),ROUND(V77*T.ServiceCenterIrchelZZSND,9),))</f>
        <v>0</v>
      </c>
      <c r="W79" s="256" t="n">
        <f aca="false">IF(AND(T.50_Vetsuisse,W70&gt;24),ROUND(W73*T.50_VetsuisseZZSND,9), IF(AND(T.ServiceCenterIrchel,W69&gt;0,W77&gt;=ROUND(1/24*8,9)),ROUND(W77*T.ServiceCenterIrchelZZSND,9),))</f>
        <v>0</v>
      </c>
      <c r="X79" s="256" t="n">
        <f aca="false">IF(AND(T.50_Vetsuisse,X70&gt;24),ROUND(X73*T.50_VetsuisseZZSND,9), IF(AND(T.ServiceCenterIrchel,X69&gt;0,X77&gt;=ROUND(1/24*8,9)),ROUND(X77*T.ServiceCenterIrchelZZSND,9),))</f>
        <v>0</v>
      </c>
      <c r="Y79" s="256" t="n">
        <f aca="false">IF(AND(T.50_Vetsuisse,Y70&gt;24),ROUND(Y73*T.50_VetsuisseZZSND,9), IF(AND(T.ServiceCenterIrchel,Y69&gt;0,Y77&gt;=ROUND(1/24*8,9)),ROUND(Y77*T.ServiceCenterIrchelZZSND,9),))</f>
        <v>0</v>
      </c>
      <c r="Z79" s="256" t="n">
        <f aca="false">IF(AND(T.50_Vetsuisse,Z70&gt;24),ROUND(Z73*T.50_VetsuisseZZSND,9), IF(AND(T.ServiceCenterIrchel,Z69&gt;0,Z77&gt;=ROUND(1/24*8,9)),ROUND(Z77*T.ServiceCenterIrchelZZSND,9),))</f>
        <v>0</v>
      </c>
      <c r="AA79" s="256" t="n">
        <f aca="false">IF(AND(T.50_Vetsuisse,AA70&gt;24),ROUND(AA73*T.50_VetsuisseZZSND,9), IF(AND(T.ServiceCenterIrchel,AA69&gt;0,AA77&gt;=ROUND(1/24*8,9)),ROUND(AA77*T.ServiceCenterIrchelZZSND,9),))</f>
        <v>0</v>
      </c>
      <c r="AB79" s="256" t="n">
        <f aca="false">IF(AND(T.50_Vetsuisse,AB70&gt;24),ROUND(AB73*T.50_VetsuisseZZSND,9), IF(AND(T.ServiceCenterIrchel,AB69&gt;0,AB77&gt;=ROUND(1/24*8,9)),ROUND(AB77*T.ServiceCenterIrchelZZSND,9),))</f>
        <v>0</v>
      </c>
      <c r="AC79" s="256" t="n">
        <f aca="false">IF(AND(T.50_Vetsuisse,AC70&gt;24),ROUND(AC73*T.50_VetsuisseZZSND,9), IF(AND(T.ServiceCenterIrchel,AC69&gt;0,AC77&gt;=ROUND(1/24*8,9)),ROUND(AC77*T.ServiceCenterIrchelZZSND,9),))</f>
        <v>0</v>
      </c>
      <c r="AD79" s="168" t="str">
        <f aca="false">A79</f>
        <v>Time supplement night shift</v>
      </c>
      <c r="AE79" s="250"/>
      <c r="AF79" s="207" t="n">
        <f aca="false">SUM(B79:AC79)</f>
        <v>0</v>
      </c>
      <c r="AG79" s="33"/>
      <c r="AH79" s="192"/>
      <c r="AI79" s="216" t="n">
        <f aca="false">IF(EB.Anwendung&lt;&gt;"",IF(MONTH(Monat.Tag1)=1,EB.ZZNd,IF(MONTH(Monat.Tag1)=2,January!Monat.ZZNdUe,IF(MONTH(Monat.Tag1)=3,Monat.ZZNdUe,IF(MONTH(Monat.Tag1)=4,March!Monat.ZZNdUe,IF(MONTH(Monat.Tag1)=5,April!Monat.ZZNdUe,IF(MONTH(Monat.Tag1)=6,May!Monat.ZZNdUe,IF(MONTH(Monat.Tag1)=7,June!Monat.ZZNdUe,IF(MONTH(Monat.Tag1)=8,July!Monat.ZZNdUe,IF(MONTH(Monat.Tag1)=9,August!Monat.ZZNdUe,IF(MONTH(Monat.Tag1)=10,September!Monat.ZZNdUe,IF(MONTH(Monat.Tag1)=11,October!Monat.ZZNdUe,IF(MONTH(Monat.Tag1)=12,November!Monat.ZZNdUe,"")))))))))))),"")</f>
        <v>0</v>
      </c>
      <c r="AJ79" s="172"/>
      <c r="AK79" s="217" t="n">
        <f aca="false">AF79+AI79-AF71</f>
        <v>0</v>
      </c>
      <c r="AL79" s="217" t="n">
        <f aca="true">OFFSET(Jahr.ZZSNDSaldo,-13+MONTH(Monat.Tag1),0,1,1)</f>
        <v>0</v>
      </c>
      <c r="AM79" s="217" t="n">
        <f aca="false">Jahr.ZZSNDSaldo</f>
        <v>0</v>
      </c>
      <c r="AN79" s="39"/>
    </row>
    <row r="80" s="148" customFormat="true" ht="15" hidden="true" customHeight="true" outlineLevel="1" collapsed="false">
      <c r="A80" s="175" t="s">
        <v>163</v>
      </c>
      <c r="B80" s="256" t="str">
        <f aca="false">IF(T.50_Vetsuisse,IF(OR(B$12=0,B$11=0,WEEKDAY(B$10,2)&gt;5),0,ROUND(MAX(0,T.Abendbis-MAX(B13,T.Abendab))-MAX(0,T.Abendbis-MAX(T.Abendab,B14))+(B13&gt;B14)*(1+T.Abendab-T.Abendbis)+MAX(0,T.Abendbis-MAX(B15,T.Abendab))-MAX(0,T.Abendbis-MAX(T.Abendab,B16))+(B15&gt;B16)*(1+T.Abendab-T.Abendbis)+MAX(0,T.Abendbis-MAX(B17,T.Abendab))-MAX(0,T.Abendbis-MAX(T.Abendab,B18))+(B17&gt;B18)*(1+T.Abendab-T.Abendbis)+MAX(0,T.Abendbis-MAX(B19,T.Abendab))-MAX(0,T.Abendbis-MAX(T.Abendab,B20))+(B19&gt;B20)*(1+T.Abendab-T.Abendbis)+MAX(0,T.Abendbis-MAX(B21,T.Abendab))-MAX(0,T.Abendbis-MAX(T.Abendab,B22))+(B21&gt;B22)*(1+T.Abendab-T.Abendbis),9)),"")</f>
        <v/>
      </c>
      <c r="C80" s="256" t="str">
        <f aca="false">IF(T.50_Vetsuisse,IF(OR(C$12=0,C$11=0,WEEKDAY(C$10,2)&gt;5),0,ROUND(MAX(0,T.Abendbis-MAX(C13,T.Abendab))-MAX(0,T.Abendbis-MAX(T.Abendab,C14))+(C13&gt;C14)*(1+T.Abendab-T.Abendbis)+MAX(0,T.Abendbis-MAX(C15,T.Abendab))-MAX(0,T.Abendbis-MAX(T.Abendab,C16))+(C15&gt;C16)*(1+T.Abendab-T.Abendbis)+MAX(0,T.Abendbis-MAX(C17,T.Abendab))-MAX(0,T.Abendbis-MAX(T.Abendab,C18))+(C17&gt;C18)*(1+T.Abendab-T.Abendbis)+MAX(0,T.Abendbis-MAX(C19,T.Abendab))-MAX(0,T.Abendbis-MAX(T.Abendab,C20))+(C19&gt;C20)*(1+T.Abendab-T.Abendbis)+MAX(0,T.Abendbis-MAX(C21,T.Abendab))-MAX(0,T.Abendbis-MAX(T.Abendab,C22))+(C21&gt;C22)*(1+T.Abendab-T.Abendbis),9)),"")</f>
        <v/>
      </c>
      <c r="D80" s="256" t="str">
        <f aca="false">IF(T.50_Vetsuisse,IF(OR(D$12=0,D$11=0,WEEKDAY(D$10,2)&gt;5),0,ROUND(MAX(0,T.Abendbis-MAX(D13,T.Abendab))-MAX(0,T.Abendbis-MAX(T.Abendab,D14))+(D13&gt;D14)*(1+T.Abendab-T.Abendbis)+MAX(0,T.Abendbis-MAX(D15,T.Abendab))-MAX(0,T.Abendbis-MAX(T.Abendab,D16))+(D15&gt;D16)*(1+T.Abendab-T.Abendbis)+MAX(0,T.Abendbis-MAX(D17,T.Abendab))-MAX(0,T.Abendbis-MAX(T.Abendab,D18))+(D17&gt;D18)*(1+T.Abendab-T.Abendbis)+MAX(0,T.Abendbis-MAX(D19,T.Abendab))-MAX(0,T.Abendbis-MAX(T.Abendab,D20))+(D19&gt;D20)*(1+T.Abendab-T.Abendbis)+MAX(0,T.Abendbis-MAX(D21,T.Abendab))-MAX(0,T.Abendbis-MAX(T.Abendab,D22))+(D21&gt;D22)*(1+T.Abendab-T.Abendbis),9)),"")</f>
        <v/>
      </c>
      <c r="E80" s="256" t="str">
        <f aca="false">IF(T.50_Vetsuisse,IF(OR(E$12=0,E$11=0,WEEKDAY(E$10,2)&gt;5),0,ROUND(MAX(0,T.Abendbis-MAX(E13,T.Abendab))-MAX(0,T.Abendbis-MAX(T.Abendab,E14))+(E13&gt;E14)*(1+T.Abendab-T.Abendbis)+MAX(0,T.Abendbis-MAX(E15,T.Abendab))-MAX(0,T.Abendbis-MAX(T.Abendab,E16))+(E15&gt;E16)*(1+T.Abendab-T.Abendbis)+MAX(0,T.Abendbis-MAX(E17,T.Abendab))-MAX(0,T.Abendbis-MAX(T.Abendab,E18))+(E17&gt;E18)*(1+T.Abendab-T.Abendbis)+MAX(0,T.Abendbis-MAX(E19,T.Abendab))-MAX(0,T.Abendbis-MAX(T.Abendab,E20))+(E19&gt;E20)*(1+T.Abendab-T.Abendbis)+MAX(0,T.Abendbis-MAX(E21,T.Abendab))-MAX(0,T.Abendbis-MAX(T.Abendab,E22))+(E21&gt;E22)*(1+T.Abendab-T.Abendbis),9)),"")</f>
        <v/>
      </c>
      <c r="F80" s="256" t="str">
        <f aca="false">IF(T.50_Vetsuisse,IF(OR(F$12=0,F$11=0,WEEKDAY(F$10,2)&gt;5),0,ROUND(MAX(0,T.Abendbis-MAX(F13,T.Abendab))-MAX(0,T.Abendbis-MAX(T.Abendab,F14))+(F13&gt;F14)*(1+T.Abendab-T.Abendbis)+MAX(0,T.Abendbis-MAX(F15,T.Abendab))-MAX(0,T.Abendbis-MAX(T.Abendab,F16))+(F15&gt;F16)*(1+T.Abendab-T.Abendbis)+MAX(0,T.Abendbis-MAX(F17,T.Abendab))-MAX(0,T.Abendbis-MAX(T.Abendab,F18))+(F17&gt;F18)*(1+T.Abendab-T.Abendbis)+MAX(0,T.Abendbis-MAX(F19,T.Abendab))-MAX(0,T.Abendbis-MAX(T.Abendab,F20))+(F19&gt;F20)*(1+T.Abendab-T.Abendbis)+MAX(0,T.Abendbis-MAX(F21,T.Abendab))-MAX(0,T.Abendbis-MAX(T.Abendab,F22))+(F21&gt;F22)*(1+T.Abendab-T.Abendbis),9)),"")</f>
        <v/>
      </c>
      <c r="G80" s="256" t="str">
        <f aca="false">IF(T.50_Vetsuisse,IF(OR(G$12=0,G$11=0,WEEKDAY(G$10,2)&gt;5),0,ROUND(MAX(0,T.Abendbis-MAX(G13,T.Abendab))-MAX(0,T.Abendbis-MAX(T.Abendab,G14))+(G13&gt;G14)*(1+T.Abendab-T.Abendbis)+MAX(0,T.Abendbis-MAX(G15,T.Abendab))-MAX(0,T.Abendbis-MAX(T.Abendab,G16))+(G15&gt;G16)*(1+T.Abendab-T.Abendbis)+MAX(0,T.Abendbis-MAX(G17,T.Abendab))-MAX(0,T.Abendbis-MAX(T.Abendab,G18))+(G17&gt;G18)*(1+T.Abendab-T.Abendbis)+MAX(0,T.Abendbis-MAX(G19,T.Abendab))-MAX(0,T.Abendbis-MAX(T.Abendab,G20))+(G19&gt;G20)*(1+T.Abendab-T.Abendbis)+MAX(0,T.Abendbis-MAX(G21,T.Abendab))-MAX(0,T.Abendbis-MAX(T.Abendab,G22))+(G21&gt;G22)*(1+T.Abendab-T.Abendbis),9)),"")</f>
        <v/>
      </c>
      <c r="H80" s="256" t="str">
        <f aca="false">IF(T.50_Vetsuisse,IF(OR(H$12=0,H$11=0,WEEKDAY(H$10,2)&gt;5),0,ROUND(MAX(0,T.Abendbis-MAX(H13,T.Abendab))-MAX(0,T.Abendbis-MAX(T.Abendab,H14))+(H13&gt;H14)*(1+T.Abendab-T.Abendbis)+MAX(0,T.Abendbis-MAX(H15,T.Abendab))-MAX(0,T.Abendbis-MAX(T.Abendab,H16))+(H15&gt;H16)*(1+T.Abendab-T.Abendbis)+MAX(0,T.Abendbis-MAX(H17,T.Abendab))-MAX(0,T.Abendbis-MAX(T.Abendab,H18))+(H17&gt;H18)*(1+T.Abendab-T.Abendbis)+MAX(0,T.Abendbis-MAX(H19,T.Abendab))-MAX(0,T.Abendbis-MAX(T.Abendab,H20))+(H19&gt;H20)*(1+T.Abendab-T.Abendbis)+MAX(0,T.Abendbis-MAX(H21,T.Abendab))-MAX(0,T.Abendbis-MAX(T.Abendab,H22))+(H21&gt;H22)*(1+T.Abendab-T.Abendbis),9)),"")</f>
        <v/>
      </c>
      <c r="I80" s="256" t="str">
        <f aca="false">IF(T.50_Vetsuisse,IF(OR(I$12=0,I$11=0,WEEKDAY(I$10,2)&gt;5),0,ROUND(MAX(0,T.Abendbis-MAX(I13,T.Abendab))-MAX(0,T.Abendbis-MAX(T.Abendab,I14))+(I13&gt;I14)*(1+T.Abendab-T.Abendbis)+MAX(0,T.Abendbis-MAX(I15,T.Abendab))-MAX(0,T.Abendbis-MAX(T.Abendab,I16))+(I15&gt;I16)*(1+T.Abendab-T.Abendbis)+MAX(0,T.Abendbis-MAX(I17,T.Abendab))-MAX(0,T.Abendbis-MAX(T.Abendab,I18))+(I17&gt;I18)*(1+T.Abendab-T.Abendbis)+MAX(0,T.Abendbis-MAX(I19,T.Abendab))-MAX(0,T.Abendbis-MAX(T.Abendab,I20))+(I19&gt;I20)*(1+T.Abendab-T.Abendbis)+MAX(0,T.Abendbis-MAX(I21,T.Abendab))-MAX(0,T.Abendbis-MAX(T.Abendab,I22))+(I21&gt;I22)*(1+T.Abendab-T.Abendbis),9)),"")</f>
        <v/>
      </c>
      <c r="J80" s="256" t="str">
        <f aca="false">IF(T.50_Vetsuisse,IF(OR(J$12=0,J$11=0,WEEKDAY(J$10,2)&gt;5),0,ROUND(MAX(0,T.Abendbis-MAX(J13,T.Abendab))-MAX(0,T.Abendbis-MAX(T.Abendab,J14))+(J13&gt;J14)*(1+T.Abendab-T.Abendbis)+MAX(0,T.Abendbis-MAX(J15,T.Abendab))-MAX(0,T.Abendbis-MAX(T.Abendab,J16))+(J15&gt;J16)*(1+T.Abendab-T.Abendbis)+MAX(0,T.Abendbis-MAX(J17,T.Abendab))-MAX(0,T.Abendbis-MAX(T.Abendab,J18))+(J17&gt;J18)*(1+T.Abendab-T.Abendbis)+MAX(0,T.Abendbis-MAX(J19,T.Abendab))-MAX(0,T.Abendbis-MAX(T.Abendab,J20))+(J19&gt;J20)*(1+T.Abendab-T.Abendbis)+MAX(0,T.Abendbis-MAX(J21,T.Abendab))-MAX(0,T.Abendbis-MAX(T.Abendab,J22))+(J21&gt;J22)*(1+T.Abendab-T.Abendbis),9)),"")</f>
        <v/>
      </c>
      <c r="K80" s="256" t="str">
        <f aca="false">IF(T.50_Vetsuisse,IF(OR(K$12=0,K$11=0,WEEKDAY(K$10,2)&gt;5),0,ROUND(MAX(0,T.Abendbis-MAX(K13,T.Abendab))-MAX(0,T.Abendbis-MAX(T.Abendab,K14))+(K13&gt;K14)*(1+T.Abendab-T.Abendbis)+MAX(0,T.Abendbis-MAX(K15,T.Abendab))-MAX(0,T.Abendbis-MAX(T.Abendab,K16))+(K15&gt;K16)*(1+T.Abendab-T.Abendbis)+MAX(0,T.Abendbis-MAX(K17,T.Abendab))-MAX(0,T.Abendbis-MAX(T.Abendab,K18))+(K17&gt;K18)*(1+T.Abendab-T.Abendbis)+MAX(0,T.Abendbis-MAX(K19,T.Abendab))-MAX(0,T.Abendbis-MAX(T.Abendab,K20))+(K19&gt;K20)*(1+T.Abendab-T.Abendbis)+MAX(0,T.Abendbis-MAX(K21,T.Abendab))-MAX(0,T.Abendbis-MAX(T.Abendab,K22))+(K21&gt;K22)*(1+T.Abendab-T.Abendbis),9)),"")</f>
        <v/>
      </c>
      <c r="L80" s="256" t="str">
        <f aca="false">IF(T.50_Vetsuisse,IF(OR(L$12=0,L$11=0,WEEKDAY(L$10,2)&gt;5),0,ROUND(MAX(0,T.Abendbis-MAX(L13,T.Abendab))-MAX(0,T.Abendbis-MAX(T.Abendab,L14))+(L13&gt;L14)*(1+T.Abendab-T.Abendbis)+MAX(0,T.Abendbis-MAX(L15,T.Abendab))-MAX(0,T.Abendbis-MAX(T.Abendab,L16))+(L15&gt;L16)*(1+T.Abendab-T.Abendbis)+MAX(0,T.Abendbis-MAX(L17,T.Abendab))-MAX(0,T.Abendbis-MAX(T.Abendab,L18))+(L17&gt;L18)*(1+T.Abendab-T.Abendbis)+MAX(0,T.Abendbis-MAX(L19,T.Abendab))-MAX(0,T.Abendbis-MAX(T.Abendab,L20))+(L19&gt;L20)*(1+T.Abendab-T.Abendbis)+MAX(0,T.Abendbis-MAX(L21,T.Abendab))-MAX(0,T.Abendbis-MAX(T.Abendab,L22))+(L21&gt;L22)*(1+T.Abendab-T.Abendbis),9)),"")</f>
        <v/>
      </c>
      <c r="M80" s="256" t="str">
        <f aca="false">IF(T.50_Vetsuisse,IF(OR(M$12=0,M$11=0,WEEKDAY(M$10,2)&gt;5),0,ROUND(MAX(0,T.Abendbis-MAX(M13,T.Abendab))-MAX(0,T.Abendbis-MAX(T.Abendab,M14))+(M13&gt;M14)*(1+T.Abendab-T.Abendbis)+MAX(0,T.Abendbis-MAX(M15,T.Abendab))-MAX(0,T.Abendbis-MAX(T.Abendab,M16))+(M15&gt;M16)*(1+T.Abendab-T.Abendbis)+MAX(0,T.Abendbis-MAX(M17,T.Abendab))-MAX(0,T.Abendbis-MAX(T.Abendab,M18))+(M17&gt;M18)*(1+T.Abendab-T.Abendbis)+MAX(0,T.Abendbis-MAX(M19,T.Abendab))-MAX(0,T.Abendbis-MAX(T.Abendab,M20))+(M19&gt;M20)*(1+T.Abendab-T.Abendbis)+MAX(0,T.Abendbis-MAX(M21,T.Abendab))-MAX(0,T.Abendbis-MAX(T.Abendab,M22))+(M21&gt;M22)*(1+T.Abendab-T.Abendbis),9)),"")</f>
        <v/>
      </c>
      <c r="N80" s="256" t="str">
        <f aca="false">IF(T.50_Vetsuisse,IF(OR(N$12=0,N$11=0,WEEKDAY(N$10,2)&gt;5),0,ROUND(MAX(0,T.Abendbis-MAX(N13,T.Abendab))-MAX(0,T.Abendbis-MAX(T.Abendab,N14))+(N13&gt;N14)*(1+T.Abendab-T.Abendbis)+MAX(0,T.Abendbis-MAX(N15,T.Abendab))-MAX(0,T.Abendbis-MAX(T.Abendab,N16))+(N15&gt;N16)*(1+T.Abendab-T.Abendbis)+MAX(0,T.Abendbis-MAX(N17,T.Abendab))-MAX(0,T.Abendbis-MAX(T.Abendab,N18))+(N17&gt;N18)*(1+T.Abendab-T.Abendbis)+MAX(0,T.Abendbis-MAX(N19,T.Abendab))-MAX(0,T.Abendbis-MAX(T.Abendab,N20))+(N19&gt;N20)*(1+T.Abendab-T.Abendbis)+MAX(0,T.Abendbis-MAX(N21,T.Abendab))-MAX(0,T.Abendbis-MAX(T.Abendab,N22))+(N21&gt;N22)*(1+T.Abendab-T.Abendbis),9)),"")</f>
        <v/>
      </c>
      <c r="O80" s="256" t="str">
        <f aca="false">IF(T.50_Vetsuisse,IF(OR(O$12=0,O$11=0,WEEKDAY(O$10,2)&gt;5),0,ROUND(MAX(0,T.Abendbis-MAX(O13,T.Abendab))-MAX(0,T.Abendbis-MAX(T.Abendab,O14))+(O13&gt;O14)*(1+T.Abendab-T.Abendbis)+MAX(0,T.Abendbis-MAX(O15,T.Abendab))-MAX(0,T.Abendbis-MAX(T.Abendab,O16))+(O15&gt;O16)*(1+T.Abendab-T.Abendbis)+MAX(0,T.Abendbis-MAX(O17,T.Abendab))-MAX(0,T.Abendbis-MAX(T.Abendab,O18))+(O17&gt;O18)*(1+T.Abendab-T.Abendbis)+MAX(0,T.Abendbis-MAX(O19,T.Abendab))-MAX(0,T.Abendbis-MAX(T.Abendab,O20))+(O19&gt;O20)*(1+T.Abendab-T.Abendbis)+MAX(0,T.Abendbis-MAX(O21,T.Abendab))-MAX(0,T.Abendbis-MAX(T.Abendab,O22))+(O21&gt;O22)*(1+T.Abendab-T.Abendbis),9)),"")</f>
        <v/>
      </c>
      <c r="P80" s="256" t="str">
        <f aca="false">IF(T.50_Vetsuisse,IF(OR(P$12=0,P$11=0,WEEKDAY(P$10,2)&gt;5),0,ROUND(MAX(0,T.Abendbis-MAX(P13,T.Abendab))-MAX(0,T.Abendbis-MAX(T.Abendab,P14))+(P13&gt;P14)*(1+T.Abendab-T.Abendbis)+MAX(0,T.Abendbis-MAX(P15,T.Abendab))-MAX(0,T.Abendbis-MAX(T.Abendab,P16))+(P15&gt;P16)*(1+T.Abendab-T.Abendbis)+MAX(0,T.Abendbis-MAX(P17,T.Abendab))-MAX(0,T.Abendbis-MAX(T.Abendab,P18))+(P17&gt;P18)*(1+T.Abendab-T.Abendbis)+MAX(0,T.Abendbis-MAX(P19,T.Abendab))-MAX(0,T.Abendbis-MAX(T.Abendab,P20))+(P19&gt;P20)*(1+T.Abendab-T.Abendbis)+MAX(0,T.Abendbis-MAX(P21,T.Abendab))-MAX(0,T.Abendbis-MAX(T.Abendab,P22))+(P21&gt;P22)*(1+T.Abendab-T.Abendbis),9)),"")</f>
        <v/>
      </c>
      <c r="Q80" s="256" t="str">
        <f aca="false">IF(T.50_Vetsuisse,IF(OR(Q$12=0,Q$11=0,WEEKDAY(Q$10,2)&gt;5),0,ROUND(MAX(0,T.Abendbis-MAX(Q13,T.Abendab))-MAX(0,T.Abendbis-MAX(T.Abendab,Q14))+(Q13&gt;Q14)*(1+T.Abendab-T.Abendbis)+MAX(0,T.Abendbis-MAX(Q15,T.Abendab))-MAX(0,T.Abendbis-MAX(T.Abendab,Q16))+(Q15&gt;Q16)*(1+T.Abendab-T.Abendbis)+MAX(0,T.Abendbis-MAX(Q17,T.Abendab))-MAX(0,T.Abendbis-MAX(T.Abendab,Q18))+(Q17&gt;Q18)*(1+T.Abendab-T.Abendbis)+MAX(0,T.Abendbis-MAX(Q19,T.Abendab))-MAX(0,T.Abendbis-MAX(T.Abendab,Q20))+(Q19&gt;Q20)*(1+T.Abendab-T.Abendbis)+MAX(0,T.Abendbis-MAX(Q21,T.Abendab))-MAX(0,T.Abendbis-MAX(T.Abendab,Q22))+(Q21&gt;Q22)*(1+T.Abendab-T.Abendbis),9)),"")</f>
        <v/>
      </c>
      <c r="R80" s="256" t="str">
        <f aca="false">IF(T.50_Vetsuisse,IF(OR(R$12=0,R$11=0,WEEKDAY(R$10,2)&gt;5),0,ROUND(MAX(0,T.Abendbis-MAX(R13,T.Abendab))-MAX(0,T.Abendbis-MAX(T.Abendab,R14))+(R13&gt;R14)*(1+T.Abendab-T.Abendbis)+MAX(0,T.Abendbis-MAX(R15,T.Abendab))-MAX(0,T.Abendbis-MAX(T.Abendab,R16))+(R15&gt;R16)*(1+T.Abendab-T.Abendbis)+MAX(0,T.Abendbis-MAX(R17,T.Abendab))-MAX(0,T.Abendbis-MAX(T.Abendab,R18))+(R17&gt;R18)*(1+T.Abendab-T.Abendbis)+MAX(0,T.Abendbis-MAX(R19,T.Abendab))-MAX(0,T.Abendbis-MAX(T.Abendab,R20))+(R19&gt;R20)*(1+T.Abendab-T.Abendbis)+MAX(0,T.Abendbis-MAX(R21,T.Abendab))-MAX(0,T.Abendbis-MAX(T.Abendab,R22))+(R21&gt;R22)*(1+T.Abendab-T.Abendbis),9)),"")</f>
        <v/>
      </c>
      <c r="S80" s="256" t="str">
        <f aca="false">IF(T.50_Vetsuisse,IF(OR(S$12=0,S$11=0,WEEKDAY(S$10,2)&gt;5),0,ROUND(MAX(0,T.Abendbis-MAX(S13,T.Abendab))-MAX(0,T.Abendbis-MAX(T.Abendab,S14))+(S13&gt;S14)*(1+T.Abendab-T.Abendbis)+MAX(0,T.Abendbis-MAX(S15,T.Abendab))-MAX(0,T.Abendbis-MAX(T.Abendab,S16))+(S15&gt;S16)*(1+T.Abendab-T.Abendbis)+MAX(0,T.Abendbis-MAX(S17,T.Abendab))-MAX(0,T.Abendbis-MAX(T.Abendab,S18))+(S17&gt;S18)*(1+T.Abendab-T.Abendbis)+MAX(0,T.Abendbis-MAX(S19,T.Abendab))-MAX(0,T.Abendbis-MAX(T.Abendab,S20))+(S19&gt;S20)*(1+T.Abendab-T.Abendbis)+MAX(0,T.Abendbis-MAX(S21,T.Abendab))-MAX(0,T.Abendbis-MAX(T.Abendab,S22))+(S21&gt;S22)*(1+T.Abendab-T.Abendbis),9)),"")</f>
        <v/>
      </c>
      <c r="T80" s="256" t="str">
        <f aca="false">IF(T.50_Vetsuisse,IF(OR(T$12=0,T$11=0,WEEKDAY(T$10,2)&gt;5),0,ROUND(MAX(0,T.Abendbis-MAX(T13,T.Abendab))-MAX(0,T.Abendbis-MAX(T.Abendab,T14))+(T13&gt;T14)*(1+T.Abendab-T.Abendbis)+MAX(0,T.Abendbis-MAX(T15,T.Abendab))-MAX(0,T.Abendbis-MAX(T.Abendab,T16))+(T15&gt;T16)*(1+T.Abendab-T.Abendbis)+MAX(0,T.Abendbis-MAX(T17,T.Abendab))-MAX(0,T.Abendbis-MAX(T.Abendab,T18))+(T17&gt;T18)*(1+T.Abendab-T.Abendbis)+MAX(0,T.Abendbis-MAX(T19,T.Abendab))-MAX(0,T.Abendbis-MAX(T.Abendab,T20))+(T19&gt;T20)*(1+T.Abendab-T.Abendbis)+MAX(0,T.Abendbis-MAX(T21,T.Abendab))-MAX(0,T.Abendbis-MAX(T.Abendab,T22))+(T21&gt;T22)*(1+T.Abendab-T.Abendbis),9)),"")</f>
        <v/>
      </c>
      <c r="U80" s="256" t="str">
        <f aca="false">IF(T.50_Vetsuisse,IF(OR(U$12=0,U$11=0,WEEKDAY(U$10,2)&gt;5),0,ROUND(MAX(0,T.Abendbis-MAX(U13,T.Abendab))-MAX(0,T.Abendbis-MAX(T.Abendab,U14))+(U13&gt;U14)*(1+T.Abendab-T.Abendbis)+MAX(0,T.Abendbis-MAX(U15,T.Abendab))-MAX(0,T.Abendbis-MAX(T.Abendab,U16))+(U15&gt;U16)*(1+T.Abendab-T.Abendbis)+MAX(0,T.Abendbis-MAX(U17,T.Abendab))-MAX(0,T.Abendbis-MAX(T.Abendab,U18))+(U17&gt;U18)*(1+T.Abendab-T.Abendbis)+MAX(0,T.Abendbis-MAX(U19,T.Abendab))-MAX(0,T.Abendbis-MAX(T.Abendab,U20))+(U19&gt;U20)*(1+T.Abendab-T.Abendbis)+MAX(0,T.Abendbis-MAX(U21,T.Abendab))-MAX(0,T.Abendbis-MAX(T.Abendab,U22))+(U21&gt;U22)*(1+T.Abendab-T.Abendbis),9)),"")</f>
        <v/>
      </c>
      <c r="V80" s="256" t="str">
        <f aca="false">IF(T.50_Vetsuisse,IF(OR(V$12=0,V$11=0,WEEKDAY(V$10,2)&gt;5),0,ROUND(MAX(0,T.Abendbis-MAX(V13,T.Abendab))-MAX(0,T.Abendbis-MAX(T.Abendab,V14))+(V13&gt;V14)*(1+T.Abendab-T.Abendbis)+MAX(0,T.Abendbis-MAX(V15,T.Abendab))-MAX(0,T.Abendbis-MAX(T.Abendab,V16))+(V15&gt;V16)*(1+T.Abendab-T.Abendbis)+MAX(0,T.Abendbis-MAX(V17,T.Abendab))-MAX(0,T.Abendbis-MAX(T.Abendab,V18))+(V17&gt;V18)*(1+T.Abendab-T.Abendbis)+MAX(0,T.Abendbis-MAX(V19,T.Abendab))-MAX(0,T.Abendbis-MAX(T.Abendab,V20))+(V19&gt;V20)*(1+T.Abendab-T.Abendbis)+MAX(0,T.Abendbis-MAX(V21,T.Abendab))-MAX(0,T.Abendbis-MAX(T.Abendab,V22))+(V21&gt;V22)*(1+T.Abendab-T.Abendbis),9)),"")</f>
        <v/>
      </c>
      <c r="W80" s="256" t="str">
        <f aca="false">IF(T.50_Vetsuisse,IF(OR(W$12=0,W$11=0,WEEKDAY(W$10,2)&gt;5),0,ROUND(MAX(0,T.Abendbis-MAX(W13,T.Abendab))-MAX(0,T.Abendbis-MAX(T.Abendab,W14))+(W13&gt;W14)*(1+T.Abendab-T.Abendbis)+MAX(0,T.Abendbis-MAX(W15,T.Abendab))-MAX(0,T.Abendbis-MAX(T.Abendab,W16))+(W15&gt;W16)*(1+T.Abendab-T.Abendbis)+MAX(0,T.Abendbis-MAX(W17,T.Abendab))-MAX(0,T.Abendbis-MAX(T.Abendab,W18))+(W17&gt;W18)*(1+T.Abendab-T.Abendbis)+MAX(0,T.Abendbis-MAX(W19,T.Abendab))-MAX(0,T.Abendbis-MAX(T.Abendab,W20))+(W19&gt;W20)*(1+T.Abendab-T.Abendbis)+MAX(0,T.Abendbis-MAX(W21,T.Abendab))-MAX(0,T.Abendbis-MAX(T.Abendab,W22))+(W21&gt;W22)*(1+T.Abendab-T.Abendbis),9)),"")</f>
        <v/>
      </c>
      <c r="X80" s="256" t="str">
        <f aca="false">IF(T.50_Vetsuisse,IF(OR(X$12=0,X$11=0,WEEKDAY(X$10,2)&gt;5),0,ROUND(MAX(0,T.Abendbis-MAX(X13,T.Abendab))-MAX(0,T.Abendbis-MAX(T.Abendab,X14))+(X13&gt;X14)*(1+T.Abendab-T.Abendbis)+MAX(0,T.Abendbis-MAX(X15,T.Abendab))-MAX(0,T.Abendbis-MAX(T.Abendab,X16))+(X15&gt;X16)*(1+T.Abendab-T.Abendbis)+MAX(0,T.Abendbis-MAX(X17,T.Abendab))-MAX(0,T.Abendbis-MAX(T.Abendab,X18))+(X17&gt;X18)*(1+T.Abendab-T.Abendbis)+MAX(0,T.Abendbis-MAX(X19,T.Abendab))-MAX(0,T.Abendbis-MAX(T.Abendab,X20))+(X19&gt;X20)*(1+T.Abendab-T.Abendbis)+MAX(0,T.Abendbis-MAX(X21,T.Abendab))-MAX(0,T.Abendbis-MAX(T.Abendab,X22))+(X21&gt;X22)*(1+T.Abendab-T.Abendbis),9)),"")</f>
        <v/>
      </c>
      <c r="Y80" s="256" t="str">
        <f aca="false">IF(T.50_Vetsuisse,IF(OR(Y$12=0,Y$11=0,WEEKDAY(Y$10,2)&gt;5),0,ROUND(MAX(0,T.Abendbis-MAX(Y13,T.Abendab))-MAX(0,T.Abendbis-MAX(T.Abendab,Y14))+(Y13&gt;Y14)*(1+T.Abendab-T.Abendbis)+MAX(0,T.Abendbis-MAX(Y15,T.Abendab))-MAX(0,T.Abendbis-MAX(T.Abendab,Y16))+(Y15&gt;Y16)*(1+T.Abendab-T.Abendbis)+MAX(0,T.Abendbis-MAX(Y17,T.Abendab))-MAX(0,T.Abendbis-MAX(T.Abendab,Y18))+(Y17&gt;Y18)*(1+T.Abendab-T.Abendbis)+MAX(0,T.Abendbis-MAX(Y19,T.Abendab))-MAX(0,T.Abendbis-MAX(T.Abendab,Y20))+(Y19&gt;Y20)*(1+T.Abendab-T.Abendbis)+MAX(0,T.Abendbis-MAX(Y21,T.Abendab))-MAX(0,T.Abendbis-MAX(T.Abendab,Y22))+(Y21&gt;Y22)*(1+T.Abendab-T.Abendbis),9)),"")</f>
        <v/>
      </c>
      <c r="Z80" s="256" t="str">
        <f aca="false">IF(T.50_Vetsuisse,IF(OR(Z$12=0,Z$11=0,WEEKDAY(Z$10,2)&gt;5),0,ROUND(MAX(0,T.Abendbis-MAX(Z13,T.Abendab))-MAX(0,T.Abendbis-MAX(T.Abendab,Z14))+(Z13&gt;Z14)*(1+T.Abendab-T.Abendbis)+MAX(0,T.Abendbis-MAX(Z15,T.Abendab))-MAX(0,T.Abendbis-MAX(T.Abendab,Z16))+(Z15&gt;Z16)*(1+T.Abendab-T.Abendbis)+MAX(0,T.Abendbis-MAX(Z17,T.Abendab))-MAX(0,T.Abendbis-MAX(T.Abendab,Z18))+(Z17&gt;Z18)*(1+T.Abendab-T.Abendbis)+MAX(0,T.Abendbis-MAX(Z19,T.Abendab))-MAX(0,T.Abendbis-MAX(T.Abendab,Z20))+(Z19&gt;Z20)*(1+T.Abendab-T.Abendbis)+MAX(0,T.Abendbis-MAX(Z21,T.Abendab))-MAX(0,T.Abendbis-MAX(T.Abendab,Z22))+(Z21&gt;Z22)*(1+T.Abendab-T.Abendbis),9)),"")</f>
        <v/>
      </c>
      <c r="AA80" s="256" t="str">
        <f aca="false">IF(T.50_Vetsuisse,IF(OR(AA$12=0,AA$11=0,WEEKDAY(AA$10,2)&gt;5),0,ROUND(MAX(0,T.Abendbis-MAX(AA13,T.Abendab))-MAX(0,T.Abendbis-MAX(T.Abendab,AA14))+(AA13&gt;AA14)*(1+T.Abendab-T.Abendbis)+MAX(0,T.Abendbis-MAX(AA15,T.Abendab))-MAX(0,T.Abendbis-MAX(T.Abendab,AA16))+(AA15&gt;AA16)*(1+T.Abendab-T.Abendbis)+MAX(0,T.Abendbis-MAX(AA17,T.Abendab))-MAX(0,T.Abendbis-MAX(T.Abendab,AA18))+(AA17&gt;AA18)*(1+T.Abendab-T.Abendbis)+MAX(0,T.Abendbis-MAX(AA19,T.Abendab))-MAX(0,T.Abendbis-MAX(T.Abendab,AA20))+(AA19&gt;AA20)*(1+T.Abendab-T.Abendbis)+MAX(0,T.Abendbis-MAX(AA21,T.Abendab))-MAX(0,T.Abendbis-MAX(T.Abendab,AA22))+(AA21&gt;AA22)*(1+T.Abendab-T.Abendbis),9)),"")</f>
        <v/>
      </c>
      <c r="AB80" s="256" t="str">
        <f aca="false">IF(T.50_Vetsuisse,IF(OR(AB$12=0,AB$11=0,WEEKDAY(AB$10,2)&gt;5),0,ROUND(MAX(0,T.Abendbis-MAX(AB13,T.Abendab))-MAX(0,T.Abendbis-MAX(T.Abendab,AB14))+(AB13&gt;AB14)*(1+T.Abendab-T.Abendbis)+MAX(0,T.Abendbis-MAX(AB15,T.Abendab))-MAX(0,T.Abendbis-MAX(T.Abendab,AB16))+(AB15&gt;AB16)*(1+T.Abendab-T.Abendbis)+MAX(0,T.Abendbis-MAX(AB17,T.Abendab))-MAX(0,T.Abendbis-MAX(T.Abendab,AB18))+(AB17&gt;AB18)*(1+T.Abendab-T.Abendbis)+MAX(0,T.Abendbis-MAX(AB19,T.Abendab))-MAX(0,T.Abendbis-MAX(T.Abendab,AB20))+(AB19&gt;AB20)*(1+T.Abendab-T.Abendbis)+MAX(0,T.Abendbis-MAX(AB21,T.Abendab))-MAX(0,T.Abendbis-MAX(T.Abendab,AB22))+(AB21&gt;AB22)*(1+T.Abendab-T.Abendbis),9)),"")</f>
        <v/>
      </c>
      <c r="AC80" s="256" t="str">
        <f aca="false">IF(T.50_Vetsuisse,IF(OR(AC$12=0,AC$11=0,WEEKDAY(AC$10,2)&gt;5),0,ROUND(MAX(0,T.Abendbis-MAX(AC13,T.Abendab))-MAX(0,T.Abendbis-MAX(T.Abendab,AC14))+(AC13&gt;AC14)*(1+T.Abendab-T.Abendbis)+MAX(0,T.Abendbis-MAX(AC15,T.Abendab))-MAX(0,T.Abendbis-MAX(T.Abendab,AC16))+(AC15&gt;AC16)*(1+T.Abendab-T.Abendbis)+MAX(0,T.Abendbis-MAX(AC17,T.Abendab))-MAX(0,T.Abendbis-MAX(T.Abendab,AC18))+(AC17&gt;AC18)*(1+T.Abendab-T.Abendbis)+MAX(0,T.Abendbis-MAX(AC19,T.Abendab))-MAX(0,T.Abendbis-MAX(T.Abendab,AC20))+(AC19&gt;AC20)*(1+T.Abendab-T.Abendbis)+MAX(0,T.Abendbis-MAX(AC21,T.Abendab))-MAX(0,T.Abendbis-MAX(T.Abendab,AC22))+(AC21&gt;AC22)*(1+T.Abendab-T.Abendbis),9)),"")</f>
        <v/>
      </c>
      <c r="AD80" s="168" t="str">
        <f aca="false">A80</f>
        <v>Evening work</v>
      </c>
      <c r="AE80" s="250"/>
      <c r="AF80" s="207" t="n">
        <f aca="false">SUM(B80:AC80)</f>
        <v>0</v>
      </c>
      <c r="AG80" s="33"/>
      <c r="AH80" s="192"/>
      <c r="AI80" s="216" t="n">
        <f aca="false">IF(EB.Anwendung&lt;&gt;"",IF(MONTH(Monat.Tag1)=1,0,IF(MONTH(Monat.Tag1)=2,January!Monat.AAUeVM,IF(MONTH(Monat.Tag1)=3,Monat.AAUeVM,IF(MONTH(Monat.Tag1)=4,March!Monat.AAUeVM,IF(MONTH(Monat.Tag1)=5,April!Monat.AAUeVM,IF(MONTH(Monat.Tag1)=6,May!Monat.AAUeVM,IF(MONTH(Monat.Tag1)=7,June!Monat.AAUeVM,IF(MONTH(Monat.Tag1)=8,July!Monat.AAUeVM,IF(MONTH(Monat.Tag1)=9,August!Monat.AAUeVM,IF(MONTH(Monat.Tag1)=10,September!Monat.AAUeVM,IF(MONTH(Monat.Tag1)=11,October!Monat.AAUeVM,IF(MONTH(Monat.Tag1)=12,November!Monat.AAUeVM,"")))))))))))),"")</f>
        <v>0</v>
      </c>
      <c r="AJ80" s="172"/>
      <c r="AK80" s="217" t="n">
        <f aca="false">AF80+AI80</f>
        <v>0</v>
      </c>
      <c r="AL80" s="171"/>
      <c r="AM80" s="171"/>
      <c r="AN80" s="39"/>
    </row>
    <row r="81" s="148" customFormat="true" ht="15" hidden="false" customHeight="true" outlineLevel="1" collapsed="false">
      <c r="A81" s="175" t="s">
        <v>164</v>
      </c>
      <c r="B81" s="256" t="n">
        <f aca="true">IF(EB.Wochenarbeitszeit=50/24,"",IF(B$12=0,0,IF(OR(WEEKDAY(B$10,2)&gt;5,B$11=0),IF(NOT(B$34=INDEX(T.Pikett.Bereich,1)),1,0),IF(WEEKDAY(B$10,2)&lt;6,IF(AND(OR(B$34=INDEX(T.Pikett.Bereich,2),B$34=INDEX(T.Pikett.Bereich,3)),B$11=1),8/24,0))+IF(WEEKDAY(B$10,2)&lt;6,IF(AND(OR(B$34=INDEX(T.Pikett.Bereich,2),B$34=INDEX(T.Pikett.Bereich,3)),B$11=6/8.4),10/24,0)) +IF(WEEKDAY(B$10,2)&lt;6,IF(AND(OR(B$34=INDEX(T.Pikett.Bereich,2),B$34=INDEX(T.Pikett.Bereich,3)),B$11=0.5),0.5,0)) +IF(AND(B$34=INDEX(T.Pikett.Bereich,4),B$11=6/8.4),0.75,0)+IF(AND(B$34=INDEX(T.Pikett.Bereich,4),B$11=1),16/24,0) +IF(AND(B$34=INDEX(T.Pikett.Bereich,4),B$11=0.5),20/24,0))))</f>
        <v>0</v>
      </c>
      <c r="C81" s="256" t="n">
        <f aca="true">IF(EB.Wochenarbeitszeit=50/24,"",IF(C$12=0,0,IF(OR(WEEKDAY(C$10,2)&gt;5,C$11=0),IF(NOT(C$34=INDEX(T.Pikett.Bereich,1)),1,0),IF(WEEKDAY(C$10,2)&lt;6,IF(AND(OR(C$34=INDEX(T.Pikett.Bereich,2),C$34=INDEX(T.Pikett.Bereich,3)),C$11=1),8/24,0))+IF(WEEKDAY(C$10,2)&lt;6,IF(AND(OR(C$34=INDEX(T.Pikett.Bereich,2),C$34=INDEX(T.Pikett.Bereich,3)),C$11=6/8.4),10/24,0)) +IF(WEEKDAY(C$10,2)&lt;6,IF(AND(OR(C$34=INDEX(T.Pikett.Bereich,2),C$34=INDEX(T.Pikett.Bereich,3)),C$11=0.5),0.5,0)) +IF(AND(C$34=INDEX(T.Pikett.Bereich,4),C$11=6/8.4),0.75,0)+IF(AND(C$34=INDEX(T.Pikett.Bereich,4),C$11=1),16/24,0) +IF(AND(C$34=INDEX(T.Pikett.Bereich,4),C$11=0.5),20/24,0))))</f>
        <v>0</v>
      </c>
      <c r="D81" s="256" t="n">
        <f aca="true">IF(EB.Wochenarbeitszeit=50/24,"",IF(D$12=0,0,IF(OR(WEEKDAY(D$10,2)&gt;5,D$11=0),IF(NOT(D$34=INDEX(T.Pikett.Bereich,1)),1,0),IF(WEEKDAY(D$10,2)&lt;6,IF(AND(OR(D$34=INDEX(T.Pikett.Bereich,2),D$34=INDEX(T.Pikett.Bereich,3)),D$11=1),8/24,0))+IF(WEEKDAY(D$10,2)&lt;6,IF(AND(OR(D$34=INDEX(T.Pikett.Bereich,2),D$34=INDEX(T.Pikett.Bereich,3)),D$11=6/8.4),10/24,0)) +IF(WEEKDAY(D$10,2)&lt;6,IF(AND(OR(D$34=INDEX(T.Pikett.Bereich,2),D$34=INDEX(T.Pikett.Bereich,3)),D$11=0.5),0.5,0)) +IF(AND(D$34=INDEX(T.Pikett.Bereich,4),D$11=6/8.4),0.75,0)+IF(AND(D$34=INDEX(T.Pikett.Bereich,4),D$11=1),16/24,0) +IF(AND(D$34=INDEX(T.Pikett.Bereich,4),D$11=0.5),20/24,0))))</f>
        <v>0</v>
      </c>
      <c r="E81" s="256" t="n">
        <f aca="true">IF(EB.Wochenarbeitszeit=50/24,"",IF(E$12=0,0,IF(OR(WEEKDAY(E$10,2)&gt;5,E$11=0),IF(NOT(E$34=INDEX(T.Pikett.Bereich,1)),1,0),IF(WEEKDAY(E$10,2)&lt;6,IF(AND(OR(E$34=INDEX(T.Pikett.Bereich,2),E$34=INDEX(T.Pikett.Bereich,3)),E$11=1),8/24,0))+IF(WEEKDAY(E$10,2)&lt;6,IF(AND(OR(E$34=INDEX(T.Pikett.Bereich,2),E$34=INDEX(T.Pikett.Bereich,3)),E$11=6/8.4),10/24,0)) +IF(WEEKDAY(E$10,2)&lt;6,IF(AND(OR(E$34=INDEX(T.Pikett.Bereich,2),E$34=INDEX(T.Pikett.Bereich,3)),E$11=0.5),0.5,0)) +IF(AND(E$34=INDEX(T.Pikett.Bereich,4),E$11=6/8.4),0.75,0)+IF(AND(E$34=INDEX(T.Pikett.Bereich,4),E$11=1),16/24,0) +IF(AND(E$34=INDEX(T.Pikett.Bereich,4),E$11=0.5),20/24,0))))</f>
        <v>0</v>
      </c>
      <c r="F81" s="256" t="n">
        <f aca="true">IF(EB.Wochenarbeitszeit=50/24,"",IF(F$12=0,0,IF(OR(WEEKDAY(F$10,2)&gt;5,F$11=0),IF(NOT(F$34=INDEX(T.Pikett.Bereich,1)),1,0),IF(WEEKDAY(F$10,2)&lt;6,IF(AND(OR(F$34=INDEX(T.Pikett.Bereich,2),F$34=INDEX(T.Pikett.Bereich,3)),F$11=1),8/24,0))+IF(WEEKDAY(F$10,2)&lt;6,IF(AND(OR(F$34=INDEX(T.Pikett.Bereich,2),F$34=INDEX(T.Pikett.Bereich,3)),F$11=6/8.4),10/24,0)) +IF(WEEKDAY(F$10,2)&lt;6,IF(AND(OR(F$34=INDEX(T.Pikett.Bereich,2),F$34=INDEX(T.Pikett.Bereich,3)),F$11=0.5),0.5,0)) +IF(AND(F$34=INDEX(T.Pikett.Bereich,4),F$11=6/8.4),0.75,0)+IF(AND(F$34=INDEX(T.Pikett.Bereich,4),F$11=1),16/24,0) +IF(AND(F$34=INDEX(T.Pikett.Bereich,4),F$11=0.5),20/24,0))))</f>
        <v>0</v>
      </c>
      <c r="G81" s="256" t="n">
        <f aca="true">IF(EB.Wochenarbeitszeit=50/24,"",IF(G$12=0,0,IF(OR(WEEKDAY(G$10,2)&gt;5,G$11=0),IF(NOT(G$34=INDEX(T.Pikett.Bereich,1)),1,0),IF(WEEKDAY(G$10,2)&lt;6,IF(AND(OR(G$34=INDEX(T.Pikett.Bereich,2),G$34=INDEX(T.Pikett.Bereich,3)),G$11=1),8/24,0))+IF(WEEKDAY(G$10,2)&lt;6,IF(AND(OR(G$34=INDEX(T.Pikett.Bereich,2),G$34=INDEX(T.Pikett.Bereich,3)),G$11=6/8.4),10/24,0)) +IF(WEEKDAY(G$10,2)&lt;6,IF(AND(OR(G$34=INDEX(T.Pikett.Bereich,2),G$34=INDEX(T.Pikett.Bereich,3)),G$11=0.5),0.5,0)) +IF(AND(G$34=INDEX(T.Pikett.Bereich,4),G$11=6/8.4),0.75,0)+IF(AND(G$34=INDEX(T.Pikett.Bereich,4),G$11=1),16/24,0) +IF(AND(G$34=INDEX(T.Pikett.Bereich,4),G$11=0.5),20/24,0))))</f>
        <v>0</v>
      </c>
      <c r="H81" s="256" t="n">
        <f aca="true">IF(EB.Wochenarbeitszeit=50/24,"",IF(H$12=0,0,IF(OR(WEEKDAY(H$10,2)&gt;5,H$11=0),IF(NOT(H$34=INDEX(T.Pikett.Bereich,1)),1,0),IF(WEEKDAY(H$10,2)&lt;6,IF(AND(OR(H$34=INDEX(T.Pikett.Bereich,2),H$34=INDEX(T.Pikett.Bereich,3)),H$11=1),8/24,0))+IF(WEEKDAY(H$10,2)&lt;6,IF(AND(OR(H$34=INDEX(T.Pikett.Bereich,2),H$34=INDEX(T.Pikett.Bereich,3)),H$11=6/8.4),10/24,0)) +IF(WEEKDAY(H$10,2)&lt;6,IF(AND(OR(H$34=INDEX(T.Pikett.Bereich,2),H$34=INDEX(T.Pikett.Bereich,3)),H$11=0.5),0.5,0)) +IF(AND(H$34=INDEX(T.Pikett.Bereich,4),H$11=6/8.4),0.75,0)+IF(AND(H$34=INDEX(T.Pikett.Bereich,4),H$11=1),16/24,0) +IF(AND(H$34=INDEX(T.Pikett.Bereich,4),H$11=0.5),20/24,0))))</f>
        <v>0</v>
      </c>
      <c r="I81" s="256" t="n">
        <f aca="true">IF(EB.Wochenarbeitszeit=50/24,"",IF(I$12=0,0,IF(OR(WEEKDAY(I$10,2)&gt;5,I$11=0),IF(NOT(I$34=INDEX(T.Pikett.Bereich,1)),1,0),IF(WEEKDAY(I$10,2)&lt;6,IF(AND(OR(I$34=INDEX(T.Pikett.Bereich,2),I$34=INDEX(T.Pikett.Bereich,3)),I$11=1),8/24,0))+IF(WEEKDAY(I$10,2)&lt;6,IF(AND(OR(I$34=INDEX(T.Pikett.Bereich,2),I$34=INDEX(T.Pikett.Bereich,3)),I$11=6/8.4),10/24,0)) +IF(WEEKDAY(I$10,2)&lt;6,IF(AND(OR(I$34=INDEX(T.Pikett.Bereich,2),I$34=INDEX(T.Pikett.Bereich,3)),I$11=0.5),0.5,0)) +IF(AND(I$34=INDEX(T.Pikett.Bereich,4),I$11=6/8.4),0.75,0)+IF(AND(I$34=INDEX(T.Pikett.Bereich,4),I$11=1),16/24,0) +IF(AND(I$34=INDEX(T.Pikett.Bereich,4),I$11=0.5),20/24,0))))</f>
        <v>0</v>
      </c>
      <c r="J81" s="256" t="n">
        <f aca="true">IF(EB.Wochenarbeitszeit=50/24,"",IF(J$12=0,0,IF(OR(WEEKDAY(J$10,2)&gt;5,J$11=0),IF(NOT(J$34=INDEX(T.Pikett.Bereich,1)),1,0),IF(WEEKDAY(J$10,2)&lt;6,IF(AND(OR(J$34=INDEX(T.Pikett.Bereich,2),J$34=INDEX(T.Pikett.Bereich,3)),J$11=1),8/24,0))+IF(WEEKDAY(J$10,2)&lt;6,IF(AND(OR(J$34=INDEX(T.Pikett.Bereich,2),J$34=INDEX(T.Pikett.Bereich,3)),J$11=6/8.4),10/24,0)) +IF(WEEKDAY(J$10,2)&lt;6,IF(AND(OR(J$34=INDEX(T.Pikett.Bereich,2),J$34=INDEX(T.Pikett.Bereich,3)),J$11=0.5),0.5,0)) +IF(AND(J$34=INDEX(T.Pikett.Bereich,4),J$11=6/8.4),0.75,0)+IF(AND(J$34=INDEX(T.Pikett.Bereich,4),J$11=1),16/24,0) +IF(AND(J$34=INDEX(T.Pikett.Bereich,4),J$11=0.5),20/24,0))))</f>
        <v>0</v>
      </c>
      <c r="K81" s="256" t="n">
        <f aca="true">IF(EB.Wochenarbeitszeit=50/24,"",IF(K$12=0,0,IF(OR(WEEKDAY(K$10,2)&gt;5,K$11=0),IF(NOT(K$34=INDEX(T.Pikett.Bereich,1)),1,0),IF(WEEKDAY(K$10,2)&lt;6,IF(AND(OR(K$34=INDEX(T.Pikett.Bereich,2),K$34=INDEX(T.Pikett.Bereich,3)),K$11=1),8/24,0))+IF(WEEKDAY(K$10,2)&lt;6,IF(AND(OR(K$34=INDEX(T.Pikett.Bereich,2),K$34=INDEX(T.Pikett.Bereich,3)),K$11=6/8.4),10/24,0)) +IF(WEEKDAY(K$10,2)&lt;6,IF(AND(OR(K$34=INDEX(T.Pikett.Bereich,2),K$34=INDEX(T.Pikett.Bereich,3)),K$11=0.5),0.5,0)) +IF(AND(K$34=INDEX(T.Pikett.Bereich,4),K$11=6/8.4),0.75,0)+IF(AND(K$34=INDEX(T.Pikett.Bereich,4),K$11=1),16/24,0) +IF(AND(K$34=INDEX(T.Pikett.Bereich,4),K$11=0.5),20/24,0))))</f>
        <v>0</v>
      </c>
      <c r="L81" s="256" t="n">
        <f aca="true">IF(EB.Wochenarbeitszeit=50/24,"",IF(L$12=0,0,IF(OR(WEEKDAY(L$10,2)&gt;5,L$11=0),IF(NOT(L$34=INDEX(T.Pikett.Bereich,1)),1,0),IF(WEEKDAY(L$10,2)&lt;6,IF(AND(OR(L$34=INDEX(T.Pikett.Bereich,2),L$34=INDEX(T.Pikett.Bereich,3)),L$11=1),8/24,0))+IF(WEEKDAY(L$10,2)&lt;6,IF(AND(OR(L$34=INDEX(T.Pikett.Bereich,2),L$34=INDEX(T.Pikett.Bereich,3)),L$11=6/8.4),10/24,0)) +IF(WEEKDAY(L$10,2)&lt;6,IF(AND(OR(L$34=INDEX(T.Pikett.Bereich,2),L$34=INDEX(T.Pikett.Bereich,3)),L$11=0.5),0.5,0)) +IF(AND(L$34=INDEX(T.Pikett.Bereich,4),L$11=6/8.4),0.75,0)+IF(AND(L$34=INDEX(T.Pikett.Bereich,4),L$11=1),16/24,0) +IF(AND(L$34=INDEX(T.Pikett.Bereich,4),L$11=0.5),20/24,0))))</f>
        <v>0</v>
      </c>
      <c r="M81" s="256" t="n">
        <f aca="true">IF(EB.Wochenarbeitszeit=50/24,"",IF(M$12=0,0,IF(OR(WEEKDAY(M$10,2)&gt;5,M$11=0),IF(NOT(M$34=INDEX(T.Pikett.Bereich,1)),1,0),IF(WEEKDAY(M$10,2)&lt;6,IF(AND(OR(M$34=INDEX(T.Pikett.Bereich,2),M$34=INDEX(T.Pikett.Bereich,3)),M$11=1),8/24,0))+IF(WEEKDAY(M$10,2)&lt;6,IF(AND(OR(M$34=INDEX(T.Pikett.Bereich,2),M$34=INDEX(T.Pikett.Bereich,3)),M$11=6/8.4),10/24,0)) +IF(WEEKDAY(M$10,2)&lt;6,IF(AND(OR(M$34=INDEX(T.Pikett.Bereich,2),M$34=INDEX(T.Pikett.Bereich,3)),M$11=0.5),0.5,0)) +IF(AND(M$34=INDEX(T.Pikett.Bereich,4),M$11=6/8.4),0.75,0)+IF(AND(M$34=INDEX(T.Pikett.Bereich,4),M$11=1),16/24,0) +IF(AND(M$34=INDEX(T.Pikett.Bereich,4),M$11=0.5),20/24,0))))</f>
        <v>0</v>
      </c>
      <c r="N81" s="256" t="n">
        <f aca="true">IF(EB.Wochenarbeitszeit=50/24,"",IF(N$12=0,0,IF(OR(WEEKDAY(N$10,2)&gt;5,N$11=0),IF(NOT(N$34=INDEX(T.Pikett.Bereich,1)),1,0),IF(WEEKDAY(N$10,2)&lt;6,IF(AND(OR(N$34=INDEX(T.Pikett.Bereich,2),N$34=INDEX(T.Pikett.Bereich,3)),N$11=1),8/24,0))+IF(WEEKDAY(N$10,2)&lt;6,IF(AND(OR(N$34=INDEX(T.Pikett.Bereich,2),N$34=INDEX(T.Pikett.Bereich,3)),N$11=6/8.4),10/24,0)) +IF(WEEKDAY(N$10,2)&lt;6,IF(AND(OR(N$34=INDEX(T.Pikett.Bereich,2),N$34=INDEX(T.Pikett.Bereich,3)),N$11=0.5),0.5,0)) +IF(AND(N$34=INDEX(T.Pikett.Bereich,4),N$11=6/8.4),0.75,0)+IF(AND(N$34=INDEX(T.Pikett.Bereich,4),N$11=1),16/24,0) +IF(AND(N$34=INDEX(T.Pikett.Bereich,4),N$11=0.5),20/24,0))))</f>
        <v>0</v>
      </c>
      <c r="O81" s="256" t="n">
        <f aca="true">IF(EB.Wochenarbeitszeit=50/24,"",IF(O$12=0,0,IF(OR(WEEKDAY(O$10,2)&gt;5,O$11=0),IF(NOT(O$34=INDEX(T.Pikett.Bereich,1)),1,0),IF(WEEKDAY(O$10,2)&lt;6,IF(AND(OR(O$34=INDEX(T.Pikett.Bereich,2),O$34=INDEX(T.Pikett.Bereich,3)),O$11=1),8/24,0))+IF(WEEKDAY(O$10,2)&lt;6,IF(AND(OR(O$34=INDEX(T.Pikett.Bereich,2),O$34=INDEX(T.Pikett.Bereich,3)),O$11=6/8.4),10/24,0)) +IF(WEEKDAY(O$10,2)&lt;6,IF(AND(OR(O$34=INDEX(T.Pikett.Bereich,2),O$34=INDEX(T.Pikett.Bereich,3)),O$11=0.5),0.5,0)) +IF(AND(O$34=INDEX(T.Pikett.Bereich,4),O$11=6/8.4),0.75,0)+IF(AND(O$34=INDEX(T.Pikett.Bereich,4),O$11=1),16/24,0) +IF(AND(O$34=INDEX(T.Pikett.Bereich,4),O$11=0.5),20/24,0))))</f>
        <v>0</v>
      </c>
      <c r="P81" s="256" t="n">
        <f aca="true">IF(EB.Wochenarbeitszeit=50/24,"",IF(P$12=0,0,IF(OR(WEEKDAY(P$10,2)&gt;5,P$11=0),IF(NOT(P$34=INDEX(T.Pikett.Bereich,1)),1,0),IF(WEEKDAY(P$10,2)&lt;6,IF(AND(OR(P$34=INDEX(T.Pikett.Bereich,2),P$34=INDEX(T.Pikett.Bereich,3)),P$11=1),8/24,0))+IF(WEEKDAY(P$10,2)&lt;6,IF(AND(OR(P$34=INDEX(T.Pikett.Bereich,2),P$34=INDEX(T.Pikett.Bereich,3)),P$11=6/8.4),10/24,0)) +IF(WEEKDAY(P$10,2)&lt;6,IF(AND(OR(P$34=INDEX(T.Pikett.Bereich,2),P$34=INDEX(T.Pikett.Bereich,3)),P$11=0.5),0.5,0)) +IF(AND(P$34=INDEX(T.Pikett.Bereich,4),P$11=6/8.4),0.75,0)+IF(AND(P$34=INDEX(T.Pikett.Bereich,4),P$11=1),16/24,0) +IF(AND(P$34=INDEX(T.Pikett.Bereich,4),P$11=0.5),20/24,0))))</f>
        <v>0</v>
      </c>
      <c r="Q81" s="256" t="n">
        <f aca="true">IF(EB.Wochenarbeitszeit=50/24,"",IF(Q$12=0,0,IF(OR(WEEKDAY(Q$10,2)&gt;5,Q$11=0),IF(NOT(Q$34=INDEX(T.Pikett.Bereich,1)),1,0),IF(WEEKDAY(Q$10,2)&lt;6,IF(AND(OR(Q$34=INDEX(T.Pikett.Bereich,2),Q$34=INDEX(T.Pikett.Bereich,3)),Q$11=1),8/24,0))+IF(WEEKDAY(Q$10,2)&lt;6,IF(AND(OR(Q$34=INDEX(T.Pikett.Bereich,2),Q$34=INDEX(T.Pikett.Bereich,3)),Q$11=6/8.4),10/24,0)) +IF(WEEKDAY(Q$10,2)&lt;6,IF(AND(OR(Q$34=INDEX(T.Pikett.Bereich,2),Q$34=INDEX(T.Pikett.Bereich,3)),Q$11=0.5),0.5,0)) +IF(AND(Q$34=INDEX(T.Pikett.Bereich,4),Q$11=6/8.4),0.75,0)+IF(AND(Q$34=INDEX(T.Pikett.Bereich,4),Q$11=1),16/24,0) +IF(AND(Q$34=INDEX(T.Pikett.Bereich,4),Q$11=0.5),20/24,0))))</f>
        <v>0</v>
      </c>
      <c r="R81" s="256" t="n">
        <f aca="true">IF(EB.Wochenarbeitszeit=50/24,"",IF(R$12=0,0,IF(OR(WEEKDAY(R$10,2)&gt;5,R$11=0),IF(NOT(R$34=INDEX(T.Pikett.Bereich,1)),1,0),IF(WEEKDAY(R$10,2)&lt;6,IF(AND(OR(R$34=INDEX(T.Pikett.Bereich,2),R$34=INDEX(T.Pikett.Bereich,3)),R$11=1),8/24,0))+IF(WEEKDAY(R$10,2)&lt;6,IF(AND(OR(R$34=INDEX(T.Pikett.Bereich,2),R$34=INDEX(T.Pikett.Bereich,3)),R$11=6/8.4),10/24,0)) +IF(WEEKDAY(R$10,2)&lt;6,IF(AND(OR(R$34=INDEX(T.Pikett.Bereich,2),R$34=INDEX(T.Pikett.Bereich,3)),R$11=0.5),0.5,0)) +IF(AND(R$34=INDEX(T.Pikett.Bereich,4),R$11=6/8.4),0.75,0)+IF(AND(R$34=INDEX(T.Pikett.Bereich,4),R$11=1),16/24,0) +IF(AND(R$34=INDEX(T.Pikett.Bereich,4),R$11=0.5),20/24,0))))</f>
        <v>0</v>
      </c>
      <c r="S81" s="256" t="n">
        <f aca="true">IF(EB.Wochenarbeitszeit=50/24,"",IF(S$12=0,0,IF(OR(WEEKDAY(S$10,2)&gt;5,S$11=0),IF(NOT(S$34=INDEX(T.Pikett.Bereich,1)),1,0),IF(WEEKDAY(S$10,2)&lt;6,IF(AND(OR(S$34=INDEX(T.Pikett.Bereich,2),S$34=INDEX(T.Pikett.Bereich,3)),S$11=1),8/24,0))+IF(WEEKDAY(S$10,2)&lt;6,IF(AND(OR(S$34=INDEX(T.Pikett.Bereich,2),S$34=INDEX(T.Pikett.Bereich,3)),S$11=6/8.4),10/24,0)) +IF(WEEKDAY(S$10,2)&lt;6,IF(AND(OR(S$34=INDEX(T.Pikett.Bereich,2),S$34=INDEX(T.Pikett.Bereich,3)),S$11=0.5),0.5,0)) +IF(AND(S$34=INDEX(T.Pikett.Bereich,4),S$11=6/8.4),0.75,0)+IF(AND(S$34=INDEX(T.Pikett.Bereich,4),S$11=1),16/24,0) +IF(AND(S$34=INDEX(T.Pikett.Bereich,4),S$11=0.5),20/24,0))))</f>
        <v>0</v>
      </c>
      <c r="T81" s="256" t="n">
        <f aca="true">IF(EB.Wochenarbeitszeit=50/24,"",IF(T$12=0,0,IF(OR(WEEKDAY(T$10,2)&gt;5,T$11=0),IF(NOT(T$34=INDEX(T.Pikett.Bereich,1)),1,0),IF(WEEKDAY(T$10,2)&lt;6,IF(AND(OR(T$34=INDEX(T.Pikett.Bereich,2),T$34=INDEX(T.Pikett.Bereich,3)),T$11=1),8/24,0))+IF(WEEKDAY(T$10,2)&lt;6,IF(AND(OR(T$34=INDEX(T.Pikett.Bereich,2),T$34=INDEX(T.Pikett.Bereich,3)),T$11=6/8.4),10/24,0)) +IF(WEEKDAY(T$10,2)&lt;6,IF(AND(OR(T$34=INDEX(T.Pikett.Bereich,2),T$34=INDEX(T.Pikett.Bereich,3)),T$11=0.5),0.5,0)) +IF(AND(T$34=INDEX(T.Pikett.Bereich,4),T$11=6/8.4),0.75,0)+IF(AND(T$34=INDEX(T.Pikett.Bereich,4),T$11=1),16/24,0) +IF(AND(T$34=INDEX(T.Pikett.Bereich,4),T$11=0.5),20/24,0))))</f>
        <v>0</v>
      </c>
      <c r="U81" s="256" t="n">
        <f aca="true">IF(EB.Wochenarbeitszeit=50/24,"",IF(U$12=0,0,IF(OR(WEEKDAY(U$10,2)&gt;5,U$11=0),IF(NOT(U$34=INDEX(T.Pikett.Bereich,1)),1,0),IF(WEEKDAY(U$10,2)&lt;6,IF(AND(OR(U$34=INDEX(T.Pikett.Bereich,2),U$34=INDEX(T.Pikett.Bereich,3)),U$11=1),8/24,0))+IF(WEEKDAY(U$10,2)&lt;6,IF(AND(OR(U$34=INDEX(T.Pikett.Bereich,2),U$34=INDEX(T.Pikett.Bereich,3)),U$11=6/8.4),10/24,0)) +IF(WEEKDAY(U$10,2)&lt;6,IF(AND(OR(U$34=INDEX(T.Pikett.Bereich,2),U$34=INDEX(T.Pikett.Bereich,3)),U$11=0.5),0.5,0)) +IF(AND(U$34=INDEX(T.Pikett.Bereich,4),U$11=6/8.4),0.75,0)+IF(AND(U$34=INDEX(T.Pikett.Bereich,4),U$11=1),16/24,0) +IF(AND(U$34=INDEX(T.Pikett.Bereich,4),U$11=0.5),20/24,0))))</f>
        <v>0</v>
      </c>
      <c r="V81" s="256" t="n">
        <f aca="true">IF(EB.Wochenarbeitszeit=50/24,"",IF(V$12=0,0,IF(OR(WEEKDAY(V$10,2)&gt;5,V$11=0),IF(NOT(V$34=INDEX(T.Pikett.Bereich,1)),1,0),IF(WEEKDAY(V$10,2)&lt;6,IF(AND(OR(V$34=INDEX(T.Pikett.Bereich,2),V$34=INDEX(T.Pikett.Bereich,3)),V$11=1),8/24,0))+IF(WEEKDAY(V$10,2)&lt;6,IF(AND(OR(V$34=INDEX(T.Pikett.Bereich,2),V$34=INDEX(T.Pikett.Bereich,3)),V$11=6/8.4),10/24,0)) +IF(WEEKDAY(V$10,2)&lt;6,IF(AND(OR(V$34=INDEX(T.Pikett.Bereich,2),V$34=INDEX(T.Pikett.Bereich,3)),V$11=0.5),0.5,0)) +IF(AND(V$34=INDEX(T.Pikett.Bereich,4),V$11=6/8.4),0.75,0)+IF(AND(V$34=INDEX(T.Pikett.Bereich,4),V$11=1),16/24,0) +IF(AND(V$34=INDEX(T.Pikett.Bereich,4),V$11=0.5),20/24,0))))</f>
        <v>0</v>
      </c>
      <c r="W81" s="256" t="n">
        <f aca="true">IF(EB.Wochenarbeitszeit=50/24,"",IF(W$12=0,0,IF(OR(WEEKDAY(W$10,2)&gt;5,W$11=0),IF(NOT(W$34=INDEX(T.Pikett.Bereich,1)),1,0),IF(WEEKDAY(W$10,2)&lt;6,IF(AND(OR(W$34=INDEX(T.Pikett.Bereich,2),W$34=INDEX(T.Pikett.Bereich,3)),W$11=1),8/24,0))+IF(WEEKDAY(W$10,2)&lt;6,IF(AND(OR(W$34=INDEX(T.Pikett.Bereich,2),W$34=INDEX(T.Pikett.Bereich,3)),W$11=6/8.4),10/24,0)) +IF(WEEKDAY(W$10,2)&lt;6,IF(AND(OR(W$34=INDEX(T.Pikett.Bereich,2),W$34=INDEX(T.Pikett.Bereich,3)),W$11=0.5),0.5,0)) +IF(AND(W$34=INDEX(T.Pikett.Bereich,4),W$11=6/8.4),0.75,0)+IF(AND(W$34=INDEX(T.Pikett.Bereich,4),W$11=1),16/24,0) +IF(AND(W$34=INDEX(T.Pikett.Bereich,4),W$11=0.5),20/24,0))))</f>
        <v>0</v>
      </c>
      <c r="X81" s="256" t="n">
        <f aca="true">IF(EB.Wochenarbeitszeit=50/24,"",IF(X$12=0,0,IF(OR(WEEKDAY(X$10,2)&gt;5,X$11=0),IF(NOT(X$34=INDEX(T.Pikett.Bereich,1)),1,0),IF(WEEKDAY(X$10,2)&lt;6,IF(AND(OR(X$34=INDEX(T.Pikett.Bereich,2),X$34=INDEX(T.Pikett.Bereich,3)),X$11=1),8/24,0))+IF(WEEKDAY(X$10,2)&lt;6,IF(AND(OR(X$34=INDEX(T.Pikett.Bereich,2),X$34=INDEX(T.Pikett.Bereich,3)),X$11=6/8.4),10/24,0)) +IF(WEEKDAY(X$10,2)&lt;6,IF(AND(OR(X$34=INDEX(T.Pikett.Bereich,2),X$34=INDEX(T.Pikett.Bereich,3)),X$11=0.5),0.5,0)) +IF(AND(X$34=INDEX(T.Pikett.Bereich,4),X$11=6/8.4),0.75,0)+IF(AND(X$34=INDEX(T.Pikett.Bereich,4),X$11=1),16/24,0) +IF(AND(X$34=INDEX(T.Pikett.Bereich,4),X$11=0.5),20/24,0))))</f>
        <v>0</v>
      </c>
      <c r="Y81" s="256" t="n">
        <f aca="true">IF(EB.Wochenarbeitszeit=50/24,"",IF(Y$12=0,0,IF(OR(WEEKDAY(Y$10,2)&gt;5,Y$11=0),IF(NOT(Y$34=INDEX(T.Pikett.Bereich,1)),1,0),IF(WEEKDAY(Y$10,2)&lt;6,IF(AND(OR(Y$34=INDEX(T.Pikett.Bereich,2),Y$34=INDEX(T.Pikett.Bereich,3)),Y$11=1),8/24,0))+IF(WEEKDAY(Y$10,2)&lt;6,IF(AND(OR(Y$34=INDEX(T.Pikett.Bereich,2),Y$34=INDEX(T.Pikett.Bereich,3)),Y$11=6/8.4),10/24,0)) +IF(WEEKDAY(Y$10,2)&lt;6,IF(AND(OR(Y$34=INDEX(T.Pikett.Bereich,2),Y$34=INDEX(T.Pikett.Bereich,3)),Y$11=0.5),0.5,0)) +IF(AND(Y$34=INDEX(T.Pikett.Bereich,4),Y$11=6/8.4),0.75,0)+IF(AND(Y$34=INDEX(T.Pikett.Bereich,4),Y$11=1),16/24,0) +IF(AND(Y$34=INDEX(T.Pikett.Bereich,4),Y$11=0.5),20/24,0))))</f>
        <v>0</v>
      </c>
      <c r="Z81" s="256" t="n">
        <f aca="true">IF(EB.Wochenarbeitszeit=50/24,"",IF(Z$12=0,0,IF(OR(WEEKDAY(Z$10,2)&gt;5,Z$11=0),IF(NOT(Z$34=INDEX(T.Pikett.Bereich,1)),1,0),IF(WEEKDAY(Z$10,2)&lt;6,IF(AND(OR(Z$34=INDEX(T.Pikett.Bereich,2),Z$34=INDEX(T.Pikett.Bereich,3)),Z$11=1),8/24,0))+IF(WEEKDAY(Z$10,2)&lt;6,IF(AND(OR(Z$34=INDEX(T.Pikett.Bereich,2),Z$34=INDEX(T.Pikett.Bereich,3)),Z$11=6/8.4),10/24,0)) +IF(WEEKDAY(Z$10,2)&lt;6,IF(AND(OR(Z$34=INDEX(T.Pikett.Bereich,2),Z$34=INDEX(T.Pikett.Bereich,3)),Z$11=0.5),0.5,0)) +IF(AND(Z$34=INDEX(T.Pikett.Bereich,4),Z$11=6/8.4),0.75,0)+IF(AND(Z$34=INDEX(T.Pikett.Bereich,4),Z$11=1),16/24,0) +IF(AND(Z$34=INDEX(T.Pikett.Bereich,4),Z$11=0.5),20/24,0))))</f>
        <v>0</v>
      </c>
      <c r="AA81" s="256" t="n">
        <f aca="true">IF(EB.Wochenarbeitszeit=50/24,"",IF(AA$12=0,0,IF(OR(WEEKDAY(AA$10,2)&gt;5,AA$11=0),IF(NOT(AA$34=INDEX(T.Pikett.Bereich,1)),1,0),IF(WEEKDAY(AA$10,2)&lt;6,IF(AND(OR(AA$34=INDEX(T.Pikett.Bereich,2),AA$34=INDEX(T.Pikett.Bereich,3)),AA$11=1),8/24,0))+IF(WEEKDAY(AA$10,2)&lt;6,IF(AND(OR(AA$34=INDEX(T.Pikett.Bereich,2),AA$34=INDEX(T.Pikett.Bereich,3)),AA$11=6/8.4),10/24,0)) +IF(WEEKDAY(AA$10,2)&lt;6,IF(AND(OR(AA$34=INDEX(T.Pikett.Bereich,2),AA$34=INDEX(T.Pikett.Bereich,3)),AA$11=0.5),0.5,0)) +IF(AND(AA$34=INDEX(T.Pikett.Bereich,4),AA$11=6/8.4),0.75,0)+IF(AND(AA$34=INDEX(T.Pikett.Bereich,4),AA$11=1),16/24,0) +IF(AND(AA$34=INDEX(T.Pikett.Bereich,4),AA$11=0.5),20/24,0))))</f>
        <v>0</v>
      </c>
      <c r="AB81" s="256" t="n">
        <f aca="true">IF(EB.Wochenarbeitszeit=50/24,"",IF(AB$12=0,0,IF(OR(WEEKDAY(AB$10,2)&gt;5,AB$11=0),IF(NOT(AB$34=INDEX(T.Pikett.Bereich,1)),1,0),IF(WEEKDAY(AB$10,2)&lt;6,IF(AND(OR(AB$34=INDEX(T.Pikett.Bereich,2),AB$34=INDEX(T.Pikett.Bereich,3)),AB$11=1),8/24,0))+IF(WEEKDAY(AB$10,2)&lt;6,IF(AND(OR(AB$34=INDEX(T.Pikett.Bereich,2),AB$34=INDEX(T.Pikett.Bereich,3)),AB$11=6/8.4),10/24,0)) +IF(WEEKDAY(AB$10,2)&lt;6,IF(AND(OR(AB$34=INDEX(T.Pikett.Bereich,2),AB$34=INDEX(T.Pikett.Bereich,3)),AB$11=0.5),0.5,0)) +IF(AND(AB$34=INDEX(T.Pikett.Bereich,4),AB$11=6/8.4),0.75,0)+IF(AND(AB$34=INDEX(T.Pikett.Bereich,4),AB$11=1),16/24,0) +IF(AND(AB$34=INDEX(T.Pikett.Bereich,4),AB$11=0.5),20/24,0))))</f>
        <v>0</v>
      </c>
      <c r="AC81" s="256" t="n">
        <f aca="true">IF(EB.Wochenarbeitszeit=50/24,"",IF(AC$12=0,0,IF(OR(WEEKDAY(AC$10,2)&gt;5,AC$11=0),IF(NOT(AC$34=INDEX(T.Pikett.Bereich,1)),1,0),IF(WEEKDAY(AC$10,2)&lt;6,IF(AND(OR(AC$34=INDEX(T.Pikett.Bereich,2),AC$34=INDEX(T.Pikett.Bereich,3)),AC$11=1),8/24,0))+IF(WEEKDAY(AC$10,2)&lt;6,IF(AND(OR(AC$34=INDEX(T.Pikett.Bereich,2),AC$34=INDEX(T.Pikett.Bereich,3)),AC$11=6/8.4),10/24,0)) +IF(WEEKDAY(AC$10,2)&lt;6,IF(AND(OR(AC$34=INDEX(T.Pikett.Bereich,2),AC$34=INDEX(T.Pikett.Bereich,3)),AC$11=0.5),0.5,0)) +IF(AND(AC$34=INDEX(T.Pikett.Bereich,4),AC$11=6/8.4),0.75,0)+IF(AND(AC$34=INDEX(T.Pikett.Bereich,4),AC$11=1),16/24,0) +IF(AND(AC$34=INDEX(T.Pikett.Bereich,4),AC$11=0.5),20/24,0))))</f>
        <v>0</v>
      </c>
      <c r="AD81" s="168" t="str">
        <f aca="false">A81</f>
        <v>On-call duty</v>
      </c>
      <c r="AE81" s="250"/>
      <c r="AF81" s="207" t="n">
        <f aca="false">SUM(B81:AC81)</f>
        <v>0</v>
      </c>
      <c r="AG81" s="33"/>
      <c r="AH81" s="192"/>
      <c r="AI81" s="216" t="n">
        <f aca="false">IF(EB.Anwendung&lt;&gt;"",IF(MONTH(Monat.Tag1)=1,0,IF(MONTH(Monat.Tag1)=2,January!Monat.BDUeVM,IF(MONTH(Monat.Tag1)=3,Monat.BDUeVM,IF(MONTH(Monat.Tag1)=4,March!Monat.BDUeVM,IF(MONTH(Monat.Tag1)=5,April!Monat.BDUeVM,IF(MONTH(Monat.Tag1)=6,May!Monat.BDUeVM,IF(MONTH(Monat.Tag1)=7,June!Monat.BDUeVM,IF(MONTH(Monat.Tag1)=8,July!Monat.BDUeVM,IF(MONTH(Monat.Tag1)=9,August!Monat.BDUeVM,IF(MONTH(Monat.Tag1)=10,September!Monat.BDUeVM,IF(MONTH(Monat.Tag1)=11,October!Monat.BDUeVM,IF(MONTH(Monat.Tag1)=12,November!Monat.BDUeVM,"")))))))))))),"")</f>
        <v>0</v>
      </c>
      <c r="AJ81" s="172"/>
      <c r="AK81" s="217" t="n">
        <f aca="false">AF81+AI81</f>
        <v>0</v>
      </c>
      <c r="AL81" s="171"/>
      <c r="AM81" s="171"/>
      <c r="AN81" s="39"/>
    </row>
    <row r="82" s="148" customFormat="true" ht="15" hidden="false" customHeight="true" outlineLevel="1" collapsed="false">
      <c r="A82" s="175" t="s">
        <v>165</v>
      </c>
      <c r="B82" s="256" t="str">
        <f aca="false">IF(B$12=0,"",IF(OR(WEEKDAY(B$10,2)&gt;5,B$11=0), IF(T.50_NoVetsuisse,B45, IF(T.50_Vetsuisse,IF(B23-B73=0,"",B23-B73), IF(T.ServiceCenterIrchel,B23, B60))),))</f>
        <v/>
      </c>
      <c r="C82" s="256" t="str">
        <f aca="false">IF(C$12=0,"",IF(OR(WEEKDAY(C$10,2)&gt;5,C$11=0), IF(T.50_NoVetsuisse,C45, IF(T.50_Vetsuisse,IF(C23-C73=0,"",C23-C73), IF(T.ServiceCenterIrchel,C23, C60))),))</f>
        <v/>
      </c>
      <c r="D82" s="257" t="str">
        <f aca="false">IF(D$12=0,"",IF(OR(WEEKDAY(D$10,2)&gt;5,D$11=0), IF(T.50_NoVetsuisse,D45, IF(T.50_Vetsuisse,IF(D23-D73=0,"",D23-D73), IF(T.ServiceCenterIrchel,D23, D60))),))</f>
        <v/>
      </c>
      <c r="E82" s="256" t="str">
        <f aca="false">IF(E$12=0,"",IF(OR(WEEKDAY(E$10,2)&gt;5,E$11=0), IF(T.50_NoVetsuisse,E45, IF(T.50_Vetsuisse,IF(E23-E73=0,"",E23-E73), IF(T.ServiceCenterIrchel,E23, E60))),))</f>
        <v/>
      </c>
      <c r="F82" s="257" t="str">
        <f aca="false">IF(F$12=0,"",IF(OR(WEEKDAY(F$10,2)&gt;5,F$11=0), IF(T.50_NoVetsuisse,F45, IF(T.50_Vetsuisse,IF(F23-F73=0,"",F23-F73), IF(T.ServiceCenterIrchel,F23, F60))),))</f>
        <v/>
      </c>
      <c r="G82" s="257" t="str">
        <f aca="false">IF(G$12=0,"",IF(OR(WEEKDAY(G$10,2)&gt;5,G$11=0), IF(T.50_NoVetsuisse,G45, IF(T.50_Vetsuisse,IF(G23-G73=0,"",G23-G73), IF(T.ServiceCenterIrchel,G23, G60))),))</f>
        <v/>
      </c>
      <c r="H82" s="257" t="str">
        <f aca="false">IF(H$12=0,"",IF(OR(WEEKDAY(H$10,2)&gt;5,H$11=0), IF(T.50_NoVetsuisse,H45, IF(T.50_Vetsuisse,IF(H23-H73=0,"",H23-H73), IF(T.ServiceCenterIrchel,H23, H60))),))</f>
        <v/>
      </c>
      <c r="I82" s="257" t="str">
        <f aca="false">IF(I$12=0,"",IF(OR(WEEKDAY(I$10,2)&gt;5,I$11=0), IF(T.50_NoVetsuisse,I45, IF(T.50_Vetsuisse,IF(I23-I73=0,"",I23-I73), IF(T.ServiceCenterIrchel,I23, I60))),))</f>
        <v/>
      </c>
      <c r="J82" s="256" t="str">
        <f aca="false">IF(J$12=0,"",IF(OR(WEEKDAY(J$10,2)&gt;5,J$11=0), IF(T.50_NoVetsuisse,J45, IF(T.50_Vetsuisse,IF(J23-J73=0,"",J23-J73), IF(T.ServiceCenterIrchel,J23, J60))),))</f>
        <v/>
      </c>
      <c r="K82" s="257" t="str">
        <f aca="false">IF(K$12=0,"",IF(OR(WEEKDAY(K$10,2)&gt;5,K$11=0), IF(T.50_NoVetsuisse,K45, IF(T.50_Vetsuisse,IF(K23-K73=0,"",K23-K73), IF(T.ServiceCenterIrchel,K23, K60))),))</f>
        <v/>
      </c>
      <c r="L82" s="256" t="str">
        <f aca="false">IF(L$12=0,"",IF(OR(WEEKDAY(L$10,2)&gt;5,L$11=0), IF(T.50_NoVetsuisse,L45, IF(T.50_Vetsuisse,IF(L23-L73=0,"",L23-L73), IF(T.ServiceCenterIrchel,L23, L60))),))</f>
        <v/>
      </c>
      <c r="M82" s="257" t="str">
        <f aca="false">IF(M$12=0,"",IF(OR(WEEKDAY(M$10,2)&gt;5,M$11=0), IF(T.50_NoVetsuisse,M45, IF(T.50_Vetsuisse,IF(M23-M73=0,"",M23-M73), IF(T.ServiceCenterIrchel,M23, M60))),))</f>
        <v/>
      </c>
      <c r="N82" s="257" t="str">
        <f aca="false">IF(N$12=0,"",IF(OR(WEEKDAY(N$10,2)&gt;5,N$11=0), IF(T.50_NoVetsuisse,N45, IF(T.50_Vetsuisse,IF(N23-N73=0,"",N23-N73), IF(T.ServiceCenterIrchel,N23, N60))),))</f>
        <v/>
      </c>
      <c r="O82" s="257" t="str">
        <f aca="false">IF(O$12=0,"",IF(OR(WEEKDAY(O$10,2)&gt;5,O$11=0), IF(T.50_NoVetsuisse,O45, IF(T.50_Vetsuisse,IF(O23-O73=0,"",O23-O73), IF(T.ServiceCenterIrchel,O23, O60))),))</f>
        <v/>
      </c>
      <c r="P82" s="257" t="str">
        <f aca="false">IF(P$12=0,"",IF(OR(WEEKDAY(P$10,2)&gt;5,P$11=0), IF(T.50_NoVetsuisse,P45, IF(T.50_Vetsuisse,IF(P23-P73=0,"",P23-P73), IF(T.ServiceCenterIrchel,P23, P60))),))</f>
        <v/>
      </c>
      <c r="Q82" s="256" t="str">
        <f aca="false">IF(Q$12=0,"",IF(OR(WEEKDAY(Q$10,2)&gt;5,Q$11=0), IF(T.50_NoVetsuisse,Q45, IF(T.50_Vetsuisse,IF(Q23-Q73=0,"",Q23-Q73), IF(T.ServiceCenterIrchel,Q23, Q60))),))</f>
        <v/>
      </c>
      <c r="R82" s="257" t="str">
        <f aca="false">IF(R$12=0,"",IF(OR(WEEKDAY(R$10,2)&gt;5,R$11=0), IF(T.50_NoVetsuisse,R45, IF(T.50_Vetsuisse,IF(R23-R73=0,"",R23-R73), IF(T.ServiceCenterIrchel,R23, R60))),))</f>
        <v/>
      </c>
      <c r="S82" s="256" t="str">
        <f aca="false">IF(S$12=0,"",IF(OR(WEEKDAY(S$10,2)&gt;5,S$11=0), IF(T.50_NoVetsuisse,S45, IF(T.50_Vetsuisse,IF(S23-S73=0,"",S23-S73), IF(T.ServiceCenterIrchel,S23, S60))),))</f>
        <v/>
      </c>
      <c r="T82" s="256" t="str">
        <f aca="false">IF(T$12=0,"",IF(OR(WEEKDAY(T$10,2)&gt;5,T$11=0), IF(T.50_NoVetsuisse,T45, IF(T.50_Vetsuisse,IF(T23-T73=0,"",T23-T73), IF(T.ServiceCenterIrchel,T23, T60))),))</f>
        <v/>
      </c>
      <c r="U82" s="257" t="str">
        <f aca="false">IF(U$12=0,"",IF(OR(WEEKDAY(U$10,2)&gt;5,U$11=0), IF(T.50_NoVetsuisse,U45, IF(T.50_Vetsuisse,IF(U23-U73=0,"",U23-U73), IF(T.ServiceCenterIrchel,U23, U60))),))</f>
        <v/>
      </c>
      <c r="V82" s="257" t="str">
        <f aca="false">IF(V$12=0,"",IF(OR(WEEKDAY(V$10,2)&gt;5,V$11=0), IF(T.50_NoVetsuisse,V45, IF(T.50_Vetsuisse,IF(V23-V73=0,"",V23-V73), IF(T.ServiceCenterIrchel,V23, V60))),))</f>
        <v/>
      </c>
      <c r="W82" s="257" t="str">
        <f aca="false">IF(W$12=0,"",IF(OR(WEEKDAY(W$10,2)&gt;5,W$11=0), IF(T.50_NoVetsuisse,W45, IF(T.50_Vetsuisse,IF(W23-W73=0,"",W23-W73), IF(T.ServiceCenterIrchel,W23, W60))),))</f>
        <v/>
      </c>
      <c r="X82" s="256" t="str">
        <f aca="false">IF(X$12=0,"",IF(OR(WEEKDAY(X$10,2)&gt;5,X$11=0), IF(T.50_NoVetsuisse,X45, IF(T.50_Vetsuisse,IF(X23-X73=0,"",X23-X73), IF(T.ServiceCenterIrchel,X23, X60))),))</f>
        <v/>
      </c>
      <c r="Y82" s="257" t="str">
        <f aca="false">IF(Y$12=0,"",IF(OR(WEEKDAY(Y$10,2)&gt;5,Y$11=0), IF(T.50_NoVetsuisse,Y45, IF(T.50_Vetsuisse,IF(Y23-Y73=0,"",Y23-Y73), IF(T.ServiceCenterIrchel,Y23, Y60))),))</f>
        <v/>
      </c>
      <c r="Z82" s="258" t="str">
        <f aca="false">IF(Z$12=0,"",IF(OR(WEEKDAY(Z$10,2)&gt;5,Z$11=0), IF(T.50_NoVetsuisse,Z45, IF(T.50_Vetsuisse,IF(Z23-Z73=0,"",Z23-Z73), IF(T.ServiceCenterIrchel,Z23, Z60))),))</f>
        <v/>
      </c>
      <c r="AA82" s="257" t="str">
        <f aca="false">IF(AA$12=0,"",IF(OR(WEEKDAY(AA$10,2)&gt;5,AA$11=0), IF(T.50_NoVetsuisse,AA45, IF(T.50_Vetsuisse,IF(AA23-AA73=0,"",AA23-AA73), IF(T.ServiceCenterIrchel,AA23, AA60))),))</f>
        <v/>
      </c>
      <c r="AB82" s="257" t="str">
        <f aca="false">IF(AB$12=0,"",IF(OR(WEEKDAY(AB$10,2)&gt;5,AB$11=0), IF(T.50_NoVetsuisse,AB45, IF(T.50_Vetsuisse,IF(AB23-AB73=0,"",AB23-AB73), IF(T.ServiceCenterIrchel,AB23, AB60))),))</f>
        <v/>
      </c>
      <c r="AC82" s="257" t="str">
        <f aca="false">IF(AC$12=0,"",IF(OR(WEEKDAY(AC$10,2)&gt;5,AC$11=0), IF(T.50_NoVetsuisse,AC45, IF(T.50_Vetsuisse,IF(AC23-AC73=0,"",AC23-AC73), IF(T.ServiceCenterIrchel,AC23, AC60))),))</f>
        <v/>
      </c>
      <c r="AD82" s="168" t="str">
        <f aca="false">A82</f>
        <v>Saturday/Sunday shift</v>
      </c>
      <c r="AE82" s="197"/>
      <c r="AF82" s="207" t="n">
        <f aca="false">SUM(B82:AC82)</f>
        <v>0</v>
      </c>
      <c r="AG82" s="198" t="n">
        <f aca="false">IFERROR(SUMPRODUCT((B82:AC82&gt;0)*(B82:AC82&lt;&gt;"")),0)</f>
        <v>0</v>
      </c>
      <c r="AH82" s="192"/>
      <c r="AI82" s="216" t="n">
        <f aca="false">IF(EB.Anwendung&lt;&gt;"",IF(MONTH(Monat.Tag1)=1,0,IF(MONTH(Monat.Tag1)=2,January!Monat.SDUeVM,IF(MONTH(Monat.Tag1)=3,Monat.SDUeVM,IF(MONTH(Monat.Tag1)=4,March!Monat.SDUeVM,IF(MONTH(Monat.Tag1)=5,April!Monat.SDUeVM,IF(MONTH(Monat.Tag1)=6,May!Monat.SDUeVM,IF(MONTH(Monat.Tag1)=7,June!Monat.SDUeVM,IF(MONTH(Monat.Tag1)=8,July!Monat.SDUeVM,IF(MONTH(Monat.Tag1)=9,August!Monat.SDUeVM,IF(MONTH(Monat.Tag1)=10,September!Monat.SDUeVM,IF(MONTH(Monat.Tag1)=11,October!Monat.SDUeVM,IF(MONTH(Monat.Tag1)=12,November!Monat.SDUeVM,"")))))))))))),"")</f>
        <v>0</v>
      </c>
      <c r="AJ82" s="172"/>
      <c r="AK82" s="217" t="n">
        <f aca="false">AF82+AI82</f>
        <v>0</v>
      </c>
      <c r="AL82" s="171"/>
      <c r="AM82" s="171"/>
      <c r="AN82" s="39"/>
    </row>
    <row r="83" s="148" customFormat="true" ht="11.25" hidden="false" customHeight="true" outlineLevel="1" collapsed="false">
      <c r="A83" s="186"/>
      <c r="B83" s="194"/>
      <c r="C83" s="194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4"/>
      <c r="O83" s="194"/>
      <c r="P83" s="194"/>
      <c r="Q83" s="194"/>
      <c r="R83" s="194"/>
      <c r="S83" s="194"/>
      <c r="T83" s="194"/>
      <c r="U83" s="194"/>
      <c r="V83" s="194"/>
      <c r="W83" s="194"/>
      <c r="X83" s="194"/>
      <c r="Y83" s="194"/>
      <c r="Z83" s="194"/>
      <c r="AA83" s="194"/>
      <c r="AB83" s="194"/>
      <c r="AC83" s="194"/>
      <c r="AD83" s="168"/>
      <c r="AE83" s="197"/>
      <c r="AF83" s="192"/>
      <c r="AG83" s="27"/>
      <c r="AH83" s="235"/>
      <c r="AI83" s="235"/>
      <c r="AJ83" s="172"/>
      <c r="AK83" s="254"/>
      <c r="AL83" s="259"/>
      <c r="AM83" s="259"/>
      <c r="AN83" s="39"/>
    </row>
    <row r="84" s="148" customFormat="true" ht="15" hidden="false" customHeight="true" outlineLevel="0" collapsed="false">
      <c r="A84" s="175" t="s">
        <v>166</v>
      </c>
      <c r="B84" s="176"/>
      <c r="C84" s="176"/>
      <c r="D84" s="176"/>
      <c r="E84" s="176"/>
      <c r="F84" s="176"/>
      <c r="G84" s="176"/>
      <c r="H84" s="176"/>
      <c r="I84" s="176"/>
      <c r="J84" s="176"/>
      <c r="K84" s="176"/>
      <c r="L84" s="176"/>
      <c r="M84" s="176"/>
      <c r="N84" s="176"/>
      <c r="O84" s="176"/>
      <c r="P84" s="176"/>
      <c r="Q84" s="176"/>
      <c r="R84" s="176"/>
      <c r="S84" s="176"/>
      <c r="T84" s="176"/>
      <c r="U84" s="176"/>
      <c r="V84" s="176"/>
      <c r="W84" s="176"/>
      <c r="X84" s="176"/>
      <c r="Y84" s="176"/>
      <c r="Z84" s="190"/>
      <c r="AA84" s="176"/>
      <c r="AB84" s="176"/>
      <c r="AC84" s="176"/>
      <c r="AD84" s="168" t="str">
        <f aca="false">A84</f>
        <v>Vacation</v>
      </c>
      <c r="AE84" s="184"/>
      <c r="AF84" s="207" t="n">
        <f aca="false">SUM(B84:AC84)</f>
        <v>0</v>
      </c>
      <c r="AG84" s="33"/>
      <c r="AH84" s="216" t="n">
        <f aca="true">OFFSET(EB.MFAStd.Knoten,MONTH(Monat.Tag1),0,1,1)</f>
        <v>0</v>
      </c>
      <c r="AI84" s="216" t="n">
        <f aca="false">IF(EB.Anwendung&lt;&gt;"",IF(MONTH(Monat.Tag1)=1,EB.FerienBer,IF(MONTH(Monat.Tag1)=2,January!Monat.FerienUeVM,IF(MONTH(Monat.Tag1)=3,Monat.FerienUeVM,IF(MONTH(Monat.Tag1)=4,March!Monat.FerienUeVM,IF(MONTH(Monat.Tag1)=5,April!Monat.FerienUeVM,IF(MONTH(Monat.Tag1)=6,May!Monat.FerienUeVM,IF(MONTH(Monat.Tag1)=7,June!Monat.FerienUeVM,IF(MONTH(Monat.Tag1)=8,July!Monat.FerienUeVM,IF(MONTH(Monat.Tag1)=9,August!Monat.FerienUeVM,IF(MONTH(Monat.Tag1)=10,September!Monat.FerienUeVM,IF(MONTH(Monat.Tag1)=11,October!Monat.FerienUeVM,IF(MONTH(Monat.Tag1)=12,November!Monat.FerienUeVM,"")))))))))))),"")</f>
        <v>0</v>
      </c>
      <c r="AJ84" s="172"/>
      <c r="AK84" s="217" t="n">
        <f aca="false">IF(AE85="+",(AH84+AI84-Monat.Ferien.Total+AF85),(AH84+AI84-Monat.Ferien.Total-AF85))</f>
        <v>0</v>
      </c>
      <c r="AL84" s="217" t="n">
        <f aca="true">SUM(Jahresabrechnung!AC12:AC13)-SUM(OFFSET(Jahresabrechnung!AC15,0,0,MONTH(Monat.Tag1),1))</f>
        <v>5.25</v>
      </c>
      <c r="AM84" s="217" t="n">
        <f aca="false">J.FerienUE.Total</f>
        <v>5.25</v>
      </c>
      <c r="AN84" s="39"/>
    </row>
    <row r="85" s="148" customFormat="true" ht="15" hidden="false" customHeight="true" outlineLevel="0" collapsed="false">
      <c r="A85" s="186"/>
      <c r="B85" s="191"/>
      <c r="C85" s="191"/>
      <c r="D85" s="191"/>
      <c r="E85" s="191"/>
      <c r="F85" s="191"/>
      <c r="G85" s="191"/>
      <c r="H85" s="191"/>
      <c r="I85" s="191"/>
      <c r="J85" s="191"/>
      <c r="K85" s="191"/>
      <c r="L85" s="191"/>
      <c r="M85" s="191"/>
      <c r="N85" s="191"/>
      <c r="O85" s="191"/>
      <c r="P85" s="191"/>
      <c r="Q85" s="191"/>
      <c r="R85" s="191"/>
      <c r="S85" s="191"/>
      <c r="T85" s="191"/>
      <c r="U85" s="191"/>
      <c r="V85" s="191"/>
      <c r="W85" s="191"/>
      <c r="X85" s="191"/>
      <c r="Y85" s="191"/>
      <c r="Z85" s="191"/>
      <c r="AA85" s="191"/>
      <c r="AB85" s="191"/>
      <c r="AC85" s="191"/>
      <c r="AD85" s="175" t="s">
        <v>167</v>
      </c>
      <c r="AE85" s="244" t="s">
        <v>146</v>
      </c>
      <c r="AF85" s="260"/>
      <c r="AG85" s="246"/>
      <c r="AH85" s="172"/>
      <c r="AI85" s="172"/>
      <c r="AJ85" s="172"/>
      <c r="AK85" s="171"/>
      <c r="AL85" s="261"/>
      <c r="AM85" s="261"/>
      <c r="AN85" s="39"/>
    </row>
    <row r="86" s="148" customFormat="true" ht="15" hidden="false" customHeight="true" outlineLevel="0" collapsed="false">
      <c r="A86" s="175" t="s">
        <v>168</v>
      </c>
      <c r="B86" s="176"/>
      <c r="C86" s="176"/>
      <c r="D86" s="176"/>
      <c r="E86" s="177"/>
      <c r="F86" s="176"/>
      <c r="G86" s="176"/>
      <c r="H86" s="176"/>
      <c r="I86" s="176"/>
      <c r="J86" s="177"/>
      <c r="K86" s="176"/>
      <c r="L86" s="177"/>
      <c r="M86" s="176"/>
      <c r="N86" s="176"/>
      <c r="O86" s="176"/>
      <c r="P86" s="176"/>
      <c r="Q86" s="177"/>
      <c r="R86" s="176"/>
      <c r="S86" s="177"/>
      <c r="T86" s="177"/>
      <c r="U86" s="176"/>
      <c r="V86" s="176"/>
      <c r="W86" s="176"/>
      <c r="X86" s="177"/>
      <c r="Y86" s="176"/>
      <c r="Z86" s="178"/>
      <c r="AA86" s="176"/>
      <c r="AB86" s="176"/>
      <c r="AC86" s="176"/>
      <c r="AD86" s="168" t="str">
        <f aca="false">A86</f>
        <v>Consultation</v>
      </c>
      <c r="AE86" s="184"/>
      <c r="AF86" s="207" t="n">
        <f aca="false">SUM(B86:AC86)</f>
        <v>0</v>
      </c>
      <c r="AG86" s="33"/>
      <c r="AH86" s="235"/>
      <c r="AI86" s="216" t="n">
        <f aca="false">IF(EB.Anwendung&lt;&gt;"",IF(MONTH(Monat.Tag1)=1,0,IF(MONTH(Monat.Tag1)=2,January!Monat.ArztUeVM,IF(MONTH(Monat.Tag1)=3,Monat.ArztUeVM,IF(MONTH(Monat.Tag1)=4,March!Monat.ArztUeVM,IF(MONTH(Monat.Tag1)=5,April!Monat.ArztUeVM,IF(MONTH(Monat.Tag1)=6,May!Monat.ArztUeVM,IF(MONTH(Monat.Tag1)=7,June!Monat.ArztUeVM,IF(MONTH(Monat.Tag1)=8,July!Monat.ArztUeVM,IF(MONTH(Monat.Tag1)=9,August!Monat.ArztUeVM,IF(MONTH(Monat.Tag1)=10,September!Monat.ArztUeVM,IF(MONTH(Monat.Tag1)=11,October!Monat.ArztUeVM,IF(MONTH(Monat.Tag1)=12,November!Monat.ArztUeVM,"")))))))))))),"")</f>
        <v>0</v>
      </c>
      <c r="AJ86" s="172"/>
      <c r="AK86" s="217" t="n">
        <f aca="false">AF86+AI86</f>
        <v>0</v>
      </c>
      <c r="AL86" s="171"/>
      <c r="AM86" s="171"/>
      <c r="AN86" s="39"/>
    </row>
    <row r="87" s="148" customFormat="true" ht="15" hidden="false" customHeight="true" outlineLevel="0" collapsed="false">
      <c r="A87" s="175" t="s">
        <v>169</v>
      </c>
      <c r="B87" s="176"/>
      <c r="C87" s="176"/>
      <c r="D87" s="176"/>
      <c r="E87" s="177"/>
      <c r="F87" s="176"/>
      <c r="G87" s="176"/>
      <c r="H87" s="176"/>
      <c r="I87" s="176"/>
      <c r="J87" s="177"/>
      <c r="K87" s="176"/>
      <c r="L87" s="177"/>
      <c r="M87" s="176"/>
      <c r="N87" s="176"/>
      <c r="O87" s="176"/>
      <c r="P87" s="176"/>
      <c r="Q87" s="177"/>
      <c r="R87" s="176"/>
      <c r="S87" s="177"/>
      <c r="T87" s="177"/>
      <c r="U87" s="176"/>
      <c r="V87" s="176"/>
      <c r="W87" s="176"/>
      <c r="X87" s="177"/>
      <c r="Y87" s="176"/>
      <c r="Z87" s="178"/>
      <c r="AA87" s="176"/>
      <c r="AB87" s="176"/>
      <c r="AC87" s="176"/>
      <c r="AD87" s="168" t="str">
        <f aca="false">A87</f>
        <v>Illness</v>
      </c>
      <c r="AE87" s="184"/>
      <c r="AF87" s="207" t="n">
        <f aca="false">SUM(B87:AC87)</f>
        <v>0</v>
      </c>
      <c r="AG87" s="33"/>
      <c r="AH87" s="235"/>
      <c r="AI87" s="216" t="n">
        <f aca="false">IF(EB.Anwendung&lt;&gt;"",IF(MONTH(Monat.Tag1)=1,0,IF(MONTH(Monat.Tag1)=2,January!Monat.KrankUeVM,IF(MONTH(Monat.Tag1)=3,Monat.KrankUeVM,IF(MONTH(Monat.Tag1)=4,March!Monat.KrankUeVM,IF(MONTH(Monat.Tag1)=5,April!Monat.KrankUeVM,IF(MONTH(Monat.Tag1)=6,May!Monat.KrankUeVM,IF(MONTH(Monat.Tag1)=7,June!Monat.KrankUeVM,IF(MONTH(Monat.Tag1)=8,July!Monat.KrankUeVM,IF(MONTH(Monat.Tag1)=9,August!Monat.KrankUeVM,IF(MONTH(Monat.Tag1)=10,September!Monat.KrankUeVM,IF(MONTH(Monat.Tag1)=11,October!Monat.KrankUeVM,IF(MONTH(Monat.Tag1)=12,November!Monat.KrankUeVM,"")))))))))))),"")</f>
        <v>0</v>
      </c>
      <c r="AJ87" s="172"/>
      <c r="AK87" s="217" t="n">
        <f aca="false">AF87+AI87</f>
        <v>0</v>
      </c>
      <c r="AL87" s="171"/>
      <c r="AM87" s="171"/>
      <c r="AN87" s="39"/>
    </row>
    <row r="88" s="148" customFormat="true" ht="15" hidden="false" customHeight="true" outlineLevel="0" collapsed="false">
      <c r="A88" s="175" t="s">
        <v>170</v>
      </c>
      <c r="B88" s="176"/>
      <c r="C88" s="176"/>
      <c r="D88" s="176"/>
      <c r="E88" s="177"/>
      <c r="F88" s="176"/>
      <c r="G88" s="176"/>
      <c r="H88" s="176"/>
      <c r="I88" s="176"/>
      <c r="J88" s="177"/>
      <c r="K88" s="176"/>
      <c r="L88" s="177"/>
      <c r="M88" s="176"/>
      <c r="N88" s="176"/>
      <c r="O88" s="176"/>
      <c r="P88" s="176"/>
      <c r="Q88" s="177"/>
      <c r="R88" s="176"/>
      <c r="S88" s="177"/>
      <c r="T88" s="177"/>
      <c r="U88" s="176"/>
      <c r="V88" s="176"/>
      <c r="W88" s="176"/>
      <c r="X88" s="177"/>
      <c r="Y88" s="176"/>
      <c r="Z88" s="178"/>
      <c r="AA88" s="176"/>
      <c r="AB88" s="176"/>
      <c r="AC88" s="176"/>
      <c r="AD88" s="168" t="str">
        <f aca="false">A88</f>
        <v>Work-related accident</v>
      </c>
      <c r="AE88" s="184"/>
      <c r="AF88" s="207" t="n">
        <f aca="false">SUM(B88:AC88)</f>
        <v>0</v>
      </c>
      <c r="AG88" s="33"/>
      <c r="AH88" s="235"/>
      <c r="AI88" s="216" t="n">
        <f aca="false">IF(EB.Anwendung&lt;&gt;"",IF(MONTH(Monat.Tag1)=1,0,IF(MONTH(Monat.Tag1)=2,January!Monat.BUUeVM,IF(MONTH(Monat.Tag1)=3,Monat.BUUeVM,IF(MONTH(Monat.Tag1)=4,March!Monat.BUUeVM,IF(MONTH(Monat.Tag1)=5,April!Monat.BUUeVM,IF(MONTH(Monat.Tag1)=6,May!Monat.BUUeVM,IF(MONTH(Monat.Tag1)=7,June!Monat.BUUeVM,IF(MONTH(Monat.Tag1)=8,July!Monat.BUUeVM,IF(MONTH(Monat.Tag1)=9,August!Monat.BUUeVM,IF(MONTH(Monat.Tag1)=10,September!Monat.BUUeVM,IF(MONTH(Monat.Tag1)=11,October!Monat.BUUeVM,IF(MONTH(Monat.Tag1)=12,November!Monat.BUUeVM,"")))))))))))),"")</f>
        <v>0</v>
      </c>
      <c r="AJ88" s="172"/>
      <c r="AK88" s="217" t="n">
        <f aca="false">AF88+AI88</f>
        <v>0</v>
      </c>
      <c r="AL88" s="171"/>
      <c r="AM88" s="171"/>
      <c r="AN88" s="39"/>
    </row>
    <row r="89" s="148" customFormat="true" ht="15" hidden="false" customHeight="true" outlineLevel="0" collapsed="false">
      <c r="A89" s="175" t="s">
        <v>171</v>
      </c>
      <c r="B89" s="176"/>
      <c r="C89" s="176"/>
      <c r="D89" s="176"/>
      <c r="E89" s="177"/>
      <c r="F89" s="176"/>
      <c r="G89" s="176"/>
      <c r="H89" s="176"/>
      <c r="I89" s="176"/>
      <c r="J89" s="177"/>
      <c r="K89" s="176"/>
      <c r="L89" s="177"/>
      <c r="M89" s="176"/>
      <c r="N89" s="176"/>
      <c r="O89" s="176"/>
      <c r="P89" s="176"/>
      <c r="Q89" s="177"/>
      <c r="R89" s="176"/>
      <c r="S89" s="177"/>
      <c r="T89" s="177"/>
      <c r="U89" s="176"/>
      <c r="V89" s="176"/>
      <c r="W89" s="176"/>
      <c r="X89" s="177"/>
      <c r="Y89" s="176"/>
      <c r="Z89" s="178"/>
      <c r="AA89" s="176"/>
      <c r="AB89" s="176"/>
      <c r="AC89" s="176"/>
      <c r="AD89" s="168" t="str">
        <f aca="false">A89</f>
        <v>Non-work-related accident</v>
      </c>
      <c r="AE89" s="184"/>
      <c r="AF89" s="207" t="n">
        <f aca="false">SUM(B89:AC89)</f>
        <v>0</v>
      </c>
      <c r="AG89" s="33"/>
      <c r="AH89" s="235"/>
      <c r="AI89" s="216" t="n">
        <f aca="false">IF(EB.Anwendung&lt;&gt;"",IF(MONTH(Monat.Tag1)=1,0,IF(MONTH(Monat.Tag1)=2,January!Monat.NBUUeVM,IF(MONTH(Monat.Tag1)=3,Monat.NBUUeVM,IF(MONTH(Monat.Tag1)=4,March!Monat.NBUUeVM,IF(MONTH(Monat.Tag1)=5,April!Monat.NBUUeVM,IF(MONTH(Monat.Tag1)=6,May!Monat.NBUUeVM,IF(MONTH(Monat.Tag1)=7,June!Monat.NBUUeVM,IF(MONTH(Monat.Tag1)=8,July!Monat.NBUUeVM,IF(MONTH(Monat.Tag1)=9,August!Monat.NBUUeVM,IF(MONTH(Monat.Tag1)=10,September!Monat.NBUUeVM,IF(MONTH(Monat.Tag1)=11,October!Monat.NBUUeVM,IF(MONTH(Monat.Tag1)=12,November!Monat.NBUUeVM,"")))))))))))),"")</f>
        <v>0</v>
      </c>
      <c r="AJ89" s="172"/>
      <c r="AK89" s="217" t="n">
        <f aca="false">AF89+AI89</f>
        <v>0</v>
      </c>
      <c r="AL89" s="171"/>
      <c r="AM89" s="171"/>
      <c r="AN89" s="39"/>
    </row>
    <row r="90" s="148" customFormat="true" ht="15" hidden="false" customHeight="true" outlineLevel="0" collapsed="false">
      <c r="A90" s="175" t="s">
        <v>172</v>
      </c>
      <c r="B90" s="176"/>
      <c r="C90" s="176"/>
      <c r="D90" s="176"/>
      <c r="E90" s="177"/>
      <c r="F90" s="176"/>
      <c r="G90" s="176"/>
      <c r="H90" s="176"/>
      <c r="I90" s="176"/>
      <c r="J90" s="177"/>
      <c r="K90" s="176"/>
      <c r="L90" s="177"/>
      <c r="M90" s="176"/>
      <c r="N90" s="176"/>
      <c r="O90" s="176"/>
      <c r="P90" s="176"/>
      <c r="Q90" s="177"/>
      <c r="R90" s="176"/>
      <c r="S90" s="177"/>
      <c r="T90" s="177"/>
      <c r="U90" s="176"/>
      <c r="V90" s="176"/>
      <c r="W90" s="176"/>
      <c r="X90" s="177"/>
      <c r="Y90" s="176"/>
      <c r="Z90" s="178"/>
      <c r="AA90" s="176"/>
      <c r="AB90" s="176"/>
      <c r="AC90" s="176"/>
      <c r="AD90" s="168" t="str">
        <f aca="false">A90</f>
        <v>Military/civilian service</v>
      </c>
      <c r="AE90" s="184"/>
      <c r="AF90" s="207" t="n">
        <f aca="false">SUM(B90:AC90)</f>
        <v>0</v>
      </c>
      <c r="AG90" s="33"/>
      <c r="AH90" s="235"/>
      <c r="AI90" s="216" t="n">
        <f aca="false">IF(EB.Anwendung&lt;&gt;"",IF(MONTH(Monat.Tag1)=1,0,IF(MONTH(Monat.Tag1)=2,January!Monat.MZSUeVM,IF(MONTH(Monat.Tag1)=3,Monat.MZSUeVM,IF(MONTH(Monat.Tag1)=4,March!Monat.MZSUeVM,IF(MONTH(Monat.Tag1)=5,April!Monat.MZSUeVM,IF(MONTH(Monat.Tag1)=6,May!Monat.MZSUeVM,IF(MONTH(Monat.Tag1)=7,June!Monat.MZSUeVM,IF(MONTH(Monat.Tag1)=8,July!Monat.MZSUeVM,IF(MONTH(Monat.Tag1)=9,August!Monat.MZSUeVM,IF(MONTH(Monat.Tag1)=10,September!Monat.MZSUeVM,IF(MONTH(Monat.Tag1)=11,October!Monat.MZSUeVM,IF(MONTH(Monat.Tag1)=12,November!Monat.MZSUeVM,"")))))))))))),"")</f>
        <v>0</v>
      </c>
      <c r="AJ90" s="172"/>
      <c r="AK90" s="217" t="n">
        <f aca="false">AF90+AI90</f>
        <v>0</v>
      </c>
      <c r="AL90" s="171"/>
      <c r="AM90" s="171"/>
      <c r="AN90" s="39"/>
    </row>
    <row r="91" s="148" customFormat="true" ht="15" hidden="false" customHeight="true" outlineLevel="0" collapsed="false">
      <c r="A91" s="175" t="s">
        <v>173</v>
      </c>
      <c r="B91" s="176"/>
      <c r="C91" s="176"/>
      <c r="D91" s="176"/>
      <c r="E91" s="177"/>
      <c r="F91" s="176"/>
      <c r="G91" s="176"/>
      <c r="H91" s="176"/>
      <c r="I91" s="176"/>
      <c r="J91" s="177"/>
      <c r="K91" s="176"/>
      <c r="L91" s="177"/>
      <c r="M91" s="176"/>
      <c r="N91" s="176"/>
      <c r="O91" s="176"/>
      <c r="P91" s="176"/>
      <c r="Q91" s="177"/>
      <c r="R91" s="176"/>
      <c r="S91" s="177"/>
      <c r="T91" s="177"/>
      <c r="U91" s="176"/>
      <c r="V91" s="176"/>
      <c r="W91" s="176"/>
      <c r="X91" s="177"/>
      <c r="Y91" s="176"/>
      <c r="Z91" s="178"/>
      <c r="AA91" s="176"/>
      <c r="AB91" s="176"/>
      <c r="AC91" s="176"/>
      <c r="AD91" s="168" t="str">
        <f aca="false">A91</f>
        <v>Continuing education</v>
      </c>
      <c r="AE91" s="184"/>
      <c r="AF91" s="207" t="n">
        <f aca="false">SUM(B91:AC91)</f>
        <v>0</v>
      </c>
      <c r="AG91" s="33"/>
      <c r="AH91" s="235"/>
      <c r="AI91" s="216" t="n">
        <f aca="false">IF(EB.Anwendung&lt;&gt;"",IF(MONTH(Monat.Tag1)=1,0,IF(MONTH(Monat.Tag1)=2,January!Monat.WBUeVM,IF(MONTH(Monat.Tag1)=3,Monat.WBUeVM,IF(MONTH(Monat.Tag1)=4,March!Monat.WBUeVM,IF(MONTH(Monat.Tag1)=5,April!Monat.WBUeVM,IF(MONTH(Monat.Tag1)=6,May!Monat.WBUeVM,IF(MONTH(Monat.Tag1)=7,June!Monat.WBUeVM,IF(MONTH(Monat.Tag1)=8,July!Monat.WBUeVM,IF(MONTH(Monat.Tag1)=9,August!Monat.WBUeVM,IF(MONTH(Monat.Tag1)=10,September!Monat.WBUeVM,IF(MONTH(Monat.Tag1)=11,October!Monat.WBUeVM,IF(MONTH(Monat.Tag1)=12,November!Monat.WBUeVM,"")))))))))))),"")</f>
        <v>0</v>
      </c>
      <c r="AJ91" s="172"/>
      <c r="AK91" s="217" t="n">
        <f aca="false">AF91+AI91</f>
        <v>0</v>
      </c>
      <c r="AL91" s="171"/>
      <c r="AM91" s="171"/>
      <c r="AN91" s="39"/>
    </row>
    <row r="92" s="148" customFormat="true" ht="15" hidden="false" customHeight="true" outlineLevel="0" collapsed="false">
      <c r="A92" s="175" t="s">
        <v>174</v>
      </c>
      <c r="B92" s="176"/>
      <c r="C92" s="176"/>
      <c r="D92" s="176"/>
      <c r="E92" s="177"/>
      <c r="F92" s="176"/>
      <c r="G92" s="176"/>
      <c r="H92" s="176"/>
      <c r="I92" s="176"/>
      <c r="J92" s="177"/>
      <c r="K92" s="176"/>
      <c r="L92" s="177"/>
      <c r="M92" s="176"/>
      <c r="N92" s="176"/>
      <c r="O92" s="176"/>
      <c r="P92" s="176"/>
      <c r="Q92" s="177"/>
      <c r="R92" s="176"/>
      <c r="S92" s="177"/>
      <c r="T92" s="177"/>
      <c r="U92" s="176"/>
      <c r="V92" s="176"/>
      <c r="W92" s="176"/>
      <c r="X92" s="177"/>
      <c r="Y92" s="176"/>
      <c r="Z92" s="178"/>
      <c r="AA92" s="176"/>
      <c r="AB92" s="176"/>
      <c r="AC92" s="176"/>
      <c r="AD92" s="168" t="str">
        <f aca="false">A92</f>
        <v>Paid leave</v>
      </c>
      <c r="AE92" s="184"/>
      <c r="AF92" s="207" t="n">
        <f aca="false">SUM(B92:AC92)</f>
        <v>0</v>
      </c>
      <c r="AG92" s="33"/>
      <c r="AH92" s="235"/>
      <c r="AI92" s="216" t="n">
        <f aca="false">IF(EB.Anwendung&lt;&gt;"",IF(MONTH(Monat.Tag1)=1,0,IF(MONTH(Monat.Tag1)=2,January!Monat.BesUrlaubUeVM,IF(MONTH(Monat.Tag1)=3,Monat.BesUrlaubUeVM,IF(MONTH(Monat.Tag1)=4,March!Monat.BesUrlaubUeVM,IF(MONTH(Monat.Tag1)=5,April!Monat.BesUrlaubUeVM,IF(MONTH(Monat.Tag1)=6,May!Monat.BesUrlaubUeVM,IF(MONTH(Monat.Tag1)=7,June!Monat.BesUrlaubUeVM,IF(MONTH(Monat.Tag1)=8,July!Monat.BesUrlaubUeVM,IF(MONTH(Monat.Tag1)=9,August!Monat.BesUrlaubUeVM,IF(MONTH(Monat.Tag1)=10,September!Monat.BesUrlaubUeVM,IF(MONTH(Monat.Tag1)=11,October!Monat.BesUrlaubUeVM,IF(MONTH(Monat.Tag1)=12,November!Monat.BesUrlaubUeVM,"")))))))))))),"")</f>
        <v>0</v>
      </c>
      <c r="AJ92" s="172"/>
      <c r="AK92" s="217" t="n">
        <f aca="false">AF92+AI92</f>
        <v>0</v>
      </c>
      <c r="AL92" s="171"/>
      <c r="AM92" s="171"/>
      <c r="AN92" s="39"/>
    </row>
    <row r="93" s="148" customFormat="true" ht="15" hidden="false" customHeight="true" outlineLevel="0" collapsed="false">
      <c r="A93" s="175" t="s">
        <v>175</v>
      </c>
      <c r="B93" s="176"/>
      <c r="C93" s="176"/>
      <c r="D93" s="176"/>
      <c r="E93" s="177"/>
      <c r="F93" s="176"/>
      <c r="G93" s="176"/>
      <c r="H93" s="176"/>
      <c r="I93" s="176"/>
      <c r="J93" s="177"/>
      <c r="K93" s="176"/>
      <c r="L93" s="177"/>
      <c r="M93" s="176"/>
      <c r="N93" s="176"/>
      <c r="O93" s="176"/>
      <c r="P93" s="176"/>
      <c r="Q93" s="177"/>
      <c r="R93" s="176"/>
      <c r="S93" s="177"/>
      <c r="T93" s="177"/>
      <c r="U93" s="176"/>
      <c r="V93" s="176"/>
      <c r="W93" s="176"/>
      <c r="X93" s="177"/>
      <c r="Y93" s="176"/>
      <c r="Z93" s="178"/>
      <c r="AA93" s="176"/>
      <c r="AB93" s="176"/>
      <c r="AC93" s="176"/>
      <c r="AD93" s="168" t="str">
        <f aca="false">A93</f>
        <v>Unpaid leave</v>
      </c>
      <c r="AE93" s="184"/>
      <c r="AF93" s="207" t="n">
        <f aca="false">SUM(B93:AC93)</f>
        <v>0</v>
      </c>
      <c r="AG93" s="33"/>
      <c r="AH93" s="235"/>
      <c r="AI93" s="216" t="n">
        <f aca="false">IF(EB.Anwendung&lt;&gt;"",IF(MONTH(Monat.Tag1)=1,0,IF(MONTH(Monat.Tag1)=2,January!Monat.UnbesUrlaubUeVM,IF(MONTH(Monat.Tag1)=3,Monat.UnbesUrlaubUeVM,IF(MONTH(Monat.Tag1)=4,March!Monat.UnbesUrlaubUeVM,IF(MONTH(Monat.Tag1)=5,April!Monat.UnbesUrlaubUeVM,IF(MONTH(Monat.Tag1)=6,May!Monat.UnbesUrlaubUeVM,IF(MONTH(Monat.Tag1)=7,June!Monat.UnbesUrlaubUeVM,IF(MONTH(Monat.Tag1)=8,July!Monat.UnbesUrlaubUeVM,IF(MONTH(Monat.Tag1)=9,August!Monat.UnbesUrlaubUeVM,IF(MONTH(Monat.Tag1)=10,September!Monat.UnbesUrlaubUeVM,IF(MONTH(Monat.Tag1)=11,October!Monat.UnbesUrlaubUeVM,IF(MONTH(Monat.Tag1)=12,November!Monat.UnbesUrlaubUeVM,"")))))))))))),"")</f>
        <v>0</v>
      </c>
      <c r="AJ93" s="172"/>
      <c r="AK93" s="217" t="n">
        <f aca="false">AF93+AI93</f>
        <v>0</v>
      </c>
      <c r="AL93" s="171"/>
      <c r="AM93" s="171"/>
      <c r="AN93" s="39"/>
    </row>
    <row r="94" s="148" customFormat="true" ht="15" hidden="true" customHeight="true" outlineLevel="1" collapsed="false">
      <c r="A94" s="175" t="s">
        <v>176</v>
      </c>
      <c r="B94" s="176"/>
      <c r="C94" s="176"/>
      <c r="D94" s="176"/>
      <c r="E94" s="177"/>
      <c r="F94" s="176"/>
      <c r="G94" s="176"/>
      <c r="H94" s="176"/>
      <c r="I94" s="176"/>
      <c r="J94" s="177"/>
      <c r="K94" s="176"/>
      <c r="L94" s="177"/>
      <c r="M94" s="176"/>
      <c r="N94" s="176"/>
      <c r="O94" s="176"/>
      <c r="P94" s="176"/>
      <c r="Q94" s="177"/>
      <c r="R94" s="176"/>
      <c r="S94" s="177"/>
      <c r="T94" s="177"/>
      <c r="U94" s="176"/>
      <c r="V94" s="176"/>
      <c r="W94" s="176"/>
      <c r="X94" s="177"/>
      <c r="Y94" s="176"/>
      <c r="Z94" s="178"/>
      <c r="AA94" s="176"/>
      <c r="AB94" s="176"/>
      <c r="AC94" s="176"/>
      <c r="AD94" s="168" t="str">
        <f aca="false">A94</f>
        <v>Secondary employment</v>
      </c>
      <c r="AE94" s="184"/>
      <c r="AF94" s="207" t="n">
        <f aca="false">SUM(B94:AC94)</f>
        <v>0</v>
      </c>
      <c r="AG94" s="33"/>
      <c r="AH94" s="235"/>
      <c r="AI94" s="216" t="n">
        <f aca="false">IF(EB.Anwendung&lt;&gt;"",IF(MONTH(Monat.Tag1)=1,0,IF(MONTH(Monat.Tag1)=2,January!Monat.NBUeVM,IF(MONTH(Monat.Tag1)=3,Monat.NBUeVM,IF(MONTH(Monat.Tag1)=4,March!Monat.NBUeVM,IF(MONTH(Monat.Tag1)=5,April!Monat.NBUeVM,IF(MONTH(Monat.Tag1)=6,May!Monat.NBUeVM,IF(MONTH(Monat.Tag1)=7,June!Monat.NBUeVM,IF(MONTH(Monat.Tag1)=8,July!Monat.NBUeVM,IF(MONTH(Monat.Tag1)=9,August!Monat.NBUeVM,IF(MONTH(Monat.Tag1)=10,September!Monat.NBUeVM,IF(MONTH(Monat.Tag1)=11,October!Monat.NBUeVM,IF(MONTH(Monat.Tag1)=12,November!Monat.NBUeVM,"")))))))))))),"")</f>
        <v>0</v>
      </c>
      <c r="AJ94" s="172"/>
      <c r="AK94" s="217" t="n">
        <f aca="false">AF94+AI94</f>
        <v>0</v>
      </c>
      <c r="AL94" s="171"/>
      <c r="AM94" s="171"/>
      <c r="AN94" s="39"/>
    </row>
    <row r="95" s="148" customFormat="true" ht="15" hidden="false" customHeight="true" outlineLevel="0" collapsed="false">
      <c r="A95" s="175" t="s">
        <v>86</v>
      </c>
      <c r="B95" s="176"/>
      <c r="C95" s="176"/>
      <c r="D95" s="176"/>
      <c r="E95" s="177"/>
      <c r="F95" s="176"/>
      <c r="G95" s="176"/>
      <c r="H95" s="176"/>
      <c r="I95" s="176"/>
      <c r="J95" s="177"/>
      <c r="K95" s="176"/>
      <c r="L95" s="177"/>
      <c r="M95" s="176"/>
      <c r="N95" s="176"/>
      <c r="O95" s="176"/>
      <c r="P95" s="176"/>
      <c r="Q95" s="177"/>
      <c r="R95" s="176"/>
      <c r="S95" s="177"/>
      <c r="T95" s="177"/>
      <c r="U95" s="176"/>
      <c r="V95" s="176"/>
      <c r="W95" s="176"/>
      <c r="X95" s="177"/>
      <c r="Y95" s="176"/>
      <c r="Z95" s="178"/>
      <c r="AA95" s="176"/>
      <c r="AB95" s="176"/>
      <c r="AC95" s="176"/>
      <c r="AD95" s="168" t="str">
        <f aca="false">A95</f>
        <v>Seniority allowance</v>
      </c>
      <c r="AE95" s="184"/>
      <c r="AF95" s="207" t="n">
        <f aca="false">SUM(B95:AC95)</f>
        <v>0</v>
      </c>
      <c r="AG95" s="33"/>
      <c r="AH95" s="235"/>
      <c r="AI95" s="216" t="n">
        <f aca="false">IF(EB.Anwendung&lt;&gt;"",IF(MONTH(Monat.Tag1)=1,EB.DAG,IF(MONTH(Monat.Tag1)=2,January!Monat.DAGUeVM,IF(MONTH(Monat.Tag1)=3,Monat.DAGUeVM,IF(MONTH(Monat.Tag1)=4,March!Monat.DAGUeVM,IF(MONTH(Monat.Tag1)=5,April!Monat.DAGUeVM,IF(MONTH(Monat.Tag1)=6,May!Monat.DAGUeVM,IF(MONTH(Monat.Tag1)=7,June!Monat.DAGUeVM,IF(MONTH(Monat.Tag1)=8,July!Monat.DAGUeVM,IF(MONTH(Monat.Tag1)=9,August!Monat.DAGUeVM,IF(MONTH(Monat.Tag1)=10,September!Monat.DAGUeVM,IF(MONTH(Monat.Tag1)=11,October!Monat.DAGUeVM,IF(MONTH(Monat.Tag1)=12,November!Monat.DAGUeVM,"")))))))))))),"")</f>
        <v>0</v>
      </c>
      <c r="AJ95" s="172"/>
      <c r="AK95" s="217" t="n">
        <f aca="false">AI95-AF95</f>
        <v>0</v>
      </c>
      <c r="AL95" s="171"/>
      <c r="AM95" s="171"/>
      <c r="AN95" s="39"/>
    </row>
    <row r="96" s="148" customFormat="true" ht="11.25" hidden="false" customHeight="true" outlineLevel="0" collapsed="false">
      <c r="A96" s="186"/>
      <c r="B96" s="191"/>
      <c r="C96" s="191"/>
      <c r="D96" s="191"/>
      <c r="E96" s="191"/>
      <c r="F96" s="191"/>
      <c r="G96" s="191"/>
      <c r="H96" s="191"/>
      <c r="I96" s="191"/>
      <c r="J96" s="191"/>
      <c r="K96" s="191"/>
      <c r="L96" s="191"/>
      <c r="M96" s="191"/>
      <c r="N96" s="191"/>
      <c r="O96" s="191"/>
      <c r="P96" s="191"/>
      <c r="Q96" s="191"/>
      <c r="R96" s="191"/>
      <c r="S96" s="191"/>
      <c r="T96" s="191"/>
      <c r="U96" s="191"/>
      <c r="V96" s="191"/>
      <c r="W96" s="191"/>
      <c r="X96" s="191"/>
      <c r="Y96" s="191"/>
      <c r="Z96" s="191"/>
      <c r="AA96" s="191"/>
      <c r="AB96" s="191"/>
      <c r="AC96" s="191"/>
      <c r="AD96" s="168"/>
      <c r="AE96" s="197"/>
      <c r="AF96" s="192"/>
      <c r="AG96" s="27"/>
      <c r="AH96" s="235"/>
      <c r="AI96" s="235"/>
      <c r="AJ96" s="172"/>
      <c r="AK96" s="254"/>
      <c r="AL96" s="179"/>
      <c r="AM96" s="179"/>
      <c r="AN96" s="39"/>
    </row>
    <row r="97" s="148" customFormat="true" ht="15" hidden="false" customHeight="true" outlineLevel="0" collapsed="false">
      <c r="A97" s="181" t="str">
        <f aca="true">IF(ROW(A97)-ROW(INDEX(Monat.Projekte.Zeilen,1))+1&gt;EB.AnzProjekte,"",OFFSET(EB.Projekte.Knoten,ROW(A97)-ROW(INDEX(Monat.Projekte.Zeilen,1))+1,0,1,1))</f>
        <v/>
      </c>
      <c r="B97" s="176"/>
      <c r="C97" s="176"/>
      <c r="D97" s="176"/>
      <c r="E97" s="177"/>
      <c r="F97" s="176"/>
      <c r="G97" s="176"/>
      <c r="H97" s="176"/>
      <c r="I97" s="176"/>
      <c r="J97" s="177"/>
      <c r="K97" s="176"/>
      <c r="L97" s="177"/>
      <c r="M97" s="176"/>
      <c r="N97" s="176"/>
      <c r="O97" s="176"/>
      <c r="P97" s="176"/>
      <c r="Q97" s="177"/>
      <c r="R97" s="176"/>
      <c r="S97" s="177"/>
      <c r="T97" s="177"/>
      <c r="U97" s="176"/>
      <c r="V97" s="176"/>
      <c r="W97" s="176"/>
      <c r="X97" s="177"/>
      <c r="Y97" s="176"/>
      <c r="Z97" s="178"/>
      <c r="AA97" s="176"/>
      <c r="AB97" s="176"/>
      <c r="AC97" s="176"/>
      <c r="AD97" s="168" t="str">
        <f aca="false">A97</f>
        <v/>
      </c>
      <c r="AE97" s="202"/>
      <c r="AF97" s="262" t="n">
        <f aca="false">SUM(B97:AC97)</f>
        <v>0</v>
      </c>
      <c r="AG97" s="33"/>
      <c r="AH97" s="192"/>
      <c r="AI97" s="216" t="n">
        <f aca="false">IF(EB.Anwendung&lt;&gt;"",IF(MONTH(Monat.Tag1)=1,0,IF(MONTH(Monat.Tag1)=2,January!Monat.P1UeVM,IF(MONTH(Monat.Tag1)=3,Monat.P1UeVM,IF(MONTH(Monat.Tag1)=4,March!Monat.P1UeVM,IF(MONTH(Monat.Tag1)=5,April!Monat.P1UeVM,IF(MONTH(Monat.Tag1)=6,May!Monat.P1UeVM,IF(MONTH(Monat.Tag1)=7,June!Monat.P1UeVM,IF(MONTH(Monat.Tag1)=8,July!Monat.P1UeVM,IF(MONTH(Monat.Tag1)=9,August!Monat.P1UeVM,IF(MONTH(Monat.Tag1)=10,September!Monat.P1UeVM,IF(MONTH(Monat.Tag1)=11,October!Monat.P1UeVM,IF(MONTH(Monat.Tag1)=12,November!Monat.P1UeVM,"")))))))))))),"")</f>
        <v>0</v>
      </c>
      <c r="AJ97" s="172"/>
      <c r="AK97" s="217" t="n">
        <f aca="false">AF97+AI97</f>
        <v>0</v>
      </c>
      <c r="AL97" s="171"/>
      <c r="AM97" s="171"/>
      <c r="AN97" s="39"/>
    </row>
    <row r="98" s="148" customFormat="true" ht="15" hidden="false" customHeight="true" outlineLevel="0" collapsed="false">
      <c r="A98" s="181" t="str">
        <f aca="true">IF(ROW(A98)-ROW(INDEX(Monat.Projekte.Zeilen,1))+1&gt;EB.AnzProjekte,"",OFFSET(EB.Projekte.Knoten,ROW(A98)-ROW(INDEX(Monat.Projekte.Zeilen,1))+1,0,1,1))</f>
        <v/>
      </c>
      <c r="B98" s="176"/>
      <c r="C98" s="176"/>
      <c r="D98" s="176"/>
      <c r="E98" s="177"/>
      <c r="F98" s="176"/>
      <c r="G98" s="176"/>
      <c r="H98" s="176"/>
      <c r="I98" s="176"/>
      <c r="J98" s="177"/>
      <c r="K98" s="176"/>
      <c r="L98" s="177"/>
      <c r="M98" s="176"/>
      <c r="N98" s="176"/>
      <c r="O98" s="176"/>
      <c r="P98" s="176"/>
      <c r="Q98" s="177"/>
      <c r="R98" s="176"/>
      <c r="S98" s="177"/>
      <c r="T98" s="177"/>
      <c r="U98" s="176"/>
      <c r="V98" s="176"/>
      <c r="W98" s="176"/>
      <c r="X98" s="177"/>
      <c r="Y98" s="176"/>
      <c r="Z98" s="178"/>
      <c r="AA98" s="176"/>
      <c r="AB98" s="176"/>
      <c r="AC98" s="176"/>
      <c r="AD98" s="168" t="str">
        <f aca="false">A98</f>
        <v/>
      </c>
      <c r="AE98" s="184"/>
      <c r="AF98" s="207" t="n">
        <f aca="false">SUM(B98:AC98)</f>
        <v>0</v>
      </c>
      <c r="AG98" s="33"/>
      <c r="AH98" s="192"/>
      <c r="AI98" s="216" t="n">
        <f aca="false">IF(EB.Anwendung&lt;&gt;"",IF(MONTH(Monat.Tag1)=1,0,IF(MONTH(Monat.Tag1)=2,January!Monat.P2UeVM,IF(MONTH(Monat.Tag1)=3,Monat.P2UeVM,IF(MONTH(Monat.Tag1)=4,March!Monat.P2UeVM,IF(MONTH(Monat.Tag1)=5,April!Monat.P2UeVM,IF(MONTH(Monat.Tag1)=6,May!Monat.P2UeVM,IF(MONTH(Monat.Tag1)=7,June!Monat.P2UeVM,IF(MONTH(Monat.Tag1)=8,July!Monat.P2UeVM,IF(MONTH(Monat.Tag1)=9,August!Monat.P2UeVM,IF(MONTH(Monat.Tag1)=10,September!Monat.P2UeVM,IF(MONTH(Monat.Tag1)=11,October!Monat.P2UeVM,IF(MONTH(Monat.Tag1)=12,November!Monat.P2UeVM,"")))))))))))),"")</f>
        <v>0</v>
      </c>
      <c r="AJ98" s="172"/>
      <c r="AK98" s="217" t="n">
        <f aca="false">AF98+AI98</f>
        <v>0</v>
      </c>
      <c r="AL98" s="171"/>
      <c r="AM98" s="171"/>
      <c r="AN98" s="39"/>
    </row>
    <row r="99" s="148" customFormat="true" ht="15" hidden="false" customHeight="true" outlineLevel="0" collapsed="false">
      <c r="A99" s="181" t="str">
        <f aca="true">IF(ROW(A99)-ROW(INDEX(Monat.Projekte.Zeilen,1))+1&gt;EB.AnzProjekte,"",OFFSET(EB.Projekte.Knoten,ROW(A99)-ROW(INDEX(Monat.Projekte.Zeilen,1))+1,0,1,1))</f>
        <v/>
      </c>
      <c r="B99" s="176"/>
      <c r="C99" s="176"/>
      <c r="D99" s="176"/>
      <c r="E99" s="177"/>
      <c r="F99" s="176"/>
      <c r="G99" s="176"/>
      <c r="H99" s="176"/>
      <c r="I99" s="176"/>
      <c r="J99" s="177"/>
      <c r="K99" s="176"/>
      <c r="L99" s="177"/>
      <c r="M99" s="176"/>
      <c r="N99" s="176"/>
      <c r="O99" s="176"/>
      <c r="P99" s="176"/>
      <c r="Q99" s="177"/>
      <c r="R99" s="176"/>
      <c r="S99" s="177"/>
      <c r="T99" s="177"/>
      <c r="U99" s="176"/>
      <c r="V99" s="176"/>
      <c r="W99" s="176"/>
      <c r="X99" s="177"/>
      <c r="Y99" s="176"/>
      <c r="Z99" s="178"/>
      <c r="AA99" s="176"/>
      <c r="AB99" s="176"/>
      <c r="AC99" s="176"/>
      <c r="AD99" s="168" t="str">
        <f aca="false">A99</f>
        <v/>
      </c>
      <c r="AE99" s="263"/>
      <c r="AF99" s="207" t="n">
        <f aca="false">SUM(B99:AC99)</f>
        <v>0</v>
      </c>
      <c r="AG99" s="33"/>
      <c r="AH99" s="192"/>
      <c r="AI99" s="216" t="n">
        <f aca="false">IF(EB.Anwendung&lt;&gt;"",IF(MONTH(Monat.Tag1)=1,0,IF(MONTH(Monat.Tag1)=2,January!Monat.P3UeVM,IF(MONTH(Monat.Tag1)=3,Monat.P3UeVM,IF(MONTH(Monat.Tag1)=4,March!Monat.P3UeVM,IF(MONTH(Monat.Tag1)=5,April!Monat.P3UeVM,IF(MONTH(Monat.Tag1)=6,May!Monat.P3UeVM,IF(MONTH(Monat.Tag1)=7,June!Monat.P3UeVM,IF(MONTH(Monat.Tag1)=8,July!Monat.P3UeVM,IF(MONTH(Monat.Tag1)=9,August!Monat.P3UeVM,IF(MONTH(Monat.Tag1)=10,September!Monat.P3UeVM,IF(MONTH(Monat.Tag1)=11,October!Monat.P3UeVM,IF(MONTH(Monat.Tag1)=12,November!Monat.P3UeVM,"")))))))))))),"")</f>
        <v>0</v>
      </c>
      <c r="AJ99" s="172"/>
      <c r="AK99" s="217" t="n">
        <f aca="false">AF99+AI99</f>
        <v>0</v>
      </c>
      <c r="AL99" s="171"/>
      <c r="AM99" s="171"/>
      <c r="AN99" s="39"/>
    </row>
    <row r="100" s="148" customFormat="true" ht="15" hidden="false" customHeight="true" outlineLevel="0" collapsed="false">
      <c r="A100" s="181" t="str">
        <f aca="true">IF(ROW(A100)-ROW(INDEX(Monat.Projekte.Zeilen,1))+1&gt;EB.AnzProjekte,"",OFFSET(EB.Projekte.Knoten,ROW(A100)-ROW(INDEX(Monat.Projekte.Zeilen,1))+1,0,1,1))</f>
        <v/>
      </c>
      <c r="B100" s="176"/>
      <c r="C100" s="176"/>
      <c r="D100" s="176"/>
      <c r="E100" s="177"/>
      <c r="F100" s="176"/>
      <c r="G100" s="176"/>
      <c r="H100" s="176"/>
      <c r="I100" s="176"/>
      <c r="J100" s="177"/>
      <c r="K100" s="176"/>
      <c r="L100" s="177"/>
      <c r="M100" s="176"/>
      <c r="N100" s="176"/>
      <c r="O100" s="176"/>
      <c r="P100" s="176"/>
      <c r="Q100" s="177"/>
      <c r="R100" s="176"/>
      <c r="S100" s="177"/>
      <c r="T100" s="177"/>
      <c r="U100" s="176"/>
      <c r="V100" s="176"/>
      <c r="W100" s="176"/>
      <c r="X100" s="177"/>
      <c r="Y100" s="176"/>
      <c r="Z100" s="178"/>
      <c r="AA100" s="176"/>
      <c r="AB100" s="176"/>
      <c r="AC100" s="176"/>
      <c r="AD100" s="168" t="str">
        <f aca="false">A100</f>
        <v/>
      </c>
      <c r="AE100" s="197"/>
      <c r="AF100" s="207" t="n">
        <f aca="false">SUM(B100:AC100)</f>
        <v>0</v>
      </c>
      <c r="AG100" s="33"/>
      <c r="AH100" s="192"/>
      <c r="AI100" s="216" t="n">
        <f aca="false">IF(EB.Anwendung&lt;&gt;"",IF(MONTH(Monat.Tag1)=1,0,IF(MONTH(Monat.Tag1)=2,January!Monat.P4UeVM,IF(MONTH(Monat.Tag1)=3,Monat.P4UeVM,IF(MONTH(Monat.Tag1)=4,March!Monat.P4UeVM,IF(MONTH(Monat.Tag1)=5,April!Monat.P4UeVM,IF(MONTH(Monat.Tag1)=6,May!Monat.P4UeVM,IF(MONTH(Monat.Tag1)=7,June!Monat.P4UeVM,IF(MONTH(Monat.Tag1)=8,July!Monat.P4UeVM,IF(MONTH(Monat.Tag1)=9,August!Monat.P4UeVM,IF(MONTH(Monat.Tag1)=10,September!Monat.P4UeVM,IF(MONTH(Monat.Tag1)=11,October!Monat.P4UeVM,IF(MONTH(Monat.Tag1)=12,November!Monat.P4UeVM,"")))))))))))),"")</f>
        <v>0</v>
      </c>
      <c r="AJ100" s="172"/>
      <c r="AK100" s="217" t="n">
        <f aca="false">AF100+AI100</f>
        <v>0</v>
      </c>
      <c r="AL100" s="171"/>
      <c r="AM100" s="171"/>
      <c r="AN100" s="39"/>
    </row>
    <row r="101" s="148" customFormat="true" ht="15" hidden="false" customHeight="true" outlineLevel="0" collapsed="false">
      <c r="A101" s="181" t="str">
        <f aca="true">IF(ROW(A101)-ROW(INDEX(Monat.Projekte.Zeilen,1))+1&gt;EB.AnzProjekte,"",OFFSET(EB.Projekte.Knoten,ROW(A101)-ROW(INDEX(Monat.Projekte.Zeilen,1))+1,0,1,1))</f>
        <v/>
      </c>
      <c r="B101" s="176"/>
      <c r="C101" s="176"/>
      <c r="D101" s="176"/>
      <c r="E101" s="177"/>
      <c r="F101" s="176"/>
      <c r="G101" s="176"/>
      <c r="H101" s="176"/>
      <c r="I101" s="176"/>
      <c r="J101" s="177"/>
      <c r="K101" s="176"/>
      <c r="L101" s="177"/>
      <c r="M101" s="176"/>
      <c r="N101" s="176"/>
      <c r="O101" s="176"/>
      <c r="P101" s="176"/>
      <c r="Q101" s="177"/>
      <c r="R101" s="176"/>
      <c r="S101" s="177"/>
      <c r="T101" s="177"/>
      <c r="U101" s="176"/>
      <c r="V101" s="176"/>
      <c r="W101" s="176"/>
      <c r="X101" s="177"/>
      <c r="Y101" s="176"/>
      <c r="Z101" s="178"/>
      <c r="AA101" s="176"/>
      <c r="AB101" s="176"/>
      <c r="AC101" s="176"/>
      <c r="AD101" s="168" t="str">
        <f aca="false">A101</f>
        <v/>
      </c>
      <c r="AE101" s="184"/>
      <c r="AF101" s="207" t="n">
        <f aca="false">SUM(B101:AC101)</f>
        <v>0</v>
      </c>
      <c r="AG101" s="33"/>
      <c r="AH101" s="192"/>
      <c r="AI101" s="216" t="n">
        <f aca="false">IF(EB.Anwendung&lt;&gt;"",IF(MONTH(Monat.Tag1)=1,0,IF(MONTH(Monat.Tag1)=2,January!Monat.P5UeVM,IF(MONTH(Monat.Tag1)=3,Monat.P5UeVM,IF(MONTH(Monat.Tag1)=4,March!Monat.P5UeVM,IF(MONTH(Monat.Tag1)=5,April!Monat.P5UeVM,IF(MONTH(Monat.Tag1)=6,May!Monat.P5UeVM,IF(MONTH(Monat.Tag1)=7,June!Monat.P5UeVM,IF(MONTH(Monat.Tag1)=8,July!Monat.P5UeVM,IF(MONTH(Monat.Tag1)=9,August!Monat.P5UeVM,IF(MONTH(Monat.Tag1)=10,September!Monat.P5UeVM,IF(MONTH(Monat.Tag1)=11,October!Monat.P5UeVM,IF(MONTH(Monat.Tag1)=12,November!Monat.P5UeVM,"")))))))))))),"")</f>
        <v>0</v>
      </c>
      <c r="AJ101" s="172"/>
      <c r="AK101" s="217" t="n">
        <f aca="false">AF101+AI101</f>
        <v>0</v>
      </c>
      <c r="AL101" s="171"/>
      <c r="AM101" s="171"/>
      <c r="AN101" s="39"/>
    </row>
    <row r="102" s="148" customFormat="true" ht="15" hidden="true" customHeight="true" outlineLevel="1" collapsed="false">
      <c r="A102" s="181" t="str">
        <f aca="true">IF(ROW(A102)-ROW(INDEX(Monat.Projekte.Zeilen,1))+1&gt;EB.AnzProjekte,"",OFFSET(EB.Projekte.Knoten,ROW(A102)-ROW(INDEX(Monat.Projekte.Zeilen,1))+1,0,1,1))</f>
        <v/>
      </c>
      <c r="B102" s="176"/>
      <c r="C102" s="176"/>
      <c r="D102" s="176"/>
      <c r="E102" s="177"/>
      <c r="F102" s="176"/>
      <c r="G102" s="176"/>
      <c r="H102" s="176"/>
      <c r="I102" s="176"/>
      <c r="J102" s="177"/>
      <c r="K102" s="176"/>
      <c r="L102" s="177"/>
      <c r="M102" s="176"/>
      <c r="N102" s="176"/>
      <c r="O102" s="176"/>
      <c r="P102" s="176"/>
      <c r="Q102" s="177"/>
      <c r="R102" s="176"/>
      <c r="S102" s="177"/>
      <c r="T102" s="177"/>
      <c r="U102" s="176"/>
      <c r="V102" s="176"/>
      <c r="W102" s="176"/>
      <c r="X102" s="177"/>
      <c r="Y102" s="176"/>
      <c r="Z102" s="178"/>
      <c r="AA102" s="176"/>
      <c r="AB102" s="176"/>
      <c r="AC102" s="176"/>
      <c r="AD102" s="168" t="str">
        <f aca="false">A102</f>
        <v/>
      </c>
      <c r="AE102" s="263"/>
      <c r="AF102" s="207" t="n">
        <f aca="false">SUM(B102:AC102)</f>
        <v>0</v>
      </c>
      <c r="AG102" s="33"/>
      <c r="AH102" s="192"/>
      <c r="AI102" s="216" t="n">
        <f aca="false">IF(EB.Anwendung&lt;&gt;"",IF(MONTH(Monat.Tag1)=1,0,IF(MONTH(Monat.Tag1)=2,January!Monat.P6UeVM,IF(MONTH(Monat.Tag1)=3,Monat.P6UeVM,IF(MONTH(Monat.Tag1)=4,March!Monat.P6UeVM,IF(MONTH(Monat.Tag1)=5,April!Monat.P6UeVM,IF(MONTH(Monat.Tag1)=6,May!Monat.P6UeVM,IF(MONTH(Monat.Tag1)=7,June!Monat.P6UeVM,IF(MONTH(Monat.Tag1)=8,July!Monat.P6UeVM,IF(MONTH(Monat.Tag1)=9,August!Monat.P6UeVM,IF(MONTH(Monat.Tag1)=10,September!Monat.P6UeVM,IF(MONTH(Monat.Tag1)=11,October!Monat.P6UeVM,IF(MONTH(Monat.Tag1)=12,November!Monat.P6UeVM,"")))))))))))),"")</f>
        <v>0</v>
      </c>
      <c r="AJ102" s="172"/>
      <c r="AK102" s="217" t="n">
        <f aca="false">AF102+AI102</f>
        <v>0</v>
      </c>
      <c r="AL102" s="171"/>
      <c r="AM102" s="171"/>
      <c r="AN102" s="39"/>
    </row>
    <row r="103" s="148" customFormat="true" ht="15" hidden="true" customHeight="true" outlineLevel="1" collapsed="false">
      <c r="A103" s="181" t="str">
        <f aca="true">IF(ROW(A103)-ROW(INDEX(Monat.Projekte.Zeilen,1))+1&gt;EB.AnzProjekte,"",OFFSET(EB.Projekte.Knoten,ROW(A103)-ROW(INDEX(Monat.Projekte.Zeilen,1))+1,0,1,1))</f>
        <v/>
      </c>
      <c r="B103" s="176"/>
      <c r="C103" s="176"/>
      <c r="D103" s="176"/>
      <c r="E103" s="177"/>
      <c r="F103" s="176"/>
      <c r="G103" s="176"/>
      <c r="H103" s="176"/>
      <c r="I103" s="176"/>
      <c r="J103" s="177"/>
      <c r="K103" s="176"/>
      <c r="L103" s="177"/>
      <c r="M103" s="176"/>
      <c r="N103" s="176"/>
      <c r="O103" s="176"/>
      <c r="P103" s="176"/>
      <c r="Q103" s="177"/>
      <c r="R103" s="176"/>
      <c r="S103" s="177"/>
      <c r="T103" s="177"/>
      <c r="U103" s="176"/>
      <c r="V103" s="176"/>
      <c r="W103" s="176"/>
      <c r="X103" s="177"/>
      <c r="Y103" s="176"/>
      <c r="Z103" s="178"/>
      <c r="AA103" s="176"/>
      <c r="AB103" s="176"/>
      <c r="AC103" s="176"/>
      <c r="AD103" s="168" t="str">
        <f aca="false">A103</f>
        <v/>
      </c>
      <c r="AE103" s="197"/>
      <c r="AF103" s="207" t="n">
        <f aca="false">SUM(B103:AC103)</f>
        <v>0</v>
      </c>
      <c r="AG103" s="33"/>
      <c r="AH103" s="192"/>
      <c r="AI103" s="216" t="n">
        <f aca="false">IF(EB.Anwendung&lt;&gt;"",IF(MONTH(Monat.Tag1)=1,0,IF(MONTH(Monat.Tag1)=2,January!Monat.P7UeVM,IF(MONTH(Monat.Tag1)=3,Monat.P7UeVM,IF(MONTH(Monat.Tag1)=4,March!Monat.P7UeVM,IF(MONTH(Monat.Tag1)=5,April!Monat.P7UeVM,IF(MONTH(Monat.Tag1)=6,May!Monat.P7UeVM,IF(MONTH(Monat.Tag1)=7,June!Monat.P7UeVM,IF(MONTH(Monat.Tag1)=8,July!Monat.P7UeVM,IF(MONTH(Monat.Tag1)=9,August!Monat.P7UeVM,IF(MONTH(Monat.Tag1)=10,September!Monat.P7UeVM,IF(MONTH(Monat.Tag1)=11,October!Monat.P7UeVM,IF(MONTH(Monat.Tag1)=12,November!Monat.P7UeVM,"")))))))))))),"")</f>
        <v>0</v>
      </c>
      <c r="AJ103" s="172"/>
      <c r="AK103" s="217" t="n">
        <f aca="false">AF103+AI103</f>
        <v>0</v>
      </c>
      <c r="AL103" s="171"/>
      <c r="AM103" s="171"/>
      <c r="AN103" s="39"/>
    </row>
    <row r="104" s="148" customFormat="true" ht="15" hidden="true" customHeight="true" outlineLevel="1" collapsed="false">
      <c r="A104" s="181" t="str">
        <f aca="true">IF(ROW(A104)-ROW(INDEX(Monat.Projekte.Zeilen,1))+1&gt;EB.AnzProjekte,"",OFFSET(EB.Projekte.Knoten,ROW(A104)-ROW(INDEX(Monat.Projekte.Zeilen,1))+1,0,1,1))</f>
        <v/>
      </c>
      <c r="B104" s="176"/>
      <c r="C104" s="176"/>
      <c r="D104" s="176"/>
      <c r="E104" s="177"/>
      <c r="F104" s="176"/>
      <c r="G104" s="176"/>
      <c r="H104" s="176"/>
      <c r="I104" s="176"/>
      <c r="J104" s="177"/>
      <c r="K104" s="176"/>
      <c r="L104" s="177"/>
      <c r="M104" s="176"/>
      <c r="N104" s="176"/>
      <c r="O104" s="176"/>
      <c r="P104" s="176"/>
      <c r="Q104" s="177"/>
      <c r="R104" s="176"/>
      <c r="S104" s="177"/>
      <c r="T104" s="177"/>
      <c r="U104" s="176"/>
      <c r="V104" s="176"/>
      <c r="W104" s="176"/>
      <c r="X104" s="177"/>
      <c r="Y104" s="176"/>
      <c r="Z104" s="178"/>
      <c r="AA104" s="176"/>
      <c r="AB104" s="176"/>
      <c r="AC104" s="176"/>
      <c r="AD104" s="168" t="str">
        <f aca="false">A104</f>
        <v/>
      </c>
      <c r="AE104" s="202"/>
      <c r="AF104" s="207" t="n">
        <f aca="false">SUM(B104:AC104)</f>
        <v>0</v>
      </c>
      <c r="AG104" s="33"/>
      <c r="AH104" s="192"/>
      <c r="AI104" s="216" t="n">
        <f aca="false">IF(EB.Anwendung&lt;&gt;"",IF(MONTH(Monat.Tag1)=1,0,IF(MONTH(Monat.Tag1)=2,January!Monat.P8UeVM,IF(MONTH(Monat.Tag1)=3,Monat.P8UeVM,IF(MONTH(Monat.Tag1)=4,March!Monat.P8UeVM,IF(MONTH(Monat.Tag1)=5,April!Monat.P8UeVM,IF(MONTH(Monat.Tag1)=6,May!Monat.P8UeVM,IF(MONTH(Monat.Tag1)=7,June!Monat.P8UeVM,IF(MONTH(Monat.Tag1)=8,July!Monat.P8UeVM,IF(MONTH(Monat.Tag1)=9,August!Monat.P8UeVM,IF(MONTH(Monat.Tag1)=10,September!Monat.P8UeVM,IF(MONTH(Monat.Tag1)=11,October!Monat.P8UeVM,IF(MONTH(Monat.Tag1)=12,November!Monat.P8UeVM,"")))))))))))),"")</f>
        <v>0</v>
      </c>
      <c r="AJ104" s="172"/>
      <c r="AK104" s="217" t="n">
        <f aca="false">AF104+AI104</f>
        <v>0</v>
      </c>
      <c r="AL104" s="171"/>
      <c r="AM104" s="171"/>
      <c r="AN104" s="39"/>
    </row>
    <row r="105" s="148" customFormat="true" ht="15" hidden="true" customHeight="true" outlineLevel="1" collapsed="false">
      <c r="A105" s="181" t="str">
        <f aca="true">IF(ROW(A105)-ROW(INDEX(Monat.Projekte.Zeilen,1))+1&gt;EB.AnzProjekte,"",OFFSET(EB.Projekte.Knoten,ROW(A105)-ROW(INDEX(Monat.Projekte.Zeilen,1))+1,0,1,1))</f>
        <v/>
      </c>
      <c r="B105" s="176"/>
      <c r="C105" s="176"/>
      <c r="D105" s="176"/>
      <c r="E105" s="177"/>
      <c r="F105" s="176"/>
      <c r="G105" s="176"/>
      <c r="H105" s="176"/>
      <c r="I105" s="176"/>
      <c r="J105" s="177"/>
      <c r="K105" s="176"/>
      <c r="L105" s="177"/>
      <c r="M105" s="176"/>
      <c r="N105" s="176"/>
      <c r="O105" s="176"/>
      <c r="P105" s="176"/>
      <c r="Q105" s="177"/>
      <c r="R105" s="176"/>
      <c r="S105" s="177"/>
      <c r="T105" s="177"/>
      <c r="U105" s="176"/>
      <c r="V105" s="176"/>
      <c r="W105" s="176"/>
      <c r="X105" s="177"/>
      <c r="Y105" s="176"/>
      <c r="Z105" s="178"/>
      <c r="AA105" s="176"/>
      <c r="AB105" s="176"/>
      <c r="AC105" s="176"/>
      <c r="AD105" s="168" t="str">
        <f aca="false">A105</f>
        <v/>
      </c>
      <c r="AE105" s="184"/>
      <c r="AF105" s="207" t="n">
        <f aca="false">SUM(B105:AC105)</f>
        <v>0</v>
      </c>
      <c r="AG105" s="33"/>
      <c r="AH105" s="192"/>
      <c r="AI105" s="216" t="n">
        <f aca="false">IF(EB.Anwendung&lt;&gt;"",IF(MONTH(Monat.Tag1)=1,0,IF(MONTH(Monat.Tag1)=2,January!Monat.P9UeVM,IF(MONTH(Monat.Tag1)=3,Monat.P9UeVM,IF(MONTH(Monat.Tag1)=4,March!Monat.P9UeVM,IF(MONTH(Monat.Tag1)=5,April!Monat.P9UeVM,IF(MONTH(Monat.Tag1)=6,May!Monat.P9UeVM,IF(MONTH(Monat.Tag1)=7,June!Monat.P9UeVM,IF(MONTH(Monat.Tag1)=8,July!Monat.P9UeVM,IF(MONTH(Monat.Tag1)=9,August!Monat.P9UeVM,IF(MONTH(Monat.Tag1)=10,September!Monat.P9UeVM,IF(MONTH(Monat.Tag1)=11,October!Monat.P9UeVM,IF(MONTH(Monat.Tag1)=12,November!Monat.P9UeVM,"")))))))))))),"")</f>
        <v>0</v>
      </c>
      <c r="AJ105" s="172"/>
      <c r="AK105" s="217" t="n">
        <f aca="false">AF105+AI105</f>
        <v>0</v>
      </c>
      <c r="AL105" s="171"/>
      <c r="AM105" s="171"/>
      <c r="AN105" s="39"/>
    </row>
    <row r="106" s="148" customFormat="true" ht="15" hidden="true" customHeight="true" outlineLevel="1" collapsed="false">
      <c r="A106" s="181" t="str">
        <f aca="true">IF(ROW(A106)-ROW(INDEX(Monat.Projekte.Zeilen,1))+1&gt;EB.AnzProjekte,"",OFFSET(EB.Projekte.Knoten,ROW(A106)-ROW(INDEX(Monat.Projekte.Zeilen,1))+1,0,1,1))</f>
        <v/>
      </c>
      <c r="B106" s="176"/>
      <c r="C106" s="176"/>
      <c r="D106" s="176"/>
      <c r="E106" s="177"/>
      <c r="F106" s="176"/>
      <c r="G106" s="176"/>
      <c r="H106" s="176"/>
      <c r="I106" s="176"/>
      <c r="J106" s="177"/>
      <c r="K106" s="176"/>
      <c r="L106" s="177"/>
      <c r="M106" s="176"/>
      <c r="N106" s="176"/>
      <c r="O106" s="176"/>
      <c r="P106" s="176"/>
      <c r="Q106" s="177"/>
      <c r="R106" s="176"/>
      <c r="S106" s="177"/>
      <c r="T106" s="177"/>
      <c r="U106" s="176"/>
      <c r="V106" s="176"/>
      <c r="W106" s="176"/>
      <c r="X106" s="177"/>
      <c r="Y106" s="176"/>
      <c r="Z106" s="178"/>
      <c r="AA106" s="176"/>
      <c r="AB106" s="176"/>
      <c r="AC106" s="176"/>
      <c r="AD106" s="168" t="str">
        <f aca="false">A106</f>
        <v/>
      </c>
      <c r="AE106" s="184"/>
      <c r="AF106" s="207" t="n">
        <f aca="false">SUM(B106:AC106)</f>
        <v>0</v>
      </c>
      <c r="AG106" s="33"/>
      <c r="AH106" s="192"/>
      <c r="AI106" s="216" t="n">
        <f aca="false">IF(EB.Anwendung&lt;&gt;"",IF(MONTH(Monat.Tag1)=1,0,IF(MONTH(Monat.Tag1)=2,January!Monat.P10UeVM,IF(MONTH(Monat.Tag1)=3,Monat.P10UeVM,IF(MONTH(Monat.Tag1)=4,March!Monat.P10UeVM,IF(MONTH(Monat.Tag1)=5,April!Monat.P10UeVM,IF(MONTH(Monat.Tag1)=6,May!Monat.P10UeVM,IF(MONTH(Monat.Tag1)=7,June!Monat.P10UeVM,IF(MONTH(Monat.Tag1)=8,July!Monat.P10UeVM,IF(MONTH(Monat.Tag1)=9,August!Monat.P10UeVM,IF(MONTH(Monat.Tag1)=10,September!Monat.P10UeVM,IF(MONTH(Monat.Tag1)=11,October!Monat.P10UeVM,IF(MONTH(Monat.Tag1)=12,November!Monat.P10UeVM,"")))))))))))),"")</f>
        <v>0</v>
      </c>
      <c r="AJ106" s="172"/>
      <c r="AK106" s="217" t="n">
        <f aca="false">AF106+AI106</f>
        <v>0</v>
      </c>
      <c r="AL106" s="171"/>
      <c r="AM106" s="171"/>
      <c r="AN106" s="39"/>
    </row>
    <row r="107" s="148" customFormat="true" ht="15" hidden="true" customHeight="true" outlineLevel="1" collapsed="false">
      <c r="A107" s="181" t="str">
        <f aca="true">IF(ROW(A107)-ROW(INDEX(Monat.Projekte.Zeilen,1))+1&gt;EB.AnzProjekte,"",OFFSET(EB.Projekte.Knoten,ROW(A107)-ROW(INDEX(Monat.Projekte.Zeilen,1))+1,0,1,1))</f>
        <v/>
      </c>
      <c r="B107" s="176"/>
      <c r="C107" s="176"/>
      <c r="D107" s="176"/>
      <c r="E107" s="177"/>
      <c r="F107" s="176"/>
      <c r="G107" s="176"/>
      <c r="H107" s="176"/>
      <c r="I107" s="176"/>
      <c r="J107" s="177"/>
      <c r="K107" s="176"/>
      <c r="L107" s="177"/>
      <c r="M107" s="176"/>
      <c r="N107" s="176"/>
      <c r="O107" s="176"/>
      <c r="P107" s="176"/>
      <c r="Q107" s="177"/>
      <c r="R107" s="176"/>
      <c r="S107" s="177"/>
      <c r="T107" s="177"/>
      <c r="U107" s="176"/>
      <c r="V107" s="176"/>
      <c r="W107" s="176"/>
      <c r="X107" s="177"/>
      <c r="Y107" s="176"/>
      <c r="Z107" s="178"/>
      <c r="AA107" s="176"/>
      <c r="AB107" s="176"/>
      <c r="AC107" s="176"/>
      <c r="AD107" s="168" t="str">
        <f aca="false">A107</f>
        <v/>
      </c>
      <c r="AE107" s="202"/>
      <c r="AF107" s="207" t="n">
        <f aca="false">SUM(B107:AC107)</f>
        <v>0</v>
      </c>
      <c r="AG107" s="33"/>
      <c r="AH107" s="192"/>
      <c r="AI107" s="216" t="n">
        <f aca="false">IF(EB.Anwendung&lt;&gt;"",IF(MONTH(Monat.Tag1)=1,0,IF(MONTH(Monat.Tag1)=2,January!Monat.P11UeVM,IF(MONTH(Monat.Tag1)=3,Monat.P11UeVM,IF(MONTH(Monat.Tag1)=4,March!Monat.P11UeVM,IF(MONTH(Monat.Tag1)=5,April!Monat.P11UeVM,IF(MONTH(Monat.Tag1)=6,May!Monat.P11UeVM,IF(MONTH(Monat.Tag1)=7,June!Monat.P11UeVM,IF(MONTH(Monat.Tag1)=8,July!Monat.P11UeVM,IF(MONTH(Monat.Tag1)=9,August!Monat.P11UeVM,IF(MONTH(Monat.Tag1)=10,September!Monat.P11UeVM,IF(MONTH(Monat.Tag1)=11,October!Monat.P11UeVM,IF(MONTH(Monat.Tag1)=12,November!Monat.P11UeVM,"")))))))))))),"")</f>
        <v>0</v>
      </c>
      <c r="AJ107" s="172"/>
      <c r="AK107" s="217" t="n">
        <f aca="false">AF107+AI107</f>
        <v>0</v>
      </c>
      <c r="AL107" s="264"/>
      <c r="AM107" s="264"/>
      <c r="AN107" s="39"/>
    </row>
    <row r="108" s="266" customFormat="true" ht="15" hidden="true" customHeight="true" outlineLevel="1" collapsed="false">
      <c r="A108" s="181" t="str">
        <f aca="true">IF(ROW(A108)-ROW(INDEX(Monat.Projekte.Zeilen,1))+1&gt;EB.AnzProjekte,"",OFFSET(EB.Projekte.Knoten,ROW(A108)-ROW(INDEX(Monat.Projekte.Zeilen,1))+1,0,1,1))</f>
        <v/>
      </c>
      <c r="B108" s="176"/>
      <c r="C108" s="176"/>
      <c r="D108" s="176"/>
      <c r="E108" s="177"/>
      <c r="F108" s="176"/>
      <c r="G108" s="176"/>
      <c r="H108" s="176"/>
      <c r="I108" s="176"/>
      <c r="J108" s="177"/>
      <c r="K108" s="176"/>
      <c r="L108" s="177"/>
      <c r="M108" s="176"/>
      <c r="N108" s="176"/>
      <c r="O108" s="176"/>
      <c r="P108" s="176"/>
      <c r="Q108" s="177"/>
      <c r="R108" s="176"/>
      <c r="S108" s="177"/>
      <c r="T108" s="177"/>
      <c r="U108" s="176"/>
      <c r="V108" s="176"/>
      <c r="W108" s="176"/>
      <c r="X108" s="177"/>
      <c r="Y108" s="176"/>
      <c r="Z108" s="178"/>
      <c r="AA108" s="176"/>
      <c r="AB108" s="176"/>
      <c r="AC108" s="176"/>
      <c r="AD108" s="168" t="str">
        <f aca="false">A108</f>
        <v/>
      </c>
      <c r="AE108" s="202"/>
      <c r="AF108" s="207" t="n">
        <f aca="false">SUM(B108:AC108)</f>
        <v>0</v>
      </c>
      <c r="AG108" s="33"/>
      <c r="AH108" s="192"/>
      <c r="AI108" s="216" t="n">
        <f aca="false">IF(EB.Anwendung&lt;&gt;"",IF(MONTH(Monat.Tag1)=1,0,IF(MONTH(Monat.Tag1)=2,January!Monat.P12UeVM,IF(MONTH(Monat.Tag1)=3,Monat.P12UeVM,IF(MONTH(Monat.Tag1)=4,March!Monat.P12UeVM,IF(MONTH(Monat.Tag1)=5,April!Monat.P12UeVM,IF(MONTH(Monat.Tag1)=6,May!Monat.P12UeVM,IF(MONTH(Monat.Tag1)=7,June!Monat.P12UeVM,IF(MONTH(Monat.Tag1)=8,July!Monat.P12UeVM,IF(MONTH(Monat.Tag1)=9,August!Monat.P12UeVM,IF(MONTH(Monat.Tag1)=10,September!Monat.P12UeVM,IF(MONTH(Monat.Tag1)=11,October!Monat.P12UeVM,IF(MONTH(Monat.Tag1)=12,November!Monat.P12UeVM,"")))))))))))),"")</f>
        <v>0</v>
      </c>
      <c r="AJ108" s="172"/>
      <c r="AK108" s="217" t="n">
        <f aca="false">AF108+AI108</f>
        <v>0</v>
      </c>
      <c r="AL108" s="264"/>
      <c r="AM108" s="264"/>
      <c r="AN108" s="265"/>
    </row>
    <row r="109" s="266" customFormat="true" ht="15" hidden="true" customHeight="true" outlineLevel="1" collapsed="false">
      <c r="A109" s="181" t="str">
        <f aca="true">IF(ROW(A109)-ROW(INDEX(Monat.Projekte.Zeilen,1))+1&gt;EB.AnzProjekte,"",OFFSET(EB.Projekte.Knoten,ROW(A109)-ROW(INDEX(Monat.Projekte.Zeilen,1))+1,0,1,1))</f>
        <v/>
      </c>
      <c r="B109" s="176"/>
      <c r="C109" s="176"/>
      <c r="D109" s="176"/>
      <c r="E109" s="177"/>
      <c r="F109" s="176"/>
      <c r="G109" s="176"/>
      <c r="H109" s="176"/>
      <c r="I109" s="176"/>
      <c r="J109" s="177"/>
      <c r="K109" s="176"/>
      <c r="L109" s="177"/>
      <c r="M109" s="176"/>
      <c r="N109" s="176"/>
      <c r="O109" s="176"/>
      <c r="P109" s="176"/>
      <c r="Q109" s="177"/>
      <c r="R109" s="176"/>
      <c r="S109" s="177"/>
      <c r="T109" s="177"/>
      <c r="U109" s="176"/>
      <c r="V109" s="176"/>
      <c r="W109" s="176"/>
      <c r="X109" s="177"/>
      <c r="Y109" s="176"/>
      <c r="Z109" s="178"/>
      <c r="AA109" s="176"/>
      <c r="AB109" s="176"/>
      <c r="AC109" s="176"/>
      <c r="AD109" s="168" t="str">
        <f aca="false">A109</f>
        <v/>
      </c>
      <c r="AE109" s="184"/>
      <c r="AF109" s="207" t="n">
        <f aca="false">SUM(B109:AC109)</f>
        <v>0</v>
      </c>
      <c r="AG109" s="33"/>
      <c r="AH109" s="192"/>
      <c r="AI109" s="216" t="n">
        <f aca="false">IF(EB.Anwendung&lt;&gt;"",IF(MONTH(Monat.Tag1)=1,0,IF(MONTH(Monat.Tag1)=2,January!Monat.P13UeVM,IF(MONTH(Monat.Tag1)=3,Monat.P13UeVM,IF(MONTH(Monat.Tag1)=4,March!Monat.P13UeVM,IF(MONTH(Monat.Tag1)=5,April!Monat.P13UeVM,IF(MONTH(Monat.Tag1)=6,May!Monat.P13UeVM,IF(MONTH(Monat.Tag1)=7,June!Monat.P13UeVM,IF(MONTH(Monat.Tag1)=8,July!Monat.P13UeVM,IF(MONTH(Monat.Tag1)=9,August!Monat.P13UeVM,IF(MONTH(Monat.Tag1)=10,September!Monat.P13UeVM,IF(MONTH(Monat.Tag1)=11,October!Monat.P13UeVM,IF(MONTH(Monat.Tag1)=12,November!Monat.P13UeVM,"")))))))))))),"")</f>
        <v>0</v>
      </c>
      <c r="AJ109" s="172"/>
      <c r="AK109" s="217" t="n">
        <f aca="false">AF109+AI109</f>
        <v>0</v>
      </c>
      <c r="AL109" s="264"/>
      <c r="AM109" s="264"/>
      <c r="AN109" s="265"/>
    </row>
    <row r="110" customFormat="false" ht="15" hidden="true" customHeight="true" outlineLevel="1" collapsed="false">
      <c r="A110" s="181" t="str">
        <f aca="true">IF(ROW(A110)-ROW(INDEX(Monat.Projekte.Zeilen,1))+1&gt;EB.AnzProjekte,"",OFFSET(EB.Projekte.Knoten,ROW(A110)-ROW(INDEX(Monat.Projekte.Zeilen,1))+1,0,1,1))</f>
        <v/>
      </c>
      <c r="B110" s="176"/>
      <c r="C110" s="176"/>
      <c r="D110" s="176"/>
      <c r="E110" s="177"/>
      <c r="F110" s="176"/>
      <c r="G110" s="176"/>
      <c r="H110" s="176"/>
      <c r="I110" s="176"/>
      <c r="J110" s="177"/>
      <c r="K110" s="176"/>
      <c r="L110" s="177"/>
      <c r="M110" s="176"/>
      <c r="N110" s="176"/>
      <c r="O110" s="176"/>
      <c r="P110" s="176"/>
      <c r="Q110" s="177"/>
      <c r="R110" s="176"/>
      <c r="S110" s="177"/>
      <c r="T110" s="177"/>
      <c r="U110" s="176"/>
      <c r="V110" s="176"/>
      <c r="W110" s="176"/>
      <c r="X110" s="177"/>
      <c r="Y110" s="176"/>
      <c r="Z110" s="178"/>
      <c r="AA110" s="176"/>
      <c r="AB110" s="176"/>
      <c r="AC110" s="176"/>
      <c r="AD110" s="168" t="str">
        <f aca="false">A110</f>
        <v/>
      </c>
      <c r="AE110" s="184"/>
      <c r="AF110" s="207" t="n">
        <f aca="false">SUM(B110:AC110)</f>
        <v>0</v>
      </c>
      <c r="AG110" s="33"/>
      <c r="AH110" s="192"/>
      <c r="AI110" s="216" t="n">
        <f aca="false">IF(EB.Anwendung&lt;&gt;"",IF(MONTH(Monat.Tag1)=1,0,IF(MONTH(Monat.Tag1)=2,January!Monat.P14UeVM,IF(MONTH(Monat.Tag1)=3,Monat.P14UeVM,IF(MONTH(Monat.Tag1)=4,March!Monat.P14UeVM,IF(MONTH(Monat.Tag1)=5,April!Monat.P14UeVM,IF(MONTH(Monat.Tag1)=6,May!Monat.P14UeVM,IF(MONTH(Monat.Tag1)=7,June!Monat.P14UeVM,IF(MONTH(Monat.Tag1)=8,July!Monat.P14UeVM,IF(MONTH(Monat.Tag1)=9,August!Monat.P14UeVM,IF(MONTH(Monat.Tag1)=10,September!Monat.P14UeVM,IF(MONTH(Monat.Tag1)=11,October!Monat.P14UeVM,IF(MONTH(Monat.Tag1)=12,November!Monat.P14UeVM,"")))))))))))),"")</f>
        <v>0</v>
      </c>
      <c r="AJ110" s="172"/>
      <c r="AK110" s="217" t="n">
        <f aca="false">AF110+AI110</f>
        <v>0</v>
      </c>
      <c r="AL110" s="264"/>
      <c r="AM110" s="264"/>
      <c r="AN110" s="43"/>
    </row>
    <row r="111" customFormat="false" ht="15" hidden="true" customHeight="true" outlineLevel="1" collapsed="false">
      <c r="A111" s="181" t="str">
        <f aca="true">IF(ROW(A111)-ROW(INDEX(Monat.Projekte.Zeilen,1))+1&gt;EB.AnzProjekte,"",OFFSET(EB.Projekte.Knoten,ROW(A111)-ROW(INDEX(Monat.Projekte.Zeilen,1))+1,0,1,1))</f>
        <v/>
      </c>
      <c r="B111" s="176"/>
      <c r="C111" s="176"/>
      <c r="D111" s="176"/>
      <c r="E111" s="176"/>
      <c r="F111" s="176"/>
      <c r="G111" s="176"/>
      <c r="H111" s="176"/>
      <c r="I111" s="176"/>
      <c r="J111" s="176"/>
      <c r="K111" s="176"/>
      <c r="L111" s="176"/>
      <c r="M111" s="176"/>
      <c r="N111" s="176"/>
      <c r="O111" s="176"/>
      <c r="P111" s="176"/>
      <c r="Q111" s="176"/>
      <c r="R111" s="176"/>
      <c r="S111" s="176"/>
      <c r="T111" s="176"/>
      <c r="U111" s="176"/>
      <c r="V111" s="176"/>
      <c r="W111" s="176"/>
      <c r="X111" s="176"/>
      <c r="Y111" s="176"/>
      <c r="Z111" s="190"/>
      <c r="AA111" s="176"/>
      <c r="AB111" s="176"/>
      <c r="AC111" s="176"/>
      <c r="AD111" s="168" t="str">
        <f aca="false">A111</f>
        <v/>
      </c>
      <c r="AE111" s="184"/>
      <c r="AF111" s="207" t="n">
        <f aca="false">SUM(B111:AC111)</f>
        <v>0</v>
      </c>
      <c r="AG111" s="33"/>
      <c r="AH111" s="192"/>
      <c r="AI111" s="216" t="n">
        <f aca="false">IF(EB.Anwendung&lt;&gt;"",IF(MONTH(Monat.Tag1)=1,0,IF(MONTH(Monat.Tag1)=2,January!Monat.P15UeVM,IF(MONTH(Monat.Tag1)=3,Monat.P15UeVM,IF(MONTH(Monat.Tag1)=4,March!Monat.P15UeVM,IF(MONTH(Monat.Tag1)=5,April!Monat.P15UeVM,IF(MONTH(Monat.Tag1)=6,May!Monat.P15UeVM,IF(MONTH(Monat.Tag1)=7,June!Monat.P15UeVM,IF(MONTH(Monat.Tag1)=8,July!Monat.P15UeVM,IF(MONTH(Monat.Tag1)=9,August!Monat.P15UeVM,IF(MONTH(Monat.Tag1)=10,September!Monat.P15UeVM,IF(MONTH(Monat.Tag1)=11,October!Monat.P15UeVM,IF(MONTH(Monat.Tag1)=12,November!Monat.P15UeVM,"")))))))))))),"")</f>
        <v>0</v>
      </c>
      <c r="AJ111" s="172"/>
      <c r="AK111" s="217" t="n">
        <f aca="false">AF111+AI111</f>
        <v>0</v>
      </c>
      <c r="AL111" s="264"/>
      <c r="AM111" s="264"/>
      <c r="AN111" s="43"/>
    </row>
    <row r="112" customFormat="false" ht="15" hidden="false" customHeight="true" outlineLevel="0" collapsed="false">
      <c r="A112" s="181" t="s">
        <v>177</v>
      </c>
      <c r="B112" s="205" t="n">
        <f aca="false">SUM(B97:B111)</f>
        <v>0</v>
      </c>
      <c r="C112" s="205" t="n">
        <f aca="false">SUM(C97:C111)</f>
        <v>0</v>
      </c>
      <c r="D112" s="205" t="n">
        <f aca="false">SUM(D97:D111)</f>
        <v>0</v>
      </c>
      <c r="E112" s="205" t="n">
        <f aca="false">SUM(E97:E111)</f>
        <v>0</v>
      </c>
      <c r="F112" s="205" t="n">
        <f aca="false">SUM(F97:F111)</f>
        <v>0</v>
      </c>
      <c r="G112" s="205" t="n">
        <f aca="false">SUM(G97:G111)</f>
        <v>0</v>
      </c>
      <c r="H112" s="205" t="n">
        <f aca="false">SUM(H97:H111)</f>
        <v>0</v>
      </c>
      <c r="I112" s="205" t="n">
        <f aca="false">SUM(I97:I111)</f>
        <v>0</v>
      </c>
      <c r="J112" s="205" t="n">
        <f aca="false">SUM(J97:J111)</f>
        <v>0</v>
      </c>
      <c r="K112" s="205" t="n">
        <f aca="false">SUM(K97:K111)</f>
        <v>0</v>
      </c>
      <c r="L112" s="205" t="n">
        <f aca="false">SUM(L97:L111)</f>
        <v>0</v>
      </c>
      <c r="M112" s="205" t="n">
        <f aca="false">SUM(M97:M111)</f>
        <v>0</v>
      </c>
      <c r="N112" s="205" t="n">
        <f aca="false">SUM(N97:N111)</f>
        <v>0</v>
      </c>
      <c r="O112" s="205" t="n">
        <f aca="false">SUM(O97:O111)</f>
        <v>0</v>
      </c>
      <c r="P112" s="205" t="n">
        <f aca="false">SUM(P97:P111)</f>
        <v>0</v>
      </c>
      <c r="Q112" s="205" t="n">
        <f aca="false">SUM(Q97:Q111)</f>
        <v>0</v>
      </c>
      <c r="R112" s="205" t="n">
        <f aca="false">SUM(R97:R111)</f>
        <v>0</v>
      </c>
      <c r="S112" s="205" t="n">
        <f aca="false">SUM(S97:S111)</f>
        <v>0</v>
      </c>
      <c r="T112" s="205" t="n">
        <f aca="false">SUM(T97:T111)</f>
        <v>0</v>
      </c>
      <c r="U112" s="205" t="n">
        <f aca="false">SUM(U97:U111)</f>
        <v>0</v>
      </c>
      <c r="V112" s="205" t="n">
        <f aca="false">SUM(V97:V111)</f>
        <v>0</v>
      </c>
      <c r="W112" s="205" t="n">
        <f aca="false">SUM(W97:W111)</f>
        <v>0</v>
      </c>
      <c r="X112" s="205" t="n">
        <f aca="false">SUM(X97:X111)</f>
        <v>0</v>
      </c>
      <c r="Y112" s="205" t="n">
        <f aca="false">SUM(Y97:Y111)</f>
        <v>0</v>
      </c>
      <c r="Z112" s="205" t="n">
        <f aca="false">SUM(Z97:Z111)</f>
        <v>0</v>
      </c>
      <c r="AA112" s="205" t="n">
        <f aca="false">SUM(AA97:AA111)</f>
        <v>0</v>
      </c>
      <c r="AB112" s="205" t="n">
        <f aca="false">SUM(AB97:AB111)</f>
        <v>0</v>
      </c>
      <c r="AC112" s="205" t="n">
        <f aca="false">SUM(AC97:AC111)</f>
        <v>0</v>
      </c>
      <c r="AD112" s="183" t="str">
        <f aca="false">A112</f>
        <v>Hours worked for projects</v>
      </c>
      <c r="AE112" s="184"/>
      <c r="AF112" s="207" t="n">
        <f aca="false">SUM(B112:AC112)</f>
        <v>0</v>
      </c>
      <c r="AG112" s="33"/>
      <c r="AH112" s="192"/>
      <c r="AI112" s="216" t="n">
        <f aca="false">IF(EB.Anwendung&lt;&gt;"",IF(MONTH(Monat.Tag1)=1,0,IF(MONTH(Monat.Tag1)=2,January!Monat.PTotalUeVM,IF(MONTH(Monat.Tag1)=3,Monat.PTotalUeVM,IF(MONTH(Monat.Tag1)=4,March!Monat.PTotalUeVM,IF(MONTH(Monat.Tag1)=5,April!Monat.PTotalUeVM,IF(MONTH(Monat.Tag1)=6,May!Monat.PTotalUeVM,IF(MONTH(Monat.Tag1)=7,June!Monat.PTotalUeVM,IF(MONTH(Monat.Tag1)=8,July!Monat.PTotalUeVM,IF(MONTH(Monat.Tag1)=9,August!Monat.PTotalUeVM,IF(MONTH(Monat.Tag1)=10,September!Monat.PTotalUeVM,IF(MONTH(Monat.Tag1)=11,October!Monat.PTotalUeVM,IF(MONTH(Monat.Tag1)=12,November!Monat.PTotalUeVM,"")))))))))))),"")</f>
        <v>0</v>
      </c>
      <c r="AJ112" s="172"/>
      <c r="AK112" s="217" t="n">
        <f aca="false">AF112+AI112</f>
        <v>0</v>
      </c>
      <c r="AL112" s="267"/>
      <c r="AM112" s="267"/>
      <c r="AN112" s="43"/>
    </row>
    <row r="113" s="148" customFormat="true" ht="11.25" hidden="false" customHeight="true" outlineLevel="0" collapsed="false">
      <c r="A113" s="268"/>
      <c r="B113" s="194"/>
      <c r="C113" s="194"/>
      <c r="D113" s="194"/>
      <c r="E113" s="194"/>
      <c r="F113" s="194"/>
      <c r="G113" s="194"/>
      <c r="H113" s="194"/>
      <c r="I113" s="194"/>
      <c r="J113" s="194"/>
      <c r="K113" s="194"/>
      <c r="L113" s="194"/>
      <c r="M113" s="194"/>
      <c r="N113" s="194"/>
      <c r="O113" s="194"/>
      <c r="P113" s="194"/>
      <c r="Q113" s="194"/>
      <c r="R113" s="194"/>
      <c r="S113" s="194"/>
      <c r="T113" s="194"/>
      <c r="U113" s="194"/>
      <c r="V113" s="194"/>
      <c r="W113" s="194"/>
      <c r="X113" s="194"/>
      <c r="Y113" s="194"/>
      <c r="Z113" s="194"/>
      <c r="AA113" s="194"/>
      <c r="AB113" s="194"/>
      <c r="AC113" s="194"/>
      <c r="AD113" s="269"/>
      <c r="AE113" s="263"/>
      <c r="AF113" s="194"/>
      <c r="AG113" s="16"/>
      <c r="AH113" s="194"/>
      <c r="AI113" s="194"/>
      <c r="AJ113" s="194"/>
      <c r="AK113" s="50"/>
      <c r="AL113" s="194"/>
      <c r="AM113" s="194"/>
      <c r="AN113" s="39"/>
    </row>
    <row r="114" s="148" customFormat="true" ht="15" hidden="true" customHeight="true" outlineLevel="1" collapsed="false">
      <c r="A114" s="181" t="s">
        <v>178</v>
      </c>
      <c r="B114" s="213" t="n">
        <f aca="false">ROUND((B23+B45+B91)-SUMPRODUCT((B97:B111)*(EB.Projektart.Bereich=6)),9)</f>
        <v>0</v>
      </c>
      <c r="C114" s="213" t="n">
        <f aca="false">ROUND((C23+C45+C91)-SUMPRODUCT((C97:C111)*(EB.Projektart.Bereich=6)),9)</f>
        <v>0</v>
      </c>
      <c r="D114" s="213" t="n">
        <f aca="false">ROUND((D23+D45+D91)-SUMPRODUCT((D97:D111)*(EB.Projektart.Bereich=6)),9)</f>
        <v>0</v>
      </c>
      <c r="E114" s="213" t="n">
        <f aca="false">ROUND((E23+E45+E91)-SUMPRODUCT((E97:E111)*(EB.Projektart.Bereich=6)),9)</f>
        <v>0</v>
      </c>
      <c r="F114" s="213" t="n">
        <f aca="false">ROUND((F23+F45+F91)-SUMPRODUCT((F97:F111)*(EB.Projektart.Bereich=6)),9)</f>
        <v>0</v>
      </c>
      <c r="G114" s="213" t="n">
        <f aca="false">ROUND((G23+G45+G91)-SUMPRODUCT((G97:G111)*(EB.Projektart.Bereich=6)),9)</f>
        <v>0</v>
      </c>
      <c r="H114" s="213" t="n">
        <f aca="false">ROUND((H23+H45+H91)-SUMPRODUCT((H97:H111)*(EB.Projektart.Bereich=6)),9)</f>
        <v>0</v>
      </c>
      <c r="I114" s="213" t="n">
        <f aca="false">ROUND((I23+I45+I91)-SUMPRODUCT((I97:I111)*(EB.Projektart.Bereich=6)),9)</f>
        <v>0</v>
      </c>
      <c r="J114" s="213" t="n">
        <f aca="false">ROUND((J23+J45+J91)-SUMPRODUCT((J97:J111)*(EB.Projektart.Bereich=6)),9)</f>
        <v>0</v>
      </c>
      <c r="K114" s="213" t="n">
        <f aca="false">ROUND((K23+K45+K91)-SUMPRODUCT((K97:K111)*(EB.Projektart.Bereich=6)),9)</f>
        <v>0</v>
      </c>
      <c r="L114" s="213" t="n">
        <f aca="false">ROUND((L23+L45+L91)-SUMPRODUCT((L97:L111)*(EB.Projektart.Bereich=6)),9)</f>
        <v>0</v>
      </c>
      <c r="M114" s="213" t="n">
        <f aca="false">ROUND((M23+M45+M91)-SUMPRODUCT((M97:M111)*(EB.Projektart.Bereich=6)),9)</f>
        <v>0</v>
      </c>
      <c r="N114" s="213" t="n">
        <f aca="false">ROUND((N23+N45+N91)-SUMPRODUCT((N97:N111)*(EB.Projektart.Bereich=6)),9)</f>
        <v>0</v>
      </c>
      <c r="O114" s="213" t="n">
        <f aca="false">ROUND((O23+O45+O91)-SUMPRODUCT((O97:O111)*(EB.Projektart.Bereich=6)),9)</f>
        <v>0</v>
      </c>
      <c r="P114" s="213" t="n">
        <f aca="false">ROUND((P23+P45+P91)-SUMPRODUCT((P97:P111)*(EB.Projektart.Bereich=6)),9)</f>
        <v>0</v>
      </c>
      <c r="Q114" s="213" t="n">
        <f aca="false">ROUND((Q23+Q45+Q91)-SUMPRODUCT((Q97:Q111)*(EB.Projektart.Bereich=6)),9)</f>
        <v>0</v>
      </c>
      <c r="R114" s="213" t="n">
        <f aca="false">ROUND((R23+R45+R91)-SUMPRODUCT((R97:R111)*(EB.Projektart.Bereich=6)),9)</f>
        <v>0</v>
      </c>
      <c r="S114" s="213" t="n">
        <f aca="false">ROUND((S23+S45+S91)-SUMPRODUCT((S97:S111)*(EB.Projektart.Bereich=6)),9)</f>
        <v>0</v>
      </c>
      <c r="T114" s="213" t="n">
        <f aca="false">ROUND((T23+T45+T91)-SUMPRODUCT((T97:T111)*(EB.Projektart.Bereich=6)),9)</f>
        <v>0</v>
      </c>
      <c r="U114" s="213" t="n">
        <f aca="false">ROUND((U23+U45+U91)-SUMPRODUCT((U97:U111)*(EB.Projektart.Bereich=6)),9)</f>
        <v>0</v>
      </c>
      <c r="V114" s="213" t="n">
        <f aca="false">ROUND((V23+V45+V91)-SUMPRODUCT((V97:V111)*(EB.Projektart.Bereich=6)),9)</f>
        <v>0</v>
      </c>
      <c r="W114" s="213" t="n">
        <f aca="false">ROUND((W23+W45+W91)-SUMPRODUCT((W97:W111)*(EB.Projektart.Bereich=6)),9)</f>
        <v>0</v>
      </c>
      <c r="X114" s="213" t="n">
        <f aca="false">ROUND((X23+X45+X91)-SUMPRODUCT((X97:X111)*(EB.Projektart.Bereich=6)),9)</f>
        <v>0</v>
      </c>
      <c r="Y114" s="213" t="n">
        <f aca="false">ROUND((Y23+Y45+Y91)-SUMPRODUCT((Y97:Y111)*(EB.Projektart.Bereich=6)),9)</f>
        <v>0</v>
      </c>
      <c r="Z114" s="213" t="n">
        <f aca="false">ROUND((Z23+Z45+Z91)-SUMPRODUCT((Z97:Z111)*(EB.Projektart.Bereich=6)),9)</f>
        <v>0</v>
      </c>
      <c r="AA114" s="213" t="n">
        <f aca="false">ROUND((AA23+AA45+AA91)-SUMPRODUCT((AA97:AA111)*(EB.Projektart.Bereich=6)),9)</f>
        <v>0</v>
      </c>
      <c r="AB114" s="213" t="n">
        <f aca="false">ROUND((AB23+AB45+AB91)-SUMPRODUCT((AB97:AB111)*(EB.Projektart.Bereich=6)),9)</f>
        <v>0</v>
      </c>
      <c r="AC114" s="213" t="n">
        <f aca="false">ROUND((AC23+AC45+AC91)-SUMPRODUCT((AC97:AC111)*(EB.Projektart.Bereich=6)),9)</f>
        <v>0</v>
      </c>
      <c r="AD114" s="183" t="str">
        <f aca="false">A114</f>
        <v>Difference WH-Project type 6</v>
      </c>
      <c r="AE114" s="197"/>
      <c r="AF114" s="207" t="n">
        <f aca="false">SUM(B114:AC114)</f>
        <v>0</v>
      </c>
      <c r="AG114" s="33"/>
      <c r="AH114" s="235"/>
      <c r="AI114" s="216" t="n">
        <f aca="false">IF(EB.Anwendung&lt;&gt;"",IF(MONTH(Monat.Tag1)=1,0,IF(MONTH(Monat.Tag1)=2,January!Monat.PDiffUeVM,IF(MONTH(Monat.Tag1)=3,Monat.PDiffUeVM,IF(MONTH(Monat.Tag1)=4,March!Monat.PDiffUeVM,IF(MONTH(Monat.Tag1)=5,April!Monat.PDiffUeVM,IF(MONTH(Monat.Tag1)=6,May!Monat.PDiffUeVM,IF(MONTH(Monat.Tag1)=7,June!Monat.PDiffUeVM,IF(MONTH(Monat.Tag1)=8,July!Monat.PDiffUeVM,IF(MONTH(Monat.Tag1)=9,August!Monat.PDiffUeVM,IF(MONTH(Monat.Tag1)=10,September!Monat.PDiffUeVM,IF(MONTH(Monat.Tag1)=11,October!Monat.PDiffUeVM,IF(MONTH(Monat.Tag1)=12,November!Monat.PDiffUeVM,"")))))))))))),"")</f>
        <v>0</v>
      </c>
      <c r="AJ114" s="235"/>
      <c r="AK114" s="217" t="n">
        <f aca="false">AF114+AI114</f>
        <v>0</v>
      </c>
      <c r="AL114" s="235"/>
      <c r="AM114" s="235"/>
      <c r="AN114" s="39"/>
    </row>
    <row r="115" customFormat="false" ht="11.25" hidden="true" customHeight="true" outlineLevel="1" collapsed="false">
      <c r="A115" s="43"/>
      <c r="B115" s="270"/>
      <c r="C115" s="270"/>
      <c r="D115" s="270"/>
      <c r="E115" s="270"/>
      <c r="F115" s="270"/>
      <c r="G115" s="270"/>
      <c r="H115" s="270"/>
      <c r="I115" s="270"/>
      <c r="J115" s="271"/>
      <c r="K115" s="270"/>
      <c r="L115" s="270"/>
      <c r="M115" s="270"/>
      <c r="N115" s="270"/>
      <c r="O115" s="270"/>
      <c r="P115" s="270"/>
      <c r="Q115" s="270"/>
      <c r="R115" s="270"/>
      <c r="S115" s="270"/>
      <c r="T115" s="270"/>
      <c r="U115" s="270"/>
      <c r="V115" s="270"/>
      <c r="W115" s="270"/>
      <c r="X115" s="270"/>
      <c r="Y115" s="270"/>
      <c r="Z115" s="270"/>
      <c r="AA115" s="270"/>
      <c r="AB115" s="270"/>
      <c r="AC115" s="270"/>
      <c r="AD115" s="272"/>
      <c r="AE115" s="273"/>
      <c r="AF115" s="43"/>
      <c r="AG115" s="43"/>
      <c r="AH115" s="43"/>
      <c r="AI115" s="43"/>
      <c r="AJ115" s="43"/>
      <c r="AK115" s="274"/>
      <c r="AL115" s="43"/>
      <c r="AM115" s="43"/>
      <c r="AN115" s="43"/>
    </row>
    <row r="116" customFormat="false" ht="11.25" hidden="false" customHeight="true" outlineLevel="0" collapsed="false">
      <c r="A116" s="43"/>
      <c r="B116" s="270"/>
      <c r="C116" s="270"/>
      <c r="D116" s="270"/>
      <c r="E116" s="270"/>
      <c r="F116" s="270"/>
      <c r="G116" s="270"/>
      <c r="H116" s="270"/>
      <c r="I116" s="270"/>
      <c r="J116" s="270"/>
      <c r="K116" s="270"/>
      <c r="L116" s="270"/>
      <c r="M116" s="270"/>
      <c r="N116" s="270"/>
      <c r="O116" s="270"/>
      <c r="P116" s="270"/>
      <c r="Q116" s="270"/>
      <c r="R116" s="270"/>
      <c r="S116" s="270"/>
      <c r="T116" s="270"/>
      <c r="U116" s="270"/>
      <c r="V116" s="270"/>
      <c r="W116" s="270"/>
      <c r="X116" s="270"/>
      <c r="Y116" s="270"/>
      <c r="Z116" s="270"/>
      <c r="AA116" s="270"/>
      <c r="AB116" s="270"/>
      <c r="AC116" s="270"/>
      <c r="AD116" s="272"/>
      <c r="AE116" s="273"/>
      <c r="AF116" s="43"/>
      <c r="AG116" s="43"/>
      <c r="AH116" s="43"/>
      <c r="AI116" s="43"/>
      <c r="AJ116" s="43"/>
      <c r="AK116" s="274"/>
      <c r="AL116" s="43"/>
      <c r="AM116" s="43"/>
      <c r="AN116" s="43"/>
    </row>
    <row r="117" customFormat="false" ht="12" hidden="false" customHeight="true" outlineLevel="0" collapsed="false">
      <c r="A117" s="43"/>
      <c r="B117" s="275" t="s">
        <v>179</v>
      </c>
      <c r="C117" s="275"/>
      <c r="D117" s="275"/>
      <c r="E117" s="275"/>
      <c r="F117" s="275"/>
      <c r="G117" s="275"/>
      <c r="H117" s="275"/>
      <c r="I117" s="275"/>
      <c r="J117" s="275"/>
      <c r="K117" s="275"/>
      <c r="L117" s="275"/>
      <c r="M117" s="275"/>
      <c r="N117" s="275"/>
      <c r="O117" s="275"/>
      <c r="P117" s="275"/>
      <c r="Q117" s="275"/>
      <c r="R117" s="276"/>
      <c r="S117" s="276"/>
      <c r="T117" s="276"/>
      <c r="U117" s="276"/>
      <c r="V117" s="276"/>
      <c r="W117" s="276"/>
      <c r="X117" s="276"/>
      <c r="Y117" s="276"/>
      <c r="Z117" s="276"/>
      <c r="AA117" s="276"/>
      <c r="AB117" s="276"/>
      <c r="AC117" s="276"/>
      <c r="AD117" s="277"/>
      <c r="AE117" s="278"/>
      <c r="AF117" s="276"/>
      <c r="AG117" s="276"/>
      <c r="AH117" s="276"/>
      <c r="AI117" s="276"/>
      <c r="AJ117" s="276"/>
      <c r="AK117" s="279"/>
      <c r="AL117" s="265"/>
      <c r="AM117" s="265"/>
      <c r="AN117" s="43"/>
    </row>
    <row r="118" customFormat="false" ht="11.25" hidden="false" customHeight="true" outlineLevel="0" collapsed="false">
      <c r="A118" s="280"/>
      <c r="B118" s="280"/>
      <c r="C118" s="280"/>
      <c r="D118" s="280"/>
      <c r="E118" s="280"/>
      <c r="F118" s="280"/>
      <c r="G118" s="280"/>
      <c r="H118" s="280"/>
      <c r="I118" s="280"/>
      <c r="J118" s="280"/>
      <c r="K118" s="280"/>
      <c r="L118" s="280"/>
      <c r="M118" s="276"/>
      <c r="N118" s="276"/>
      <c r="O118" s="276"/>
      <c r="P118" s="276"/>
      <c r="Q118" s="276"/>
      <c r="R118" s="276"/>
      <c r="S118" s="276"/>
      <c r="T118" s="276"/>
      <c r="U118" s="276"/>
      <c r="V118" s="276"/>
      <c r="W118" s="276"/>
      <c r="X118" s="276"/>
      <c r="Y118" s="276"/>
      <c r="Z118" s="276"/>
      <c r="AA118" s="276"/>
      <c r="AB118" s="276"/>
      <c r="AC118" s="276"/>
      <c r="AD118" s="276"/>
      <c r="AE118" s="276"/>
      <c r="AF118" s="276"/>
      <c r="AG118" s="276"/>
      <c r="AH118" s="276"/>
      <c r="AI118" s="276"/>
      <c r="AJ118" s="276"/>
      <c r="AK118" s="276"/>
      <c r="AL118" s="276"/>
      <c r="AM118" s="276"/>
      <c r="AN118" s="43"/>
    </row>
    <row r="119" customFormat="false" ht="39" hidden="false" customHeight="true" outlineLevel="0" collapsed="false">
      <c r="A119" s="55" t="s">
        <v>180</v>
      </c>
      <c r="B119" s="281"/>
      <c r="C119" s="281"/>
      <c r="D119" s="281"/>
      <c r="E119" s="281"/>
      <c r="F119" s="281"/>
      <c r="G119" s="281"/>
      <c r="H119" s="281"/>
      <c r="I119" s="281"/>
      <c r="J119" s="281"/>
      <c r="K119" s="281"/>
      <c r="L119" s="281"/>
      <c r="M119" s="281"/>
      <c r="N119" s="281"/>
      <c r="O119" s="281"/>
      <c r="P119" s="281"/>
      <c r="Q119" s="281"/>
      <c r="R119" s="276"/>
      <c r="S119" s="276"/>
      <c r="T119" s="276"/>
      <c r="U119" s="276"/>
      <c r="V119" s="276"/>
      <c r="W119" s="276"/>
      <c r="X119" s="276"/>
      <c r="Y119" s="282"/>
      <c r="Z119" s="282"/>
      <c r="AA119" s="282"/>
      <c r="AB119" s="282"/>
      <c r="AC119" s="282"/>
      <c r="AD119" s="283"/>
      <c r="AE119" s="283"/>
      <c r="AF119" s="283"/>
      <c r="AG119" s="283"/>
      <c r="AH119" s="265"/>
      <c r="AI119" s="265"/>
      <c r="AJ119" s="265"/>
      <c r="AK119" s="284"/>
      <c r="AL119" s="265"/>
      <c r="AM119" s="265"/>
      <c r="AN119" s="43"/>
    </row>
    <row r="120" customFormat="false" ht="12" hidden="false" customHeight="true" outlineLevel="0" collapsed="false">
      <c r="A120" s="285" t="s">
        <v>181</v>
      </c>
      <c r="B120" s="286"/>
      <c r="C120" s="286"/>
      <c r="D120" s="286"/>
      <c r="E120" s="286"/>
      <c r="F120" s="286"/>
      <c r="G120" s="286"/>
      <c r="H120" s="286"/>
      <c r="I120" s="286"/>
      <c r="J120" s="286"/>
      <c r="K120" s="286"/>
      <c r="L120" s="286"/>
      <c r="M120" s="286"/>
      <c r="N120" s="286"/>
      <c r="O120" s="286"/>
      <c r="P120" s="286"/>
      <c r="Q120" s="286"/>
      <c r="R120" s="276"/>
      <c r="S120" s="276"/>
      <c r="T120" s="287" t="s">
        <v>182</v>
      </c>
      <c r="U120" s="287"/>
      <c r="V120" s="287"/>
      <c r="W120" s="287"/>
      <c r="X120" s="287"/>
      <c r="Y120" s="282"/>
      <c r="Z120" s="282"/>
      <c r="AA120" s="282"/>
      <c r="AB120" s="282"/>
      <c r="AC120" s="282"/>
      <c r="AD120" s="283"/>
      <c r="AE120" s="283"/>
      <c r="AF120" s="283"/>
      <c r="AG120" s="283"/>
      <c r="AH120" s="43"/>
      <c r="AI120" s="43"/>
      <c r="AJ120" s="43"/>
      <c r="AK120" s="274"/>
      <c r="AL120" s="43"/>
      <c r="AM120" s="43"/>
      <c r="AN120" s="43"/>
    </row>
    <row r="121" customFormat="false" ht="11.25" hidden="false" customHeight="true" outlineLevel="0" collapsed="false">
      <c r="A121" s="288"/>
      <c r="B121" s="289"/>
      <c r="C121" s="289"/>
      <c r="D121" s="289"/>
      <c r="E121" s="289"/>
      <c r="F121" s="289"/>
      <c r="G121" s="289"/>
      <c r="H121" s="289"/>
      <c r="I121" s="289"/>
      <c r="J121" s="289"/>
      <c r="K121" s="289"/>
      <c r="L121" s="289"/>
      <c r="M121" s="270"/>
      <c r="N121" s="270"/>
      <c r="O121" s="270"/>
      <c r="P121" s="270"/>
      <c r="Q121" s="270"/>
      <c r="R121" s="270"/>
      <c r="S121" s="276"/>
      <c r="T121" s="270"/>
      <c r="U121" s="270"/>
      <c r="V121" s="270"/>
      <c r="W121" s="270"/>
      <c r="X121" s="270"/>
      <c r="Y121" s="270"/>
      <c r="Z121" s="270"/>
      <c r="AA121" s="270"/>
      <c r="AB121" s="270"/>
      <c r="AC121" s="270"/>
      <c r="AD121" s="272"/>
      <c r="AE121" s="273"/>
      <c r="AF121" s="43"/>
      <c r="AG121" s="43"/>
      <c r="AH121" s="43"/>
      <c r="AI121" s="43"/>
      <c r="AJ121" s="43"/>
      <c r="AK121" s="274"/>
      <c r="AL121" s="43"/>
      <c r="AM121" s="43"/>
      <c r="AN121" s="43"/>
    </row>
    <row r="122" customFormat="false" ht="12" hidden="false" customHeight="true" outlineLevel="0" collapsed="false">
      <c r="A122" s="43"/>
      <c r="B122" s="290" t="s">
        <v>183</v>
      </c>
      <c r="C122" s="290"/>
      <c r="D122" s="290"/>
      <c r="E122" s="290"/>
      <c r="F122" s="290"/>
      <c r="G122" s="290"/>
      <c r="H122" s="290"/>
      <c r="I122" s="290"/>
      <c r="J122" s="290"/>
      <c r="K122" s="290"/>
      <c r="L122" s="290"/>
      <c r="M122" s="290"/>
      <c r="N122" s="290"/>
      <c r="O122" s="290"/>
      <c r="P122" s="290"/>
      <c r="Q122" s="290"/>
      <c r="R122" s="270"/>
      <c r="S122" s="270"/>
      <c r="T122" s="270"/>
      <c r="U122" s="270"/>
      <c r="V122" s="270"/>
      <c r="W122" s="270"/>
      <c r="X122" s="270"/>
      <c r="Y122" s="270"/>
      <c r="Z122" s="270"/>
      <c r="AA122" s="270"/>
      <c r="AB122" s="270"/>
      <c r="AC122" s="270"/>
      <c r="AD122" s="272"/>
      <c r="AE122" s="273"/>
      <c r="AF122" s="43"/>
      <c r="AG122" s="43"/>
      <c r="AH122" s="43"/>
      <c r="AI122" s="43"/>
      <c r="AJ122" s="43"/>
      <c r="AK122" s="274"/>
      <c r="AL122" s="43"/>
      <c r="AM122" s="43"/>
      <c r="AN122" s="43"/>
    </row>
    <row r="123" customFormat="false" ht="11.25" hidden="false" customHeight="true" outlineLevel="0" collapsed="false">
      <c r="A123" s="43"/>
      <c r="B123" s="270"/>
      <c r="C123" s="270"/>
      <c r="D123" s="270"/>
      <c r="E123" s="270"/>
      <c r="F123" s="270"/>
      <c r="G123" s="270"/>
      <c r="H123" s="270"/>
      <c r="I123" s="270"/>
      <c r="J123" s="270"/>
      <c r="K123" s="270"/>
      <c r="L123" s="270"/>
      <c r="M123" s="270"/>
      <c r="N123" s="270"/>
      <c r="O123" s="270"/>
      <c r="P123" s="270"/>
      <c r="Q123" s="270"/>
      <c r="R123" s="270"/>
      <c r="S123" s="270"/>
      <c r="T123" s="270"/>
      <c r="U123" s="270"/>
      <c r="V123" s="270"/>
      <c r="W123" s="270"/>
      <c r="X123" s="270"/>
      <c r="Y123" s="270"/>
      <c r="Z123" s="270"/>
      <c r="AA123" s="270"/>
      <c r="AB123" s="270"/>
      <c r="AC123" s="270"/>
      <c r="AD123" s="272"/>
      <c r="AE123" s="273"/>
      <c r="AF123" s="43"/>
      <c r="AG123" s="43"/>
      <c r="AH123" s="43"/>
      <c r="AI123" s="43"/>
      <c r="AJ123" s="43"/>
      <c r="AK123" s="274"/>
      <c r="AL123" s="43"/>
      <c r="AM123" s="43"/>
      <c r="AN123" s="43"/>
    </row>
    <row r="124" customFormat="false" ht="11.25" hidden="false" customHeight="true" outlineLevel="0" collapsed="false">
      <c r="A124" s="276"/>
      <c r="B124" s="276"/>
      <c r="C124" s="276"/>
      <c r="D124" s="276"/>
      <c r="E124" s="276"/>
      <c r="F124" s="276"/>
      <c r="G124" s="276"/>
      <c r="H124" s="276"/>
      <c r="I124" s="276"/>
      <c r="J124" s="276"/>
      <c r="K124" s="276"/>
      <c r="L124" s="276"/>
      <c r="M124" s="276"/>
      <c r="N124" s="276"/>
      <c r="O124" s="276"/>
      <c r="P124" s="276"/>
      <c r="Q124" s="276"/>
      <c r="R124" s="276"/>
      <c r="S124" s="276"/>
      <c r="T124" s="276"/>
      <c r="U124" s="276"/>
      <c r="V124" s="276"/>
      <c r="W124" s="276"/>
      <c r="X124" s="276"/>
      <c r="Y124" s="276"/>
      <c r="Z124" s="276"/>
      <c r="AA124" s="276"/>
      <c r="AB124" s="276"/>
      <c r="AC124" s="276"/>
      <c r="AD124" s="276"/>
      <c r="AE124" s="276"/>
      <c r="AF124" s="276"/>
      <c r="AG124" s="276"/>
      <c r="AH124" s="276"/>
      <c r="AI124" s="276"/>
      <c r="AJ124" s="276"/>
      <c r="AK124" s="276"/>
      <c r="AL124" s="276"/>
      <c r="AM124" s="276"/>
      <c r="AN124" s="43"/>
    </row>
  </sheetData>
  <sheetProtection sheet="true" objects="true" scenarios="true"/>
  <mergeCells count="25">
    <mergeCell ref="B1:L1"/>
    <mergeCell ref="AL1:AM1"/>
    <mergeCell ref="B2:E2"/>
    <mergeCell ref="F2:N2"/>
    <mergeCell ref="P2:U2"/>
    <mergeCell ref="B3:E3"/>
    <mergeCell ref="F3:N3"/>
    <mergeCell ref="P3:U3"/>
    <mergeCell ref="B4:E4"/>
    <mergeCell ref="F4:N4"/>
    <mergeCell ref="P4:U4"/>
    <mergeCell ref="B5:E5"/>
    <mergeCell ref="F5:N5"/>
    <mergeCell ref="B6:E6"/>
    <mergeCell ref="F6:N6"/>
    <mergeCell ref="B7:E7"/>
    <mergeCell ref="F7:N7"/>
    <mergeCell ref="AE10:AF10"/>
    <mergeCell ref="AL10:AM10"/>
    <mergeCell ref="B117:Q117"/>
    <mergeCell ref="B119:Q119"/>
    <mergeCell ref="Y119:AC120"/>
    <mergeCell ref="B120:Q120"/>
    <mergeCell ref="T120:X120"/>
    <mergeCell ref="B122:Q122"/>
  </mergeCells>
  <conditionalFormatting sqref="AF114 B114:AC114">
    <cfRule type="expression" priority="2" aboveAverage="0" equalAverage="0" bottom="0" percent="0" rank="0" text="" dxfId="0">
      <formula>ABS(B$114)&gt;=ROUND(1/24/60,9)</formula>
    </cfRule>
  </conditionalFormatting>
  <conditionalFormatting sqref="B13:AC22 B34:AC44 B25:AC30 B60:AC61 B67:AC67 B71:AC72 B84:AC84 B86:AC95 B97:AC111">
    <cfRule type="expression" priority="3" aboveAverage="0" equalAverage="0" bottom="0" percent="0" rank="0" text="" dxfId="1">
      <formula>WEEKDAY(B$10,2)&gt;5</formula>
    </cfRule>
    <cfRule type="expression" priority="4" aboveAverage="0" equalAverage="0" bottom="0" percent="0" rank="0" text="" dxfId="2">
      <formula>AND(NOT(ISERROR(MATCH(B$10,T.Feiertage.Bereich,0))),OFFSET(T.Feiertage.Bereich,MATCH(B$10,T.Feiertage.Bereich,0)-1,1,1,1)&gt;0)</formula>
    </cfRule>
    <cfRule type="expression" priority="5" aboveAverage="0" equalAverage="0" bottom="0" percent="0" rank="0" text="" dxfId="3">
      <formula>B$11=0</formula>
    </cfRule>
  </conditionalFormatting>
  <conditionalFormatting sqref="AK60:AL60">
    <cfRule type="expression" priority="6" aboveAverage="0" equalAverage="0" bottom="0" percent="0" rank="0" text="" dxfId="4">
      <formula>AND(T.50_Vetsuisse,AK60&gt;=T.GrenzeAngÜZ50_Vetsuisse)</formula>
    </cfRule>
    <cfRule type="expression" priority="7" aboveAverage="0" equalAverage="0" bottom="0" percent="0" rank="0" text="" dxfId="5">
      <formula>AND(T.50_Vetsuisse,AK60&gt;T.GrenzeAngÜZ50_Vetsuisse*T.AngÜZ50_Vetsuisse_orange)</formula>
    </cfRule>
  </conditionalFormatting>
  <conditionalFormatting sqref="B56:AC56">
    <cfRule type="expression" priority="8" aboveAverage="0" equalAverage="0" bottom="0" percent="0" rank="0" text="" dxfId="6">
      <formula>B$10&gt;TODAY()</formula>
    </cfRule>
    <cfRule type="expression" priority="9" aboveAverage="0" equalAverage="0" bottom="0" percent="0" rank="0" text="" dxfId="7">
      <formula>B$56&gt;99.99/24</formula>
    </cfRule>
    <cfRule type="expression" priority="10" aboveAverage="0" equalAverage="0" bottom="0" percent="0" rank="0" text="" dxfId="0">
      <formula>B$56&lt;99.99/24*-1</formula>
    </cfRule>
  </conditionalFormatting>
  <conditionalFormatting sqref="AL55:AM55">
    <cfRule type="cellIs" priority="11" operator="greaterThan" aboveAverage="0" equalAverage="0" bottom="0" percent="0" rank="0" text="" dxfId="1">
      <formula>1/24/60</formula>
    </cfRule>
    <cfRule type="expression" priority="12" aboveAverage="0" equalAverage="0" bottom="0" percent="0" rank="0" text="" dxfId="2">
      <formula>AND(AL55&lt;=1/24/60*-1,TODAY()&gt;=DATE(EB.Jahr,MONTH(12),DAY(31)))</formula>
    </cfRule>
  </conditionalFormatting>
  <conditionalFormatting sqref="AF58 B56:AC56">
    <cfRule type="expression" priority="13" aboveAverage="0" equalAverage="0" bottom="0" percent="0" rank="0" text="" dxfId="3">
      <formula>B$56&gt;1/24/60</formula>
    </cfRule>
    <cfRule type="expression" priority="14" aboveAverage="0" equalAverage="0" bottom="0" percent="0" rank="0" text="" dxfId="4">
      <formula>AND(B$56&lt;=1/24/60*-1,B$56)</formula>
    </cfRule>
  </conditionalFormatting>
  <conditionalFormatting sqref="B14:AC22 B36:AC44 B26:AC30">
    <cfRule type="expression" priority="15" aboveAverage="0" equalAverage="0" bottom="0" percent="0" rank="0" text="" dxfId="5">
      <formula>AND(B14&lt;B13,B14&lt;&gt;"")</formula>
    </cfRule>
  </conditionalFormatting>
  <conditionalFormatting sqref="B72:AC73">
    <cfRule type="expression" priority="16" aboveAverage="0" equalAverage="0" bottom="0" percent="0" rank="0" text="" dxfId="6">
      <formula>AND(T.50_Vetsuisse,OR(AND(B$72&lt;&gt;INDEX(T.JaNein.Bereich,1,1),B$72&lt;&gt;INDEX(T.JaNein.Bereich,2,1),B$73&lt;&gt;0,MOD(IFERROR(MATCH(1,B$13:B$22,0),1),2)=0),AND(B$72=INDEX(T.JaNein.Bereich,1,1),OR(B$73=0,MOD(IFERROR(MATCH(1,B$13:B$22,0),1),2)&lt;&gt;0))))</formula>
    </cfRule>
  </conditionalFormatting>
  <conditionalFormatting sqref="P4:U4">
    <cfRule type="expression" priority="17" aboveAverage="0" equalAverage="0" bottom="0" percent="0" rank="0" text="" dxfId="7">
      <formula>$P$4&lt;&gt;""</formula>
    </cfRule>
  </conditionalFormatting>
  <conditionalFormatting sqref="V4">
    <cfRule type="expression" priority="18" aboveAverage="0" equalAverage="0" bottom="0" percent="0" rank="0" text="" dxfId="8">
      <formula>$V$4&lt;&gt;""</formula>
    </cfRule>
  </conditionalFormatting>
  <conditionalFormatting sqref="AM60">
    <cfRule type="expression" priority="19" aboveAverage="0" equalAverage="0" bottom="0" percent="0" rank="0" text="" dxfId="9">
      <formula>AND(T.50_Vetsuisse,AM60&gt;=T.GrenzeAngÜZ50_Vetsuisse)</formula>
    </cfRule>
    <cfRule type="expression" priority="20" aboveAverage="0" equalAverage="0" bottom="0" percent="0" rank="0" text="" dxfId="10">
      <formula>AND(T.50_Vetsuisse,AM60&gt;T.GrenzeAngÜZ50_Vetsuisse*T.AngÜZ50_Vetsuisse_orange)</formula>
    </cfRule>
  </conditionalFormatting>
  <conditionalFormatting sqref="AG72:AG73">
    <cfRule type="expression" priority="21" aboveAverage="0" equalAverage="0" bottom="0" percent="0" rank="0" text="" dxfId="11">
      <formula>AND(T.50_Vetsuisse,$AG$72&lt;&gt;$AG$73)</formula>
    </cfRule>
    <cfRule type="expression" priority="22" aboveAverage="0" equalAverage="0" bottom="0" percent="0" rank="0" text="" dxfId="12">
      <formula>$AG$72&gt;$AG$73</formula>
    </cfRule>
  </conditionalFormatting>
  <dataValidations count="2">
    <dataValidation allowBlank="true" error="Please choose a value from the drop-down list." errorTitle="Start pl. night shift" operator="between" showDropDown="false" showErrorMessage="true" showInputMessage="true" sqref="B72:AC72" type="list">
      <formula1>T.JaNein.Bereich</formula1>
      <formula2>0</formula2>
    </dataValidation>
    <dataValidation allowBlank="true" error="Bitte wählen Sie einen Wert aus der Liste." errorTitle="Pikett Bereitschaft" operator="between" showDropDown="false" showErrorMessage="true" showInputMessage="true" sqref="B34:AC34" type="list">
      <formula1>T.Pikett.Bereich</formula1>
      <formula2>0</formula2>
    </dataValidation>
  </dataValidations>
  <printOptions headings="false" gridLines="false" gridLinesSet="true" horizontalCentered="true" verticalCentered="false"/>
  <pageMargins left="0.196527777777778" right="0.196527777777778" top="0.39375" bottom="0.393055555555556" header="0.511805555555555" footer="0.196527777777778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&amp;L&amp;"Arial,Regular"&amp;11Monatsabrechnung &amp;A&amp;C&amp;"Arial,Regular"&amp;11&amp;D&amp;R&amp;"Arial,Regular"&amp;11&amp;P /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Q124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" ySplit="10" topLeftCell="B11" activePane="bottomRight" state="frozen"/>
      <selection pane="topLeft" activeCell="A1" activeCellId="0" sqref="A1"/>
      <selection pane="topRight" activeCell="B1" activeCellId="0" sqref="B1"/>
      <selection pane="bottomLeft" activeCell="A11" activeCellId="0" sqref="A11"/>
      <selection pane="bottomRight" activeCell="B13" activeCellId="0" sqref="B13"/>
    </sheetView>
  </sheetViews>
  <sheetFormatPr defaultRowHeight="13" zeroHeight="false" outlineLevelRow="1" outlineLevelCol="1"/>
  <cols>
    <col collapsed="false" customWidth="true" hidden="false" outlineLevel="0" max="1" min="1" style="132" width="24.5"/>
    <col collapsed="false" customWidth="true" hidden="false" outlineLevel="0" max="32" min="2" style="132" width="5.66"/>
    <col collapsed="false" customWidth="true" hidden="false" outlineLevel="0" max="33" min="33" style="133" width="24.5"/>
    <col collapsed="false" customWidth="true" hidden="false" outlineLevel="0" max="34" min="34" style="134" width="2.17"/>
    <col collapsed="false" customWidth="true" hidden="false" outlineLevel="0" max="36" min="35" style="132" width="8.17"/>
    <col collapsed="false" customWidth="true" hidden="true" outlineLevel="1" max="37" min="37" style="132" width="15.83"/>
    <col collapsed="false" customWidth="true" hidden="true" outlineLevel="1" max="39" min="38" style="132" width="14.33"/>
    <col collapsed="false" customWidth="true" hidden="false" outlineLevel="0" max="40" min="40" style="135" width="9.5"/>
    <col collapsed="false" customWidth="true" hidden="false" outlineLevel="0" max="42" min="41" style="132" width="8.17"/>
    <col collapsed="false" customWidth="true" hidden="false" outlineLevel="0" max="43" min="43" style="132" width="3.66"/>
    <col collapsed="false" customWidth="true" hidden="false" outlineLevel="0" max="1025" min="44" style="0" width="10.66"/>
  </cols>
  <sheetData>
    <row r="1" s="142" customFormat="true" ht="22.5" hidden="false" customHeight="true" outlineLevel="0" collapsed="false">
      <c r="A1" s="136" t="str">
        <f aca="false">INDEX(EB.Monate.Bereich,MONTH(Monat.Tag1)) &amp; " " &amp; EB.Jahr</f>
        <v>March 2018</v>
      </c>
      <c r="B1" s="137" t="str">
        <f aca="false">Eingabeblatt!B1</f>
        <v>Employee Time Sheet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6"/>
      <c r="N1" s="6"/>
      <c r="O1" s="6"/>
      <c r="P1" s="6"/>
      <c r="Q1" s="6"/>
      <c r="R1" s="138"/>
      <c r="S1" s="6"/>
      <c r="T1" s="6"/>
      <c r="U1" s="6"/>
      <c r="V1" s="139"/>
      <c r="W1" s="139"/>
      <c r="X1" s="6"/>
      <c r="Y1" s="138"/>
      <c r="Z1" s="6"/>
      <c r="AA1" s="6"/>
      <c r="AB1" s="6"/>
      <c r="AC1" s="6"/>
      <c r="AD1" s="6"/>
      <c r="AE1" s="6"/>
      <c r="AF1" s="6"/>
      <c r="AG1" s="140"/>
      <c r="AH1" s="141"/>
      <c r="AI1" s="6"/>
      <c r="AJ1" s="6"/>
      <c r="AK1" s="6"/>
      <c r="AL1" s="6"/>
      <c r="AM1" s="6"/>
      <c r="AN1" s="7"/>
      <c r="AO1" s="7" t="str">
        <f aca="false">EB.Version</f>
        <v>Version 01.18</v>
      </c>
      <c r="AP1" s="7"/>
      <c r="AQ1" s="8" t="str">
        <f aca="false">EB.Sprache</f>
        <v>EN</v>
      </c>
    </row>
    <row r="2" s="148" customFormat="true" ht="15" hidden="false" customHeight="true" outlineLevel="0" collapsed="false">
      <c r="A2" s="55"/>
      <c r="B2" s="11" t="str">
        <f aca="false">Eingabeblatt!A3</f>
        <v>Name</v>
      </c>
      <c r="C2" s="11"/>
      <c r="D2" s="11"/>
      <c r="E2" s="11"/>
      <c r="F2" s="143" t="str">
        <f aca="false">IF(EB.Name="","?",EB.Name)</f>
        <v>Christopher Gwilliams</v>
      </c>
      <c r="G2" s="143"/>
      <c r="H2" s="143"/>
      <c r="I2" s="143"/>
      <c r="J2" s="143"/>
      <c r="K2" s="143"/>
      <c r="L2" s="143"/>
      <c r="M2" s="143"/>
      <c r="N2" s="143"/>
      <c r="O2" s="144"/>
      <c r="P2" s="11" t="str">
        <f aca="false">Eingabeblatt!J7</f>
        <v>Employment Level (FTE) in %</v>
      </c>
      <c r="Q2" s="11"/>
      <c r="R2" s="11"/>
      <c r="S2" s="11"/>
      <c r="T2" s="11"/>
      <c r="U2" s="11"/>
      <c r="V2" s="58" t="n">
        <f aca="false">IF(INDEX(EB.EffBG.Bereich,MONTH(Monat.Tag1))="","-     ",INDEX(EB.EffBG.Bereich,MONTH(Monat.Tag1)))</f>
        <v>0</v>
      </c>
      <c r="W2" s="145"/>
      <c r="X2" s="145"/>
      <c r="Y2" s="16"/>
      <c r="Z2" s="39"/>
      <c r="AA2" s="39"/>
      <c r="AB2" s="39"/>
      <c r="AC2" s="39"/>
      <c r="AD2" s="39"/>
      <c r="AE2" s="39"/>
      <c r="AF2" s="39"/>
      <c r="AG2" s="13"/>
      <c r="AH2" s="146"/>
      <c r="AI2" s="39"/>
      <c r="AJ2" s="39"/>
      <c r="AK2" s="39"/>
      <c r="AL2" s="39"/>
      <c r="AM2" s="39"/>
      <c r="AN2" s="147"/>
      <c r="AO2" s="39"/>
      <c r="AP2" s="39"/>
      <c r="AQ2" s="39"/>
    </row>
    <row r="3" s="148" customFormat="true" ht="15" hidden="false" customHeight="true" outlineLevel="0" collapsed="false">
      <c r="A3" s="149"/>
      <c r="B3" s="11" t="str">
        <f aca="false">Eingabeblatt!H2</f>
        <v>Function</v>
      </c>
      <c r="C3" s="11"/>
      <c r="D3" s="11"/>
      <c r="E3" s="11"/>
      <c r="F3" s="150" t="str">
        <f aca="false">EB.Funktion</f>
        <v>Description of Function</v>
      </c>
      <c r="G3" s="150"/>
      <c r="H3" s="150"/>
      <c r="I3" s="150"/>
      <c r="J3" s="150"/>
      <c r="K3" s="150"/>
      <c r="L3" s="150"/>
      <c r="M3" s="150"/>
      <c r="N3" s="150"/>
      <c r="O3" s="13"/>
      <c r="P3" s="11" t="str">
        <f aca="false">Eingabeblatt!J12</f>
        <v>ø Hours per day at FTE</v>
      </c>
      <c r="Q3" s="11"/>
      <c r="R3" s="11"/>
      <c r="S3" s="11"/>
      <c r="T3" s="11"/>
      <c r="U3" s="11"/>
      <c r="V3" s="151" t="n">
        <f aca="false">IF(INDEX(EB.DurchSollTAZStd.Bereich,MONTH(Monat.Tag1))="","-     ",INDEX(EB.DurchSollTAZStd.Bereich,MONTH(Monat.Tag1)))</f>
        <v>0</v>
      </c>
      <c r="W3" s="152"/>
      <c r="X3" s="152"/>
      <c r="Y3" s="39"/>
      <c r="Z3" s="39"/>
      <c r="AA3" s="39"/>
      <c r="AB3" s="39"/>
      <c r="AC3" s="39"/>
      <c r="AD3" s="39"/>
      <c r="AE3" s="39"/>
      <c r="AF3" s="39"/>
      <c r="AG3" s="13"/>
      <c r="AH3" s="146"/>
      <c r="AI3" s="39"/>
      <c r="AJ3" s="39"/>
      <c r="AK3" s="39"/>
      <c r="AL3" s="39"/>
      <c r="AM3" s="39"/>
      <c r="AN3" s="147"/>
      <c r="AO3" s="39"/>
      <c r="AP3" s="39"/>
      <c r="AQ3" s="39"/>
    </row>
    <row r="4" s="148" customFormat="true" ht="15" hidden="false" customHeight="true" outlineLevel="0" collapsed="false">
      <c r="A4" s="149"/>
      <c r="B4" s="11" t="str">
        <f aca="false">Eingabeblatt!H3</f>
        <v>Institute/Department</v>
      </c>
      <c r="C4" s="11"/>
      <c r="D4" s="11"/>
      <c r="E4" s="11"/>
      <c r="F4" s="150" t="str">
        <f aca="false">EB.Institut</f>
        <v>Institute/Department Name</v>
      </c>
      <c r="G4" s="150"/>
      <c r="H4" s="150"/>
      <c r="I4" s="150"/>
      <c r="J4" s="150"/>
      <c r="K4" s="150"/>
      <c r="L4" s="150"/>
      <c r="M4" s="150"/>
      <c r="N4" s="150"/>
      <c r="O4" s="13"/>
      <c r="P4" s="47" t="str">
        <f aca="true">IF(EB.ÜZZSBerechtigt=INDEX(T.JaNein.Bereich,1,1),IF(AND(OR(AND(EB.LKgr16=INDEX(T.JaNein.Bereich,1,1),EB.LKgr16ab&gt;EOMONTH(Monat.Tag1,0)),EB.LKgr16&lt;&gt;INDEX(T.JaNein.Bereich,1,1)),Monat.AZSoll.Total&gt;0),Eingabeblatt!J6,""),"")</f>
        <v/>
      </c>
      <c r="Q4" s="47"/>
      <c r="R4" s="47"/>
      <c r="S4" s="47"/>
      <c r="T4" s="47"/>
      <c r="U4" s="47"/>
      <c r="V4" s="153" t="str">
        <f aca="false">IF(P4&lt;&gt;"",EB.ÜZZSBerechtigt,"")</f>
        <v/>
      </c>
      <c r="W4" s="39"/>
      <c r="X4" s="39"/>
      <c r="Y4" s="39"/>
      <c r="Z4" s="39"/>
      <c r="AA4" s="39"/>
      <c r="AB4" s="39"/>
      <c r="AC4" s="39"/>
      <c r="AD4" s="39"/>
      <c r="AE4" s="39"/>
      <c r="AF4" s="39"/>
      <c r="AG4" s="13"/>
      <c r="AH4" s="146"/>
      <c r="AI4" s="39"/>
      <c r="AJ4" s="39"/>
      <c r="AK4" s="39"/>
      <c r="AL4" s="39"/>
      <c r="AM4" s="39"/>
      <c r="AN4" s="147"/>
      <c r="AO4" s="39"/>
      <c r="AP4" s="39"/>
      <c r="AQ4" s="39"/>
    </row>
    <row r="5" s="148" customFormat="true" ht="15" hidden="false" customHeight="true" outlineLevel="0" collapsed="false">
      <c r="A5" s="149"/>
      <c r="B5" s="11" t="str">
        <f aca="false">Eingabeblatt!A5</f>
        <v>Employee Number</v>
      </c>
      <c r="C5" s="11"/>
      <c r="D5" s="11"/>
      <c r="E5" s="11"/>
      <c r="F5" s="150" t="str">
        <f aca="false">IF(EB.Personalnummer="","?",EB.Personalnummer)</f>
        <v>?</v>
      </c>
      <c r="G5" s="150"/>
      <c r="H5" s="150"/>
      <c r="I5" s="150"/>
      <c r="J5" s="150"/>
      <c r="K5" s="150"/>
      <c r="L5" s="150"/>
      <c r="M5" s="150"/>
      <c r="N5" s="150"/>
      <c r="O5" s="13"/>
      <c r="P5" s="19" t="str">
        <f aca="false">Eingabeblatt!A38</f>
        <v>Standard working hours</v>
      </c>
      <c r="Q5" s="13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 t="s">
        <v>120</v>
      </c>
      <c r="AG5" s="13"/>
      <c r="AH5" s="146"/>
      <c r="AI5" s="39"/>
      <c r="AJ5" s="39"/>
      <c r="AK5" s="39"/>
      <c r="AL5" s="39"/>
      <c r="AM5" s="39"/>
      <c r="AN5" s="147"/>
      <c r="AO5" s="39"/>
      <c r="AP5" s="39"/>
      <c r="AQ5" s="39"/>
    </row>
    <row r="6" s="148" customFormat="true" ht="15" hidden="false" customHeight="true" outlineLevel="0" collapsed="false">
      <c r="A6" s="149"/>
      <c r="B6" s="11" t="str">
        <f aca="false">Eingabeblatt!H4</f>
        <v>Faculty</v>
      </c>
      <c r="C6" s="11"/>
      <c r="D6" s="11"/>
      <c r="E6" s="11"/>
      <c r="F6" s="150" t="str">
        <f aca="false">EB.Fakultaet</f>
        <v>Select Faculty</v>
      </c>
      <c r="G6" s="150"/>
      <c r="H6" s="150"/>
      <c r="I6" s="150"/>
      <c r="J6" s="150"/>
      <c r="K6" s="150"/>
      <c r="L6" s="150"/>
      <c r="M6" s="150"/>
      <c r="N6" s="150"/>
      <c r="O6" s="13"/>
      <c r="P6" s="154" t="str">
        <f aca="false">LEFT(INDEX(EB.RAZ_Wochentage.Bereich,1),2)</f>
        <v>Mo</v>
      </c>
      <c r="Q6" s="154" t="str">
        <f aca="false">LEFT(INDEX(EB.RAZ_Wochentage.Bereich,2),2)</f>
        <v>Tu</v>
      </c>
      <c r="R6" s="154" t="str">
        <f aca="false">LEFT(INDEX(EB.RAZ_Wochentage.Bereich,3),2)</f>
        <v>We</v>
      </c>
      <c r="S6" s="154" t="str">
        <f aca="false">LEFT(INDEX(EB.RAZ_Wochentage.Bereich,4),2)</f>
        <v>Th</v>
      </c>
      <c r="T6" s="154" t="str">
        <f aca="false">LEFT(INDEX(EB.RAZ_Wochentage.Bereich,5),2)</f>
        <v>Fr</v>
      </c>
      <c r="U6" s="154" t="str">
        <f aca="false">LEFT(INDEX(EB.RAZ_Wochentage.Bereich,6),2)</f>
        <v>Sa</v>
      </c>
      <c r="V6" s="154" t="str">
        <f aca="false">LEFT(INDEX(EB.RAZ_Wochentage.Bereich,7),2)</f>
        <v>Su</v>
      </c>
      <c r="W6" s="39"/>
      <c r="X6" s="39"/>
      <c r="Y6" s="39"/>
      <c r="Z6" s="39"/>
      <c r="AA6" s="39"/>
      <c r="AB6" s="39"/>
      <c r="AC6" s="39"/>
      <c r="AD6" s="39"/>
      <c r="AE6" s="39"/>
      <c r="AF6" s="39"/>
      <c r="AG6" s="13"/>
      <c r="AH6" s="146"/>
      <c r="AI6" s="39"/>
      <c r="AJ6" s="39"/>
      <c r="AK6" s="39"/>
      <c r="AL6" s="39"/>
      <c r="AM6" s="39"/>
      <c r="AN6" s="147"/>
      <c r="AO6" s="39"/>
      <c r="AP6" s="39"/>
      <c r="AQ6" s="39"/>
    </row>
    <row r="7" s="148" customFormat="true" ht="15" hidden="false" customHeight="true" outlineLevel="0" collapsed="false">
      <c r="A7" s="149"/>
      <c r="B7" s="11" t="str">
        <f aca="false">Eingabeblatt!H5</f>
        <v>Employee Category</v>
      </c>
      <c r="C7" s="11"/>
      <c r="D7" s="11"/>
      <c r="E7" s="11"/>
      <c r="F7" s="150" t="str">
        <f aca="false">EB.Personalkategorie</f>
        <v>Select Employee Category</v>
      </c>
      <c r="G7" s="150"/>
      <c r="H7" s="150"/>
      <c r="I7" s="150"/>
      <c r="J7" s="150"/>
      <c r="K7" s="150"/>
      <c r="L7" s="150"/>
      <c r="M7" s="150"/>
      <c r="N7" s="150"/>
      <c r="O7" s="13"/>
      <c r="P7" s="155" t="n">
        <f aca="false">IF(EB.Anwendung&lt;&gt;"",IF(MONTH(Monat.Tag1)=1,INDEX(EB.RAZ1_7.Bereich,1),INDEX(IF(MONTH(Monat.Tag1)=2,January!Monat.RAZ1_7.Bereich,IF(MONTH(Monat.Tag1)=3,February!Monat.RAZ1_7.Bereich,IF(MONTH(Monat.Tag1)=4,Monat.RAZ1_7.Bereich,IF(MONTH(Monat.Tag1)=5,April!Monat.RAZ1_7.Bereich,IF(MONTH(Monat.Tag1)=6,May!Monat.RAZ1_7.Bereich,IF(MONTH(Monat.Tag1)=7,June!Monat.RAZ1_7.Bereich,IF(MONTH(Monat.Tag1)=8,July!Monat.RAZ1_7.Bereich,IF(MONTH(Monat.Tag1)=9,August!Monat.RAZ1_7.Bereich,IF(MONTH(Monat.Tag1)=10,September!Monat.RAZ1_7.Bereich,IF(MONTH(Monat.Tag1)=11,October!Monat.RAZ1_7.Bereich,IF(MONTH(Monat.Tag1)=12,November!Monat.RAZ1_7.Bereich,""))))))))))),1)),"")</f>
        <v>0.35</v>
      </c>
      <c r="Q7" s="155" t="n">
        <f aca="false">IF(EB.Anwendung&lt;&gt;"",IF(MONTH(Monat.Tag1)=1,INDEX(EB.RAZ1_7.Bereich,2),INDEX(IF(MONTH(Monat.Tag1)=2,January!Monat.RAZ1_7.Bereich,IF(MONTH(Monat.Tag1)=3,February!Monat.RAZ1_7.Bereich,IF(MONTH(Monat.Tag1)=4,Monat.RAZ1_7.Bereich,IF(MONTH(Monat.Tag1)=5,April!Monat.RAZ1_7.Bereich,IF(MONTH(Monat.Tag1)=6,May!Monat.RAZ1_7.Bereich,IF(MONTH(Monat.Tag1)=7,June!Monat.RAZ1_7.Bereich,IF(MONTH(Monat.Tag1)=8,July!Monat.RAZ1_7.Bereich,IF(MONTH(Monat.Tag1)=9,August!Monat.RAZ1_7.Bereich,IF(MONTH(Monat.Tag1)=10,September!Monat.RAZ1_7.Bereich,IF(MONTH(Monat.Tag1)=11,October!Monat.RAZ1_7.Bereich,IF(MONTH(Monat.Tag1)=12,November!Monat.RAZ1_7.Bereich,""))))))))))),2)),"")</f>
        <v>0.35</v>
      </c>
      <c r="R7" s="155" t="n">
        <f aca="false">IF(EB.Anwendung&lt;&gt;"",IF(MONTH(Monat.Tag1)=1,INDEX(EB.RAZ1_7.Bereich,3),INDEX(IF(MONTH(Monat.Tag1)=2,January!Monat.RAZ1_7.Bereich,IF(MONTH(Monat.Tag1)=3,February!Monat.RAZ1_7.Bereich,IF(MONTH(Monat.Tag1)=4,Monat.RAZ1_7.Bereich,IF(MONTH(Monat.Tag1)=5,April!Monat.RAZ1_7.Bereich,IF(MONTH(Monat.Tag1)=6,May!Monat.RAZ1_7.Bereich,IF(MONTH(Monat.Tag1)=7,June!Monat.RAZ1_7.Bereich,IF(MONTH(Monat.Tag1)=8,July!Monat.RAZ1_7.Bereich,IF(MONTH(Monat.Tag1)=9,August!Monat.RAZ1_7.Bereich,IF(MONTH(Monat.Tag1)=10,September!Monat.RAZ1_7.Bereich,IF(MONTH(Monat.Tag1)=11,October!Monat.RAZ1_7.Bereich,IF(MONTH(Monat.Tag1)=12,November!Monat.RAZ1_7.Bereich,""))))))))))),3)),"")</f>
        <v>0.35</v>
      </c>
      <c r="S7" s="155" t="n">
        <f aca="false">IF(EB.Anwendung&lt;&gt;"",IF(MONTH(Monat.Tag1)=1,INDEX(EB.RAZ1_7.Bereich,4),INDEX(IF(MONTH(Monat.Tag1)=2,January!Monat.RAZ1_7.Bereich,IF(MONTH(Monat.Tag1)=3,February!Monat.RAZ1_7.Bereich,IF(MONTH(Monat.Tag1)=4,Monat.RAZ1_7.Bereich,IF(MONTH(Monat.Tag1)=5,April!Monat.RAZ1_7.Bereich,IF(MONTH(Monat.Tag1)=6,May!Monat.RAZ1_7.Bereich,IF(MONTH(Monat.Tag1)=7,June!Monat.RAZ1_7.Bereich,IF(MONTH(Monat.Tag1)=8,July!Monat.RAZ1_7.Bereich,IF(MONTH(Monat.Tag1)=9,August!Monat.RAZ1_7.Bereich,IF(MONTH(Monat.Tag1)=10,September!Monat.RAZ1_7.Bereich,IF(MONTH(Monat.Tag1)=11,October!Monat.RAZ1_7.Bereich,IF(MONTH(Monat.Tag1)=12,November!Monat.RAZ1_7.Bereich,""))))))))))),4)),"")</f>
        <v>0.35</v>
      </c>
      <c r="T7" s="155" t="n">
        <f aca="false">IF(EB.Anwendung&lt;&gt;"",IF(MONTH(Monat.Tag1)=1,INDEX(EB.RAZ1_7.Bereich,5),INDEX(IF(MONTH(Monat.Tag1)=2,January!Monat.RAZ1_7.Bereich,IF(MONTH(Monat.Tag1)=3,February!Monat.RAZ1_7.Bereich,IF(MONTH(Monat.Tag1)=4,Monat.RAZ1_7.Bereich,IF(MONTH(Monat.Tag1)=5,April!Monat.RAZ1_7.Bereich,IF(MONTH(Monat.Tag1)=6,May!Monat.RAZ1_7.Bereich,IF(MONTH(Monat.Tag1)=7,June!Monat.RAZ1_7.Bereich,IF(MONTH(Monat.Tag1)=8,July!Monat.RAZ1_7.Bereich,IF(MONTH(Monat.Tag1)=9,August!Monat.RAZ1_7.Bereich,IF(MONTH(Monat.Tag1)=10,September!Monat.RAZ1_7.Bereich,IF(MONTH(Monat.Tag1)=11,October!Monat.RAZ1_7.Bereich,IF(MONTH(Monat.Tag1)=12,November!Monat.RAZ1_7.Bereich,""))))))))))),5)),"")</f>
        <v>0.35</v>
      </c>
      <c r="U7" s="155" t="n">
        <f aca="false">IF(EB.Anwendung&lt;&gt;"",IF(MONTH(Monat.Tag1)=1,INDEX(EB.RAZ1_7.Bereich,6),INDEX(IF(MONTH(Monat.Tag1)=2,January!Monat.RAZ1_7.Bereich,IF(MONTH(Monat.Tag1)=3,February!Monat.RAZ1_7.Bereich,IF(MONTH(Monat.Tag1)=4,Monat.RAZ1_7.Bereich,IF(MONTH(Monat.Tag1)=5,April!Monat.RAZ1_7.Bereich,IF(MONTH(Monat.Tag1)=6,May!Monat.RAZ1_7.Bereich,IF(MONTH(Monat.Tag1)=7,June!Monat.RAZ1_7.Bereich,IF(MONTH(Monat.Tag1)=8,July!Monat.RAZ1_7.Bereich,IF(MONTH(Monat.Tag1)=9,August!Monat.RAZ1_7.Bereich,IF(MONTH(Monat.Tag1)=10,September!Monat.RAZ1_7.Bereich,IF(MONTH(Monat.Tag1)=11,October!Monat.RAZ1_7.Bereich,IF(MONTH(Monat.Tag1)=12,November!Monat.RAZ1_7.Bereich,""))))))))))),6)),"")</f>
        <v>0</v>
      </c>
      <c r="V7" s="155" t="n">
        <f aca="false">IF(EB.Anwendung&lt;&gt;"",IF(MONTH(Monat.Tag1)=1,INDEX(EB.RAZ1_7.Bereich,7),INDEX(IF(MONTH(Monat.Tag1)=2,January!Monat.RAZ1_7.Bereich,IF(MONTH(Monat.Tag1)=3,February!Monat.RAZ1_7.Bereich,IF(MONTH(Monat.Tag1)=4,Monat.RAZ1_7.Bereich,IF(MONTH(Monat.Tag1)=5,April!Monat.RAZ1_7.Bereich,IF(MONTH(Monat.Tag1)=6,May!Monat.RAZ1_7.Bereich,IF(MONTH(Monat.Tag1)=7,June!Monat.RAZ1_7.Bereich,IF(MONTH(Monat.Tag1)=8,July!Monat.RAZ1_7.Bereich,IF(MONTH(Monat.Tag1)=9,August!Monat.RAZ1_7.Bereich,IF(MONTH(Monat.Tag1)=10,September!Monat.RAZ1_7.Bereich,IF(MONTH(Monat.Tag1)=11,October!Monat.RAZ1_7.Bereich,IF(MONTH(Monat.Tag1)=12,November!Monat.RAZ1_7.Bereich,""))))))))))),7)),"")</f>
        <v>0</v>
      </c>
      <c r="W7" s="39"/>
      <c r="X7" s="39"/>
      <c r="Y7" s="39"/>
      <c r="Z7" s="39"/>
      <c r="AA7" s="39"/>
      <c r="AB7" s="39"/>
      <c r="AC7" s="39"/>
      <c r="AD7" s="39"/>
      <c r="AE7" s="39"/>
      <c r="AF7" s="39"/>
      <c r="AG7" s="13"/>
      <c r="AH7" s="146"/>
      <c r="AI7" s="39"/>
      <c r="AJ7" s="39"/>
      <c r="AK7" s="39"/>
      <c r="AL7" s="39"/>
      <c r="AM7" s="39"/>
      <c r="AN7" s="147"/>
      <c r="AO7" s="39"/>
      <c r="AP7" s="39"/>
      <c r="AQ7" s="39"/>
    </row>
    <row r="8" s="148" customFormat="true" ht="11.25" hidden="false" customHeight="true" outlineLevel="0" collapsed="false">
      <c r="A8" s="55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13"/>
      <c r="AH8" s="146"/>
      <c r="AI8" s="39"/>
      <c r="AJ8" s="39"/>
      <c r="AK8" s="39"/>
      <c r="AL8" s="39"/>
      <c r="AM8" s="39"/>
      <c r="AN8" s="147"/>
      <c r="AO8" s="39"/>
      <c r="AP8" s="39"/>
      <c r="AQ8" s="39"/>
    </row>
    <row r="9" s="148" customFormat="true" ht="15" hidden="false" customHeight="true" outlineLevel="0" collapsed="false">
      <c r="A9" s="55"/>
      <c r="B9" s="156" t="str">
        <f aca="false">INDEX(Monat.Wochentage.Bereich,1,WEEKDAY(B10,2))</f>
        <v>Th</v>
      </c>
      <c r="C9" s="156" t="str">
        <f aca="false">INDEX(Monat.Wochentage.Bereich,1,WEEKDAY(C10,2))</f>
        <v>Fr</v>
      </c>
      <c r="D9" s="156" t="str">
        <f aca="false">INDEX(Monat.Wochentage.Bereich,1,WEEKDAY(D10,2))</f>
        <v>Sa</v>
      </c>
      <c r="E9" s="156" t="str">
        <f aca="false">INDEX(Monat.Wochentage.Bereich,1,WEEKDAY(E10,2))</f>
        <v>Su</v>
      </c>
      <c r="F9" s="156" t="str">
        <f aca="false">INDEX(Monat.Wochentage.Bereich,1,WEEKDAY(F10,2))</f>
        <v>Mo</v>
      </c>
      <c r="G9" s="156" t="str">
        <f aca="false">INDEX(Monat.Wochentage.Bereich,1,WEEKDAY(G10,2))</f>
        <v>Tu</v>
      </c>
      <c r="H9" s="156" t="str">
        <f aca="false">INDEX(Monat.Wochentage.Bereich,1,WEEKDAY(H10,2))</f>
        <v>We</v>
      </c>
      <c r="I9" s="156" t="str">
        <f aca="false">INDEX(Monat.Wochentage.Bereich,1,WEEKDAY(I10,2))</f>
        <v>Th</v>
      </c>
      <c r="J9" s="156" t="str">
        <f aca="false">INDEX(Monat.Wochentage.Bereich,1,WEEKDAY(J10,2))</f>
        <v>Fr</v>
      </c>
      <c r="K9" s="156" t="str">
        <f aca="false">INDEX(Monat.Wochentage.Bereich,1,WEEKDAY(K10,2))</f>
        <v>Sa</v>
      </c>
      <c r="L9" s="156" t="str">
        <f aca="false">INDEX(Monat.Wochentage.Bereich,1,WEEKDAY(L10,2))</f>
        <v>Su</v>
      </c>
      <c r="M9" s="156" t="str">
        <f aca="false">INDEX(Monat.Wochentage.Bereich,1,WEEKDAY(M10,2))</f>
        <v>Mo</v>
      </c>
      <c r="N9" s="156" t="str">
        <f aca="false">INDEX(Monat.Wochentage.Bereich,1,WEEKDAY(N10,2))</f>
        <v>Tu</v>
      </c>
      <c r="O9" s="156" t="str">
        <f aca="false">INDEX(Monat.Wochentage.Bereich,1,WEEKDAY(O10,2))</f>
        <v>We</v>
      </c>
      <c r="P9" s="156" t="str">
        <f aca="false">INDEX(Monat.Wochentage.Bereich,1,WEEKDAY(P10,2))</f>
        <v>Th</v>
      </c>
      <c r="Q9" s="156" t="str">
        <f aca="false">INDEX(Monat.Wochentage.Bereich,1,WEEKDAY(Q10,2))</f>
        <v>Fr</v>
      </c>
      <c r="R9" s="156" t="str">
        <f aca="false">INDEX(Monat.Wochentage.Bereich,1,WEEKDAY(R10,2))</f>
        <v>Sa</v>
      </c>
      <c r="S9" s="156" t="str">
        <f aca="false">INDEX(Monat.Wochentage.Bereich,1,WEEKDAY(S10,2))</f>
        <v>Su</v>
      </c>
      <c r="T9" s="156" t="str">
        <f aca="false">INDEX(Monat.Wochentage.Bereich,1,WEEKDAY(T10,2))</f>
        <v>Mo</v>
      </c>
      <c r="U9" s="156" t="str">
        <f aca="false">INDEX(Monat.Wochentage.Bereich,1,WEEKDAY(U10,2))</f>
        <v>Tu</v>
      </c>
      <c r="V9" s="156" t="str">
        <f aca="false">INDEX(Monat.Wochentage.Bereich,1,WEEKDAY(V10,2))</f>
        <v>We</v>
      </c>
      <c r="W9" s="156" t="str">
        <f aca="false">INDEX(Monat.Wochentage.Bereich,1,WEEKDAY(W10,2))</f>
        <v>Th</v>
      </c>
      <c r="X9" s="156" t="str">
        <f aca="false">INDEX(Monat.Wochentage.Bereich,1,WEEKDAY(X10,2))</f>
        <v>Fr</v>
      </c>
      <c r="Y9" s="156" t="str">
        <f aca="false">INDEX(Monat.Wochentage.Bereich,1,WEEKDAY(Y10,2))</f>
        <v>Sa</v>
      </c>
      <c r="Z9" s="156" t="str">
        <f aca="false">INDEX(Monat.Wochentage.Bereich,1,WEEKDAY(Z10,2))</f>
        <v>Su</v>
      </c>
      <c r="AA9" s="156" t="str">
        <f aca="false">INDEX(Monat.Wochentage.Bereich,1,WEEKDAY(AA10,2))</f>
        <v>Mo</v>
      </c>
      <c r="AB9" s="156" t="str">
        <f aca="false">INDEX(Monat.Wochentage.Bereich,1,WEEKDAY(AB10,2))</f>
        <v>Tu</v>
      </c>
      <c r="AC9" s="156" t="str">
        <f aca="false">INDEX(Monat.Wochentage.Bereich,1,WEEKDAY(AC10,2))</f>
        <v>We</v>
      </c>
      <c r="AD9" s="156" t="str">
        <f aca="false">INDEX(Monat.Wochentage.Bereich,1,WEEKDAY(AD10,2))</f>
        <v>Th</v>
      </c>
      <c r="AE9" s="156" t="str">
        <f aca="false">INDEX(Monat.Wochentage.Bereich,1,WEEKDAY(AE10,2))</f>
        <v>Fr</v>
      </c>
      <c r="AF9" s="156" t="str">
        <f aca="false">INDEX(Monat.Wochentage.Bereich,1,WEEKDAY(AF10,2))</f>
        <v>Sa</v>
      </c>
      <c r="AG9" s="13"/>
      <c r="AH9" s="146"/>
      <c r="AI9" s="39"/>
      <c r="AJ9" s="39"/>
      <c r="AK9" s="39"/>
      <c r="AL9" s="39"/>
      <c r="AM9" s="39"/>
      <c r="AN9" s="147"/>
      <c r="AO9" s="39"/>
      <c r="AP9" s="39"/>
      <c r="AQ9" s="39"/>
    </row>
    <row r="10" s="164" customFormat="true" ht="39" hidden="false" customHeight="false" outlineLevel="0" collapsed="false">
      <c r="A10" s="157" t="s">
        <v>121</v>
      </c>
      <c r="B10" s="158" t="n">
        <v>41698</v>
      </c>
      <c r="C10" s="158" t="n">
        <f aca="false">B10+1</f>
        <v>41699</v>
      </c>
      <c r="D10" s="158" t="n">
        <f aca="false">C10+1</f>
        <v>41700</v>
      </c>
      <c r="E10" s="158" t="n">
        <f aca="false">D10+1</f>
        <v>41701</v>
      </c>
      <c r="F10" s="158" t="n">
        <f aca="false">E10+1</f>
        <v>41702</v>
      </c>
      <c r="G10" s="158" t="n">
        <f aca="false">F10+1</f>
        <v>41703</v>
      </c>
      <c r="H10" s="158" t="n">
        <f aca="false">G10+1</f>
        <v>41704</v>
      </c>
      <c r="I10" s="158" t="n">
        <f aca="false">H10+1</f>
        <v>41705</v>
      </c>
      <c r="J10" s="158" t="n">
        <f aca="false">I10+1</f>
        <v>41706</v>
      </c>
      <c r="K10" s="158" t="n">
        <f aca="false">J10+1</f>
        <v>41707</v>
      </c>
      <c r="L10" s="158" t="n">
        <f aca="false">K10+1</f>
        <v>41708</v>
      </c>
      <c r="M10" s="158" t="n">
        <f aca="false">L10+1</f>
        <v>41709</v>
      </c>
      <c r="N10" s="158" t="n">
        <f aca="false">M10+1</f>
        <v>41710</v>
      </c>
      <c r="O10" s="158" t="n">
        <f aca="false">N10+1</f>
        <v>41711</v>
      </c>
      <c r="P10" s="158" t="n">
        <f aca="false">O10+1</f>
        <v>41712</v>
      </c>
      <c r="Q10" s="158" t="n">
        <f aca="false">P10+1</f>
        <v>41713</v>
      </c>
      <c r="R10" s="158" t="n">
        <f aca="false">Q10+1</f>
        <v>41714</v>
      </c>
      <c r="S10" s="158" t="n">
        <f aca="false">R10+1</f>
        <v>41715</v>
      </c>
      <c r="T10" s="158" t="n">
        <f aca="false">S10+1</f>
        <v>41716</v>
      </c>
      <c r="U10" s="158" t="n">
        <f aca="false">T10+1</f>
        <v>41717</v>
      </c>
      <c r="V10" s="158" t="n">
        <f aca="false">U10+1</f>
        <v>41718</v>
      </c>
      <c r="W10" s="158" t="n">
        <f aca="false">V10+1</f>
        <v>41719</v>
      </c>
      <c r="X10" s="158" t="n">
        <f aca="false">W10+1</f>
        <v>41720</v>
      </c>
      <c r="Y10" s="158" t="n">
        <f aca="false">X10+1</f>
        <v>41721</v>
      </c>
      <c r="Z10" s="158" t="n">
        <f aca="false">Y10+1</f>
        <v>41722</v>
      </c>
      <c r="AA10" s="158" t="n">
        <f aca="false">Z10+1</f>
        <v>41723</v>
      </c>
      <c r="AB10" s="158" t="n">
        <f aca="false">AA10+1</f>
        <v>41724</v>
      </c>
      <c r="AC10" s="158" t="n">
        <f aca="false">AB10+1</f>
        <v>41725</v>
      </c>
      <c r="AD10" s="158" t="n">
        <f aca="false">AC10+1</f>
        <v>41726</v>
      </c>
      <c r="AE10" s="158" t="n">
        <f aca="false">AD10+1</f>
        <v>41727</v>
      </c>
      <c r="AF10" s="158" t="n">
        <f aca="false">AE10+1</f>
        <v>41728</v>
      </c>
      <c r="AG10" s="159" t="str">
        <f aca="false">A10</f>
        <v>Day</v>
      </c>
      <c r="AH10" s="160" t="str">
        <f aca="false">"Total " &amp; INDEX(EB.Monate.Bereich,MONTH(Monat.Tag1))</f>
        <v>Total March</v>
      </c>
      <c r="AI10" s="160"/>
      <c r="AJ10" s="160" t="s">
        <v>122</v>
      </c>
      <c r="AK10" s="161" t="s">
        <v>123</v>
      </c>
      <c r="AL10" s="161" t="s">
        <v>124</v>
      </c>
      <c r="AM10" s="161" t="s">
        <v>125</v>
      </c>
      <c r="AN10" s="162" t="s">
        <v>68</v>
      </c>
      <c r="AO10" s="156" t="str">
        <f aca="true">IF(EB.Sprache="DE","Jahressaldo per" &amp; CHAR(10) &amp; "    ME       " &amp; IFERROR(TEXT(TODAY(),"[$-0007]"&amp;"TT.MM.JJ"),TEXT(TODAY(),"[$-0007]"&amp;"DD.MM.YY")), "Yearly balance by" &amp; CHAR(10) &amp; "   eom      " &amp; IFERROR(TEXT(TODAY(),"[$-0809]"&amp;"DD.MM.YY"),TEXT(TODAY(),"[$-0809]"&amp;"TT.MM.JJ")))</f>
        <v>Yearly balance by
   eom      22.05.18</v>
      </c>
      <c r="AP10" s="156"/>
      <c r="AQ10" s="163"/>
    </row>
    <row r="11" s="164" customFormat="true" ht="12" hidden="true" customHeight="true" outlineLevel="0" collapsed="false">
      <c r="A11" s="157" t="s">
        <v>126</v>
      </c>
      <c r="B11" s="165" t="n">
        <f aca="true">IFERROR(OFFSET(T.Feiertage.Bereich,MATCH(B$10,T.Feiertage.Bereich,0)-1,1,1,1),1)</f>
        <v>1</v>
      </c>
      <c r="C11" s="165" t="n">
        <f aca="true">IFERROR(OFFSET(T.Feiertage.Bereich,MATCH(C$10,T.Feiertage.Bereich,0)-1,1,1,1),1)</f>
        <v>1</v>
      </c>
      <c r="D11" s="165" t="n">
        <f aca="true">IFERROR(OFFSET(T.Feiertage.Bereich,MATCH(D$10,T.Feiertage.Bereich,0)-1,1,1,1),1)</f>
        <v>1</v>
      </c>
      <c r="E11" s="166" t="n">
        <f aca="true">IFERROR(OFFSET(T.Feiertage.Bereich,MATCH(E$10,T.Feiertage.Bereich,0)-1,1,1,1),1)</f>
        <v>1</v>
      </c>
      <c r="F11" s="165" t="n">
        <f aca="true">IFERROR(OFFSET(T.Feiertage.Bereich,MATCH(F$10,T.Feiertage.Bereich,0)-1,1,1,1),1)</f>
        <v>1</v>
      </c>
      <c r="G11" s="165" t="n">
        <f aca="true">IFERROR(OFFSET(T.Feiertage.Bereich,MATCH(G$10,T.Feiertage.Bereich,0)-1,1,1,1),1)</f>
        <v>1</v>
      </c>
      <c r="H11" s="165" t="n">
        <f aca="true">IFERROR(OFFSET(T.Feiertage.Bereich,MATCH(H$10,T.Feiertage.Bereich,0)-1,1,1,1),1)</f>
        <v>1</v>
      </c>
      <c r="I11" s="165" t="n">
        <f aca="true">IFERROR(OFFSET(T.Feiertage.Bereich,MATCH(I$10,T.Feiertage.Bereich,0)-1,1,1,1),1)</f>
        <v>1</v>
      </c>
      <c r="J11" s="166" t="n">
        <f aca="true">IFERROR(OFFSET(T.Feiertage.Bereich,MATCH(J$10,T.Feiertage.Bereich,0)-1,1,1,1),1)</f>
        <v>1</v>
      </c>
      <c r="K11" s="165" t="n">
        <f aca="true">IFERROR(OFFSET(T.Feiertage.Bereich,MATCH(K$10,T.Feiertage.Bereich,0)-1,1,1,1),1)</f>
        <v>1</v>
      </c>
      <c r="L11" s="166" t="n">
        <f aca="true">IFERROR(OFFSET(T.Feiertage.Bereich,MATCH(L$10,T.Feiertage.Bereich,0)-1,1,1,1),1)</f>
        <v>1</v>
      </c>
      <c r="M11" s="165" t="n">
        <f aca="true">IFERROR(OFFSET(T.Feiertage.Bereich,MATCH(M$10,T.Feiertage.Bereich,0)-1,1,1,1),1)</f>
        <v>1</v>
      </c>
      <c r="N11" s="165" t="n">
        <f aca="true">IFERROR(OFFSET(T.Feiertage.Bereich,MATCH(N$10,T.Feiertage.Bereich,0)-1,1,1,1),1)</f>
        <v>1</v>
      </c>
      <c r="O11" s="165" t="n">
        <f aca="true">IFERROR(OFFSET(T.Feiertage.Bereich,MATCH(O$10,T.Feiertage.Bereich,0)-1,1,1,1),1)</f>
        <v>1</v>
      </c>
      <c r="P11" s="165" t="n">
        <f aca="true">IFERROR(OFFSET(T.Feiertage.Bereich,MATCH(P$10,T.Feiertage.Bereich,0)-1,1,1,1),1)</f>
        <v>1</v>
      </c>
      <c r="Q11" s="166" t="n">
        <f aca="true">IFERROR(OFFSET(T.Feiertage.Bereich,MATCH(Q$10,T.Feiertage.Bereich,0)-1,1,1,1),1)</f>
        <v>1</v>
      </c>
      <c r="R11" s="165" t="n">
        <f aca="true">IFERROR(OFFSET(T.Feiertage.Bereich,MATCH(R$10,T.Feiertage.Bereich,0)-1,1,1,1),1)</f>
        <v>1</v>
      </c>
      <c r="S11" s="166" t="n">
        <f aca="true">IFERROR(OFFSET(T.Feiertage.Bereich,MATCH(S$10,T.Feiertage.Bereich,0)-1,1,1,1),1)</f>
        <v>1</v>
      </c>
      <c r="T11" s="166" t="n">
        <f aca="true">IFERROR(OFFSET(T.Feiertage.Bereich,MATCH(T$10,T.Feiertage.Bereich,0)-1,1,1,1),1)</f>
        <v>1</v>
      </c>
      <c r="U11" s="165" t="n">
        <f aca="true">IFERROR(OFFSET(T.Feiertage.Bereich,MATCH(U$10,T.Feiertage.Bereich,0)-1,1,1,1),1)</f>
        <v>1</v>
      </c>
      <c r="V11" s="165" t="n">
        <f aca="true">IFERROR(OFFSET(T.Feiertage.Bereich,MATCH(V$10,T.Feiertage.Bereich,0)-1,1,1,1),1)</f>
        <v>1</v>
      </c>
      <c r="W11" s="165" t="n">
        <f aca="true">IFERROR(OFFSET(T.Feiertage.Bereich,MATCH(W$10,T.Feiertage.Bereich,0)-1,1,1,1),1)</f>
        <v>1</v>
      </c>
      <c r="X11" s="166" t="n">
        <f aca="true">IFERROR(OFFSET(T.Feiertage.Bereich,MATCH(X$10,T.Feiertage.Bereich,0)-1,1,1,1),1)</f>
        <v>1</v>
      </c>
      <c r="Y11" s="165" t="n">
        <f aca="true">IFERROR(OFFSET(T.Feiertage.Bereich,MATCH(Y$10,T.Feiertage.Bereich,0)-1,1,1,1),1)</f>
        <v>1</v>
      </c>
      <c r="Z11" s="167" t="n">
        <f aca="true">IFERROR(OFFSET(T.Feiertage.Bereich,MATCH(Z$10,T.Feiertage.Bereich,0)-1,1,1,1),1)</f>
        <v>1</v>
      </c>
      <c r="AA11" s="165" t="n">
        <f aca="true">IFERROR(OFFSET(T.Feiertage.Bereich,MATCH(AA$10,T.Feiertage.Bereich,0)-1,1,1,1),1)</f>
        <v>1</v>
      </c>
      <c r="AB11" s="165" t="n">
        <f aca="true">IFERROR(OFFSET(T.Feiertage.Bereich,MATCH(AB$10,T.Feiertage.Bereich,0)-1,1,1,1),1)</f>
        <v>1</v>
      </c>
      <c r="AC11" s="165" t="n">
        <f aca="true">IFERROR(OFFSET(T.Feiertage.Bereich,MATCH(AC$10,T.Feiertage.Bereich,0)-1,1,1,1),1)</f>
        <v>1</v>
      </c>
      <c r="AD11" s="165" t="n">
        <f aca="true">IFERROR(OFFSET(T.Feiertage.Bereich,MATCH(AD$10,T.Feiertage.Bereich,0)-1,1,1,1),1)</f>
        <v>0.714285714285714</v>
      </c>
      <c r="AE11" s="166" t="n">
        <f aca="true">IFERROR(OFFSET(T.Feiertage.Bereich,MATCH(AE$10,T.Feiertage.Bereich,0)-1,1,1,1),1)</f>
        <v>0</v>
      </c>
      <c r="AF11" s="165" t="n">
        <f aca="true">IFERROR(OFFSET(T.Feiertage.Bereich,MATCH(AF$10,T.Feiertage.Bereich,0)-1,1,1,1),1)</f>
        <v>1</v>
      </c>
      <c r="AG11" s="168"/>
      <c r="AH11" s="146"/>
      <c r="AI11" s="169"/>
      <c r="AJ11" s="170"/>
      <c r="AK11" s="171"/>
      <c r="AL11" s="172"/>
      <c r="AM11" s="172"/>
      <c r="AN11" s="171"/>
      <c r="AO11" s="172"/>
      <c r="AP11" s="172"/>
      <c r="AQ11" s="163"/>
    </row>
    <row r="12" s="164" customFormat="true" ht="12" hidden="true" customHeight="true" outlineLevel="0" collapsed="false">
      <c r="A12" s="157" t="s">
        <v>127</v>
      </c>
      <c r="B12" s="173" t="n">
        <f aca="false">IF(OR(AND(ISNUMBER(EB.UJEintritt),EB.UJEintritt&gt;=B$10+1),AND(ISNUMBER(EB.UJAustritt),EB.UJAustritt&lt;=B$10-1)),0,1)</f>
        <v>0</v>
      </c>
      <c r="C12" s="173" t="n">
        <f aca="false">IF(OR(AND(ISNUMBER(EB.UJEintritt),EB.UJEintritt&gt;=C$10+1),AND(ISNUMBER(EB.UJAustritt),EB.UJAustritt&lt;=C$10-1)),0,1)</f>
        <v>0</v>
      </c>
      <c r="D12" s="173" t="n">
        <f aca="false">IF(OR(AND(ISNUMBER(EB.UJEintritt),EB.UJEintritt&gt;=D$10+1),AND(ISNUMBER(EB.UJAustritt),EB.UJAustritt&lt;=D$10-1)),0,1)</f>
        <v>0</v>
      </c>
      <c r="E12" s="156" t="n">
        <f aca="false">IF(OR(AND(ISNUMBER(EB.UJEintritt),EB.UJEintritt&gt;=E$10+1),AND(ISNUMBER(EB.UJAustritt),EB.UJAustritt&lt;=E$10-1)),0,1)</f>
        <v>0</v>
      </c>
      <c r="F12" s="173" t="n">
        <f aca="false">IF(OR(AND(ISNUMBER(EB.UJEintritt),EB.UJEintritt&gt;=F$10+1),AND(ISNUMBER(EB.UJAustritt),EB.UJAustritt&lt;=F$10-1)),0,1)</f>
        <v>0</v>
      </c>
      <c r="G12" s="173" t="n">
        <f aca="false">IF(OR(AND(ISNUMBER(EB.UJEintritt),EB.UJEintritt&gt;=G$10+1),AND(ISNUMBER(EB.UJAustritt),EB.UJAustritt&lt;=G$10-1)),0,1)</f>
        <v>0</v>
      </c>
      <c r="H12" s="173" t="n">
        <f aca="false">IF(OR(AND(ISNUMBER(EB.UJEintritt),EB.UJEintritt&gt;=H$10+1),AND(ISNUMBER(EB.UJAustritt),EB.UJAustritt&lt;=H$10-1)),0,1)</f>
        <v>0</v>
      </c>
      <c r="I12" s="173" t="n">
        <f aca="false">IF(OR(AND(ISNUMBER(EB.UJEintritt),EB.UJEintritt&gt;=I$10+1),AND(ISNUMBER(EB.UJAustritt),EB.UJAustritt&lt;=I$10-1)),0,1)</f>
        <v>0</v>
      </c>
      <c r="J12" s="156" t="n">
        <f aca="false">IF(OR(AND(ISNUMBER(EB.UJEintritt),EB.UJEintritt&gt;=J$10+1),AND(ISNUMBER(EB.UJAustritt),EB.UJAustritt&lt;=J$10-1)),0,1)</f>
        <v>0</v>
      </c>
      <c r="K12" s="173" t="n">
        <f aca="false">IF(OR(AND(ISNUMBER(EB.UJEintritt),EB.UJEintritt&gt;=K$10+1),AND(ISNUMBER(EB.UJAustritt),EB.UJAustritt&lt;=K$10-1)),0,1)</f>
        <v>0</v>
      </c>
      <c r="L12" s="156" t="n">
        <f aca="false">IF(OR(AND(ISNUMBER(EB.UJEintritt),EB.UJEintritt&gt;=L$10+1),AND(ISNUMBER(EB.UJAustritt),EB.UJAustritt&lt;=L$10-1)),0,1)</f>
        <v>0</v>
      </c>
      <c r="M12" s="173" t="n">
        <f aca="false">IF(OR(AND(ISNUMBER(EB.UJEintritt),EB.UJEintritt&gt;=M$10+1),AND(ISNUMBER(EB.UJAustritt),EB.UJAustritt&lt;=M$10-1)),0,1)</f>
        <v>0</v>
      </c>
      <c r="N12" s="173" t="n">
        <f aca="false">IF(OR(AND(ISNUMBER(EB.UJEintritt),EB.UJEintritt&gt;=N$10+1),AND(ISNUMBER(EB.UJAustritt),EB.UJAustritt&lt;=N$10-1)),0,1)</f>
        <v>0</v>
      </c>
      <c r="O12" s="173" t="n">
        <f aca="false">IF(OR(AND(ISNUMBER(EB.UJEintritt),EB.UJEintritt&gt;=O$10+1),AND(ISNUMBER(EB.UJAustritt),EB.UJAustritt&lt;=O$10-1)),0,1)</f>
        <v>0</v>
      </c>
      <c r="P12" s="173" t="n">
        <f aca="false">IF(OR(AND(ISNUMBER(EB.UJEintritt),EB.UJEintritt&gt;=P$10+1),AND(ISNUMBER(EB.UJAustritt),EB.UJAustritt&lt;=P$10-1)),0,1)</f>
        <v>0</v>
      </c>
      <c r="Q12" s="156" t="n">
        <f aca="false">IF(OR(AND(ISNUMBER(EB.UJEintritt),EB.UJEintritt&gt;=Q$10+1),AND(ISNUMBER(EB.UJAustritt),EB.UJAustritt&lt;=Q$10-1)),0,1)</f>
        <v>0</v>
      </c>
      <c r="R12" s="173" t="n">
        <f aca="false">IF(OR(AND(ISNUMBER(EB.UJEintritt),EB.UJEintritt&gt;=R$10+1),AND(ISNUMBER(EB.UJAustritt),EB.UJAustritt&lt;=R$10-1)),0,1)</f>
        <v>0</v>
      </c>
      <c r="S12" s="156" t="n">
        <f aca="false">IF(OR(AND(ISNUMBER(EB.UJEintritt),EB.UJEintritt&gt;=S$10+1),AND(ISNUMBER(EB.UJAustritt),EB.UJAustritt&lt;=S$10-1)),0,1)</f>
        <v>0</v>
      </c>
      <c r="T12" s="156" t="n">
        <f aca="false">IF(OR(AND(ISNUMBER(EB.UJEintritt),EB.UJEintritt&gt;=T$10+1),AND(ISNUMBER(EB.UJAustritt),EB.UJAustritt&lt;=T$10-1)),0,1)</f>
        <v>0</v>
      </c>
      <c r="U12" s="173" t="n">
        <f aca="false">IF(OR(AND(ISNUMBER(EB.UJEintritt),EB.UJEintritt&gt;=U$10+1),AND(ISNUMBER(EB.UJAustritt),EB.UJAustritt&lt;=U$10-1)),0,1)</f>
        <v>0</v>
      </c>
      <c r="V12" s="173" t="n">
        <f aca="false">IF(OR(AND(ISNUMBER(EB.UJEintritt),EB.UJEintritt&gt;=V$10+1),AND(ISNUMBER(EB.UJAustritt),EB.UJAustritt&lt;=V$10-1)),0,1)</f>
        <v>0</v>
      </c>
      <c r="W12" s="173" t="n">
        <f aca="false">IF(OR(AND(ISNUMBER(EB.UJEintritt),EB.UJEintritt&gt;=W$10+1),AND(ISNUMBER(EB.UJAustritt),EB.UJAustritt&lt;=W$10-1)),0,1)</f>
        <v>0</v>
      </c>
      <c r="X12" s="156" t="n">
        <f aca="false">IF(OR(AND(ISNUMBER(EB.UJEintritt),EB.UJEintritt&gt;=X$10+1),AND(ISNUMBER(EB.UJAustritt),EB.UJAustritt&lt;=X$10-1)),0,1)</f>
        <v>0</v>
      </c>
      <c r="Y12" s="173" t="n">
        <f aca="false">IF(OR(AND(ISNUMBER(EB.UJEintritt),EB.UJEintritt&gt;=Y$10+1),AND(ISNUMBER(EB.UJAustritt),EB.UJAustritt&lt;=Y$10-1)),0,1)</f>
        <v>0</v>
      </c>
      <c r="Z12" s="174" t="n">
        <f aca="false">IF(OR(AND(ISNUMBER(EB.UJEintritt),EB.UJEintritt&gt;=Z$10+1),AND(ISNUMBER(EB.UJAustritt),EB.UJAustritt&lt;=Z$10-1)),0,1)</f>
        <v>0</v>
      </c>
      <c r="AA12" s="173" t="n">
        <f aca="false">IF(OR(AND(ISNUMBER(EB.UJEintritt),EB.UJEintritt&gt;=AA$10+1),AND(ISNUMBER(EB.UJAustritt),EB.UJAustritt&lt;=AA$10-1)),0,1)</f>
        <v>0</v>
      </c>
      <c r="AB12" s="173" t="n">
        <f aca="false">IF(OR(AND(ISNUMBER(EB.UJEintritt),EB.UJEintritt&gt;=AB$10+1),AND(ISNUMBER(EB.UJAustritt),EB.UJAustritt&lt;=AB$10-1)),0,1)</f>
        <v>0</v>
      </c>
      <c r="AC12" s="173" t="n">
        <f aca="false">IF(OR(AND(ISNUMBER(EB.UJEintritt),EB.UJEintritt&gt;=AC$10+1),AND(ISNUMBER(EB.UJAustritt),EB.UJAustritt&lt;=AC$10-1)),0,1)</f>
        <v>0</v>
      </c>
      <c r="AD12" s="173" t="n">
        <f aca="false">IF(OR(AND(ISNUMBER(EB.UJEintritt),EB.UJEintritt&gt;=AD$10+1),AND(ISNUMBER(EB.UJAustritt),EB.UJAustritt&lt;=AD$10-1)),0,1)</f>
        <v>0</v>
      </c>
      <c r="AE12" s="156" t="n">
        <f aca="false">IF(OR(AND(ISNUMBER(EB.UJEintritt),EB.UJEintritt&gt;=AE$10+1),AND(ISNUMBER(EB.UJAustritt),EB.UJAustritt&lt;=AE$10-1)),0,1)</f>
        <v>0</v>
      </c>
      <c r="AF12" s="173" t="n">
        <f aca="false">IF(OR(AND(ISNUMBER(EB.UJEintritt),EB.UJEintritt&gt;=AF$10+1),AND(ISNUMBER(EB.UJAustritt),EB.UJAustritt&lt;=AF$10-1)),0,1)</f>
        <v>0</v>
      </c>
      <c r="AG12" s="168"/>
      <c r="AH12" s="146"/>
      <c r="AI12" s="169"/>
      <c r="AJ12" s="170"/>
      <c r="AK12" s="171"/>
      <c r="AL12" s="172"/>
      <c r="AM12" s="172"/>
      <c r="AN12" s="171"/>
      <c r="AO12" s="172"/>
      <c r="AP12" s="172"/>
      <c r="AQ12" s="163"/>
    </row>
    <row r="13" s="148" customFormat="true" ht="15" hidden="false" customHeight="true" outlineLevel="0" collapsed="false">
      <c r="A13" s="175" t="s">
        <v>128</v>
      </c>
      <c r="B13" s="176"/>
      <c r="C13" s="176"/>
      <c r="D13" s="176"/>
      <c r="E13" s="177"/>
      <c r="F13" s="176"/>
      <c r="G13" s="176"/>
      <c r="H13" s="176"/>
      <c r="I13" s="176"/>
      <c r="J13" s="177"/>
      <c r="K13" s="176"/>
      <c r="L13" s="177"/>
      <c r="M13" s="176"/>
      <c r="N13" s="176"/>
      <c r="O13" s="176"/>
      <c r="P13" s="176"/>
      <c r="Q13" s="177"/>
      <c r="R13" s="176"/>
      <c r="S13" s="177"/>
      <c r="T13" s="177"/>
      <c r="U13" s="176"/>
      <c r="V13" s="176"/>
      <c r="W13" s="176"/>
      <c r="X13" s="177"/>
      <c r="Y13" s="176"/>
      <c r="Z13" s="178"/>
      <c r="AA13" s="176"/>
      <c r="AB13" s="176"/>
      <c r="AC13" s="176"/>
      <c r="AD13" s="176"/>
      <c r="AE13" s="177"/>
      <c r="AF13" s="176"/>
      <c r="AG13" s="168" t="str">
        <f aca="false">A13</f>
        <v>in</v>
      </c>
      <c r="AH13" s="146"/>
      <c r="AI13" s="169"/>
      <c r="AJ13" s="170"/>
      <c r="AK13" s="171"/>
      <c r="AL13" s="172"/>
      <c r="AM13" s="172"/>
      <c r="AN13" s="171"/>
      <c r="AO13" s="172"/>
      <c r="AP13" s="172"/>
      <c r="AQ13" s="39"/>
    </row>
    <row r="14" s="148" customFormat="true" ht="15" hidden="false" customHeight="true" outlineLevel="0" collapsed="false">
      <c r="A14" s="175" t="s">
        <v>129</v>
      </c>
      <c r="B14" s="176"/>
      <c r="C14" s="176"/>
      <c r="D14" s="176"/>
      <c r="E14" s="177"/>
      <c r="F14" s="176"/>
      <c r="G14" s="176"/>
      <c r="H14" s="176"/>
      <c r="I14" s="176"/>
      <c r="J14" s="177"/>
      <c r="K14" s="176"/>
      <c r="L14" s="177"/>
      <c r="M14" s="176"/>
      <c r="N14" s="176"/>
      <c r="O14" s="176"/>
      <c r="P14" s="176"/>
      <c r="Q14" s="177"/>
      <c r="R14" s="176"/>
      <c r="S14" s="177"/>
      <c r="T14" s="177"/>
      <c r="U14" s="176"/>
      <c r="V14" s="176"/>
      <c r="W14" s="176"/>
      <c r="X14" s="177"/>
      <c r="Y14" s="176"/>
      <c r="Z14" s="178"/>
      <c r="AA14" s="176"/>
      <c r="AB14" s="176"/>
      <c r="AC14" s="176"/>
      <c r="AD14" s="176"/>
      <c r="AE14" s="177"/>
      <c r="AF14" s="176"/>
      <c r="AG14" s="168" t="str">
        <f aca="false">A14</f>
        <v>out</v>
      </c>
      <c r="AH14" s="146"/>
      <c r="AI14" s="169"/>
      <c r="AJ14" s="170"/>
      <c r="AK14" s="171"/>
      <c r="AL14" s="172"/>
      <c r="AM14" s="172"/>
      <c r="AN14" s="171"/>
      <c r="AO14" s="172"/>
      <c r="AP14" s="172"/>
      <c r="AQ14" s="39"/>
    </row>
    <row r="15" s="148" customFormat="true" ht="15" hidden="false" customHeight="true" outlineLevel="0" collapsed="false">
      <c r="A15" s="175" t="s">
        <v>128</v>
      </c>
      <c r="B15" s="176"/>
      <c r="C15" s="176"/>
      <c r="D15" s="176"/>
      <c r="E15" s="177"/>
      <c r="F15" s="176"/>
      <c r="G15" s="176"/>
      <c r="H15" s="176"/>
      <c r="I15" s="176"/>
      <c r="J15" s="177"/>
      <c r="K15" s="176"/>
      <c r="L15" s="177"/>
      <c r="M15" s="176"/>
      <c r="N15" s="176"/>
      <c r="O15" s="176"/>
      <c r="P15" s="176"/>
      <c r="Q15" s="177"/>
      <c r="R15" s="176"/>
      <c r="S15" s="177"/>
      <c r="T15" s="177"/>
      <c r="U15" s="176"/>
      <c r="V15" s="176"/>
      <c r="W15" s="176"/>
      <c r="X15" s="177"/>
      <c r="Y15" s="176"/>
      <c r="Z15" s="178"/>
      <c r="AA15" s="176"/>
      <c r="AB15" s="176"/>
      <c r="AC15" s="176"/>
      <c r="AD15" s="176"/>
      <c r="AE15" s="177"/>
      <c r="AF15" s="176"/>
      <c r="AG15" s="168" t="str">
        <f aca="false">A15</f>
        <v>in</v>
      </c>
      <c r="AH15" s="146"/>
      <c r="AI15" s="169"/>
      <c r="AJ15" s="170"/>
      <c r="AK15" s="171"/>
      <c r="AL15" s="172"/>
      <c r="AM15" s="172"/>
      <c r="AN15" s="171"/>
      <c r="AO15" s="172"/>
      <c r="AP15" s="172"/>
      <c r="AQ15" s="39"/>
    </row>
    <row r="16" s="148" customFormat="true" ht="15" hidden="false" customHeight="true" outlineLevel="0" collapsed="false">
      <c r="A16" s="175" t="s">
        <v>129</v>
      </c>
      <c r="B16" s="176"/>
      <c r="C16" s="176"/>
      <c r="D16" s="176"/>
      <c r="E16" s="177"/>
      <c r="F16" s="176"/>
      <c r="G16" s="176"/>
      <c r="H16" s="176"/>
      <c r="I16" s="176"/>
      <c r="J16" s="177"/>
      <c r="K16" s="176"/>
      <c r="L16" s="177"/>
      <c r="M16" s="176"/>
      <c r="N16" s="176"/>
      <c r="O16" s="176"/>
      <c r="P16" s="176"/>
      <c r="Q16" s="177"/>
      <c r="R16" s="176"/>
      <c r="S16" s="177"/>
      <c r="T16" s="177"/>
      <c r="U16" s="176"/>
      <c r="V16" s="176"/>
      <c r="W16" s="176"/>
      <c r="X16" s="177"/>
      <c r="Y16" s="176"/>
      <c r="Z16" s="178"/>
      <c r="AA16" s="176"/>
      <c r="AB16" s="176"/>
      <c r="AC16" s="176"/>
      <c r="AD16" s="176"/>
      <c r="AE16" s="177"/>
      <c r="AF16" s="176"/>
      <c r="AG16" s="168" t="str">
        <f aca="false">A16</f>
        <v>out</v>
      </c>
      <c r="AH16" s="146"/>
      <c r="AI16" s="179"/>
      <c r="AJ16" s="180"/>
      <c r="AK16" s="172"/>
      <c r="AL16" s="172"/>
      <c r="AM16" s="172"/>
      <c r="AN16" s="171"/>
      <c r="AO16" s="172"/>
      <c r="AP16" s="172"/>
      <c r="AQ16" s="39"/>
    </row>
    <row r="17" s="148" customFormat="true" ht="15" hidden="false" customHeight="true" outlineLevel="0" collapsed="false">
      <c r="A17" s="175" t="s">
        <v>128</v>
      </c>
      <c r="B17" s="176"/>
      <c r="C17" s="176"/>
      <c r="D17" s="176"/>
      <c r="E17" s="177"/>
      <c r="F17" s="176"/>
      <c r="G17" s="176"/>
      <c r="H17" s="176"/>
      <c r="I17" s="176"/>
      <c r="J17" s="177"/>
      <c r="K17" s="176"/>
      <c r="L17" s="177"/>
      <c r="M17" s="176"/>
      <c r="N17" s="176"/>
      <c r="O17" s="176"/>
      <c r="P17" s="176"/>
      <c r="Q17" s="177"/>
      <c r="R17" s="176"/>
      <c r="S17" s="177"/>
      <c r="T17" s="177"/>
      <c r="U17" s="176"/>
      <c r="V17" s="176"/>
      <c r="W17" s="176"/>
      <c r="X17" s="177"/>
      <c r="Y17" s="176"/>
      <c r="Z17" s="178"/>
      <c r="AA17" s="176"/>
      <c r="AB17" s="176"/>
      <c r="AC17" s="176"/>
      <c r="AD17" s="176"/>
      <c r="AE17" s="177"/>
      <c r="AF17" s="176"/>
      <c r="AG17" s="168" t="str">
        <f aca="false">A17</f>
        <v>in</v>
      </c>
      <c r="AH17" s="146"/>
      <c r="AI17" s="179"/>
      <c r="AJ17" s="180"/>
      <c r="AK17" s="172"/>
      <c r="AL17" s="172"/>
      <c r="AM17" s="172"/>
      <c r="AN17" s="171"/>
      <c r="AO17" s="172"/>
      <c r="AP17" s="172"/>
      <c r="AQ17" s="39"/>
    </row>
    <row r="18" s="148" customFormat="true" ht="15" hidden="false" customHeight="true" outlineLevel="0" collapsed="false">
      <c r="A18" s="175" t="s">
        <v>129</v>
      </c>
      <c r="B18" s="176"/>
      <c r="C18" s="176"/>
      <c r="D18" s="176"/>
      <c r="E18" s="177"/>
      <c r="F18" s="176"/>
      <c r="G18" s="176"/>
      <c r="H18" s="176"/>
      <c r="I18" s="176"/>
      <c r="J18" s="177"/>
      <c r="K18" s="176"/>
      <c r="L18" s="177"/>
      <c r="M18" s="176"/>
      <c r="N18" s="176"/>
      <c r="O18" s="176"/>
      <c r="P18" s="176"/>
      <c r="Q18" s="177"/>
      <c r="R18" s="176"/>
      <c r="S18" s="177"/>
      <c r="T18" s="177"/>
      <c r="U18" s="176"/>
      <c r="V18" s="176"/>
      <c r="W18" s="176"/>
      <c r="X18" s="177"/>
      <c r="Y18" s="176"/>
      <c r="Z18" s="178"/>
      <c r="AA18" s="176"/>
      <c r="AB18" s="176"/>
      <c r="AC18" s="176"/>
      <c r="AD18" s="176"/>
      <c r="AE18" s="177"/>
      <c r="AF18" s="176"/>
      <c r="AG18" s="168" t="str">
        <f aca="false">A18</f>
        <v>out</v>
      </c>
      <c r="AH18" s="146"/>
      <c r="AI18" s="179"/>
      <c r="AJ18" s="180"/>
      <c r="AK18" s="172"/>
      <c r="AL18" s="172"/>
      <c r="AM18" s="172"/>
      <c r="AN18" s="171"/>
      <c r="AO18" s="172"/>
      <c r="AP18" s="172"/>
      <c r="AQ18" s="39"/>
    </row>
    <row r="19" s="148" customFormat="true" ht="15" hidden="true" customHeight="true" outlineLevel="1" collapsed="false">
      <c r="A19" s="175" t="s">
        <v>128</v>
      </c>
      <c r="B19" s="176"/>
      <c r="C19" s="176"/>
      <c r="D19" s="176"/>
      <c r="E19" s="177"/>
      <c r="F19" s="176"/>
      <c r="G19" s="176"/>
      <c r="H19" s="176"/>
      <c r="I19" s="176"/>
      <c r="J19" s="177"/>
      <c r="K19" s="176"/>
      <c r="L19" s="177"/>
      <c r="M19" s="176"/>
      <c r="N19" s="176"/>
      <c r="O19" s="176"/>
      <c r="P19" s="176"/>
      <c r="Q19" s="177"/>
      <c r="R19" s="176"/>
      <c r="S19" s="177"/>
      <c r="T19" s="177"/>
      <c r="U19" s="176"/>
      <c r="V19" s="176"/>
      <c r="W19" s="176"/>
      <c r="X19" s="177"/>
      <c r="Y19" s="176"/>
      <c r="Z19" s="178"/>
      <c r="AA19" s="176"/>
      <c r="AB19" s="176"/>
      <c r="AC19" s="176"/>
      <c r="AD19" s="176"/>
      <c r="AE19" s="177"/>
      <c r="AF19" s="176"/>
      <c r="AG19" s="168" t="str">
        <f aca="false">A19</f>
        <v>in</v>
      </c>
      <c r="AH19" s="146"/>
      <c r="AI19" s="179"/>
      <c r="AJ19" s="180"/>
      <c r="AK19" s="172"/>
      <c r="AL19" s="172"/>
      <c r="AM19" s="172"/>
      <c r="AN19" s="171"/>
      <c r="AO19" s="172"/>
      <c r="AP19" s="172"/>
      <c r="AQ19" s="39"/>
    </row>
    <row r="20" s="148" customFormat="true" ht="15" hidden="true" customHeight="true" outlineLevel="1" collapsed="false">
      <c r="A20" s="175" t="s">
        <v>129</v>
      </c>
      <c r="B20" s="176"/>
      <c r="C20" s="176"/>
      <c r="D20" s="176"/>
      <c r="E20" s="177"/>
      <c r="F20" s="176"/>
      <c r="G20" s="176"/>
      <c r="H20" s="176"/>
      <c r="I20" s="176"/>
      <c r="J20" s="177"/>
      <c r="K20" s="176"/>
      <c r="L20" s="177"/>
      <c r="M20" s="176"/>
      <c r="N20" s="176"/>
      <c r="O20" s="176"/>
      <c r="P20" s="176"/>
      <c r="Q20" s="177"/>
      <c r="R20" s="176"/>
      <c r="S20" s="177"/>
      <c r="T20" s="177"/>
      <c r="U20" s="176"/>
      <c r="V20" s="176"/>
      <c r="W20" s="176"/>
      <c r="X20" s="177"/>
      <c r="Y20" s="176"/>
      <c r="Z20" s="178"/>
      <c r="AA20" s="176"/>
      <c r="AB20" s="176"/>
      <c r="AC20" s="176"/>
      <c r="AD20" s="176"/>
      <c r="AE20" s="177"/>
      <c r="AF20" s="176"/>
      <c r="AG20" s="168" t="str">
        <f aca="false">A20</f>
        <v>out</v>
      </c>
      <c r="AH20" s="146"/>
      <c r="AI20" s="179"/>
      <c r="AJ20" s="180"/>
      <c r="AK20" s="172"/>
      <c r="AL20" s="172"/>
      <c r="AM20" s="172"/>
      <c r="AN20" s="171"/>
      <c r="AO20" s="172"/>
      <c r="AP20" s="172"/>
      <c r="AQ20" s="39"/>
    </row>
    <row r="21" s="148" customFormat="true" ht="15" hidden="true" customHeight="true" outlineLevel="1" collapsed="false">
      <c r="A21" s="175" t="s">
        <v>128</v>
      </c>
      <c r="B21" s="176"/>
      <c r="C21" s="176"/>
      <c r="D21" s="176"/>
      <c r="E21" s="177"/>
      <c r="F21" s="176"/>
      <c r="G21" s="176"/>
      <c r="H21" s="176"/>
      <c r="I21" s="176"/>
      <c r="J21" s="177"/>
      <c r="K21" s="176"/>
      <c r="L21" s="177"/>
      <c r="M21" s="176"/>
      <c r="N21" s="176"/>
      <c r="O21" s="176"/>
      <c r="P21" s="176"/>
      <c r="Q21" s="177"/>
      <c r="R21" s="176"/>
      <c r="S21" s="177"/>
      <c r="T21" s="177"/>
      <c r="U21" s="176"/>
      <c r="V21" s="176"/>
      <c r="W21" s="176"/>
      <c r="X21" s="177"/>
      <c r="Y21" s="176"/>
      <c r="Z21" s="178"/>
      <c r="AA21" s="176"/>
      <c r="AB21" s="176"/>
      <c r="AC21" s="176"/>
      <c r="AD21" s="176"/>
      <c r="AE21" s="177"/>
      <c r="AF21" s="176"/>
      <c r="AG21" s="168" t="str">
        <f aca="false">A21</f>
        <v>in</v>
      </c>
      <c r="AH21" s="146"/>
      <c r="AI21" s="179"/>
      <c r="AJ21" s="180"/>
      <c r="AK21" s="172"/>
      <c r="AL21" s="172"/>
      <c r="AM21" s="172"/>
      <c r="AN21" s="171"/>
      <c r="AO21" s="172"/>
      <c r="AP21" s="172"/>
      <c r="AQ21" s="39"/>
    </row>
    <row r="22" s="148" customFormat="true" ht="15" hidden="true" customHeight="true" outlineLevel="1" collapsed="false">
      <c r="A22" s="175" t="s">
        <v>129</v>
      </c>
      <c r="B22" s="176"/>
      <c r="C22" s="176"/>
      <c r="D22" s="176"/>
      <c r="E22" s="177"/>
      <c r="F22" s="176"/>
      <c r="G22" s="176"/>
      <c r="H22" s="176"/>
      <c r="I22" s="176"/>
      <c r="J22" s="177"/>
      <c r="K22" s="176"/>
      <c r="L22" s="177"/>
      <c r="M22" s="176"/>
      <c r="N22" s="176"/>
      <c r="O22" s="176"/>
      <c r="P22" s="176"/>
      <c r="Q22" s="177"/>
      <c r="R22" s="176"/>
      <c r="S22" s="177"/>
      <c r="T22" s="177"/>
      <c r="U22" s="176"/>
      <c r="V22" s="176"/>
      <c r="W22" s="176"/>
      <c r="X22" s="177"/>
      <c r="Y22" s="176"/>
      <c r="Z22" s="178"/>
      <c r="AA22" s="176"/>
      <c r="AB22" s="176"/>
      <c r="AC22" s="176"/>
      <c r="AD22" s="176"/>
      <c r="AE22" s="177"/>
      <c r="AF22" s="176"/>
      <c r="AG22" s="168" t="str">
        <f aca="false">A22</f>
        <v>out</v>
      </c>
      <c r="AH22" s="146"/>
      <c r="AI22" s="179"/>
      <c r="AJ22" s="180"/>
      <c r="AK22" s="172"/>
      <c r="AL22" s="172"/>
      <c r="AM22" s="172"/>
      <c r="AN22" s="171"/>
      <c r="AO22" s="172"/>
      <c r="AP22" s="172"/>
      <c r="AQ22" s="39"/>
    </row>
    <row r="23" s="148" customFormat="true" ht="15" hidden="false" customHeight="true" outlineLevel="0" collapsed="false">
      <c r="A23" s="181" t="s">
        <v>130</v>
      </c>
      <c r="B23" s="182" t="n">
        <f aca="false">ROUND((B14-B13)+(B16-B15)+(B18-B17)+(B20-B19)+(B22-B21),9)</f>
        <v>0</v>
      </c>
      <c r="C23" s="182" t="n">
        <f aca="false">ROUND((C14-C13)+(C16-C15)+(C18-C17)+(C20-C19)+(C22-C21),9)</f>
        <v>0</v>
      </c>
      <c r="D23" s="182" t="n">
        <f aca="false">ROUND((D14-D13)+(D16-D15)+(D18-D17)+(D20-D19)+(D22-D21),9)</f>
        <v>0</v>
      </c>
      <c r="E23" s="182" t="n">
        <f aca="false">ROUND((E14-E13)+(E16-E15)+(E18-E17)+(E20-E19)+(E22-E21),9)</f>
        <v>0</v>
      </c>
      <c r="F23" s="182" t="n">
        <f aca="false">ROUND((F14-F13)+(F16-F15)+(F18-F17)+(F20-F19)+(F22-F21),9)</f>
        <v>0</v>
      </c>
      <c r="G23" s="182" t="n">
        <f aca="false">ROUND((G14-G13)+(G16-G15)+(G18-G17)+(G20-G19)+(G22-G21),9)</f>
        <v>0</v>
      </c>
      <c r="H23" s="182" t="n">
        <f aca="false">ROUND((H14-H13)+(H16-H15)+(H18-H17)+(H20-H19)+(H22-H21),9)</f>
        <v>0</v>
      </c>
      <c r="I23" s="182" t="n">
        <f aca="false">ROUND((I14-I13)+(I16-I15)+(I18-I17)+(I20-I19)+(I22-I21),9)</f>
        <v>0</v>
      </c>
      <c r="J23" s="182" t="n">
        <f aca="false">ROUND((J14-J13)+(J16-J15)+(J18-J17)+(J20-J19)+(J22-J21),9)</f>
        <v>0</v>
      </c>
      <c r="K23" s="182" t="n">
        <f aca="false">ROUND((K14-K13)+(K16-K15)+(K18-K17)+(K20-K19)+(K22-K21),9)</f>
        <v>0</v>
      </c>
      <c r="L23" s="182" t="n">
        <f aca="false">ROUND((L14-L13)+(L16-L15)+(L18-L17)+(L20-L19)+(L22-L21),9)</f>
        <v>0</v>
      </c>
      <c r="M23" s="182" t="n">
        <f aca="false">ROUND((M14-M13)+(M16-M15)+(M18-M17)+(M20-M19)+(M22-M21),9)</f>
        <v>0</v>
      </c>
      <c r="N23" s="182" t="n">
        <f aca="false">ROUND((N14-N13)+(N16-N15)+(N18-N17)+(N20-N19)+(N22-N21),9)</f>
        <v>0</v>
      </c>
      <c r="O23" s="182" t="n">
        <f aca="false">ROUND((O14-O13)+(O16-O15)+(O18-O17)+(O20-O19)+(O22-O21),9)</f>
        <v>0</v>
      </c>
      <c r="P23" s="182" t="n">
        <f aca="false">ROUND((P14-P13)+(P16-P15)+(P18-P17)+(P20-P19)+(P22-P21),9)</f>
        <v>0</v>
      </c>
      <c r="Q23" s="182" t="n">
        <f aca="false">ROUND((Q14-Q13)+(Q16-Q15)+(Q18-Q17)+(Q20-Q19)+(Q22-Q21),9)</f>
        <v>0</v>
      </c>
      <c r="R23" s="182" t="n">
        <f aca="false">ROUND((R14-R13)+(R16-R15)+(R18-R17)+(R20-R19)+(R22-R21),9)</f>
        <v>0</v>
      </c>
      <c r="S23" s="182" t="n">
        <f aca="false">ROUND((S14-S13)+(S16-S15)+(S18-S17)+(S20-S19)+(S22-S21),9)</f>
        <v>0</v>
      </c>
      <c r="T23" s="182" t="n">
        <f aca="false">ROUND((T14-T13)+(T16-T15)+(T18-T17)+(T20-T19)+(T22-T21),9)</f>
        <v>0</v>
      </c>
      <c r="U23" s="182" t="n">
        <f aca="false">ROUND((U14-U13)+(U16-U15)+(U18-U17)+(U20-U19)+(U22-U21),9)</f>
        <v>0</v>
      </c>
      <c r="V23" s="182" t="n">
        <f aca="false">ROUND((V14-V13)+(V16-V15)+(V18-V17)+(V20-V19)+(V22-V21),9)</f>
        <v>0</v>
      </c>
      <c r="W23" s="182" t="n">
        <f aca="false">ROUND((W14-W13)+(W16-W15)+(W18-W17)+(W20-W19)+(W22-W21),9)</f>
        <v>0</v>
      </c>
      <c r="X23" s="182" t="n">
        <f aca="false">ROUND((X14-X13)+(X16-X15)+(X18-X17)+(X20-X19)+(X22-X21),9)</f>
        <v>0</v>
      </c>
      <c r="Y23" s="182" t="n">
        <f aca="false">ROUND((Y14-Y13)+(Y16-Y15)+(Y18-Y17)+(Y20-Y19)+(Y22-Y21),9)</f>
        <v>0</v>
      </c>
      <c r="Z23" s="182" t="n">
        <f aca="false">ROUND((Z14-Z13)+(Z16-Z15)+(Z18-Z17)+(Z20-Z19)+(Z22-Z21),9)</f>
        <v>0</v>
      </c>
      <c r="AA23" s="182" t="n">
        <f aca="false">ROUND((AA14-AA13)+(AA16-AA15)+(AA18-AA17)+(AA20-AA19)+(AA22-AA21),9)</f>
        <v>0</v>
      </c>
      <c r="AB23" s="182" t="n">
        <f aca="false">ROUND((AB14-AB13)+(AB16-AB15)+(AB18-AB17)+(AB20-AB19)+(AB22-AB21),9)</f>
        <v>0</v>
      </c>
      <c r="AC23" s="182" t="n">
        <f aca="false">ROUND((AC14-AC13)+(AC16-AC15)+(AC18-AC17)+(AC20-AC19)+(AC22-AC21),9)</f>
        <v>0</v>
      </c>
      <c r="AD23" s="182" t="n">
        <f aca="false">ROUND((AD14-AD13)+(AD16-AD15)+(AD18-AD17)+(AD20-AD19)+(AD22-AD21),9)</f>
        <v>0</v>
      </c>
      <c r="AE23" s="182" t="n">
        <f aca="false">ROUND((AE14-AE13)+(AE16-AE15)+(AE18-AE17)+(AE20-AE19)+(AE22-AE21),9)</f>
        <v>0</v>
      </c>
      <c r="AF23" s="182" t="n">
        <f aca="false">ROUND((AF14-AF13)+(AF16-AF15)+(AF18-AF17)+(AF20-AF19)+(AF22-AF21),9)</f>
        <v>0</v>
      </c>
      <c r="AG23" s="183" t="str">
        <f aca="false">A23</f>
        <v>Total in/out</v>
      </c>
      <c r="AH23" s="184"/>
      <c r="AI23" s="185" t="n">
        <f aca="false">SUM(B23:AF23)</f>
        <v>0</v>
      </c>
      <c r="AJ23" s="180"/>
      <c r="AK23" s="172"/>
      <c r="AL23" s="172"/>
      <c r="AM23" s="172"/>
      <c r="AN23" s="171"/>
      <c r="AO23" s="172"/>
      <c r="AP23" s="172"/>
      <c r="AQ23" s="39"/>
    </row>
    <row r="24" s="148" customFormat="true" ht="3.75" hidden="true" customHeight="true" outlineLevel="1" collapsed="false">
      <c r="A24" s="186"/>
      <c r="B24" s="187"/>
      <c r="C24" s="187"/>
      <c r="D24" s="187"/>
      <c r="E24" s="187"/>
      <c r="F24" s="187"/>
      <c r="G24" s="187"/>
      <c r="H24" s="187"/>
      <c r="I24" s="187"/>
      <c r="J24" s="187"/>
      <c r="K24" s="187"/>
      <c r="L24" s="187"/>
      <c r="M24" s="187"/>
      <c r="N24" s="187"/>
      <c r="O24" s="187"/>
      <c r="P24" s="187"/>
      <c r="Q24" s="187"/>
      <c r="R24" s="187"/>
      <c r="S24" s="187"/>
      <c r="T24" s="187"/>
      <c r="U24" s="187"/>
      <c r="V24" s="187"/>
      <c r="W24" s="187"/>
      <c r="X24" s="187"/>
      <c r="Y24" s="187"/>
      <c r="Z24" s="187"/>
      <c r="AA24" s="187"/>
      <c r="AB24" s="187"/>
      <c r="AC24" s="187"/>
      <c r="AD24" s="187"/>
      <c r="AE24" s="187"/>
      <c r="AF24" s="188"/>
      <c r="AG24" s="168"/>
      <c r="AH24" s="146"/>
      <c r="AI24" s="179"/>
      <c r="AJ24" s="180"/>
      <c r="AK24" s="172"/>
      <c r="AL24" s="172"/>
      <c r="AM24" s="172"/>
      <c r="AN24" s="171"/>
      <c r="AO24" s="172"/>
      <c r="AP24" s="172"/>
      <c r="AQ24" s="39"/>
    </row>
    <row r="25" s="148" customFormat="true" ht="15" hidden="true" customHeight="true" outlineLevel="1" collapsed="false">
      <c r="A25" s="175" t="s">
        <v>131</v>
      </c>
      <c r="B25" s="176"/>
      <c r="C25" s="176"/>
      <c r="D25" s="176"/>
      <c r="E25" s="189"/>
      <c r="F25" s="176"/>
      <c r="G25" s="176"/>
      <c r="H25" s="176"/>
      <c r="I25" s="176"/>
      <c r="J25" s="176"/>
      <c r="K25" s="176"/>
      <c r="L25" s="176"/>
      <c r="M25" s="176"/>
      <c r="N25" s="176"/>
      <c r="O25" s="176"/>
      <c r="P25" s="176"/>
      <c r="Q25" s="176"/>
      <c r="R25" s="176"/>
      <c r="S25" s="176"/>
      <c r="T25" s="176"/>
      <c r="U25" s="176"/>
      <c r="V25" s="176"/>
      <c r="W25" s="176"/>
      <c r="X25" s="176"/>
      <c r="Y25" s="176"/>
      <c r="Z25" s="190"/>
      <c r="AA25" s="176"/>
      <c r="AB25" s="176"/>
      <c r="AC25" s="176"/>
      <c r="AD25" s="176"/>
      <c r="AE25" s="176"/>
      <c r="AF25" s="176"/>
      <c r="AG25" s="168" t="str">
        <f aca="false">A25</f>
        <v>paid break in</v>
      </c>
      <c r="AH25" s="146"/>
      <c r="AI25" s="179"/>
      <c r="AJ25" s="180"/>
      <c r="AK25" s="172"/>
      <c r="AL25" s="172"/>
      <c r="AM25" s="172"/>
      <c r="AN25" s="171"/>
      <c r="AO25" s="172"/>
      <c r="AP25" s="172"/>
      <c r="AQ25" s="39"/>
    </row>
    <row r="26" s="148" customFormat="true" ht="15" hidden="true" customHeight="true" outlineLevel="1" collapsed="false">
      <c r="A26" s="175" t="s">
        <v>132</v>
      </c>
      <c r="B26" s="176"/>
      <c r="C26" s="176"/>
      <c r="D26" s="176"/>
      <c r="E26" s="176"/>
      <c r="F26" s="176"/>
      <c r="G26" s="176"/>
      <c r="H26" s="176"/>
      <c r="I26" s="176"/>
      <c r="J26" s="176"/>
      <c r="K26" s="176"/>
      <c r="L26" s="176"/>
      <c r="M26" s="176"/>
      <c r="N26" s="176"/>
      <c r="O26" s="176"/>
      <c r="P26" s="176"/>
      <c r="Q26" s="176"/>
      <c r="R26" s="176"/>
      <c r="S26" s="176"/>
      <c r="T26" s="176"/>
      <c r="U26" s="176"/>
      <c r="V26" s="176"/>
      <c r="W26" s="176"/>
      <c r="X26" s="176"/>
      <c r="Y26" s="176"/>
      <c r="Z26" s="190"/>
      <c r="AA26" s="176"/>
      <c r="AB26" s="176"/>
      <c r="AC26" s="176"/>
      <c r="AD26" s="176"/>
      <c r="AE26" s="176"/>
      <c r="AF26" s="176"/>
      <c r="AG26" s="168" t="str">
        <f aca="false">A26</f>
        <v>paid break out</v>
      </c>
      <c r="AH26" s="146"/>
      <c r="AI26" s="179"/>
      <c r="AJ26" s="180"/>
      <c r="AK26" s="172"/>
      <c r="AL26" s="172"/>
      <c r="AM26" s="172"/>
      <c r="AN26" s="171"/>
      <c r="AO26" s="172"/>
      <c r="AP26" s="172"/>
      <c r="AQ26" s="39"/>
    </row>
    <row r="27" s="148" customFormat="true" ht="15" hidden="true" customHeight="true" outlineLevel="1" collapsed="false">
      <c r="A27" s="175" t="s">
        <v>131</v>
      </c>
      <c r="B27" s="176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90"/>
      <c r="AA27" s="176"/>
      <c r="AB27" s="176"/>
      <c r="AC27" s="176"/>
      <c r="AD27" s="176"/>
      <c r="AE27" s="176"/>
      <c r="AF27" s="176"/>
      <c r="AG27" s="168" t="str">
        <f aca="false">A27</f>
        <v>paid break in</v>
      </c>
      <c r="AH27" s="146"/>
      <c r="AI27" s="179"/>
      <c r="AJ27" s="180"/>
      <c r="AK27" s="172"/>
      <c r="AL27" s="172"/>
      <c r="AM27" s="172"/>
      <c r="AN27" s="171"/>
      <c r="AO27" s="172"/>
      <c r="AP27" s="172"/>
      <c r="AQ27" s="39"/>
    </row>
    <row r="28" s="148" customFormat="true" ht="15" hidden="true" customHeight="true" outlineLevel="1" collapsed="false">
      <c r="A28" s="175" t="s">
        <v>132</v>
      </c>
      <c r="B28" s="176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90"/>
      <c r="AA28" s="176"/>
      <c r="AB28" s="176"/>
      <c r="AC28" s="176"/>
      <c r="AD28" s="176"/>
      <c r="AE28" s="176"/>
      <c r="AF28" s="176"/>
      <c r="AG28" s="168" t="str">
        <f aca="false">A28</f>
        <v>paid break out</v>
      </c>
      <c r="AH28" s="146"/>
      <c r="AI28" s="179"/>
      <c r="AJ28" s="180"/>
      <c r="AK28" s="172"/>
      <c r="AL28" s="172"/>
      <c r="AM28" s="172"/>
      <c r="AN28" s="171"/>
      <c r="AO28" s="172"/>
      <c r="AP28" s="172"/>
      <c r="AQ28" s="39"/>
    </row>
    <row r="29" s="148" customFormat="true" ht="15" hidden="true" customHeight="true" outlineLevel="1" collapsed="false">
      <c r="A29" s="175" t="s">
        <v>131</v>
      </c>
      <c r="B29" s="176"/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90"/>
      <c r="AA29" s="176"/>
      <c r="AB29" s="176"/>
      <c r="AC29" s="176"/>
      <c r="AD29" s="176"/>
      <c r="AE29" s="176"/>
      <c r="AF29" s="176"/>
      <c r="AG29" s="168" t="str">
        <f aca="false">A29</f>
        <v>paid break in</v>
      </c>
      <c r="AH29" s="146"/>
      <c r="AI29" s="179"/>
      <c r="AJ29" s="180"/>
      <c r="AK29" s="172"/>
      <c r="AL29" s="172"/>
      <c r="AM29" s="172"/>
      <c r="AN29" s="171"/>
      <c r="AO29" s="172"/>
      <c r="AP29" s="172"/>
      <c r="AQ29" s="39"/>
    </row>
    <row r="30" s="148" customFormat="true" ht="15" hidden="true" customHeight="true" outlineLevel="1" collapsed="false">
      <c r="A30" s="175" t="s">
        <v>132</v>
      </c>
      <c r="B30" s="176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90"/>
      <c r="AA30" s="176"/>
      <c r="AB30" s="176"/>
      <c r="AC30" s="176"/>
      <c r="AD30" s="176"/>
      <c r="AE30" s="176"/>
      <c r="AF30" s="176"/>
      <c r="AG30" s="168" t="str">
        <f aca="false">A30</f>
        <v>paid break out</v>
      </c>
      <c r="AH30" s="146"/>
      <c r="AI30" s="179"/>
      <c r="AJ30" s="180"/>
      <c r="AK30" s="172"/>
      <c r="AL30" s="172"/>
      <c r="AM30" s="172"/>
      <c r="AN30" s="171"/>
      <c r="AO30" s="172"/>
      <c r="AP30" s="172"/>
      <c r="AQ30" s="39"/>
    </row>
    <row r="31" s="148" customFormat="true" ht="3.75" hidden="true" customHeight="true" outlineLevel="1" collapsed="false">
      <c r="A31" s="186"/>
      <c r="B31" s="191"/>
      <c r="C31" s="191"/>
      <c r="D31" s="191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  <c r="AA31" s="191"/>
      <c r="AB31" s="191"/>
      <c r="AC31" s="191"/>
      <c r="AD31" s="191"/>
      <c r="AE31" s="191"/>
      <c r="AF31" s="192"/>
      <c r="AG31" s="168"/>
      <c r="AH31" s="146"/>
      <c r="AI31" s="179"/>
      <c r="AJ31" s="180"/>
      <c r="AK31" s="172"/>
      <c r="AL31" s="172"/>
      <c r="AM31" s="172"/>
      <c r="AN31" s="171"/>
      <c r="AO31" s="172"/>
      <c r="AP31" s="172"/>
      <c r="AQ31" s="39"/>
    </row>
    <row r="32" s="148" customFormat="true" ht="15" hidden="true" customHeight="true" outlineLevel="1" collapsed="false">
      <c r="A32" s="181" t="s">
        <v>133</v>
      </c>
      <c r="B32" s="193" t="n">
        <f aca="false">ROUND(IF(MAX(0,B15-B14)&lt;1/24/60*180,MAX(0,B15-B14),0)+IF(MAX(0,B17-B16)&lt;1/24/60*180,MAX(0,B17-B16),0)+IF(MAX(0,B19-B18)&lt;1/24/60*180,MAX(0,B19-B18),0)+IF(MAX(0,B21-B20)&lt;1/24/60*180,MAX(0,B21-B20))+MAX(0,B26-B25)+MAX(0,B28-B27)+MAX(0,B30-B29),9)</f>
        <v>0</v>
      </c>
      <c r="C32" s="193" t="n">
        <f aca="false">ROUND(IF(MAX(0,C15-C14)&lt;1/24/60*180,MAX(0,C15-C14),0)+IF(MAX(0,C17-C16)&lt;1/24/60*180,MAX(0,C17-C16),0)+IF(MAX(0,C19-C18)&lt;1/24/60*180,MAX(0,C19-C18),0)+IF(MAX(0,C21-C20)&lt;1/24/60*180,MAX(0,C21-C20))+MAX(0,C26-C25)+MAX(0,C28-C27)+MAX(0,C30-C29),9)</f>
        <v>0</v>
      </c>
      <c r="D32" s="193" t="n">
        <f aca="false">ROUND(IF(MAX(0,D15-D14)&lt;1/24/60*180,MAX(0,D15-D14),0)+IF(MAX(0,D17-D16)&lt;1/24/60*180,MAX(0,D17-D16),0)+IF(MAX(0,D19-D18)&lt;1/24/60*180,MAX(0,D19-D18),0)+IF(MAX(0,D21-D20)&lt;1/24/60*180,MAX(0,D21-D20))+MAX(0,D26-D25)+MAX(0,D28-D27)+MAX(0,D30-D29),9)</f>
        <v>0</v>
      </c>
      <c r="E32" s="193" t="n">
        <f aca="false">ROUND(IF(MAX(0,E15-E14)&lt;1/24/60*180,MAX(0,E15-E14),0)+IF(MAX(0,E17-E16)&lt;1/24/60*180,MAX(0,E17-E16),0)+IF(MAX(0,E19-E18)&lt;1/24/60*180,MAX(0,E19-E18),0)+IF(MAX(0,E21-E20)&lt;1/24/60*180,MAX(0,E21-E20))+MAX(0,E26-E25)+MAX(0,E28-E27)+MAX(0,E30-E29),9)</f>
        <v>0</v>
      </c>
      <c r="F32" s="193" t="n">
        <f aca="false">ROUND(IF(MAX(0,F15-F14)&lt;1/24/60*180,MAX(0,F15-F14),0)+IF(MAX(0,F17-F16)&lt;1/24/60*180,MAX(0,F17-F16),0)+IF(MAX(0,F19-F18)&lt;1/24/60*180,MAX(0,F19-F18),0)+IF(MAX(0,F21-F20)&lt;1/24/60*180,MAX(0,F21-F20))+MAX(0,F26-F25)+MAX(0,F28-F27)+MAX(0,F30-F29),9)</f>
        <v>0</v>
      </c>
      <c r="G32" s="193" t="n">
        <f aca="false">ROUND(IF(MAX(0,G15-G14)&lt;1/24/60*180,MAX(0,G15-G14),0)+IF(MAX(0,G17-G16)&lt;1/24/60*180,MAX(0,G17-G16),0)+IF(MAX(0,G19-G18)&lt;1/24/60*180,MAX(0,G19-G18),0)+IF(MAX(0,G21-G20)&lt;1/24/60*180,MAX(0,G21-G20))+MAX(0,G26-G25)+MAX(0,G28-G27)+MAX(0,G30-G29),9)</f>
        <v>0</v>
      </c>
      <c r="H32" s="193" t="n">
        <f aca="false">ROUND(IF(MAX(0,H15-H14)&lt;1/24/60*180,MAX(0,H15-H14),0)+IF(MAX(0,H17-H16)&lt;1/24/60*180,MAX(0,H17-H16),0)+IF(MAX(0,H19-H18)&lt;1/24/60*180,MAX(0,H19-H18),0)+IF(MAX(0,H21-H20)&lt;1/24/60*180,MAX(0,H21-H20))+MAX(0,H26-H25)+MAX(0,H28-H27)+MAX(0,H30-H29),9)</f>
        <v>0</v>
      </c>
      <c r="I32" s="193" t="n">
        <f aca="false">ROUND(IF(MAX(0,I15-I14)&lt;1/24/60*180,MAX(0,I15-I14),0)+IF(MAX(0,I17-I16)&lt;1/24/60*180,MAX(0,I17-I16),0)+IF(MAX(0,I19-I18)&lt;1/24/60*180,MAX(0,I19-I18),0)+IF(MAX(0,I21-I20)&lt;1/24/60*180,MAX(0,I21-I20))+MAX(0,I26-I25)+MAX(0,I28-I27)+MAX(0,I30-I29),9)</f>
        <v>0</v>
      </c>
      <c r="J32" s="193" t="n">
        <f aca="false">ROUND(IF(MAX(0,J15-J14)&lt;1/24/60*180,MAX(0,J15-J14),0)+IF(MAX(0,J17-J16)&lt;1/24/60*180,MAX(0,J17-J16),0)+IF(MAX(0,J19-J18)&lt;1/24/60*180,MAX(0,J19-J18),0)+IF(MAX(0,J21-J20)&lt;1/24/60*180,MAX(0,J21-J20))+MAX(0,J26-J25)+MAX(0,J28-J27)+MAX(0,J30-J29),9)</f>
        <v>0</v>
      </c>
      <c r="K32" s="193" t="n">
        <f aca="false">ROUND(IF(MAX(0,K15-K14)&lt;1/24/60*180,MAX(0,K15-K14),0)+IF(MAX(0,K17-K16)&lt;1/24/60*180,MAX(0,K17-K16),0)+IF(MAX(0,K19-K18)&lt;1/24/60*180,MAX(0,K19-K18),0)+IF(MAX(0,K21-K20)&lt;1/24/60*180,MAX(0,K21-K20))+MAX(0,K26-K25)+MAX(0,K28-K27)+MAX(0,K30-K29),9)</f>
        <v>0</v>
      </c>
      <c r="L32" s="193" t="n">
        <f aca="false">ROUND(IF(MAX(0,L15-L14)&lt;1/24/60*180,MAX(0,L15-L14),0)+IF(MAX(0,L17-L16)&lt;1/24/60*180,MAX(0,L17-L16),0)+IF(MAX(0,L19-L18)&lt;1/24/60*180,MAX(0,L19-L18),0)+IF(MAX(0,L21-L20)&lt;1/24/60*180,MAX(0,L21-L20))+MAX(0,L26-L25)+MAX(0,L28-L27)+MAX(0,L30-L29),9)</f>
        <v>0</v>
      </c>
      <c r="M32" s="193" t="n">
        <f aca="false">ROUND(IF(MAX(0,M15-M14)&lt;1/24/60*180,MAX(0,M15-M14),0)+IF(MAX(0,M17-M16)&lt;1/24/60*180,MAX(0,M17-M16),0)+IF(MAX(0,M19-M18)&lt;1/24/60*180,MAX(0,M19-M18),0)+IF(MAX(0,M21-M20)&lt;1/24/60*180,MAX(0,M21-M20))+MAX(0,M26-M25)+MAX(0,M28-M27)+MAX(0,M30-M29),9)</f>
        <v>0</v>
      </c>
      <c r="N32" s="193" t="n">
        <f aca="false">ROUND(IF(MAX(0,N15-N14)&lt;1/24/60*180,MAX(0,N15-N14),0)+IF(MAX(0,N17-N16)&lt;1/24/60*180,MAX(0,N17-N16),0)+IF(MAX(0,N19-N18)&lt;1/24/60*180,MAX(0,N19-N18),0)+IF(MAX(0,N21-N20)&lt;1/24/60*180,MAX(0,N21-N20))+MAX(0,N26-N25)+MAX(0,N28-N27)+MAX(0,N30-N29),9)</f>
        <v>0</v>
      </c>
      <c r="O32" s="193" t="n">
        <f aca="false">ROUND(IF(MAX(0,O15-O14)&lt;1/24/60*180,MAX(0,O15-O14),0)+IF(MAX(0,O17-O16)&lt;1/24/60*180,MAX(0,O17-O16),0)+IF(MAX(0,O19-O18)&lt;1/24/60*180,MAX(0,O19-O18),0)+IF(MAX(0,O21-O20)&lt;1/24/60*180,MAX(0,O21-O20))+MAX(0,O26-O25)+MAX(0,O28-O27)+MAX(0,O30-O29),9)</f>
        <v>0</v>
      </c>
      <c r="P32" s="193" t="n">
        <f aca="false">ROUND(IF(MAX(0,P15-P14)&lt;1/24/60*180,MAX(0,P15-P14),0)+IF(MAX(0,P17-P16)&lt;1/24/60*180,MAX(0,P17-P16),0)+IF(MAX(0,P19-P18)&lt;1/24/60*180,MAX(0,P19-P18),0)+IF(MAX(0,P21-P20)&lt;1/24/60*180,MAX(0,P21-P20))+MAX(0,P26-P25)+MAX(0,P28-P27)+MAX(0,P30-P29),9)</f>
        <v>0</v>
      </c>
      <c r="Q32" s="193" t="n">
        <f aca="false">ROUND(IF(MAX(0,Q15-Q14)&lt;1/24/60*180,MAX(0,Q15-Q14),0)+IF(MAX(0,Q17-Q16)&lt;1/24/60*180,MAX(0,Q17-Q16),0)+IF(MAX(0,Q19-Q18)&lt;1/24/60*180,MAX(0,Q19-Q18),0)+IF(MAX(0,Q21-Q20)&lt;1/24/60*180,MAX(0,Q21-Q20))+MAX(0,Q26-Q25)+MAX(0,Q28-Q27)+MAX(0,Q30-Q29),9)</f>
        <v>0</v>
      </c>
      <c r="R32" s="193" t="n">
        <f aca="false">ROUND(IF(MAX(0,R15-R14)&lt;1/24/60*180,MAX(0,R15-R14),0)+IF(MAX(0,R17-R16)&lt;1/24/60*180,MAX(0,R17-R16),0)+IF(MAX(0,R19-R18)&lt;1/24/60*180,MAX(0,R19-R18),0)+IF(MAX(0,R21-R20)&lt;1/24/60*180,MAX(0,R21-R20))+MAX(0,R26-R25)+MAX(0,R28-R27)+MAX(0,R30-R29),9)</f>
        <v>0</v>
      </c>
      <c r="S32" s="193" t="n">
        <f aca="false">ROUND(IF(MAX(0,S15-S14)&lt;1/24/60*180,MAX(0,S15-S14),0)+IF(MAX(0,S17-S16)&lt;1/24/60*180,MAX(0,S17-S16),0)+IF(MAX(0,S19-S18)&lt;1/24/60*180,MAX(0,S19-S18),0)+IF(MAX(0,S21-S20)&lt;1/24/60*180,MAX(0,S21-S20))+MAX(0,S26-S25)+MAX(0,S28-S27)+MAX(0,S30-S29),9)</f>
        <v>0</v>
      </c>
      <c r="T32" s="193" t="n">
        <f aca="false">ROUND(IF(MAX(0,T15-T14)&lt;1/24/60*180,MAX(0,T15-T14),0)+IF(MAX(0,T17-T16)&lt;1/24/60*180,MAX(0,T17-T16),0)+IF(MAX(0,T19-T18)&lt;1/24/60*180,MAX(0,T19-T18),0)+IF(MAX(0,T21-T20)&lt;1/24/60*180,MAX(0,T21-T20))+MAX(0,T26-T25)+MAX(0,T28-T27)+MAX(0,T30-T29),9)</f>
        <v>0</v>
      </c>
      <c r="U32" s="193" t="n">
        <f aca="false">ROUND(IF(MAX(0,U15-U14)&lt;1/24/60*180,MAX(0,U15-U14),0)+IF(MAX(0,U17-U16)&lt;1/24/60*180,MAX(0,U17-U16),0)+IF(MAX(0,U19-U18)&lt;1/24/60*180,MAX(0,U19-U18),0)+IF(MAX(0,U21-U20)&lt;1/24/60*180,MAX(0,U21-U20))+MAX(0,U26-U25)+MAX(0,U28-U27)+MAX(0,U30-U29),9)</f>
        <v>0</v>
      </c>
      <c r="V32" s="193" t="n">
        <f aca="false">ROUND(IF(MAX(0,V15-V14)&lt;1/24/60*180,MAX(0,V15-V14),0)+IF(MAX(0,V17-V16)&lt;1/24/60*180,MAX(0,V17-V16),0)+IF(MAX(0,V19-V18)&lt;1/24/60*180,MAX(0,V19-V18),0)+IF(MAX(0,V21-V20)&lt;1/24/60*180,MAX(0,V21-V20))+MAX(0,V26-V25)+MAX(0,V28-V27)+MAX(0,V30-V29),9)</f>
        <v>0</v>
      </c>
      <c r="W32" s="193" t="n">
        <f aca="false">ROUND(IF(MAX(0,W15-W14)&lt;1/24/60*180,MAX(0,W15-W14),0)+IF(MAX(0,W17-W16)&lt;1/24/60*180,MAX(0,W17-W16),0)+IF(MAX(0,W19-W18)&lt;1/24/60*180,MAX(0,W19-W18),0)+IF(MAX(0,W21-W20)&lt;1/24/60*180,MAX(0,W21-W20))+MAX(0,W26-W25)+MAX(0,W28-W27)+MAX(0,W30-W29),9)</f>
        <v>0</v>
      </c>
      <c r="X32" s="193" t="n">
        <f aca="false">ROUND(IF(MAX(0,X15-X14)&lt;1/24/60*180,MAX(0,X15-X14),0)+IF(MAX(0,X17-X16)&lt;1/24/60*180,MAX(0,X17-X16),0)+IF(MAX(0,X19-X18)&lt;1/24/60*180,MAX(0,X19-X18),0)+IF(MAX(0,X21-X20)&lt;1/24/60*180,MAX(0,X21-X20))+MAX(0,X26-X25)+MAX(0,X28-X27)+MAX(0,X30-X29),9)</f>
        <v>0</v>
      </c>
      <c r="Y32" s="193" t="n">
        <f aca="false">ROUND(IF(MAX(0,Y15-Y14)&lt;1/24/60*180,MAX(0,Y15-Y14),0)+IF(MAX(0,Y17-Y16)&lt;1/24/60*180,MAX(0,Y17-Y16),0)+IF(MAX(0,Y19-Y18)&lt;1/24/60*180,MAX(0,Y19-Y18),0)+IF(MAX(0,Y21-Y20)&lt;1/24/60*180,MAX(0,Y21-Y20))+MAX(0,Y26-Y25)+MAX(0,Y28-Y27)+MAX(0,Y30-Y29),9)</f>
        <v>0</v>
      </c>
      <c r="Z32" s="193" t="n">
        <f aca="false">ROUND(IF(MAX(0,Z15-Z14)&lt;1/24/60*180,MAX(0,Z15-Z14),0)+IF(MAX(0,Z17-Z16)&lt;1/24/60*180,MAX(0,Z17-Z16),0)+IF(MAX(0,Z19-Z18)&lt;1/24/60*180,MAX(0,Z19-Z18),0)+IF(MAX(0,Z21-Z20)&lt;1/24/60*180,MAX(0,Z21-Z20))+MAX(0,Z26-Z25)+MAX(0,Z28-Z27)+MAX(0,Z30-Z29),9)</f>
        <v>0</v>
      </c>
      <c r="AA32" s="193" t="n">
        <f aca="false">ROUND(IF(MAX(0,AA15-AA14)&lt;1/24/60*180,MAX(0,AA15-AA14),0)+IF(MAX(0,AA17-AA16)&lt;1/24/60*180,MAX(0,AA17-AA16),0)+IF(MAX(0,AA19-AA18)&lt;1/24/60*180,MAX(0,AA19-AA18),0)+IF(MAX(0,AA21-AA20)&lt;1/24/60*180,MAX(0,AA21-AA20))+MAX(0,AA26-AA25)+MAX(0,AA28-AA27)+MAX(0,AA30-AA29),9)</f>
        <v>0</v>
      </c>
      <c r="AB32" s="193" t="n">
        <f aca="false">ROUND(IF(MAX(0,AB15-AB14)&lt;1/24/60*180,MAX(0,AB15-AB14),0)+IF(MAX(0,AB17-AB16)&lt;1/24/60*180,MAX(0,AB17-AB16),0)+IF(MAX(0,AB19-AB18)&lt;1/24/60*180,MAX(0,AB19-AB18),0)+IF(MAX(0,AB21-AB20)&lt;1/24/60*180,MAX(0,AB21-AB20))+MAX(0,AB26-AB25)+MAX(0,AB28-AB27)+MAX(0,AB30-AB29),9)</f>
        <v>0</v>
      </c>
      <c r="AC32" s="193" t="n">
        <f aca="false">ROUND(IF(MAX(0,AC15-AC14)&lt;1/24/60*180,MAX(0,AC15-AC14),0)+IF(MAX(0,AC17-AC16)&lt;1/24/60*180,MAX(0,AC17-AC16),0)+IF(MAX(0,AC19-AC18)&lt;1/24/60*180,MAX(0,AC19-AC18),0)+IF(MAX(0,AC21-AC20)&lt;1/24/60*180,MAX(0,AC21-AC20))+MAX(0,AC26-AC25)+MAX(0,AC28-AC27)+MAX(0,AC30-AC29),9)</f>
        <v>0</v>
      </c>
      <c r="AD32" s="193" t="n">
        <f aca="false">ROUND(IF(MAX(0,AD15-AD14)&lt;1/24/60*180,MAX(0,AD15-AD14),0)+IF(MAX(0,AD17-AD16)&lt;1/24/60*180,MAX(0,AD17-AD16),0)+IF(MAX(0,AD19-AD18)&lt;1/24/60*180,MAX(0,AD19-AD18),0)+IF(MAX(0,AD21-AD20)&lt;1/24/60*180,MAX(0,AD21-AD20))+MAX(0,AD26-AD25)+MAX(0,AD28-AD27)+MAX(0,AD30-AD29),9)</f>
        <v>0</v>
      </c>
      <c r="AE32" s="193" t="n">
        <f aca="false">ROUND(IF(MAX(0,AE15-AE14)&lt;1/24/60*180,MAX(0,AE15-AE14),0)+IF(MAX(0,AE17-AE16)&lt;1/24/60*180,MAX(0,AE17-AE16),0)+IF(MAX(0,AE19-AE18)&lt;1/24/60*180,MAX(0,AE19-AE18),0)+IF(MAX(0,AE21-AE20)&lt;1/24/60*180,MAX(0,AE21-AE20))+MAX(0,AE26-AE25)+MAX(0,AE28-AE27)+MAX(0,AE30-AE29),9)</f>
        <v>0</v>
      </c>
      <c r="AF32" s="193" t="n">
        <f aca="false">ROUND(IF(MAX(0,AF15-AF14)&lt;1/24/60*180,MAX(0,AF15-AF14),0)+IF(MAX(0,AF17-AF16)&lt;1/24/60*180,MAX(0,AF17-AF16),0)+IF(MAX(0,AF19-AF18)&lt;1/24/60*180,MAX(0,AF19-AF18),0)+IF(MAX(0,AF21-AF20)&lt;1/24/60*180,MAX(0,AF21-AF20))+MAX(0,AF26-AF25)+MAX(0,AF28-AF27)+MAX(0,AF30-AF29),9)</f>
        <v>0</v>
      </c>
      <c r="AG32" s="183" t="str">
        <f aca="false">A32</f>
        <v>Total breaks (in out/paid)</v>
      </c>
      <c r="AH32" s="184"/>
      <c r="AI32" s="185" t="n">
        <f aca="false">SUM(B32:AF32)</f>
        <v>0</v>
      </c>
      <c r="AJ32" s="180"/>
      <c r="AK32" s="172"/>
      <c r="AL32" s="172"/>
      <c r="AM32" s="172"/>
      <c r="AN32" s="171"/>
      <c r="AO32" s="172"/>
      <c r="AP32" s="172"/>
      <c r="AQ32" s="39"/>
    </row>
    <row r="33" s="148" customFormat="true" ht="3.75" hidden="false" customHeight="true" outlineLevel="0" collapsed="false">
      <c r="A33" s="186"/>
      <c r="B33" s="194"/>
      <c r="C33" s="194"/>
      <c r="D33" s="194"/>
      <c r="E33" s="194"/>
      <c r="F33" s="194"/>
      <c r="G33" s="194"/>
      <c r="H33" s="194"/>
      <c r="I33" s="194"/>
      <c r="J33" s="194"/>
      <c r="K33" s="194"/>
      <c r="L33" s="194"/>
      <c r="M33" s="194"/>
      <c r="N33" s="194"/>
      <c r="O33" s="194"/>
      <c r="P33" s="194"/>
      <c r="Q33" s="194"/>
      <c r="R33" s="194"/>
      <c r="S33" s="194"/>
      <c r="T33" s="194"/>
      <c r="U33" s="194"/>
      <c r="V33" s="194"/>
      <c r="W33" s="194"/>
      <c r="X33" s="194"/>
      <c r="Y33" s="194"/>
      <c r="Z33" s="194"/>
      <c r="AA33" s="194"/>
      <c r="AB33" s="194"/>
      <c r="AC33" s="194"/>
      <c r="AD33" s="194"/>
      <c r="AE33" s="194"/>
      <c r="AF33" s="195"/>
      <c r="AG33" s="168"/>
      <c r="AH33" s="146"/>
      <c r="AI33" s="179"/>
      <c r="AJ33" s="180"/>
      <c r="AK33" s="172"/>
      <c r="AL33" s="172"/>
      <c r="AM33" s="172"/>
      <c r="AN33" s="171"/>
      <c r="AO33" s="172"/>
      <c r="AP33" s="172"/>
      <c r="AQ33" s="39"/>
    </row>
    <row r="34" s="148" customFormat="true" ht="15" hidden="false" customHeight="true" outlineLevel="1" collapsed="false">
      <c r="A34" s="175" t="s">
        <v>134</v>
      </c>
      <c r="B34" s="196" t="str">
        <f aca="true">IF(EB.Anwendung&lt;&gt;"",IF(EB.Wochenarbeitszeit=50/24,INDEX(T.Pikett.Bereich,1),IF(DAY(B$10)=1,IF(MONTH(Monat.Tag1)=1,INDEX(T.Pikett.Bereich,1),IF(MONTH(Monat.Tag1)=2,January!Monat.Pikett,IF(MONTH(Monat.Tag1)=3,February!Monat.Pikett,IF(MONTH(Monat.Tag1)=4,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A34="B",INDEX(T.Pikett.Bereich,4),IF(A34="E",INDEX(T.Pikett.Bereich,1),A34)))),"")</f>
        <v>No</v>
      </c>
      <c r="C34" s="196" t="str">
        <f aca="true">IF(EB.Anwendung&lt;&gt;"",IF(EB.Wochenarbeitszeit=50/24,INDEX(T.Pikett.Bereich,1),IF(DAY(C$10)=1,IF(MONTH(Monat.Tag1)=1,INDEX(T.Pikett.Bereich,1),IF(MONTH(Monat.Tag1)=2,January!Monat.Pikett,IF(MONTH(Monat.Tag1)=3,February!Monat.Pikett,IF(MONTH(Monat.Tag1)=4,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B34="B",INDEX(T.Pikett.Bereich,4),IF(B34="E",INDEX(T.Pikett.Bereich,1),B34)))),"")</f>
        <v>No</v>
      </c>
      <c r="D34" s="196" t="str">
        <f aca="true">IF(EB.Anwendung&lt;&gt;"",IF(EB.Wochenarbeitszeit=50/24,INDEX(T.Pikett.Bereich,1),IF(DAY(D$10)=1,IF(MONTH(Monat.Tag1)=1,INDEX(T.Pikett.Bereich,1),IF(MONTH(Monat.Tag1)=2,January!Monat.Pikett,IF(MONTH(Monat.Tag1)=3,February!Monat.Pikett,IF(MONTH(Monat.Tag1)=4,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C34="B",INDEX(T.Pikett.Bereich,4),IF(C34="E",INDEX(T.Pikett.Bereich,1),C34)))),"")</f>
        <v>No</v>
      </c>
      <c r="E34" s="196" t="str">
        <f aca="true">IF(EB.Anwendung&lt;&gt;"",IF(EB.Wochenarbeitszeit=50/24,INDEX(T.Pikett.Bereich,1),IF(DAY(E$10)=1,IF(MONTH(Monat.Tag1)=1,INDEX(T.Pikett.Bereich,1),IF(MONTH(Monat.Tag1)=2,January!Monat.Pikett,IF(MONTH(Monat.Tag1)=3,February!Monat.Pikett,IF(MONTH(Monat.Tag1)=4,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D34="B",INDEX(T.Pikett.Bereich,4),IF(D34="E",INDEX(T.Pikett.Bereich,1),D34)))),"")</f>
        <v>No</v>
      </c>
      <c r="F34" s="196" t="str">
        <f aca="true">IF(EB.Anwendung&lt;&gt;"",IF(EB.Wochenarbeitszeit=50/24,INDEX(T.Pikett.Bereich,1),IF(DAY(F$10)=1,IF(MONTH(Monat.Tag1)=1,INDEX(T.Pikett.Bereich,1),IF(MONTH(Monat.Tag1)=2,January!Monat.Pikett,IF(MONTH(Monat.Tag1)=3,February!Monat.Pikett,IF(MONTH(Monat.Tag1)=4,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E34="B",INDEX(T.Pikett.Bereich,4),IF(E34="E",INDEX(T.Pikett.Bereich,1),E34)))),"")</f>
        <v>No</v>
      </c>
      <c r="G34" s="196" t="str">
        <f aca="true">IF(EB.Anwendung&lt;&gt;"",IF(EB.Wochenarbeitszeit=50/24,INDEX(T.Pikett.Bereich,1),IF(DAY(G$10)=1,IF(MONTH(Monat.Tag1)=1,INDEX(T.Pikett.Bereich,1),IF(MONTH(Monat.Tag1)=2,January!Monat.Pikett,IF(MONTH(Monat.Tag1)=3,February!Monat.Pikett,IF(MONTH(Monat.Tag1)=4,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F34="B",INDEX(T.Pikett.Bereich,4),IF(F34="E",INDEX(T.Pikett.Bereich,1),F34)))),"")</f>
        <v>No</v>
      </c>
      <c r="H34" s="196" t="str">
        <f aca="true">IF(EB.Anwendung&lt;&gt;"",IF(EB.Wochenarbeitszeit=50/24,INDEX(T.Pikett.Bereich,1),IF(DAY(H$10)=1,IF(MONTH(Monat.Tag1)=1,INDEX(T.Pikett.Bereich,1),IF(MONTH(Monat.Tag1)=2,January!Monat.Pikett,IF(MONTH(Monat.Tag1)=3,February!Monat.Pikett,IF(MONTH(Monat.Tag1)=4,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G34="B",INDEX(T.Pikett.Bereich,4),IF(G34="E",INDEX(T.Pikett.Bereich,1),G34)))),"")</f>
        <v>No</v>
      </c>
      <c r="I34" s="196" t="str">
        <f aca="true">IF(EB.Anwendung&lt;&gt;"",IF(EB.Wochenarbeitszeit=50/24,INDEX(T.Pikett.Bereich,1),IF(DAY(I$10)=1,IF(MONTH(Monat.Tag1)=1,INDEX(T.Pikett.Bereich,1),IF(MONTH(Monat.Tag1)=2,January!Monat.Pikett,IF(MONTH(Monat.Tag1)=3,February!Monat.Pikett,IF(MONTH(Monat.Tag1)=4,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H34="B",INDEX(T.Pikett.Bereich,4),IF(H34="E",INDEX(T.Pikett.Bereich,1),H34)))),"")</f>
        <v>No</v>
      </c>
      <c r="J34" s="196" t="str">
        <f aca="true">IF(EB.Anwendung&lt;&gt;"",IF(EB.Wochenarbeitszeit=50/24,INDEX(T.Pikett.Bereich,1),IF(DAY(J$10)=1,IF(MONTH(Monat.Tag1)=1,INDEX(T.Pikett.Bereich,1),IF(MONTH(Monat.Tag1)=2,January!Monat.Pikett,IF(MONTH(Monat.Tag1)=3,February!Monat.Pikett,IF(MONTH(Monat.Tag1)=4,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I34="B",INDEX(T.Pikett.Bereich,4),IF(I34="E",INDEX(T.Pikett.Bereich,1),I34)))),"")</f>
        <v>No</v>
      </c>
      <c r="K34" s="196" t="str">
        <f aca="true">IF(EB.Anwendung&lt;&gt;"",IF(EB.Wochenarbeitszeit=50/24,INDEX(T.Pikett.Bereich,1),IF(DAY(K$10)=1,IF(MONTH(Monat.Tag1)=1,INDEX(T.Pikett.Bereich,1),IF(MONTH(Monat.Tag1)=2,January!Monat.Pikett,IF(MONTH(Monat.Tag1)=3,February!Monat.Pikett,IF(MONTH(Monat.Tag1)=4,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J34="B",INDEX(T.Pikett.Bereich,4),IF(J34="E",INDEX(T.Pikett.Bereich,1),J34)))),"")</f>
        <v>No</v>
      </c>
      <c r="L34" s="196" t="str">
        <f aca="true">IF(EB.Anwendung&lt;&gt;"",IF(EB.Wochenarbeitszeit=50/24,INDEX(T.Pikett.Bereich,1),IF(DAY(L$10)=1,IF(MONTH(Monat.Tag1)=1,INDEX(T.Pikett.Bereich,1),IF(MONTH(Monat.Tag1)=2,January!Monat.Pikett,IF(MONTH(Monat.Tag1)=3,February!Monat.Pikett,IF(MONTH(Monat.Tag1)=4,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K34="B",INDEX(T.Pikett.Bereich,4),IF(K34="E",INDEX(T.Pikett.Bereich,1),K34)))),"")</f>
        <v>No</v>
      </c>
      <c r="M34" s="196" t="str">
        <f aca="true">IF(EB.Anwendung&lt;&gt;"",IF(EB.Wochenarbeitszeit=50/24,INDEX(T.Pikett.Bereich,1),IF(DAY(M$10)=1,IF(MONTH(Monat.Tag1)=1,INDEX(T.Pikett.Bereich,1),IF(MONTH(Monat.Tag1)=2,January!Monat.Pikett,IF(MONTH(Monat.Tag1)=3,February!Monat.Pikett,IF(MONTH(Monat.Tag1)=4,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L34="B",INDEX(T.Pikett.Bereich,4),IF(L34="E",INDEX(T.Pikett.Bereich,1),L34)))),"")</f>
        <v>No</v>
      </c>
      <c r="N34" s="196" t="str">
        <f aca="true">IF(EB.Anwendung&lt;&gt;"",IF(EB.Wochenarbeitszeit=50/24,INDEX(T.Pikett.Bereich,1),IF(DAY(N$10)=1,IF(MONTH(Monat.Tag1)=1,INDEX(T.Pikett.Bereich,1),IF(MONTH(Monat.Tag1)=2,January!Monat.Pikett,IF(MONTH(Monat.Tag1)=3,February!Monat.Pikett,IF(MONTH(Monat.Tag1)=4,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M34="B",INDEX(T.Pikett.Bereich,4),IF(M34="E",INDEX(T.Pikett.Bereich,1),M34)))),"")</f>
        <v>No</v>
      </c>
      <c r="O34" s="196" t="str">
        <f aca="true">IF(EB.Anwendung&lt;&gt;"",IF(EB.Wochenarbeitszeit=50/24,INDEX(T.Pikett.Bereich,1),IF(DAY(O$10)=1,IF(MONTH(Monat.Tag1)=1,INDEX(T.Pikett.Bereich,1),IF(MONTH(Monat.Tag1)=2,January!Monat.Pikett,IF(MONTH(Monat.Tag1)=3,February!Monat.Pikett,IF(MONTH(Monat.Tag1)=4,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N34="B",INDEX(T.Pikett.Bereich,4),IF(N34="E",INDEX(T.Pikett.Bereich,1),N34)))),"")</f>
        <v>No</v>
      </c>
      <c r="P34" s="196" t="str">
        <f aca="true">IF(EB.Anwendung&lt;&gt;"",IF(EB.Wochenarbeitszeit=50/24,INDEX(T.Pikett.Bereich,1),IF(DAY(P$10)=1,IF(MONTH(Monat.Tag1)=1,INDEX(T.Pikett.Bereich,1),IF(MONTH(Monat.Tag1)=2,January!Monat.Pikett,IF(MONTH(Monat.Tag1)=3,February!Monat.Pikett,IF(MONTH(Monat.Tag1)=4,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O34="B",INDEX(T.Pikett.Bereich,4),IF(O34="E",INDEX(T.Pikett.Bereich,1),O34)))),"")</f>
        <v>No</v>
      </c>
      <c r="Q34" s="196" t="str">
        <f aca="true">IF(EB.Anwendung&lt;&gt;"",IF(EB.Wochenarbeitszeit=50/24,INDEX(T.Pikett.Bereich,1),IF(DAY(Q$10)=1,IF(MONTH(Monat.Tag1)=1,INDEX(T.Pikett.Bereich,1),IF(MONTH(Monat.Tag1)=2,January!Monat.Pikett,IF(MONTH(Monat.Tag1)=3,February!Monat.Pikett,IF(MONTH(Monat.Tag1)=4,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P34="B",INDEX(T.Pikett.Bereich,4),IF(P34="E",INDEX(T.Pikett.Bereich,1),P34)))),"")</f>
        <v>No</v>
      </c>
      <c r="R34" s="196" t="str">
        <f aca="true">IF(EB.Anwendung&lt;&gt;"",IF(EB.Wochenarbeitszeit=50/24,INDEX(T.Pikett.Bereich,1),IF(DAY(R$10)=1,IF(MONTH(Monat.Tag1)=1,INDEX(T.Pikett.Bereich,1),IF(MONTH(Monat.Tag1)=2,January!Monat.Pikett,IF(MONTH(Monat.Tag1)=3,February!Monat.Pikett,IF(MONTH(Monat.Tag1)=4,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Q34="B",INDEX(T.Pikett.Bereich,4),IF(Q34="E",INDEX(T.Pikett.Bereich,1),Q34)))),"")</f>
        <v>No</v>
      </c>
      <c r="S34" s="196" t="str">
        <f aca="true">IF(EB.Anwendung&lt;&gt;"",IF(EB.Wochenarbeitszeit=50/24,INDEX(T.Pikett.Bereich,1),IF(DAY(S$10)=1,IF(MONTH(Monat.Tag1)=1,INDEX(T.Pikett.Bereich,1),IF(MONTH(Monat.Tag1)=2,January!Monat.Pikett,IF(MONTH(Monat.Tag1)=3,February!Monat.Pikett,IF(MONTH(Monat.Tag1)=4,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R34="B",INDEX(T.Pikett.Bereich,4),IF(R34="E",INDEX(T.Pikett.Bereich,1),R34)))),"")</f>
        <v>No</v>
      </c>
      <c r="T34" s="196" t="str">
        <f aca="true">IF(EB.Anwendung&lt;&gt;"",IF(EB.Wochenarbeitszeit=50/24,INDEX(T.Pikett.Bereich,1),IF(DAY(T$10)=1,IF(MONTH(Monat.Tag1)=1,INDEX(T.Pikett.Bereich,1),IF(MONTH(Monat.Tag1)=2,January!Monat.Pikett,IF(MONTH(Monat.Tag1)=3,February!Monat.Pikett,IF(MONTH(Monat.Tag1)=4,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S34="B",INDEX(T.Pikett.Bereich,4),IF(S34="E",INDEX(T.Pikett.Bereich,1),S34)))),"")</f>
        <v>No</v>
      </c>
      <c r="U34" s="196" t="str">
        <f aca="true">IF(EB.Anwendung&lt;&gt;"",IF(EB.Wochenarbeitszeit=50/24,INDEX(T.Pikett.Bereich,1),IF(DAY(U$10)=1,IF(MONTH(Monat.Tag1)=1,INDEX(T.Pikett.Bereich,1),IF(MONTH(Monat.Tag1)=2,January!Monat.Pikett,IF(MONTH(Monat.Tag1)=3,February!Monat.Pikett,IF(MONTH(Monat.Tag1)=4,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T34="B",INDEX(T.Pikett.Bereich,4),IF(T34="E",INDEX(T.Pikett.Bereich,1),T34)))),"")</f>
        <v>No</v>
      </c>
      <c r="V34" s="196" t="str">
        <f aca="true">IF(EB.Anwendung&lt;&gt;"",IF(EB.Wochenarbeitszeit=50/24,INDEX(T.Pikett.Bereich,1),IF(DAY(V$10)=1,IF(MONTH(Monat.Tag1)=1,INDEX(T.Pikett.Bereich,1),IF(MONTH(Monat.Tag1)=2,January!Monat.Pikett,IF(MONTH(Monat.Tag1)=3,February!Monat.Pikett,IF(MONTH(Monat.Tag1)=4,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U34="B",INDEX(T.Pikett.Bereich,4),IF(U34="E",INDEX(T.Pikett.Bereich,1),U34)))),"")</f>
        <v>No</v>
      </c>
      <c r="W34" s="196" t="str">
        <f aca="true">IF(EB.Anwendung&lt;&gt;"",IF(EB.Wochenarbeitszeit=50/24,INDEX(T.Pikett.Bereich,1),IF(DAY(W$10)=1,IF(MONTH(Monat.Tag1)=1,INDEX(T.Pikett.Bereich,1),IF(MONTH(Monat.Tag1)=2,January!Monat.Pikett,IF(MONTH(Monat.Tag1)=3,February!Monat.Pikett,IF(MONTH(Monat.Tag1)=4,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V34="B",INDEX(T.Pikett.Bereich,4),IF(V34="E",INDEX(T.Pikett.Bereich,1),V34)))),"")</f>
        <v>No</v>
      </c>
      <c r="X34" s="196" t="str">
        <f aca="true">IF(EB.Anwendung&lt;&gt;"",IF(EB.Wochenarbeitszeit=50/24,INDEX(T.Pikett.Bereich,1),IF(DAY(X$10)=1,IF(MONTH(Monat.Tag1)=1,INDEX(T.Pikett.Bereich,1),IF(MONTH(Monat.Tag1)=2,January!Monat.Pikett,IF(MONTH(Monat.Tag1)=3,February!Monat.Pikett,IF(MONTH(Monat.Tag1)=4,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W34="B",INDEX(T.Pikett.Bereich,4),IF(W34="E",INDEX(T.Pikett.Bereich,1),W34)))),"")</f>
        <v>No</v>
      </c>
      <c r="Y34" s="196" t="str">
        <f aca="true">IF(EB.Anwendung&lt;&gt;"",IF(EB.Wochenarbeitszeit=50/24,INDEX(T.Pikett.Bereich,1),IF(DAY(Y$10)=1,IF(MONTH(Monat.Tag1)=1,INDEX(T.Pikett.Bereich,1),IF(MONTH(Monat.Tag1)=2,January!Monat.Pikett,IF(MONTH(Monat.Tag1)=3,February!Monat.Pikett,IF(MONTH(Monat.Tag1)=4,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X34="B",INDEX(T.Pikett.Bereich,4),IF(X34="E",INDEX(T.Pikett.Bereich,1),X34)))),"")</f>
        <v>No</v>
      </c>
      <c r="Z34" s="196" t="str">
        <f aca="true">IF(EB.Anwendung&lt;&gt;"",IF(EB.Wochenarbeitszeit=50/24,INDEX(T.Pikett.Bereich,1),IF(DAY(Z$10)=1,IF(MONTH(Monat.Tag1)=1,INDEX(T.Pikett.Bereich,1),IF(MONTH(Monat.Tag1)=2,January!Monat.Pikett,IF(MONTH(Monat.Tag1)=3,February!Monat.Pikett,IF(MONTH(Monat.Tag1)=4,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Y34="B",INDEX(T.Pikett.Bereich,4),IF(Y34="E",INDEX(T.Pikett.Bereich,1),Y34)))),"")</f>
        <v>No</v>
      </c>
      <c r="AA34" s="196" t="str">
        <f aca="true">IF(EB.Anwendung&lt;&gt;"",IF(EB.Wochenarbeitszeit=50/24,INDEX(T.Pikett.Bereich,1),IF(DAY(AA$10)=1,IF(MONTH(Monat.Tag1)=1,INDEX(T.Pikett.Bereich,1),IF(MONTH(Monat.Tag1)=2,January!Monat.Pikett,IF(MONTH(Monat.Tag1)=3,February!Monat.Pikett,IF(MONTH(Monat.Tag1)=4,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Z34="B",INDEX(T.Pikett.Bereich,4),IF(Z34="E",INDEX(T.Pikett.Bereich,1),Z34)))),"")</f>
        <v>No</v>
      </c>
      <c r="AB34" s="196" t="str">
        <f aca="true">IF(EB.Anwendung&lt;&gt;"",IF(EB.Wochenarbeitszeit=50/24,INDEX(T.Pikett.Bereich,1),IF(DAY(AB$10)=1,IF(MONTH(Monat.Tag1)=1,INDEX(T.Pikett.Bereich,1),IF(MONTH(Monat.Tag1)=2,January!Monat.Pikett,IF(MONTH(Monat.Tag1)=3,February!Monat.Pikett,IF(MONTH(Monat.Tag1)=4,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AA34="B",INDEX(T.Pikett.Bereich,4),IF(AA34="E",INDEX(T.Pikett.Bereich,1),AA34)))),"")</f>
        <v>No</v>
      </c>
      <c r="AC34" s="196" t="str">
        <f aca="true">IF(EB.Anwendung&lt;&gt;"",IF(EB.Wochenarbeitszeit=50/24,INDEX(T.Pikett.Bereich,1),IF(DAY(AC$10)=1,IF(MONTH(Monat.Tag1)=1,INDEX(T.Pikett.Bereich,1),IF(MONTH(Monat.Tag1)=2,January!Monat.Pikett,IF(MONTH(Monat.Tag1)=3,February!Monat.Pikett,IF(MONTH(Monat.Tag1)=4,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AB34="B",INDEX(T.Pikett.Bereich,4),IF(AB34="E",INDEX(T.Pikett.Bereich,1),AB34)))),"")</f>
        <v>No</v>
      </c>
      <c r="AD34" s="196" t="str">
        <f aca="true">IF(EB.Anwendung&lt;&gt;"",IF(EB.Wochenarbeitszeit=50/24,INDEX(T.Pikett.Bereich,1),IF(DAY(AD$10)=1,IF(MONTH(Monat.Tag1)=1,INDEX(T.Pikett.Bereich,1),IF(MONTH(Monat.Tag1)=2,January!Monat.Pikett,IF(MONTH(Monat.Tag1)=3,February!Monat.Pikett,IF(MONTH(Monat.Tag1)=4,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AC34="B",INDEX(T.Pikett.Bereich,4),IF(AC34="E",INDEX(T.Pikett.Bereich,1),AC34)))),"")</f>
        <v>No</v>
      </c>
      <c r="AE34" s="196" t="str">
        <f aca="true">IF(EB.Anwendung&lt;&gt;"",IF(EB.Wochenarbeitszeit=50/24,INDEX(T.Pikett.Bereich,1),IF(DAY(AE$10)=1,IF(MONTH(Monat.Tag1)=1,INDEX(T.Pikett.Bereich,1),IF(MONTH(Monat.Tag1)=2,January!Monat.Pikett,IF(MONTH(Monat.Tag1)=3,February!Monat.Pikett,IF(MONTH(Monat.Tag1)=4,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AD34="B",INDEX(T.Pikett.Bereich,4),IF(AD34="E",INDEX(T.Pikett.Bereich,1),AD34)))),"")</f>
        <v>No</v>
      </c>
      <c r="AF34" s="196" t="str">
        <f aca="true">IF(EB.Anwendung&lt;&gt;"",IF(EB.Wochenarbeitszeit=50/24,INDEX(T.Pikett.Bereich,1),IF(DAY(AF$10)=1,IF(MONTH(Monat.Tag1)=1,INDEX(T.Pikett.Bereich,1),IF(MONTH(Monat.Tag1)=2,January!Monat.Pikett,IF(MONTH(Monat.Tag1)=3,February!Monat.Pikett,IF(MONTH(Monat.Tag1)=4,Monat.Pikett,IF(MONTH(Monat.Tag1)=5,April!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AE34="B",INDEX(T.Pikett.Bereich,4),IF(AE34="E",INDEX(T.Pikett.Bereich,1),AE34)))),"")</f>
        <v>No</v>
      </c>
      <c r="AG34" s="183" t="str">
        <f aca="true">IF(OFFSET(B34,0,DAY(EOMONTH(Monat.Tag1,0))-1,1,1)="B",INDEX(T.Pikett.Bereich,4),IF(OFFSET(B34,0,DAY(EOMONTH(Monat.Tag1,0))-1,1,1)="E",INDEX(T.Pikett.Bereich,1),OFFSET(B34,0,DAY(EOMONTH(Monat.Tag1,0))-1,1,1)))</f>
        <v>No</v>
      </c>
      <c r="AH34" s="197"/>
      <c r="AI34" s="192"/>
      <c r="AJ34" s="198" t="str">
        <f aca="true">IF(T.50_Vetsuisse,IFERROR(SUMPRODUCT((B34:AF34=INDEX(T.Pikett.Bereich,4))*((B49:AF49)&lt;1/24*5)),0) &amp; " / " &amp; IFERROR(SUMPRODUCT((B34:AF34=INDEX(T.Pikett.Bereich,4))*((B49:AF49)&gt;=1/24*5)),0) &amp; " / " &amp; IFERROR(SUMPRODUCT((B34:AF34=INDEX(T.Pikett.Bereich,4))*((B49:AF49)&lt;1/24*5)),0) + IFERROR(SUMPRODUCT((B34:AF34=INDEX(T.Pikett.Bereich,4))*((B49:AF49)&gt;=1/24*5)),0), IFERROR(SUMPRODUCT((B34:AF34=INDEX(T.Pikett.Bereich,4))*(WEEKDAY(B10:AF10,2)&lt;6)*(B11:AF11&lt;&gt;0)),0) &amp; " / " &amp; IFERROR(SUMPRODUCT((B34:AF34=INDEX(T.Pikett.Bereich,4))*(WEEKDAY(B10:AF10,2)&gt;5)*(B11:AF11&lt;&gt;0))+SUMPRODUCT((B34:AF34=INDEX(T.Pikett.Bereich,4))*(B11:AF11=0)),0) &amp; " / " &amp; IFERROR(SUMPRODUCT((B34:AF34=INDEX(T.Pikett.Bereich,4))*(WEEKDAY(B10:AF10,2)&lt;6)*(B11:AF11&lt;&gt;0)),0) + IFERROR(SUMPRODUCT((B34:AF34=INDEX(T.Pikett.Bereich,4))*(WEEKDAY(B10:AF10,2)&gt;5)*(B11:AF11&lt;&gt;0))+SUMPRODUCT((B34:AF34=INDEX(T.Pikett.Bereich,4))*(B11:AF11=0)),0))</f>
        <v>0 / 0 / 0</v>
      </c>
      <c r="AK34" s="172"/>
      <c r="AL34" s="172"/>
      <c r="AM34" s="172"/>
      <c r="AN34" s="171"/>
      <c r="AO34" s="172"/>
      <c r="AP34" s="172"/>
      <c r="AQ34" s="39"/>
    </row>
    <row r="35" s="148" customFormat="true" ht="15" hidden="false" customHeight="true" outlineLevel="1" collapsed="false">
      <c r="A35" s="175" t="s">
        <v>128</v>
      </c>
      <c r="B35" s="176"/>
      <c r="C35" s="176"/>
      <c r="D35" s="176"/>
      <c r="E35" s="177"/>
      <c r="F35" s="176"/>
      <c r="G35" s="176"/>
      <c r="H35" s="176"/>
      <c r="I35" s="176"/>
      <c r="J35" s="177"/>
      <c r="K35" s="176"/>
      <c r="L35" s="177"/>
      <c r="M35" s="176"/>
      <c r="N35" s="176"/>
      <c r="O35" s="176"/>
      <c r="P35" s="176"/>
      <c r="Q35" s="177"/>
      <c r="R35" s="176"/>
      <c r="S35" s="177"/>
      <c r="T35" s="177"/>
      <c r="U35" s="176"/>
      <c r="V35" s="176"/>
      <c r="W35" s="176"/>
      <c r="X35" s="177"/>
      <c r="Y35" s="176"/>
      <c r="Z35" s="178"/>
      <c r="AA35" s="176"/>
      <c r="AB35" s="176"/>
      <c r="AC35" s="176"/>
      <c r="AD35" s="176"/>
      <c r="AE35" s="177"/>
      <c r="AF35" s="176"/>
      <c r="AG35" s="168" t="str">
        <f aca="false">A35</f>
        <v>in</v>
      </c>
      <c r="AH35" s="146"/>
      <c r="AI35" s="179"/>
      <c r="AJ35" s="180"/>
      <c r="AK35" s="172"/>
      <c r="AL35" s="172"/>
      <c r="AM35" s="172"/>
      <c r="AN35" s="171"/>
      <c r="AO35" s="172"/>
      <c r="AP35" s="172"/>
      <c r="AQ35" s="39"/>
    </row>
    <row r="36" s="148" customFormat="true" ht="15" hidden="false" customHeight="true" outlineLevel="1" collapsed="false">
      <c r="A36" s="175" t="s">
        <v>129</v>
      </c>
      <c r="B36" s="176"/>
      <c r="C36" s="176"/>
      <c r="D36" s="176"/>
      <c r="E36" s="177"/>
      <c r="F36" s="176"/>
      <c r="G36" s="176"/>
      <c r="H36" s="176"/>
      <c r="I36" s="176"/>
      <c r="J36" s="177"/>
      <c r="K36" s="176"/>
      <c r="L36" s="177"/>
      <c r="M36" s="176"/>
      <c r="N36" s="176"/>
      <c r="O36" s="176"/>
      <c r="P36" s="176"/>
      <c r="Q36" s="177"/>
      <c r="R36" s="176"/>
      <c r="S36" s="177"/>
      <c r="T36" s="177"/>
      <c r="U36" s="176"/>
      <c r="V36" s="176"/>
      <c r="W36" s="176"/>
      <c r="X36" s="177"/>
      <c r="Y36" s="176"/>
      <c r="Z36" s="178"/>
      <c r="AA36" s="176"/>
      <c r="AB36" s="176"/>
      <c r="AC36" s="176"/>
      <c r="AD36" s="176"/>
      <c r="AE36" s="177"/>
      <c r="AF36" s="176"/>
      <c r="AG36" s="168" t="str">
        <f aca="false">A36</f>
        <v>out</v>
      </c>
      <c r="AH36" s="146"/>
      <c r="AI36" s="179"/>
      <c r="AJ36" s="180"/>
      <c r="AK36" s="172"/>
      <c r="AL36" s="172"/>
      <c r="AM36" s="172"/>
      <c r="AN36" s="171"/>
      <c r="AO36" s="172"/>
      <c r="AP36" s="172"/>
      <c r="AQ36" s="39"/>
    </row>
    <row r="37" s="148" customFormat="true" ht="15" hidden="false" customHeight="true" outlineLevel="1" collapsed="false">
      <c r="A37" s="175" t="s">
        <v>128</v>
      </c>
      <c r="B37" s="176"/>
      <c r="C37" s="176"/>
      <c r="D37" s="176"/>
      <c r="E37" s="177"/>
      <c r="F37" s="176"/>
      <c r="G37" s="176"/>
      <c r="H37" s="176"/>
      <c r="I37" s="176"/>
      <c r="J37" s="177"/>
      <c r="K37" s="176"/>
      <c r="L37" s="177"/>
      <c r="M37" s="176"/>
      <c r="N37" s="176"/>
      <c r="O37" s="176"/>
      <c r="P37" s="176"/>
      <c r="Q37" s="177"/>
      <c r="R37" s="176"/>
      <c r="S37" s="177"/>
      <c r="T37" s="177"/>
      <c r="U37" s="176"/>
      <c r="V37" s="176"/>
      <c r="W37" s="176"/>
      <c r="X37" s="177"/>
      <c r="Y37" s="176"/>
      <c r="Z37" s="178"/>
      <c r="AA37" s="176"/>
      <c r="AB37" s="176"/>
      <c r="AC37" s="176"/>
      <c r="AD37" s="176"/>
      <c r="AE37" s="177"/>
      <c r="AF37" s="176"/>
      <c r="AG37" s="168" t="str">
        <f aca="false">A37</f>
        <v>in</v>
      </c>
      <c r="AH37" s="146"/>
      <c r="AI37" s="179"/>
      <c r="AJ37" s="180"/>
      <c r="AK37" s="172"/>
      <c r="AL37" s="172"/>
      <c r="AM37" s="172"/>
      <c r="AN37" s="171"/>
      <c r="AO37" s="172"/>
      <c r="AP37" s="172"/>
      <c r="AQ37" s="39"/>
    </row>
    <row r="38" s="148" customFormat="true" ht="15" hidden="false" customHeight="true" outlineLevel="1" collapsed="false">
      <c r="A38" s="175" t="s">
        <v>129</v>
      </c>
      <c r="B38" s="176"/>
      <c r="C38" s="176"/>
      <c r="D38" s="176"/>
      <c r="E38" s="177"/>
      <c r="F38" s="176"/>
      <c r="G38" s="176"/>
      <c r="H38" s="176"/>
      <c r="I38" s="176"/>
      <c r="J38" s="177"/>
      <c r="K38" s="176"/>
      <c r="L38" s="177"/>
      <c r="M38" s="176"/>
      <c r="N38" s="176"/>
      <c r="O38" s="176"/>
      <c r="P38" s="176"/>
      <c r="Q38" s="177"/>
      <c r="R38" s="176"/>
      <c r="S38" s="177"/>
      <c r="T38" s="177"/>
      <c r="U38" s="176"/>
      <c r="V38" s="176"/>
      <c r="W38" s="176"/>
      <c r="X38" s="177"/>
      <c r="Y38" s="176"/>
      <c r="Z38" s="178"/>
      <c r="AA38" s="176"/>
      <c r="AB38" s="176"/>
      <c r="AC38" s="176"/>
      <c r="AD38" s="176"/>
      <c r="AE38" s="177"/>
      <c r="AF38" s="176"/>
      <c r="AG38" s="168" t="str">
        <f aca="false">A38</f>
        <v>out</v>
      </c>
      <c r="AH38" s="146"/>
      <c r="AI38" s="179"/>
      <c r="AJ38" s="180"/>
      <c r="AK38" s="172"/>
      <c r="AL38" s="172"/>
      <c r="AM38" s="172"/>
      <c r="AN38" s="171"/>
      <c r="AO38" s="172"/>
      <c r="AP38" s="172"/>
      <c r="AQ38" s="39"/>
    </row>
    <row r="39" s="148" customFormat="true" ht="15" hidden="false" customHeight="true" outlineLevel="1" collapsed="false">
      <c r="A39" s="175" t="s">
        <v>128</v>
      </c>
      <c r="B39" s="176"/>
      <c r="C39" s="176"/>
      <c r="D39" s="176"/>
      <c r="E39" s="177"/>
      <c r="F39" s="176"/>
      <c r="G39" s="176"/>
      <c r="H39" s="176"/>
      <c r="I39" s="176"/>
      <c r="J39" s="177"/>
      <c r="K39" s="176"/>
      <c r="L39" s="177"/>
      <c r="M39" s="176"/>
      <c r="N39" s="176"/>
      <c r="O39" s="176"/>
      <c r="P39" s="176"/>
      <c r="Q39" s="177"/>
      <c r="R39" s="176"/>
      <c r="S39" s="177"/>
      <c r="T39" s="177"/>
      <c r="U39" s="176"/>
      <c r="V39" s="176"/>
      <c r="W39" s="176"/>
      <c r="X39" s="177"/>
      <c r="Y39" s="176"/>
      <c r="Z39" s="178"/>
      <c r="AA39" s="176"/>
      <c r="AB39" s="176"/>
      <c r="AC39" s="176"/>
      <c r="AD39" s="176"/>
      <c r="AE39" s="177"/>
      <c r="AF39" s="176"/>
      <c r="AG39" s="168" t="str">
        <f aca="false">A39</f>
        <v>in</v>
      </c>
      <c r="AH39" s="146"/>
      <c r="AI39" s="179"/>
      <c r="AJ39" s="180"/>
      <c r="AK39" s="172"/>
      <c r="AL39" s="172"/>
      <c r="AM39" s="172"/>
      <c r="AN39" s="171"/>
      <c r="AO39" s="172"/>
      <c r="AP39" s="172"/>
      <c r="AQ39" s="39"/>
    </row>
    <row r="40" s="148" customFormat="true" ht="15" hidden="false" customHeight="true" outlineLevel="1" collapsed="false">
      <c r="A40" s="175" t="s">
        <v>129</v>
      </c>
      <c r="B40" s="176"/>
      <c r="C40" s="176"/>
      <c r="D40" s="176"/>
      <c r="E40" s="177"/>
      <c r="F40" s="176"/>
      <c r="G40" s="176"/>
      <c r="H40" s="176"/>
      <c r="I40" s="176"/>
      <c r="J40" s="177"/>
      <c r="K40" s="176"/>
      <c r="L40" s="177"/>
      <c r="M40" s="176"/>
      <c r="N40" s="176"/>
      <c r="O40" s="176"/>
      <c r="P40" s="176"/>
      <c r="Q40" s="177"/>
      <c r="R40" s="176"/>
      <c r="S40" s="177"/>
      <c r="T40" s="177"/>
      <c r="U40" s="176"/>
      <c r="V40" s="176"/>
      <c r="W40" s="176"/>
      <c r="X40" s="177"/>
      <c r="Y40" s="176"/>
      <c r="Z40" s="178"/>
      <c r="AA40" s="176"/>
      <c r="AB40" s="176"/>
      <c r="AC40" s="176"/>
      <c r="AD40" s="176"/>
      <c r="AE40" s="177"/>
      <c r="AF40" s="176"/>
      <c r="AG40" s="168" t="str">
        <f aca="false">A40</f>
        <v>out</v>
      </c>
      <c r="AH40" s="146"/>
      <c r="AI40" s="179"/>
      <c r="AJ40" s="180"/>
      <c r="AK40" s="172"/>
      <c r="AL40" s="172"/>
      <c r="AM40" s="172"/>
      <c r="AN40" s="171"/>
      <c r="AO40" s="172"/>
      <c r="AP40" s="172"/>
      <c r="AQ40" s="39"/>
    </row>
    <row r="41" s="148" customFormat="true" ht="15" hidden="true" customHeight="true" outlineLevel="1" collapsed="false">
      <c r="A41" s="175" t="s">
        <v>128</v>
      </c>
      <c r="B41" s="176"/>
      <c r="C41" s="176"/>
      <c r="D41" s="176"/>
      <c r="E41" s="177"/>
      <c r="F41" s="176"/>
      <c r="G41" s="176"/>
      <c r="H41" s="176"/>
      <c r="I41" s="176"/>
      <c r="J41" s="177"/>
      <c r="K41" s="176"/>
      <c r="L41" s="177"/>
      <c r="M41" s="176"/>
      <c r="N41" s="176"/>
      <c r="O41" s="176"/>
      <c r="P41" s="176"/>
      <c r="Q41" s="177"/>
      <c r="R41" s="176"/>
      <c r="S41" s="177"/>
      <c r="T41" s="177"/>
      <c r="U41" s="176"/>
      <c r="V41" s="176"/>
      <c r="W41" s="176"/>
      <c r="X41" s="177"/>
      <c r="Y41" s="176"/>
      <c r="Z41" s="178"/>
      <c r="AA41" s="176"/>
      <c r="AB41" s="176"/>
      <c r="AC41" s="176"/>
      <c r="AD41" s="176"/>
      <c r="AE41" s="177"/>
      <c r="AF41" s="176"/>
      <c r="AG41" s="168" t="str">
        <f aca="false">A41</f>
        <v>in</v>
      </c>
      <c r="AH41" s="146"/>
      <c r="AI41" s="179"/>
      <c r="AJ41" s="180"/>
      <c r="AK41" s="172"/>
      <c r="AL41" s="172"/>
      <c r="AM41" s="172"/>
      <c r="AN41" s="171"/>
      <c r="AO41" s="172"/>
      <c r="AP41" s="172"/>
      <c r="AQ41" s="39"/>
    </row>
    <row r="42" s="148" customFormat="true" ht="15" hidden="true" customHeight="true" outlineLevel="1" collapsed="false">
      <c r="A42" s="175" t="s">
        <v>129</v>
      </c>
      <c r="B42" s="176"/>
      <c r="C42" s="176"/>
      <c r="D42" s="176"/>
      <c r="E42" s="177"/>
      <c r="F42" s="176"/>
      <c r="G42" s="176"/>
      <c r="H42" s="176"/>
      <c r="I42" s="176"/>
      <c r="J42" s="177"/>
      <c r="K42" s="176"/>
      <c r="L42" s="177"/>
      <c r="M42" s="176"/>
      <c r="N42" s="176"/>
      <c r="O42" s="176"/>
      <c r="P42" s="176"/>
      <c r="Q42" s="177"/>
      <c r="R42" s="176"/>
      <c r="S42" s="177"/>
      <c r="T42" s="177"/>
      <c r="U42" s="176"/>
      <c r="V42" s="176"/>
      <c r="W42" s="176"/>
      <c r="X42" s="177"/>
      <c r="Y42" s="176"/>
      <c r="Z42" s="178"/>
      <c r="AA42" s="176"/>
      <c r="AB42" s="176"/>
      <c r="AC42" s="176"/>
      <c r="AD42" s="176"/>
      <c r="AE42" s="177"/>
      <c r="AF42" s="176"/>
      <c r="AG42" s="168" t="str">
        <f aca="false">A42</f>
        <v>out</v>
      </c>
      <c r="AH42" s="146"/>
      <c r="AI42" s="179"/>
      <c r="AJ42" s="180"/>
      <c r="AK42" s="172"/>
      <c r="AL42" s="172"/>
      <c r="AM42" s="172"/>
      <c r="AN42" s="171"/>
      <c r="AO42" s="172"/>
      <c r="AP42" s="172"/>
      <c r="AQ42" s="39"/>
    </row>
    <row r="43" s="148" customFormat="true" ht="15" hidden="true" customHeight="true" outlineLevel="1" collapsed="false">
      <c r="A43" s="175" t="s">
        <v>128</v>
      </c>
      <c r="B43" s="176"/>
      <c r="C43" s="176"/>
      <c r="D43" s="176"/>
      <c r="E43" s="177"/>
      <c r="F43" s="176"/>
      <c r="G43" s="176"/>
      <c r="H43" s="176"/>
      <c r="I43" s="176"/>
      <c r="J43" s="177"/>
      <c r="K43" s="176"/>
      <c r="L43" s="177"/>
      <c r="M43" s="176"/>
      <c r="N43" s="176"/>
      <c r="O43" s="176"/>
      <c r="P43" s="176"/>
      <c r="Q43" s="177"/>
      <c r="R43" s="176"/>
      <c r="S43" s="177"/>
      <c r="T43" s="177"/>
      <c r="U43" s="176"/>
      <c r="V43" s="176"/>
      <c r="W43" s="176"/>
      <c r="X43" s="177"/>
      <c r="Y43" s="176"/>
      <c r="Z43" s="178"/>
      <c r="AA43" s="176"/>
      <c r="AB43" s="176"/>
      <c r="AC43" s="176"/>
      <c r="AD43" s="176"/>
      <c r="AE43" s="177"/>
      <c r="AF43" s="176"/>
      <c r="AG43" s="168" t="str">
        <f aca="false">A43</f>
        <v>in</v>
      </c>
      <c r="AH43" s="146"/>
      <c r="AI43" s="179"/>
      <c r="AJ43" s="180"/>
      <c r="AK43" s="172"/>
      <c r="AL43" s="172"/>
      <c r="AM43" s="172"/>
      <c r="AN43" s="171"/>
      <c r="AO43" s="172"/>
      <c r="AP43" s="172"/>
      <c r="AQ43" s="39"/>
    </row>
    <row r="44" s="148" customFormat="true" ht="15" hidden="true" customHeight="true" outlineLevel="1" collapsed="false">
      <c r="A44" s="175" t="s">
        <v>129</v>
      </c>
      <c r="B44" s="176"/>
      <c r="C44" s="176"/>
      <c r="D44" s="176"/>
      <c r="E44" s="177"/>
      <c r="F44" s="176"/>
      <c r="G44" s="176"/>
      <c r="H44" s="176"/>
      <c r="I44" s="176"/>
      <c r="J44" s="177"/>
      <c r="K44" s="176"/>
      <c r="L44" s="177"/>
      <c r="M44" s="176"/>
      <c r="N44" s="176"/>
      <c r="O44" s="176"/>
      <c r="P44" s="176"/>
      <c r="Q44" s="177"/>
      <c r="R44" s="176"/>
      <c r="S44" s="177"/>
      <c r="T44" s="177"/>
      <c r="U44" s="176"/>
      <c r="V44" s="176"/>
      <c r="W44" s="176"/>
      <c r="X44" s="177"/>
      <c r="Y44" s="176"/>
      <c r="Z44" s="178"/>
      <c r="AA44" s="176"/>
      <c r="AB44" s="176"/>
      <c r="AC44" s="176"/>
      <c r="AD44" s="176"/>
      <c r="AE44" s="177"/>
      <c r="AF44" s="176"/>
      <c r="AG44" s="168" t="str">
        <f aca="false">A44</f>
        <v>out</v>
      </c>
      <c r="AH44" s="146"/>
      <c r="AI44" s="179"/>
      <c r="AJ44" s="180"/>
      <c r="AK44" s="172"/>
      <c r="AL44" s="172"/>
      <c r="AM44" s="172"/>
      <c r="AN44" s="171"/>
      <c r="AO44" s="172"/>
      <c r="AP44" s="172"/>
      <c r="AQ44" s="39"/>
    </row>
    <row r="45" s="148" customFormat="true" ht="15" hidden="false" customHeight="true" outlineLevel="1" collapsed="false">
      <c r="A45" s="181" t="s">
        <v>135</v>
      </c>
      <c r="B45" s="182" t="n">
        <f aca="false">ROUND((B36-B35)+(B38-B37)+(B40-B39)+(B42-B41)+(B44-B43),9)</f>
        <v>0</v>
      </c>
      <c r="C45" s="182" t="n">
        <f aca="false">ROUND((C36-C35)+(C38-C37)+(C40-C39)+(C42-C41)+(C44-C43),9)</f>
        <v>0</v>
      </c>
      <c r="D45" s="182" t="n">
        <f aca="false">ROUND((D36-D35)+(D38-D37)+(D40-D39)+(D42-D41)+(D44-D43),9)</f>
        <v>0</v>
      </c>
      <c r="E45" s="182" t="n">
        <f aca="false">ROUND((E36-E35)+(E38-E37)+(E40-E39)+(E42-E41)+(E44-E43),9)</f>
        <v>0</v>
      </c>
      <c r="F45" s="182" t="n">
        <f aca="false">ROUND((F36-F35)+(F38-F37)+(F40-F39)+(F42-F41)+(F44-F43),9)</f>
        <v>0</v>
      </c>
      <c r="G45" s="182" t="n">
        <f aca="false">ROUND((G36-G35)+(G38-G37)+(G40-G39)+(G42-G41)+(G44-G43),9)</f>
        <v>0</v>
      </c>
      <c r="H45" s="182" t="n">
        <f aca="false">ROUND((H36-H35)+(H38-H37)+(H40-H39)+(H42-H41)+(H44-H43),9)</f>
        <v>0</v>
      </c>
      <c r="I45" s="182" t="n">
        <f aca="false">ROUND((I36-I35)+(I38-I37)+(I40-I39)+(I42-I41)+(I44-I43),9)</f>
        <v>0</v>
      </c>
      <c r="J45" s="182" t="n">
        <f aca="false">ROUND((J36-J35)+(J38-J37)+(J40-J39)+(J42-J41)+(J44-J43),9)</f>
        <v>0</v>
      </c>
      <c r="K45" s="182" t="n">
        <f aca="false">ROUND((K36-K35)+(K38-K37)+(K40-K39)+(K42-K41)+(K44-K43),9)</f>
        <v>0</v>
      </c>
      <c r="L45" s="182" t="n">
        <f aca="false">ROUND((L36-L35)+(L38-L37)+(L40-L39)+(L42-L41)+(L44-L43),9)</f>
        <v>0</v>
      </c>
      <c r="M45" s="182" t="n">
        <f aca="false">ROUND((M36-M35)+(M38-M37)+(M40-M39)+(M42-M41)+(M44-M43),9)</f>
        <v>0</v>
      </c>
      <c r="N45" s="182" t="n">
        <f aca="false">ROUND((N36-N35)+(N38-N37)+(N40-N39)+(N42-N41)+(N44-N43),9)</f>
        <v>0</v>
      </c>
      <c r="O45" s="182" t="n">
        <f aca="false">ROUND((O36-O35)+(O38-O37)+(O40-O39)+(O42-O41)+(O44-O43),9)</f>
        <v>0</v>
      </c>
      <c r="P45" s="182" t="n">
        <f aca="false">ROUND((P36-P35)+(P38-P37)+(P40-P39)+(P42-P41)+(P44-P43),9)</f>
        <v>0</v>
      </c>
      <c r="Q45" s="182" t="n">
        <f aca="false">ROUND((Q36-Q35)+(Q38-Q37)+(Q40-Q39)+(Q42-Q41)+(Q44-Q43),9)</f>
        <v>0</v>
      </c>
      <c r="R45" s="182" t="n">
        <f aca="false">ROUND((R36-R35)+(R38-R37)+(R40-R39)+(R42-R41)+(R44-R43),9)</f>
        <v>0</v>
      </c>
      <c r="S45" s="182" t="n">
        <f aca="false">ROUND((S36-S35)+(S38-S37)+(S40-S39)+(S42-S41)+(S44-S43),9)</f>
        <v>0</v>
      </c>
      <c r="T45" s="182" t="n">
        <f aca="false">ROUND((T36-T35)+(T38-T37)+(T40-T39)+(T42-T41)+(T44-T43),9)</f>
        <v>0</v>
      </c>
      <c r="U45" s="182" t="n">
        <f aca="false">ROUND((U36-U35)+(U38-U37)+(U40-U39)+(U42-U41)+(U44-U43),9)</f>
        <v>0</v>
      </c>
      <c r="V45" s="182" t="n">
        <f aca="false">ROUND((V36-V35)+(V38-V37)+(V40-V39)+(V42-V41)+(V44-V43),9)</f>
        <v>0</v>
      </c>
      <c r="W45" s="182" t="n">
        <f aca="false">ROUND((W36-W35)+(W38-W37)+(W40-W39)+(W42-W41)+(W44-W43),9)</f>
        <v>0</v>
      </c>
      <c r="X45" s="182" t="n">
        <f aca="false">ROUND((X36-X35)+(X38-X37)+(X40-X39)+(X42-X41)+(X44-X43),9)</f>
        <v>0</v>
      </c>
      <c r="Y45" s="182" t="n">
        <f aca="false">ROUND((Y36-Y35)+(Y38-Y37)+(Y40-Y39)+(Y42-Y41)+(Y44-Y43),9)</f>
        <v>0</v>
      </c>
      <c r="Z45" s="182" t="n">
        <f aca="false">ROUND((Z36-Z35)+(Z38-Z37)+(Z40-Z39)+(Z42-Z41)+(Z44-Z43),9)</f>
        <v>0</v>
      </c>
      <c r="AA45" s="182" t="n">
        <f aca="false">ROUND((AA36-AA35)+(AA38-AA37)+(AA40-AA39)+(AA42-AA41)+(AA44-AA43),9)</f>
        <v>0</v>
      </c>
      <c r="AB45" s="182" t="n">
        <f aca="false">ROUND((AB36-AB35)+(AB38-AB37)+(AB40-AB39)+(AB42-AB41)+(AB44-AB43),9)</f>
        <v>0</v>
      </c>
      <c r="AC45" s="182" t="n">
        <f aca="false">ROUND((AC36-AC35)+(AC38-AC37)+(AC40-AC39)+(AC42-AC41)+(AC44-AC43),9)</f>
        <v>0</v>
      </c>
      <c r="AD45" s="182" t="n">
        <f aca="false">ROUND((AD36-AD35)+(AD38-AD37)+(AD40-AD39)+(AD42-AD41)+(AD44-AD43),9)</f>
        <v>0</v>
      </c>
      <c r="AE45" s="182" t="n">
        <f aca="false">ROUND((AE36-AE35)+(AE38-AE37)+(AE40-AE39)+(AE42-AE41)+(AE44-AE43),9)</f>
        <v>0</v>
      </c>
      <c r="AF45" s="182" t="n">
        <f aca="false">ROUND((AF36-AF35)+(AF38-AF37)+(AF40-AF39)+(AF42-AF41)+(AF44-AF43),9)</f>
        <v>0</v>
      </c>
      <c r="AG45" s="183" t="str">
        <f aca="false">A45</f>
        <v>Total on call standby in/out</v>
      </c>
      <c r="AH45" s="184"/>
      <c r="AI45" s="185" t="n">
        <f aca="false">SUM(B45:AF45)</f>
        <v>0</v>
      </c>
      <c r="AJ45" s="180"/>
      <c r="AK45" s="172"/>
      <c r="AL45" s="172"/>
      <c r="AM45" s="172"/>
      <c r="AN45" s="171"/>
      <c r="AO45" s="172"/>
      <c r="AP45" s="172"/>
      <c r="AQ45" s="39"/>
    </row>
    <row r="46" s="148" customFormat="true" ht="3.75" hidden="false" customHeight="true" outlineLevel="0" collapsed="false">
      <c r="A46" s="186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179"/>
      <c r="AG46" s="168"/>
      <c r="AH46" s="146"/>
      <c r="AI46" s="179"/>
      <c r="AJ46" s="180"/>
      <c r="AK46" s="172"/>
      <c r="AL46" s="172"/>
      <c r="AM46" s="172"/>
      <c r="AN46" s="171"/>
      <c r="AO46" s="172"/>
      <c r="AP46" s="172"/>
      <c r="AQ46" s="39"/>
    </row>
    <row r="47" s="148" customFormat="true" ht="16.5" hidden="true" customHeight="true" outlineLevel="1" collapsed="false">
      <c r="A47" s="181" t="s">
        <v>136</v>
      </c>
      <c r="B47" s="182" t="n">
        <f aca="false">IF(B45&gt;0,ROUND(B45- IF(B35&lt;T.PikettVetsuissebis,MIN(T.PikettVetsuissebis-B35,B36-B35)+IF(B37&lt;T.PikettVetsuissebis,MIN(T.PikettVetsuissebis-B37,B38-B37)+IF(B39&lt;T.PikettVetsuissebis,MIN(T.PikettVetsuissebis-B39,B40-B39)+IF(B41&lt;T.PikettVetsuissebis,MIN(T.PikettVetsuissebis-B41,B42-B41)+IF(B43&lt;T.PikettVetsuissebis,MIN(T.PikettVetsuissebis-B43,B44-B43),0),0),0),0),0),9),0)</f>
        <v>0</v>
      </c>
      <c r="C47" s="182" t="n">
        <f aca="false">IF(C45&gt;0,ROUND(C45- IF(C35&lt;T.PikettVetsuissebis,MIN(T.PikettVetsuissebis-C35,C36-C35)+IF(C37&lt;T.PikettVetsuissebis,MIN(T.PikettVetsuissebis-C37,C38-C37)+IF(C39&lt;T.PikettVetsuissebis,MIN(T.PikettVetsuissebis-C39,C40-C39)+IF(C41&lt;T.PikettVetsuissebis,MIN(T.PikettVetsuissebis-C41,C42-C41)+IF(C43&lt;T.PikettVetsuissebis,MIN(T.PikettVetsuissebis-C43,C44-C43),0),0),0),0),0),9),0)</f>
        <v>0</v>
      </c>
      <c r="D47" s="182" t="n">
        <f aca="false">IF(D45&gt;0,ROUND(D45- IF(D35&lt;T.PikettVetsuissebis,MIN(T.PikettVetsuissebis-D35,D36-D35)+IF(D37&lt;T.PikettVetsuissebis,MIN(T.PikettVetsuissebis-D37,D38-D37)+IF(D39&lt;T.PikettVetsuissebis,MIN(T.PikettVetsuissebis-D39,D40-D39)+IF(D41&lt;T.PikettVetsuissebis,MIN(T.PikettVetsuissebis-D41,D42-D41)+IF(D43&lt;T.PikettVetsuissebis,MIN(T.PikettVetsuissebis-D43,D44-D43),0),0),0),0),0),9),0)</f>
        <v>0</v>
      </c>
      <c r="E47" s="182" t="n">
        <f aca="false">IF(E45&gt;0,ROUND(E45- IF(E35&lt;T.PikettVetsuissebis,MIN(T.PikettVetsuissebis-E35,E36-E35)+IF(E37&lt;T.PikettVetsuissebis,MIN(T.PikettVetsuissebis-E37,E38-E37)+IF(E39&lt;T.PikettVetsuissebis,MIN(T.PikettVetsuissebis-E39,E40-E39)+IF(E41&lt;T.PikettVetsuissebis,MIN(T.PikettVetsuissebis-E41,E42-E41)+IF(E43&lt;T.PikettVetsuissebis,MIN(T.PikettVetsuissebis-E43,E44-E43),0),0),0),0),0),9),0)</f>
        <v>0</v>
      </c>
      <c r="F47" s="182" t="n">
        <f aca="false">IF(F45&gt;0,ROUND(F45- IF(F35&lt;T.PikettVetsuissebis,MIN(T.PikettVetsuissebis-F35,F36-F35)+IF(F37&lt;T.PikettVetsuissebis,MIN(T.PikettVetsuissebis-F37,F38-F37)+IF(F39&lt;T.PikettVetsuissebis,MIN(T.PikettVetsuissebis-F39,F40-F39)+IF(F41&lt;T.PikettVetsuissebis,MIN(T.PikettVetsuissebis-F41,F42-F41)+IF(F43&lt;T.PikettVetsuissebis,MIN(T.PikettVetsuissebis-F43,F44-F43),0),0),0),0),0),9),0)</f>
        <v>0</v>
      </c>
      <c r="G47" s="182" t="n">
        <f aca="false">IF(G45&gt;0,ROUND(G45- IF(G35&lt;T.PikettVetsuissebis,MIN(T.PikettVetsuissebis-G35,G36-G35)+IF(G37&lt;T.PikettVetsuissebis,MIN(T.PikettVetsuissebis-G37,G38-G37)+IF(G39&lt;T.PikettVetsuissebis,MIN(T.PikettVetsuissebis-G39,G40-G39)+IF(G41&lt;T.PikettVetsuissebis,MIN(T.PikettVetsuissebis-G41,G42-G41)+IF(G43&lt;T.PikettVetsuissebis,MIN(T.PikettVetsuissebis-G43,G44-G43),0),0),0),0),0),9),0)</f>
        <v>0</v>
      </c>
      <c r="H47" s="182" t="n">
        <f aca="false">IF(H45&gt;0,ROUND(H45- IF(H35&lt;T.PikettVetsuissebis,MIN(T.PikettVetsuissebis-H35,H36-H35)+IF(H37&lt;T.PikettVetsuissebis,MIN(T.PikettVetsuissebis-H37,H38-H37)+IF(H39&lt;T.PikettVetsuissebis,MIN(T.PikettVetsuissebis-H39,H40-H39)+IF(H41&lt;T.PikettVetsuissebis,MIN(T.PikettVetsuissebis-H41,H42-H41)+IF(H43&lt;T.PikettVetsuissebis,MIN(T.PikettVetsuissebis-H43,H44-H43),0),0),0),0),0),9),0)</f>
        <v>0</v>
      </c>
      <c r="I47" s="182" t="n">
        <f aca="false">IF(I45&gt;0,ROUND(I45- IF(I35&lt;T.PikettVetsuissebis,MIN(T.PikettVetsuissebis-I35,I36-I35)+IF(I37&lt;T.PikettVetsuissebis,MIN(T.PikettVetsuissebis-I37,I38-I37)+IF(I39&lt;T.PikettVetsuissebis,MIN(T.PikettVetsuissebis-I39,I40-I39)+IF(I41&lt;T.PikettVetsuissebis,MIN(T.PikettVetsuissebis-I41,I42-I41)+IF(I43&lt;T.PikettVetsuissebis,MIN(T.PikettVetsuissebis-I43,I44-I43),0),0),0),0),0),9),0)</f>
        <v>0</v>
      </c>
      <c r="J47" s="182" t="n">
        <f aca="false">IF(J45&gt;0,ROUND(J45- IF(J35&lt;T.PikettVetsuissebis,MIN(T.PikettVetsuissebis-J35,J36-J35)+IF(J37&lt;T.PikettVetsuissebis,MIN(T.PikettVetsuissebis-J37,J38-J37)+IF(J39&lt;T.PikettVetsuissebis,MIN(T.PikettVetsuissebis-J39,J40-J39)+IF(J41&lt;T.PikettVetsuissebis,MIN(T.PikettVetsuissebis-J41,J42-J41)+IF(J43&lt;T.PikettVetsuissebis,MIN(T.PikettVetsuissebis-J43,J44-J43),0),0),0),0),0),9),0)</f>
        <v>0</v>
      </c>
      <c r="K47" s="182" t="n">
        <f aca="false">IF(K45&gt;0,ROUND(K45- IF(K35&lt;T.PikettVetsuissebis,MIN(T.PikettVetsuissebis-K35,K36-K35)+IF(K37&lt;T.PikettVetsuissebis,MIN(T.PikettVetsuissebis-K37,K38-K37)+IF(K39&lt;T.PikettVetsuissebis,MIN(T.PikettVetsuissebis-K39,K40-K39)+IF(K41&lt;T.PikettVetsuissebis,MIN(T.PikettVetsuissebis-K41,K42-K41)+IF(K43&lt;T.PikettVetsuissebis,MIN(T.PikettVetsuissebis-K43,K44-K43),0),0),0),0),0),9),0)</f>
        <v>0</v>
      </c>
      <c r="L47" s="182" t="n">
        <f aca="false">IF(L45&gt;0,ROUND(L45- IF(L35&lt;T.PikettVetsuissebis,MIN(T.PikettVetsuissebis-L35,L36-L35)+IF(L37&lt;T.PikettVetsuissebis,MIN(T.PikettVetsuissebis-L37,L38-L37)+IF(L39&lt;T.PikettVetsuissebis,MIN(T.PikettVetsuissebis-L39,L40-L39)+IF(L41&lt;T.PikettVetsuissebis,MIN(T.PikettVetsuissebis-L41,L42-L41)+IF(L43&lt;T.PikettVetsuissebis,MIN(T.PikettVetsuissebis-L43,L44-L43),0),0),0),0),0),9),0)</f>
        <v>0</v>
      </c>
      <c r="M47" s="182" t="n">
        <f aca="false">IF(M45&gt;0,ROUND(M45- IF(M35&lt;T.PikettVetsuissebis,MIN(T.PikettVetsuissebis-M35,M36-M35)+IF(M37&lt;T.PikettVetsuissebis,MIN(T.PikettVetsuissebis-M37,M38-M37)+IF(M39&lt;T.PikettVetsuissebis,MIN(T.PikettVetsuissebis-M39,M40-M39)+IF(M41&lt;T.PikettVetsuissebis,MIN(T.PikettVetsuissebis-M41,M42-M41)+IF(M43&lt;T.PikettVetsuissebis,MIN(T.PikettVetsuissebis-M43,M44-M43),0),0),0),0),0),9),0)</f>
        <v>0</v>
      </c>
      <c r="N47" s="182" t="n">
        <f aca="false">IF(N45&gt;0,ROUND(N45- IF(N35&lt;T.PikettVetsuissebis,MIN(T.PikettVetsuissebis-N35,N36-N35)+IF(N37&lt;T.PikettVetsuissebis,MIN(T.PikettVetsuissebis-N37,N38-N37)+IF(N39&lt;T.PikettVetsuissebis,MIN(T.PikettVetsuissebis-N39,N40-N39)+IF(N41&lt;T.PikettVetsuissebis,MIN(T.PikettVetsuissebis-N41,N42-N41)+IF(N43&lt;T.PikettVetsuissebis,MIN(T.PikettVetsuissebis-N43,N44-N43),0),0),0),0),0),9),0)</f>
        <v>0</v>
      </c>
      <c r="O47" s="182" t="n">
        <f aca="false">IF(O45&gt;0,ROUND(O45- IF(O35&lt;T.PikettVetsuissebis,MIN(T.PikettVetsuissebis-O35,O36-O35)+IF(O37&lt;T.PikettVetsuissebis,MIN(T.PikettVetsuissebis-O37,O38-O37)+IF(O39&lt;T.PikettVetsuissebis,MIN(T.PikettVetsuissebis-O39,O40-O39)+IF(O41&lt;T.PikettVetsuissebis,MIN(T.PikettVetsuissebis-O41,O42-O41)+IF(O43&lt;T.PikettVetsuissebis,MIN(T.PikettVetsuissebis-O43,O44-O43),0),0),0),0),0),9),0)</f>
        <v>0</v>
      </c>
      <c r="P47" s="182" t="n">
        <f aca="false">IF(P45&gt;0,ROUND(P45- IF(P35&lt;T.PikettVetsuissebis,MIN(T.PikettVetsuissebis-P35,P36-P35)+IF(P37&lt;T.PikettVetsuissebis,MIN(T.PikettVetsuissebis-P37,P38-P37)+IF(P39&lt;T.PikettVetsuissebis,MIN(T.PikettVetsuissebis-P39,P40-P39)+IF(P41&lt;T.PikettVetsuissebis,MIN(T.PikettVetsuissebis-P41,P42-P41)+IF(P43&lt;T.PikettVetsuissebis,MIN(T.PikettVetsuissebis-P43,P44-P43),0),0),0),0),0),9),0)</f>
        <v>0</v>
      </c>
      <c r="Q47" s="182" t="n">
        <f aca="false">IF(Q45&gt;0,ROUND(Q45- IF(Q35&lt;T.PikettVetsuissebis,MIN(T.PikettVetsuissebis-Q35,Q36-Q35)+IF(Q37&lt;T.PikettVetsuissebis,MIN(T.PikettVetsuissebis-Q37,Q38-Q37)+IF(Q39&lt;T.PikettVetsuissebis,MIN(T.PikettVetsuissebis-Q39,Q40-Q39)+IF(Q41&lt;T.PikettVetsuissebis,MIN(T.PikettVetsuissebis-Q41,Q42-Q41)+IF(Q43&lt;T.PikettVetsuissebis,MIN(T.PikettVetsuissebis-Q43,Q44-Q43),0),0),0),0),0),9),0)</f>
        <v>0</v>
      </c>
      <c r="R47" s="182" t="n">
        <f aca="false">IF(R45&gt;0,ROUND(R45- IF(R35&lt;T.PikettVetsuissebis,MIN(T.PikettVetsuissebis-R35,R36-R35)+IF(R37&lt;T.PikettVetsuissebis,MIN(T.PikettVetsuissebis-R37,R38-R37)+IF(R39&lt;T.PikettVetsuissebis,MIN(T.PikettVetsuissebis-R39,R40-R39)+IF(R41&lt;T.PikettVetsuissebis,MIN(T.PikettVetsuissebis-R41,R42-R41)+IF(R43&lt;T.PikettVetsuissebis,MIN(T.PikettVetsuissebis-R43,R44-R43),0),0),0),0),0),9),0)</f>
        <v>0</v>
      </c>
      <c r="S47" s="182" t="n">
        <f aca="false">IF(S45&gt;0,ROUND(S45- IF(S35&lt;T.PikettVetsuissebis,MIN(T.PikettVetsuissebis-S35,S36-S35)+IF(S37&lt;T.PikettVetsuissebis,MIN(T.PikettVetsuissebis-S37,S38-S37)+IF(S39&lt;T.PikettVetsuissebis,MIN(T.PikettVetsuissebis-S39,S40-S39)+IF(S41&lt;T.PikettVetsuissebis,MIN(T.PikettVetsuissebis-S41,S42-S41)+IF(S43&lt;T.PikettVetsuissebis,MIN(T.PikettVetsuissebis-S43,S44-S43),0),0),0),0),0),9),0)</f>
        <v>0</v>
      </c>
      <c r="T47" s="182" t="n">
        <f aca="false">IF(T45&gt;0,ROUND(T45- IF(T35&lt;T.PikettVetsuissebis,MIN(T.PikettVetsuissebis-T35,T36-T35)+IF(T37&lt;T.PikettVetsuissebis,MIN(T.PikettVetsuissebis-T37,T38-T37)+IF(T39&lt;T.PikettVetsuissebis,MIN(T.PikettVetsuissebis-T39,T40-T39)+IF(T41&lt;T.PikettVetsuissebis,MIN(T.PikettVetsuissebis-T41,T42-T41)+IF(T43&lt;T.PikettVetsuissebis,MIN(T.PikettVetsuissebis-T43,T44-T43),0),0),0),0),0),9),0)</f>
        <v>0</v>
      </c>
      <c r="U47" s="182" t="n">
        <f aca="false">IF(U45&gt;0,ROUND(U45- IF(U35&lt;T.PikettVetsuissebis,MIN(T.PikettVetsuissebis-U35,U36-U35)+IF(U37&lt;T.PikettVetsuissebis,MIN(T.PikettVetsuissebis-U37,U38-U37)+IF(U39&lt;T.PikettVetsuissebis,MIN(T.PikettVetsuissebis-U39,U40-U39)+IF(U41&lt;T.PikettVetsuissebis,MIN(T.PikettVetsuissebis-U41,U42-U41)+IF(U43&lt;T.PikettVetsuissebis,MIN(T.PikettVetsuissebis-U43,U44-U43),0),0),0),0),0),9),0)</f>
        <v>0</v>
      </c>
      <c r="V47" s="182" t="n">
        <f aca="false">IF(V45&gt;0,ROUND(V45- IF(V35&lt;T.PikettVetsuissebis,MIN(T.PikettVetsuissebis-V35,V36-V35)+IF(V37&lt;T.PikettVetsuissebis,MIN(T.PikettVetsuissebis-V37,V38-V37)+IF(V39&lt;T.PikettVetsuissebis,MIN(T.PikettVetsuissebis-V39,V40-V39)+IF(V41&lt;T.PikettVetsuissebis,MIN(T.PikettVetsuissebis-V41,V42-V41)+IF(V43&lt;T.PikettVetsuissebis,MIN(T.PikettVetsuissebis-V43,V44-V43),0),0),0),0),0),9),0)</f>
        <v>0</v>
      </c>
      <c r="W47" s="182" t="n">
        <f aca="false">IF(W45&gt;0,ROUND(W45- IF(W35&lt;T.PikettVetsuissebis,MIN(T.PikettVetsuissebis-W35,W36-W35)+IF(W37&lt;T.PikettVetsuissebis,MIN(T.PikettVetsuissebis-W37,W38-W37)+IF(W39&lt;T.PikettVetsuissebis,MIN(T.PikettVetsuissebis-W39,W40-W39)+IF(W41&lt;T.PikettVetsuissebis,MIN(T.PikettVetsuissebis-W41,W42-W41)+IF(W43&lt;T.PikettVetsuissebis,MIN(T.PikettVetsuissebis-W43,W44-W43),0),0),0),0),0),9),0)</f>
        <v>0</v>
      </c>
      <c r="X47" s="182" t="n">
        <f aca="false">IF(X45&gt;0,ROUND(X45- IF(X35&lt;T.PikettVetsuissebis,MIN(T.PikettVetsuissebis-X35,X36-X35)+IF(X37&lt;T.PikettVetsuissebis,MIN(T.PikettVetsuissebis-X37,X38-X37)+IF(X39&lt;T.PikettVetsuissebis,MIN(T.PikettVetsuissebis-X39,X40-X39)+IF(X41&lt;T.PikettVetsuissebis,MIN(T.PikettVetsuissebis-X41,X42-X41)+IF(X43&lt;T.PikettVetsuissebis,MIN(T.PikettVetsuissebis-X43,X44-X43),0),0),0),0),0),9),0)</f>
        <v>0</v>
      </c>
      <c r="Y47" s="182" t="n">
        <f aca="false">IF(Y45&gt;0,ROUND(Y45- IF(Y35&lt;T.PikettVetsuissebis,MIN(T.PikettVetsuissebis-Y35,Y36-Y35)+IF(Y37&lt;T.PikettVetsuissebis,MIN(T.PikettVetsuissebis-Y37,Y38-Y37)+IF(Y39&lt;T.PikettVetsuissebis,MIN(T.PikettVetsuissebis-Y39,Y40-Y39)+IF(Y41&lt;T.PikettVetsuissebis,MIN(T.PikettVetsuissebis-Y41,Y42-Y41)+IF(Y43&lt;T.PikettVetsuissebis,MIN(T.PikettVetsuissebis-Y43,Y44-Y43),0),0),0),0),0),9),0)</f>
        <v>0</v>
      </c>
      <c r="Z47" s="182" t="n">
        <f aca="false">IF(Z45&gt;0,ROUND(Z45- IF(Z35&lt;T.PikettVetsuissebis,MIN(T.PikettVetsuissebis-Z35,Z36-Z35)+IF(Z37&lt;T.PikettVetsuissebis,MIN(T.PikettVetsuissebis-Z37,Z38-Z37)+IF(Z39&lt;T.PikettVetsuissebis,MIN(T.PikettVetsuissebis-Z39,Z40-Z39)+IF(Z41&lt;T.PikettVetsuissebis,MIN(T.PikettVetsuissebis-Z41,Z42-Z41)+IF(Z43&lt;T.PikettVetsuissebis,MIN(T.PikettVetsuissebis-Z43,Z44-Z43),0),0),0),0),0),9),0)</f>
        <v>0</v>
      </c>
      <c r="AA47" s="182" t="n">
        <f aca="false">IF(AA45&gt;0,ROUND(AA45- IF(AA35&lt;T.PikettVetsuissebis,MIN(T.PikettVetsuissebis-AA35,AA36-AA35)+IF(AA37&lt;T.PikettVetsuissebis,MIN(T.PikettVetsuissebis-AA37,AA38-AA37)+IF(AA39&lt;T.PikettVetsuissebis,MIN(T.PikettVetsuissebis-AA39,AA40-AA39)+IF(AA41&lt;T.PikettVetsuissebis,MIN(T.PikettVetsuissebis-AA41,AA42-AA41)+IF(AA43&lt;T.PikettVetsuissebis,MIN(T.PikettVetsuissebis-AA43,AA44-AA43),0),0),0),0),0),9),0)</f>
        <v>0</v>
      </c>
      <c r="AB47" s="182" t="n">
        <f aca="false">IF(AB45&gt;0,ROUND(AB45- IF(AB35&lt;T.PikettVetsuissebis,MIN(T.PikettVetsuissebis-AB35,AB36-AB35)+IF(AB37&lt;T.PikettVetsuissebis,MIN(T.PikettVetsuissebis-AB37,AB38-AB37)+IF(AB39&lt;T.PikettVetsuissebis,MIN(T.PikettVetsuissebis-AB39,AB40-AB39)+IF(AB41&lt;T.PikettVetsuissebis,MIN(T.PikettVetsuissebis-AB41,AB42-AB41)+IF(AB43&lt;T.PikettVetsuissebis,MIN(T.PikettVetsuissebis-AB43,AB44-AB43),0),0),0),0),0),9),0)</f>
        <v>0</v>
      </c>
      <c r="AC47" s="182" t="n">
        <f aca="false">IF(AC45&gt;0,ROUND(AC45- IF(AC35&lt;T.PikettVetsuissebis,MIN(T.PikettVetsuissebis-AC35,AC36-AC35)+IF(AC37&lt;T.PikettVetsuissebis,MIN(T.PikettVetsuissebis-AC37,AC38-AC37)+IF(AC39&lt;T.PikettVetsuissebis,MIN(T.PikettVetsuissebis-AC39,AC40-AC39)+IF(AC41&lt;T.PikettVetsuissebis,MIN(T.PikettVetsuissebis-AC41,AC42-AC41)+IF(AC43&lt;T.PikettVetsuissebis,MIN(T.PikettVetsuissebis-AC43,AC44-AC43),0),0),0),0),0),9),0)</f>
        <v>0</v>
      </c>
      <c r="AD47" s="182" t="n">
        <f aca="false">IF(AD45&gt;0,ROUND(AD45- IF(AD35&lt;T.PikettVetsuissebis,MIN(T.PikettVetsuissebis-AD35,AD36-AD35)+IF(AD37&lt;T.PikettVetsuissebis,MIN(T.PikettVetsuissebis-AD37,AD38-AD37)+IF(AD39&lt;T.PikettVetsuissebis,MIN(T.PikettVetsuissebis-AD39,AD40-AD39)+IF(AD41&lt;T.PikettVetsuissebis,MIN(T.PikettVetsuissebis-AD41,AD42-AD41)+IF(AD43&lt;T.PikettVetsuissebis,MIN(T.PikettVetsuissebis-AD43,AD44-AD43),0),0),0),0),0),9),0)</f>
        <v>0</v>
      </c>
      <c r="AE47" s="182" t="n">
        <f aca="false">IF(AE45&gt;0,ROUND(AE45- IF(AE35&lt;T.PikettVetsuissebis,MIN(T.PikettVetsuissebis-AE35,AE36-AE35)+IF(AE37&lt;T.PikettVetsuissebis,MIN(T.PikettVetsuissebis-AE37,AE38-AE37)+IF(AE39&lt;T.PikettVetsuissebis,MIN(T.PikettVetsuissebis-AE39,AE40-AE39)+IF(AE41&lt;T.PikettVetsuissebis,MIN(T.PikettVetsuissebis-AE41,AE42-AE41)+IF(AE43&lt;T.PikettVetsuissebis,MIN(T.PikettVetsuissebis-AE43,AE44-AE43),0),0),0),0),0),9),0)</f>
        <v>0</v>
      </c>
      <c r="AF47" s="182" t="n">
        <f aca="false">IF(AF45&gt;0,ROUND(AF45- IF(AF35&lt;T.PikettVetsuissebis,MIN(T.PikettVetsuissebis-AF35,AF36-AF35)+IF(AF37&lt;T.PikettVetsuissebis,MIN(T.PikettVetsuissebis-AF37,AF38-AF37)+IF(AF39&lt;T.PikettVetsuissebis,MIN(T.PikettVetsuissebis-AF39,AF40-AF39)+IF(AF41&lt;T.PikettVetsuissebis,MIN(T.PikettVetsuissebis-AF41,AF42-AF41)+IF(AF43&lt;T.PikettVetsuissebis,MIN(T.PikettVetsuissebis-AF43,AF44-AF43),0),0),0),0),0),9),0)</f>
        <v>0</v>
      </c>
      <c r="AG47" s="183" t="str">
        <f aca="false">A47</f>
        <v>Total on call hours today</v>
      </c>
      <c r="AH47" s="146"/>
      <c r="AI47" s="179"/>
      <c r="AJ47" s="180"/>
      <c r="AK47" s="172"/>
      <c r="AL47" s="172"/>
      <c r="AM47" s="172"/>
      <c r="AN47" s="171"/>
      <c r="AO47" s="172"/>
      <c r="AP47" s="172"/>
      <c r="AQ47" s="39"/>
    </row>
    <row r="48" s="148" customFormat="true" ht="16.5" hidden="true" customHeight="true" outlineLevel="1" collapsed="false">
      <c r="A48" s="181" t="s">
        <v>137</v>
      </c>
      <c r="B48" s="193" t="n">
        <f aca="false">B45-B47</f>
        <v>0</v>
      </c>
      <c r="C48" s="193" t="n">
        <f aca="false">C45-C47</f>
        <v>0</v>
      </c>
      <c r="D48" s="193" t="n">
        <f aca="false">D45-D47</f>
        <v>0</v>
      </c>
      <c r="E48" s="193" t="n">
        <f aca="false">E45-E47</f>
        <v>0</v>
      </c>
      <c r="F48" s="193" t="n">
        <f aca="false">F45-F47</f>
        <v>0</v>
      </c>
      <c r="G48" s="193" t="n">
        <f aca="false">G45-G47</f>
        <v>0</v>
      </c>
      <c r="H48" s="193" t="n">
        <f aca="false">H45-H47</f>
        <v>0</v>
      </c>
      <c r="I48" s="193" t="n">
        <f aca="false">I45-I47</f>
        <v>0</v>
      </c>
      <c r="J48" s="193" t="n">
        <f aca="false">J45-J47</f>
        <v>0</v>
      </c>
      <c r="K48" s="193" t="n">
        <f aca="false">K45-K47</f>
        <v>0</v>
      </c>
      <c r="L48" s="193" t="n">
        <f aca="false">L45-L47</f>
        <v>0</v>
      </c>
      <c r="M48" s="193" t="n">
        <f aca="false">M45-M47</f>
        <v>0</v>
      </c>
      <c r="N48" s="193" t="n">
        <f aca="false">N45-N47</f>
        <v>0</v>
      </c>
      <c r="O48" s="193" t="n">
        <f aca="false">O45-O47</f>
        <v>0</v>
      </c>
      <c r="P48" s="193" t="n">
        <f aca="false">P45-P47</f>
        <v>0</v>
      </c>
      <c r="Q48" s="193" t="n">
        <f aca="false">Q45-Q47</f>
        <v>0</v>
      </c>
      <c r="R48" s="193" t="n">
        <f aca="false">R45-R47</f>
        <v>0</v>
      </c>
      <c r="S48" s="193" t="n">
        <f aca="false">S45-S47</f>
        <v>0</v>
      </c>
      <c r="T48" s="193" t="n">
        <f aca="false">T45-T47</f>
        <v>0</v>
      </c>
      <c r="U48" s="193" t="n">
        <f aca="false">U45-U47</f>
        <v>0</v>
      </c>
      <c r="V48" s="193" t="n">
        <f aca="false">V45-V47</f>
        <v>0</v>
      </c>
      <c r="W48" s="193" t="n">
        <f aca="false">W45-W47</f>
        <v>0</v>
      </c>
      <c r="X48" s="193" t="n">
        <f aca="false">X45-X47</f>
        <v>0</v>
      </c>
      <c r="Y48" s="193" t="n">
        <f aca="false">Y45-Y47</f>
        <v>0</v>
      </c>
      <c r="Z48" s="193" t="n">
        <f aca="false">Z45-Z47</f>
        <v>0</v>
      </c>
      <c r="AA48" s="193" t="n">
        <f aca="false">AA45-AA47</f>
        <v>0</v>
      </c>
      <c r="AB48" s="193" t="n">
        <f aca="false">AB45-AB47</f>
        <v>0</v>
      </c>
      <c r="AC48" s="193" t="n">
        <f aca="false">AC45-AC47</f>
        <v>0</v>
      </c>
      <c r="AD48" s="193" t="n">
        <f aca="false">AD45-AD47</f>
        <v>0</v>
      </c>
      <c r="AE48" s="193" t="n">
        <f aca="false">AE45-AE47</f>
        <v>0</v>
      </c>
      <c r="AF48" s="193" t="n">
        <f aca="false">AF45-AF47</f>
        <v>0</v>
      </c>
      <c r="AG48" s="183" t="str">
        <f aca="false">A48</f>
        <v>Total on call hours yesterday</v>
      </c>
      <c r="AH48" s="146"/>
      <c r="AI48" s="179"/>
      <c r="AJ48" s="180"/>
      <c r="AK48" s="172"/>
      <c r="AL48" s="172"/>
      <c r="AM48" s="199" t="n">
        <f aca="false">IF(EB.Anwendung&lt;&gt;"",IF(MONTH(Monat.Tag1)=12,0,IF(MONTH(Monat.Tag1)=1,February!Monat.PikettgesternTag1,IF(MONTH(Monat.Tag1)=2,Monat.PikettgesternTag1,IF(MONTH(Monat.Tag1)=3,April!Monat.PikettgesternTag1,IF(MONTH(Monat.Tag1)=4,May!Monat.PikettgesternTag1,IF(MONTH(Monat.Tag1)=5,June!Monat.PikettgesternTag1,IF(MONTH(Monat.Tag1)=6,July!Monat.PikettgesternTag1,IF(MONTH(Monat.Tag1)=7,August!Monat.PikettgesternTag1,IF(MONTH(Monat.Tag1)=8,September!Monat.PikettgesternTag1,IF(MONTH(Monat.Tag1)=9,October!Monat.PikettgesternTag1,IF(MONTH(Monat.Tag1)=10,November!Monat.PikettgesternTag1,IF(MONTH(Monat.Tag1)=11,December!Monat.PikettgesternTag1,"")))))))))))),"")</f>
        <v>0</v>
      </c>
      <c r="AN48" s="171"/>
      <c r="AO48" s="172"/>
      <c r="AP48" s="172"/>
      <c r="AQ48" s="39"/>
    </row>
    <row r="49" s="148" customFormat="true" ht="16.5" hidden="true" customHeight="true" outlineLevel="1" collapsed="false">
      <c r="A49" s="181" t="s">
        <v>138</v>
      </c>
      <c r="B49" s="182" t="n">
        <f aca="false">B47+IF(B$10=EOMONTH(B$10,0),$AM48,C48)</f>
        <v>0</v>
      </c>
      <c r="C49" s="182" t="n">
        <f aca="false">C47+IF(C$10=EOMONTH(C$10,0),$AM48,D48)</f>
        <v>0</v>
      </c>
      <c r="D49" s="182" t="n">
        <f aca="false">D47+IF(D$10=EOMONTH(D$10,0),$AM48,E48)</f>
        <v>0</v>
      </c>
      <c r="E49" s="182" t="n">
        <f aca="false">E47+IF(E$10=EOMONTH(E$10,0),$AM48,F48)</f>
        <v>0</v>
      </c>
      <c r="F49" s="182" t="n">
        <f aca="false">F47+IF(F$10=EOMONTH(F$10,0),$AM48,G48)</f>
        <v>0</v>
      </c>
      <c r="G49" s="182" t="n">
        <f aca="false">G47+IF(G$10=EOMONTH(G$10,0),$AM48,H48)</f>
        <v>0</v>
      </c>
      <c r="H49" s="182" t="n">
        <f aca="false">H47+IF(H$10=EOMONTH(H$10,0),$AM48,I48)</f>
        <v>0</v>
      </c>
      <c r="I49" s="182" t="n">
        <f aca="false">I47+IF(I$10=EOMONTH(I$10,0),$AM48,J48)</f>
        <v>0</v>
      </c>
      <c r="J49" s="182" t="n">
        <f aca="false">J47+IF(J$10=EOMONTH(J$10,0),$AM48,K48)</f>
        <v>0</v>
      </c>
      <c r="K49" s="182" t="n">
        <f aca="false">K47+IF(K$10=EOMONTH(K$10,0),$AM48,L48)</f>
        <v>0</v>
      </c>
      <c r="L49" s="182" t="n">
        <f aca="false">L47+IF(L$10=EOMONTH(L$10,0),$AM48,M48)</f>
        <v>0</v>
      </c>
      <c r="M49" s="182" t="n">
        <f aca="false">M47+IF(M$10=EOMONTH(M$10,0),$AM48,N48)</f>
        <v>0</v>
      </c>
      <c r="N49" s="182" t="n">
        <f aca="false">N47+IF(N$10=EOMONTH(N$10,0),$AM48,O48)</f>
        <v>0</v>
      </c>
      <c r="O49" s="182" t="n">
        <f aca="false">O47+IF(O$10=EOMONTH(O$10,0),$AM48,P48)</f>
        <v>0</v>
      </c>
      <c r="P49" s="182" t="n">
        <f aca="false">P47+IF(P$10=EOMONTH(P$10,0),$AM48,Q48)</f>
        <v>0</v>
      </c>
      <c r="Q49" s="182" t="n">
        <f aca="false">Q47+IF(Q$10=EOMONTH(Q$10,0),$AM48,R48)</f>
        <v>0</v>
      </c>
      <c r="R49" s="182" t="n">
        <f aca="false">R47+IF(R$10=EOMONTH(R$10,0),$AM48,S48)</f>
        <v>0</v>
      </c>
      <c r="S49" s="182" t="n">
        <f aca="false">S47+IF(S$10=EOMONTH(S$10,0),$AM48,T48)</f>
        <v>0</v>
      </c>
      <c r="T49" s="182" t="n">
        <f aca="false">T47+IF(T$10=EOMONTH(T$10,0),$AM48,U48)</f>
        <v>0</v>
      </c>
      <c r="U49" s="182" t="n">
        <f aca="false">U47+IF(U$10=EOMONTH(U$10,0),$AM48,V48)</f>
        <v>0</v>
      </c>
      <c r="V49" s="182" t="n">
        <f aca="false">V47+IF(V$10=EOMONTH(V$10,0),$AM48,W48)</f>
        <v>0</v>
      </c>
      <c r="W49" s="182" t="n">
        <f aca="false">W47+IF(W$10=EOMONTH(W$10,0),$AM48,X48)</f>
        <v>0</v>
      </c>
      <c r="X49" s="182" t="n">
        <f aca="false">X47+IF(X$10=EOMONTH(X$10,0),$AM48,Y48)</f>
        <v>0</v>
      </c>
      <c r="Y49" s="182" t="n">
        <f aca="false">Y47+IF(Y$10=EOMONTH(Y$10,0),$AM48,Z48)</f>
        <v>0</v>
      </c>
      <c r="Z49" s="182" t="n">
        <f aca="false">Z47+IF(Z$10=EOMONTH(Z$10,0),$AM48,AA48)</f>
        <v>0</v>
      </c>
      <c r="AA49" s="182" t="n">
        <f aca="false">AA47+IF(AA$10=EOMONTH(AA$10,0),$AM48,AB48)</f>
        <v>0</v>
      </c>
      <c r="AB49" s="182" t="n">
        <f aca="false">AB47+IF(AB$10=EOMONTH(AB$10,0),$AM48,AC48)</f>
        <v>0</v>
      </c>
      <c r="AC49" s="182" t="n">
        <f aca="false">AC47+IF(AC$10=EOMONTH(AC$10,0),$AM48,AD48)</f>
        <v>0</v>
      </c>
      <c r="AD49" s="182" t="n">
        <f aca="false">AD47+IF(AD$10=EOMONTH(AD$10,0),$AM48,AE48)</f>
        <v>0</v>
      </c>
      <c r="AE49" s="182" t="n">
        <f aca="false">AE47+IF(AE$10=EOMONTH(AE$10,0),$AM48,AF48)</f>
        <v>0</v>
      </c>
      <c r="AF49" s="182" t="n">
        <f aca="false">AF47+IF(AF$10=EOMONTH(AF$10,0),$AM48,AG48)</f>
        <v>0</v>
      </c>
      <c r="AG49" s="183" t="str">
        <f aca="false">A49</f>
        <v>Total on call standby hours</v>
      </c>
      <c r="AH49" s="184"/>
      <c r="AI49" s="185" t="n">
        <f aca="false">SUM(B49:AF49)</f>
        <v>0</v>
      </c>
      <c r="AJ49" s="180"/>
      <c r="AK49" s="172"/>
      <c r="AL49" s="172"/>
      <c r="AM49" s="172"/>
      <c r="AN49" s="171"/>
      <c r="AO49" s="172"/>
      <c r="AP49" s="172"/>
      <c r="AQ49" s="39"/>
    </row>
    <row r="50" s="148" customFormat="true" ht="3.75" hidden="false" customHeight="true" outlineLevel="0" collapsed="false">
      <c r="A50" s="200"/>
      <c r="B50" s="187"/>
      <c r="C50" s="187"/>
      <c r="D50" s="187"/>
      <c r="E50" s="187"/>
      <c r="F50" s="187"/>
      <c r="G50" s="187"/>
      <c r="H50" s="187"/>
      <c r="I50" s="187"/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87"/>
      <c r="U50" s="187"/>
      <c r="V50" s="187"/>
      <c r="W50" s="187"/>
      <c r="X50" s="187"/>
      <c r="Y50" s="187"/>
      <c r="Z50" s="187"/>
      <c r="AA50" s="187"/>
      <c r="AB50" s="187"/>
      <c r="AC50" s="187"/>
      <c r="AD50" s="187"/>
      <c r="AE50" s="187"/>
      <c r="AF50" s="188"/>
      <c r="AG50" s="201"/>
      <c r="AH50" s="202"/>
      <c r="AI50" s="188"/>
      <c r="AJ50" s="180"/>
      <c r="AK50" s="172"/>
      <c r="AL50" s="172"/>
      <c r="AM50" s="172"/>
      <c r="AN50" s="171"/>
      <c r="AO50" s="172"/>
      <c r="AP50" s="172"/>
      <c r="AQ50" s="39"/>
    </row>
    <row r="51" s="148" customFormat="true" ht="15" hidden="false" customHeight="true" outlineLevel="0" collapsed="false">
      <c r="A51" s="181" t="s">
        <v>139</v>
      </c>
      <c r="B51" s="203" t="n">
        <f aca="false">ROUND(B23+B45+B84+SUM(B86:B95)+IF(T.50_Vetsuisse,B71,0),9)</f>
        <v>0</v>
      </c>
      <c r="C51" s="203" t="n">
        <f aca="false">ROUND(C23+C45+C84+SUM(C86:C95)+IF(T.50_Vetsuisse,C71,0),9)</f>
        <v>0</v>
      </c>
      <c r="D51" s="203" t="n">
        <f aca="false">ROUND(D23+D45+D84+SUM(D86:D95)+IF(T.50_Vetsuisse,D71,0),9)</f>
        <v>0</v>
      </c>
      <c r="E51" s="204" t="n">
        <f aca="false">ROUND(E23+E45+E84+SUM(E86:E95)+IF(T.50_Vetsuisse,E71,0),9)</f>
        <v>0</v>
      </c>
      <c r="F51" s="203" t="n">
        <f aca="false">ROUND(F23+F45+F84+SUM(F86:F95)+IF(T.50_Vetsuisse,F71,0),9)</f>
        <v>0</v>
      </c>
      <c r="G51" s="203" t="n">
        <f aca="false">ROUND(G23+G45+G84+SUM(G86:G95)+IF(T.50_Vetsuisse,G71,0),9)</f>
        <v>0</v>
      </c>
      <c r="H51" s="203" t="n">
        <f aca="false">ROUND(H23+H45+H84+SUM(H86:H95)+IF(T.50_Vetsuisse,H71,0),9)</f>
        <v>0</v>
      </c>
      <c r="I51" s="203" t="n">
        <f aca="false">ROUND(I23+I45+I84+SUM(I86:I95)+IF(T.50_Vetsuisse,I71,0),9)</f>
        <v>0</v>
      </c>
      <c r="J51" s="205" t="n">
        <f aca="false">ROUND(J23+J45+J84+SUM(J86:J95)+IF(T.50_Vetsuisse,J71,0),9)</f>
        <v>0</v>
      </c>
      <c r="K51" s="203" t="n">
        <f aca="false">ROUND(K23+K45+K84+SUM(K86:K95)+IF(T.50_Vetsuisse,K71,0),9)</f>
        <v>0</v>
      </c>
      <c r="L51" s="205" t="n">
        <f aca="false">ROUND(L23+L45+L84+SUM(L86:L95)+IF(T.50_Vetsuisse,L71,0),9)</f>
        <v>0</v>
      </c>
      <c r="M51" s="203" t="n">
        <f aca="false">ROUND(M23+M45+M84+SUM(M86:M95)+IF(T.50_Vetsuisse,M71,0),9)</f>
        <v>0</v>
      </c>
      <c r="N51" s="203" t="n">
        <f aca="false">ROUND(N23+N45+N84+SUM(N86:N95)+IF(T.50_Vetsuisse,N71,0),9)</f>
        <v>0</v>
      </c>
      <c r="O51" s="203" t="n">
        <f aca="false">ROUND(O23+O45+O84+SUM(O86:O95)+IF(T.50_Vetsuisse,O71,0),9)</f>
        <v>0</v>
      </c>
      <c r="P51" s="203" t="n">
        <f aca="false">ROUND(P23+P45+P84+SUM(P86:P95)+IF(T.50_Vetsuisse,P71,0),9)</f>
        <v>0</v>
      </c>
      <c r="Q51" s="205" t="n">
        <f aca="false">ROUND(Q23+Q45+Q84+SUM(Q86:Q95)+IF(T.50_Vetsuisse,Q71,0),9)</f>
        <v>0</v>
      </c>
      <c r="R51" s="203" t="n">
        <f aca="false">ROUND(R23+R45+R84+SUM(R86:R95)+IF(T.50_Vetsuisse,R71,0),9)</f>
        <v>0</v>
      </c>
      <c r="S51" s="205" t="n">
        <f aca="false">ROUND(S23+S45+S84+SUM(S86:S95)+IF(T.50_Vetsuisse,S71,0),9)</f>
        <v>0</v>
      </c>
      <c r="T51" s="205" t="n">
        <f aca="false">ROUND(T23+T45+T84+SUM(T86:T95)+IF(T.50_Vetsuisse,T71,0),9)</f>
        <v>0</v>
      </c>
      <c r="U51" s="203" t="n">
        <f aca="false">ROUND(U23+U45+U84+SUM(U86:U95)+IF(T.50_Vetsuisse,U71,0),9)</f>
        <v>0</v>
      </c>
      <c r="V51" s="203" t="n">
        <f aca="false">ROUND(V23+V45+V84+SUM(V86:V95)+IF(T.50_Vetsuisse,V71,0),9)</f>
        <v>0</v>
      </c>
      <c r="W51" s="203" t="n">
        <f aca="false">ROUND(W23+W45+W84+SUM(W86:W95)+IF(T.50_Vetsuisse,W71,0),9)</f>
        <v>0</v>
      </c>
      <c r="X51" s="205" t="n">
        <f aca="false">ROUND(X23+X45+X84+SUM(X86:X95)+IF(T.50_Vetsuisse,X71,0),9)</f>
        <v>0</v>
      </c>
      <c r="Y51" s="203" t="n">
        <f aca="false">ROUND(Y23+Y45+Y84+SUM(Y86:Y95)+IF(T.50_Vetsuisse,Y71,0),9)</f>
        <v>0</v>
      </c>
      <c r="Z51" s="206" t="n">
        <f aca="false">ROUND(Z23+Z45+Z84+SUM(Z86:Z95)+IF(T.50_Vetsuisse,Z71,0),9)</f>
        <v>0</v>
      </c>
      <c r="AA51" s="203" t="n">
        <f aca="false">ROUND(AA23+AA45+AA84+SUM(AA86:AA95)+IF(T.50_Vetsuisse,AA71,0),9)</f>
        <v>0</v>
      </c>
      <c r="AB51" s="203" t="n">
        <f aca="false">ROUND(AB23+AB45+AB84+SUM(AB86:AB95)+IF(T.50_Vetsuisse,AB71,0),9)</f>
        <v>0</v>
      </c>
      <c r="AC51" s="203" t="n">
        <f aca="false">ROUND(AC23+AC45+AC84+SUM(AC86:AC95)+IF(T.50_Vetsuisse,AC71,0),9)</f>
        <v>0</v>
      </c>
      <c r="AD51" s="203" t="n">
        <f aca="false">ROUND(AD23+AD45+AD84+SUM(AD86:AD95)+IF(T.50_Vetsuisse,AD71,0),9)</f>
        <v>0</v>
      </c>
      <c r="AE51" s="205" t="n">
        <f aca="false">ROUND(AE23+AE45+AE84+SUM(AE86:AE95)+IF(T.50_Vetsuisse,AE71,0),9)</f>
        <v>0</v>
      </c>
      <c r="AF51" s="203" t="n">
        <f aca="false">ROUND(AF23+AF45+AF84+SUM(AF86:AF95)+IF(T.50_Vetsuisse,AF71,0),9)</f>
        <v>0</v>
      </c>
      <c r="AG51" s="183" t="str">
        <f aca="false">A51</f>
        <v>Actual hours worked</v>
      </c>
      <c r="AH51" s="184"/>
      <c r="AI51" s="207" t="n">
        <f aca="false">SUM(B51:AF51)</f>
        <v>0</v>
      </c>
      <c r="AJ51" s="180"/>
      <c r="AK51" s="172"/>
      <c r="AL51" s="172"/>
      <c r="AM51" s="172"/>
      <c r="AN51" s="208" t="n">
        <f aca="true">IF(WEEKDAY(EOMONTH(Monat.Tag1,0),2)=7,0,MAX(0,SUM(OFFSET(B51,0,DAY(EOMONTH(Monat.Tag1,0))-WEEKDAY(EOMONTH(Monat.Tag1,0),2),1,WEEKDAY(EOMONTH(Monat.Tag1,0),2)))))</f>
        <v>0</v>
      </c>
      <c r="AO51" s="172"/>
      <c r="AP51" s="172"/>
      <c r="AQ51" s="39"/>
    </row>
    <row r="52" s="148" customFormat="true" ht="15" hidden="false" customHeight="true" outlineLevel="1" collapsed="false">
      <c r="A52" s="175" t="s">
        <v>140</v>
      </c>
      <c r="B52" s="209" t="n">
        <f aca="false">IF(B$12=0,0,ROUND(INDEX(Monat.RAZ1_7.Bereich,WEEKDAY(B$10,2))*B$11,9))</f>
        <v>0</v>
      </c>
      <c r="C52" s="209" t="n">
        <f aca="false">IF(C$12=0,0,ROUND(INDEX(Monat.RAZ1_7.Bereich,WEEKDAY(C$10,2))*C$11,9))</f>
        <v>0</v>
      </c>
      <c r="D52" s="210" t="n">
        <f aca="false">IF(D$12=0,0,ROUND(INDEX(Monat.RAZ1_7.Bereich,WEEKDAY(D$10,2))*D$11,9))</f>
        <v>0</v>
      </c>
      <c r="E52" s="209" t="n">
        <f aca="false">IF(E$12=0,0,ROUND(INDEX(Monat.RAZ1_7.Bereich,WEEKDAY(E$10,2))*E$11,9))</f>
        <v>0</v>
      </c>
      <c r="F52" s="210" t="n">
        <f aca="false">IF(F$12=0,0,ROUND(INDEX(Monat.RAZ1_7.Bereich,WEEKDAY(F$10,2))*F$11,9))</f>
        <v>0</v>
      </c>
      <c r="G52" s="210" t="n">
        <f aca="false">IF(G$12=0,0,ROUND(INDEX(Monat.RAZ1_7.Bereich,WEEKDAY(G$10,2))*G$11,9))</f>
        <v>0</v>
      </c>
      <c r="H52" s="210" t="n">
        <f aca="false">IF(H$12=0,0,ROUND(INDEX(Monat.RAZ1_7.Bereich,WEEKDAY(H$10,2))*H$11,9))</f>
        <v>0</v>
      </c>
      <c r="I52" s="210" t="n">
        <f aca="false">IF(I$12=0,0,ROUND(INDEX(Monat.RAZ1_7.Bereich,WEEKDAY(I$10,2))*I$11,9))</f>
        <v>0</v>
      </c>
      <c r="J52" s="209" t="n">
        <f aca="false">IF(J$12=0,0,ROUND(INDEX(Monat.RAZ1_7.Bereich,WEEKDAY(J$10,2))*J$11,9))</f>
        <v>0</v>
      </c>
      <c r="K52" s="210" t="n">
        <f aca="false">IF(K$12=0,0,ROUND(INDEX(Monat.RAZ1_7.Bereich,WEEKDAY(K$10,2))*K$11,9))</f>
        <v>0</v>
      </c>
      <c r="L52" s="209" t="n">
        <f aca="false">IF(L$12=0,0,ROUND(INDEX(Monat.RAZ1_7.Bereich,WEEKDAY(L$10,2))*L$11,9))</f>
        <v>0</v>
      </c>
      <c r="M52" s="210" t="n">
        <f aca="false">IF(M$12=0,0,ROUND(INDEX(Monat.RAZ1_7.Bereich,WEEKDAY(M$10,2))*M$11,9))</f>
        <v>0</v>
      </c>
      <c r="N52" s="210" t="n">
        <f aca="false">IF(N$12=0,0,ROUND(INDEX(Monat.RAZ1_7.Bereich,WEEKDAY(N$10,2))*N$11,9))</f>
        <v>0</v>
      </c>
      <c r="O52" s="210" t="n">
        <f aca="false">IF(O$12=0,0,ROUND(INDEX(Monat.RAZ1_7.Bereich,WEEKDAY(O$10,2))*O$11,9))</f>
        <v>0</v>
      </c>
      <c r="P52" s="210" t="n">
        <f aca="false">IF(P$12=0,0,ROUND(INDEX(Monat.RAZ1_7.Bereich,WEEKDAY(P$10,2))*P$11,9))</f>
        <v>0</v>
      </c>
      <c r="Q52" s="209" t="n">
        <f aca="false">IF(Q$12=0,0,ROUND(INDEX(Monat.RAZ1_7.Bereich,WEEKDAY(Q$10,2))*Q$11,9))</f>
        <v>0</v>
      </c>
      <c r="R52" s="210" t="n">
        <f aca="false">IF(R$12=0,0,ROUND(INDEX(Monat.RAZ1_7.Bereich,WEEKDAY(R$10,2))*R$11,9))</f>
        <v>0</v>
      </c>
      <c r="S52" s="209" t="n">
        <f aca="false">IF(S$12=0,0,ROUND(INDEX(Monat.RAZ1_7.Bereich,WEEKDAY(S$10,2))*S$11,9))</f>
        <v>0</v>
      </c>
      <c r="T52" s="209" t="n">
        <f aca="false">IF(T$12=0,0,ROUND(INDEX(Monat.RAZ1_7.Bereich,WEEKDAY(T$10,2))*T$11,9))</f>
        <v>0</v>
      </c>
      <c r="U52" s="210" t="n">
        <f aca="false">IF(U$12=0,0,ROUND(INDEX(Monat.RAZ1_7.Bereich,WEEKDAY(U$10,2))*U$11,9))</f>
        <v>0</v>
      </c>
      <c r="V52" s="210" t="n">
        <f aca="false">IF(V$12=0,0,ROUND(INDEX(Monat.RAZ1_7.Bereich,WEEKDAY(V$10,2))*V$11,9))</f>
        <v>0</v>
      </c>
      <c r="W52" s="210" t="n">
        <f aca="false">IF(W$12=0,0,ROUND(INDEX(Monat.RAZ1_7.Bereich,WEEKDAY(W$10,2))*W$11,9))</f>
        <v>0</v>
      </c>
      <c r="X52" s="209" t="n">
        <f aca="false">IF(X$12=0,0,ROUND(INDEX(Monat.RAZ1_7.Bereich,WEEKDAY(X$10,2))*X$11,9))</f>
        <v>0</v>
      </c>
      <c r="Y52" s="210" t="n">
        <f aca="false">IF(Y$12=0,0,ROUND(INDEX(Monat.RAZ1_7.Bereich,WEEKDAY(Y$10,2))*Y$11,9))</f>
        <v>0</v>
      </c>
      <c r="Z52" s="211" t="n">
        <f aca="false">IF(Z$12=0,0,ROUND(INDEX(Monat.RAZ1_7.Bereich,WEEKDAY(Z$10,2))*Z$11,9))</f>
        <v>0</v>
      </c>
      <c r="AA52" s="210" t="n">
        <f aca="false">IF(AA$12=0,0,ROUND(INDEX(Monat.RAZ1_7.Bereich,WEEKDAY(AA$10,2))*AA$11,9))</f>
        <v>0</v>
      </c>
      <c r="AB52" s="210" t="n">
        <f aca="false">IF(AB$12=0,0,ROUND(INDEX(Monat.RAZ1_7.Bereich,WEEKDAY(AB$10,2))*AB$11,9))</f>
        <v>0</v>
      </c>
      <c r="AC52" s="210" t="n">
        <f aca="false">IF(AC$12=0,0,ROUND(INDEX(Monat.RAZ1_7.Bereich,WEEKDAY(AC$10,2))*AC$11,9))</f>
        <v>0</v>
      </c>
      <c r="AD52" s="210" t="n">
        <f aca="false">IF(AD$12=0,0,ROUND(INDEX(Monat.RAZ1_7.Bereich,WEEKDAY(AD$10,2))*AD$11,9))</f>
        <v>0</v>
      </c>
      <c r="AE52" s="209" t="n">
        <f aca="false">IF(AE$12=0,0,ROUND(INDEX(Monat.RAZ1_7.Bereich,WEEKDAY(AE$10,2))*AE$11,9))</f>
        <v>0</v>
      </c>
      <c r="AF52" s="210" t="n">
        <f aca="false">IF(AF$12=0,0,ROUND(INDEX(Monat.RAZ1_7.Bereich,WEEKDAY(AF$10,2))*AF$11,9))</f>
        <v>0</v>
      </c>
      <c r="AG52" s="212" t="str">
        <f aca="false">A52</f>
        <v>Standardized hours (Info)</v>
      </c>
      <c r="AH52" s="184"/>
      <c r="AI52" s="179"/>
      <c r="AJ52" s="180"/>
      <c r="AK52" s="172"/>
      <c r="AL52" s="172"/>
      <c r="AM52" s="172"/>
      <c r="AN52" s="171"/>
      <c r="AO52" s="172"/>
      <c r="AP52" s="172"/>
      <c r="AQ52" s="39"/>
    </row>
    <row r="53" s="148" customFormat="true" ht="15" hidden="false" customHeight="true" outlineLevel="0" collapsed="false">
      <c r="A53" s="175" t="s">
        <v>141</v>
      </c>
      <c r="B53" s="213" t="n">
        <f aca="false">IF(B$12=0,0,ROUND(INDEX(EB.AZSOLLTag100.Bereich,MATCH(INDEX(EB.Monate.Bereich,MONTH(Monat.Tag1)),EB.Monate.Bereich,0))*B$11*IF(WEEKDAY(B$10,2)&gt;5,0,1)*$V$2/100,9))</f>
        <v>0</v>
      </c>
      <c r="C53" s="213" t="n">
        <f aca="false">IF(C$12=0,0,ROUND(INDEX(EB.AZSOLLTag100.Bereich,MATCH(INDEX(EB.Monate.Bereich,MONTH(Monat.Tag1)),EB.Monate.Bereich,0))*C$11*IF(WEEKDAY(C$10,2)&gt;5,0,1)*$V$2/100,9))</f>
        <v>0</v>
      </c>
      <c r="D53" s="213" t="n">
        <f aca="false">IF(D$12=0,0,ROUND(INDEX(EB.AZSOLLTag100.Bereich,MATCH(INDEX(EB.Monate.Bereich,MONTH(Monat.Tag1)),EB.Monate.Bereich,0))*D$11*IF(WEEKDAY(D$10,2)&gt;5,0,1)*$V$2/100,9))</f>
        <v>0</v>
      </c>
      <c r="E53" s="213" t="n">
        <f aca="false">IF(E$12=0,0,ROUND(INDEX(EB.AZSOLLTag100.Bereich,MATCH(INDEX(EB.Monate.Bereich,MONTH(Monat.Tag1)),EB.Monate.Bereich,0))*E$11*IF(WEEKDAY(E$10,2)&gt;5,0,1)*$V$2/100,9))</f>
        <v>0</v>
      </c>
      <c r="F53" s="213" t="n">
        <f aca="false">IF(F$12=0,0,ROUND(INDEX(EB.AZSOLLTag100.Bereich,MATCH(INDEX(EB.Monate.Bereich,MONTH(Monat.Tag1)),EB.Monate.Bereich,0))*F$11*IF(WEEKDAY(F$10,2)&gt;5,0,1)*$V$2/100,9))</f>
        <v>0</v>
      </c>
      <c r="G53" s="213" t="n">
        <f aca="false">IF(G$12=0,0,ROUND(INDEX(EB.AZSOLLTag100.Bereich,MATCH(INDEX(EB.Monate.Bereich,MONTH(Monat.Tag1)),EB.Monate.Bereich,0))*G$11*IF(WEEKDAY(G$10,2)&gt;5,0,1)*$V$2/100,9))</f>
        <v>0</v>
      </c>
      <c r="H53" s="213" t="n">
        <f aca="false">IF(H$12=0,0,ROUND(INDEX(EB.AZSOLLTag100.Bereich,MATCH(INDEX(EB.Monate.Bereich,MONTH(Monat.Tag1)),EB.Monate.Bereich,0))*H$11*IF(WEEKDAY(H$10,2)&gt;5,0,1)*$V$2/100,9))</f>
        <v>0</v>
      </c>
      <c r="I53" s="213" t="n">
        <f aca="false">IF(I$12=0,0,ROUND(INDEX(EB.AZSOLLTag100.Bereich,MATCH(INDEX(EB.Monate.Bereich,MONTH(Monat.Tag1)),EB.Monate.Bereich,0))*I$11*IF(WEEKDAY(I$10,2)&gt;5,0,1)*$V$2/100,9))</f>
        <v>0</v>
      </c>
      <c r="J53" s="213" t="n">
        <f aca="false">IF(J$12=0,0,ROUND(INDEX(EB.AZSOLLTag100.Bereich,MATCH(INDEX(EB.Monate.Bereich,MONTH(Monat.Tag1)),EB.Monate.Bereich,0))*J$11*IF(WEEKDAY(J$10,2)&gt;5,0,1)*$V$2/100,9))</f>
        <v>0</v>
      </c>
      <c r="K53" s="213" t="n">
        <f aca="false">IF(K$12=0,0,ROUND(INDEX(EB.AZSOLLTag100.Bereich,MATCH(INDEX(EB.Monate.Bereich,MONTH(Monat.Tag1)),EB.Monate.Bereich,0))*K$11*IF(WEEKDAY(K$10,2)&gt;5,0,1)*$V$2/100,9))</f>
        <v>0</v>
      </c>
      <c r="L53" s="213" t="n">
        <f aca="false">IF(L$12=0,0,ROUND(INDEX(EB.AZSOLLTag100.Bereich,MATCH(INDEX(EB.Monate.Bereich,MONTH(Monat.Tag1)),EB.Monate.Bereich,0))*L$11*IF(WEEKDAY(L$10,2)&gt;5,0,1)*$V$2/100,9))</f>
        <v>0</v>
      </c>
      <c r="M53" s="213" t="n">
        <f aca="false">IF(M$12=0,0,ROUND(INDEX(EB.AZSOLLTag100.Bereich,MATCH(INDEX(EB.Monate.Bereich,MONTH(Monat.Tag1)),EB.Monate.Bereich,0))*M$11*IF(WEEKDAY(M$10,2)&gt;5,0,1)*$V$2/100,9))</f>
        <v>0</v>
      </c>
      <c r="N53" s="213" t="n">
        <f aca="false">IF(N$12=0,0,ROUND(INDEX(EB.AZSOLLTag100.Bereich,MATCH(INDEX(EB.Monate.Bereich,MONTH(Monat.Tag1)),EB.Monate.Bereich,0))*N$11*IF(WEEKDAY(N$10,2)&gt;5,0,1)*$V$2/100,9))</f>
        <v>0</v>
      </c>
      <c r="O53" s="213" t="n">
        <f aca="false">IF(O$12=0,0,ROUND(INDEX(EB.AZSOLLTag100.Bereich,MATCH(INDEX(EB.Monate.Bereich,MONTH(Monat.Tag1)),EB.Monate.Bereich,0))*O$11*IF(WEEKDAY(O$10,2)&gt;5,0,1)*$V$2/100,9))</f>
        <v>0</v>
      </c>
      <c r="P53" s="213" t="n">
        <f aca="false">IF(P$12=0,0,ROUND(INDEX(EB.AZSOLLTag100.Bereich,MATCH(INDEX(EB.Monate.Bereich,MONTH(Monat.Tag1)),EB.Monate.Bereich,0))*P$11*IF(WEEKDAY(P$10,2)&gt;5,0,1)*$V$2/100,9))</f>
        <v>0</v>
      </c>
      <c r="Q53" s="213" t="n">
        <f aca="false">IF(Q$12=0,0,ROUND(INDEX(EB.AZSOLLTag100.Bereich,MATCH(INDEX(EB.Monate.Bereich,MONTH(Monat.Tag1)),EB.Monate.Bereich,0))*Q$11*IF(WEEKDAY(Q$10,2)&gt;5,0,1)*$V$2/100,9))</f>
        <v>0</v>
      </c>
      <c r="R53" s="213" t="n">
        <f aca="false">IF(R$12=0,0,ROUND(INDEX(EB.AZSOLLTag100.Bereich,MATCH(INDEX(EB.Monate.Bereich,MONTH(Monat.Tag1)),EB.Monate.Bereich,0))*R$11*IF(WEEKDAY(R$10,2)&gt;5,0,1)*$V$2/100,9))</f>
        <v>0</v>
      </c>
      <c r="S53" s="213" t="n">
        <f aca="false">IF(S$12=0,0,ROUND(INDEX(EB.AZSOLLTag100.Bereich,MATCH(INDEX(EB.Monate.Bereich,MONTH(Monat.Tag1)),EB.Monate.Bereich,0))*S$11*IF(WEEKDAY(S$10,2)&gt;5,0,1)*$V$2/100,9))</f>
        <v>0</v>
      </c>
      <c r="T53" s="213" t="n">
        <f aca="false">IF(T$12=0,0,ROUND(INDEX(EB.AZSOLLTag100.Bereich,MATCH(INDEX(EB.Monate.Bereich,MONTH(Monat.Tag1)),EB.Monate.Bereich,0))*T$11*IF(WEEKDAY(T$10,2)&gt;5,0,1)*$V$2/100,9))</f>
        <v>0</v>
      </c>
      <c r="U53" s="213" t="n">
        <f aca="false">IF(U$12=0,0,ROUND(INDEX(EB.AZSOLLTag100.Bereich,MATCH(INDEX(EB.Monate.Bereich,MONTH(Monat.Tag1)),EB.Monate.Bereich,0))*U$11*IF(WEEKDAY(U$10,2)&gt;5,0,1)*$V$2/100,9))</f>
        <v>0</v>
      </c>
      <c r="V53" s="213" t="n">
        <f aca="false">IF(V$12=0,0,ROUND(INDEX(EB.AZSOLLTag100.Bereich,MATCH(INDEX(EB.Monate.Bereich,MONTH(Monat.Tag1)),EB.Monate.Bereich,0))*V$11*IF(WEEKDAY(V$10,2)&gt;5,0,1)*$V$2/100,9))</f>
        <v>0</v>
      </c>
      <c r="W53" s="213" t="n">
        <f aca="false">IF(W$12=0,0,ROUND(INDEX(EB.AZSOLLTag100.Bereich,MATCH(INDEX(EB.Monate.Bereich,MONTH(Monat.Tag1)),EB.Monate.Bereich,0))*W$11*IF(WEEKDAY(W$10,2)&gt;5,0,1)*$V$2/100,9))</f>
        <v>0</v>
      </c>
      <c r="X53" s="213" t="n">
        <f aca="false">IF(X$12=0,0,ROUND(INDEX(EB.AZSOLLTag100.Bereich,MATCH(INDEX(EB.Monate.Bereich,MONTH(Monat.Tag1)),EB.Monate.Bereich,0))*X$11*IF(WEEKDAY(X$10,2)&gt;5,0,1)*$V$2/100,9))</f>
        <v>0</v>
      </c>
      <c r="Y53" s="213" t="n">
        <f aca="false">IF(Y$12=0,0,ROUND(INDEX(EB.AZSOLLTag100.Bereich,MATCH(INDEX(EB.Monate.Bereich,MONTH(Monat.Tag1)),EB.Monate.Bereich,0))*Y$11*IF(WEEKDAY(Y$10,2)&gt;5,0,1)*$V$2/100,9))</f>
        <v>0</v>
      </c>
      <c r="Z53" s="213" t="n">
        <f aca="false">IF(Z$12=0,0,ROUND(INDEX(EB.AZSOLLTag100.Bereich,MATCH(INDEX(EB.Monate.Bereich,MONTH(Monat.Tag1)),EB.Monate.Bereich,0))*Z$11*IF(WEEKDAY(Z$10,2)&gt;5,0,1)*$V$2/100,9))</f>
        <v>0</v>
      </c>
      <c r="AA53" s="213" t="n">
        <f aca="false">IF(AA$12=0,0,ROUND(INDEX(EB.AZSOLLTag100.Bereich,MATCH(INDEX(EB.Monate.Bereich,MONTH(Monat.Tag1)),EB.Monate.Bereich,0))*AA$11*IF(WEEKDAY(AA$10,2)&gt;5,0,1)*$V$2/100,9))</f>
        <v>0</v>
      </c>
      <c r="AB53" s="213" t="n">
        <f aca="false">IF(AB$12=0,0,ROUND(INDEX(EB.AZSOLLTag100.Bereich,MATCH(INDEX(EB.Monate.Bereich,MONTH(Monat.Tag1)),EB.Monate.Bereich,0))*AB$11*IF(WEEKDAY(AB$10,2)&gt;5,0,1)*$V$2/100,9))</f>
        <v>0</v>
      </c>
      <c r="AC53" s="213" t="n">
        <f aca="false">IF(AC$12=0,0,ROUND(INDEX(EB.AZSOLLTag100.Bereich,MATCH(INDEX(EB.Monate.Bereich,MONTH(Monat.Tag1)),EB.Monate.Bereich,0))*AC$11*IF(WEEKDAY(AC$10,2)&gt;5,0,1)*$V$2/100,9))</f>
        <v>0</v>
      </c>
      <c r="AD53" s="213" t="n">
        <f aca="false">IF(AD$12=0,0,ROUND(INDEX(EB.AZSOLLTag100.Bereich,MATCH(INDEX(EB.Monate.Bereich,MONTH(Monat.Tag1)),EB.Monate.Bereich,0))*AD$11*IF(WEEKDAY(AD$10,2)&gt;5,0,1)*$V$2/100,9))</f>
        <v>0</v>
      </c>
      <c r="AE53" s="213" t="n">
        <f aca="false">IF(AE$12=0,0,ROUND(INDEX(EB.AZSOLLTag100.Bereich,MATCH(INDEX(EB.Monate.Bereich,MONTH(Monat.Tag1)),EB.Monate.Bereich,0))*AE$11*IF(WEEKDAY(AE$10,2)&gt;5,0,1)*$V$2/100,9))</f>
        <v>0</v>
      </c>
      <c r="AF53" s="213" t="n">
        <f aca="false">IF(AF$12=0,0,ROUND(INDEX(EB.AZSOLLTag100.Bereich,MATCH(INDEX(EB.Monate.Bereich,MONTH(Monat.Tag1)),EB.Monate.Bereich,0))*AF$11*IF(WEEKDAY(AF$10,2)&gt;5,0,1)*$V$2/100,9))</f>
        <v>0</v>
      </c>
      <c r="AG53" s="168" t="str">
        <f aca="false">A53</f>
        <v>Req. hours of work FTE</v>
      </c>
      <c r="AH53" s="184"/>
      <c r="AI53" s="207" t="n">
        <f aca="false">SUM(B53:AF53)</f>
        <v>0</v>
      </c>
      <c r="AJ53" s="180"/>
      <c r="AK53" s="172"/>
      <c r="AL53" s="172"/>
      <c r="AM53" s="172"/>
      <c r="AN53" s="171"/>
      <c r="AO53" s="172"/>
      <c r="AP53" s="172"/>
      <c r="AQ53" s="39"/>
    </row>
    <row r="54" s="148" customFormat="true" ht="15" hidden="true" customHeight="true" outlineLevel="1" collapsed="false">
      <c r="A54" s="175" t="s">
        <v>142</v>
      </c>
      <c r="B54" s="213" t="n">
        <f aca="false">ROUND(INDEX(EB.AZSOLLTag100.Bereich,MATCH(INDEX(EB.Monate.Bereich,MONTH(Monat.Tag1)),EB.Monate.Bereich,0))*B$11*IF(WEEKDAY(B$10,2)&gt;5,0,1),9)</f>
        <v>0.35</v>
      </c>
      <c r="C54" s="213" t="n">
        <f aca="false">ROUND(INDEX(EB.AZSOLLTag100.Bereich,MATCH(INDEX(EB.Monate.Bereich,MONTH(Monat.Tag1)),EB.Monate.Bereich,0))*C$11*IF(WEEKDAY(C$10,2)&gt;5,0,1),9)</f>
        <v>0.35</v>
      </c>
      <c r="D54" s="214" t="n">
        <f aca="false">ROUND(INDEX(EB.AZSOLLTag100.Bereich,MATCH(INDEX(EB.Monate.Bereich,MONTH(Monat.Tag1)),EB.Monate.Bereich,0))*D$11*IF(WEEKDAY(D$10,2)&gt;5,0,1),9)</f>
        <v>0</v>
      </c>
      <c r="E54" s="213" t="n">
        <f aca="false">ROUND(INDEX(EB.AZSOLLTag100.Bereich,MATCH(INDEX(EB.Monate.Bereich,MONTH(Monat.Tag1)),EB.Monate.Bereich,0))*E$11*IF(WEEKDAY(E$10,2)&gt;5,0,1),9)</f>
        <v>0</v>
      </c>
      <c r="F54" s="214" t="n">
        <f aca="false">ROUND(INDEX(EB.AZSOLLTag100.Bereich,MATCH(INDEX(EB.Monate.Bereich,MONTH(Monat.Tag1)),EB.Monate.Bereich,0))*F$11*IF(WEEKDAY(F$10,2)&gt;5,0,1),9)</f>
        <v>0.35</v>
      </c>
      <c r="G54" s="214" t="n">
        <f aca="false">ROUND(INDEX(EB.AZSOLLTag100.Bereich,MATCH(INDEX(EB.Monate.Bereich,MONTH(Monat.Tag1)),EB.Monate.Bereich,0))*G$11*IF(WEEKDAY(G$10,2)&gt;5,0,1),9)</f>
        <v>0.35</v>
      </c>
      <c r="H54" s="214" t="n">
        <f aca="false">ROUND(INDEX(EB.AZSOLLTag100.Bereich,MATCH(INDEX(EB.Monate.Bereich,MONTH(Monat.Tag1)),EB.Monate.Bereich,0))*H$11*IF(WEEKDAY(H$10,2)&gt;5,0,1),9)</f>
        <v>0.35</v>
      </c>
      <c r="I54" s="214" t="n">
        <f aca="false">ROUND(INDEX(EB.AZSOLLTag100.Bereich,MATCH(INDEX(EB.Monate.Bereich,MONTH(Monat.Tag1)),EB.Monate.Bereich,0))*I$11*IF(WEEKDAY(I$10,2)&gt;5,0,1),9)</f>
        <v>0.35</v>
      </c>
      <c r="J54" s="213" t="n">
        <f aca="false">ROUND(INDEX(EB.AZSOLLTag100.Bereich,MATCH(INDEX(EB.Monate.Bereich,MONTH(Monat.Tag1)),EB.Monate.Bereich,0))*J$11*IF(WEEKDAY(J$10,2)&gt;5,0,1),9)</f>
        <v>0.35</v>
      </c>
      <c r="K54" s="214" t="n">
        <f aca="false">ROUND(INDEX(EB.AZSOLLTag100.Bereich,MATCH(INDEX(EB.Monate.Bereich,MONTH(Monat.Tag1)),EB.Monate.Bereich,0))*K$11*IF(WEEKDAY(K$10,2)&gt;5,0,1),9)</f>
        <v>0</v>
      </c>
      <c r="L54" s="213" t="n">
        <f aca="false">ROUND(INDEX(EB.AZSOLLTag100.Bereich,MATCH(INDEX(EB.Monate.Bereich,MONTH(Monat.Tag1)),EB.Monate.Bereich,0))*L$11*IF(WEEKDAY(L$10,2)&gt;5,0,1),9)</f>
        <v>0</v>
      </c>
      <c r="M54" s="214" t="n">
        <f aca="false">ROUND(INDEX(EB.AZSOLLTag100.Bereich,MATCH(INDEX(EB.Monate.Bereich,MONTH(Monat.Tag1)),EB.Monate.Bereich,0))*M$11*IF(WEEKDAY(M$10,2)&gt;5,0,1),9)</f>
        <v>0.35</v>
      </c>
      <c r="N54" s="214" t="n">
        <f aca="false">ROUND(INDEX(EB.AZSOLLTag100.Bereich,MATCH(INDEX(EB.Monate.Bereich,MONTH(Monat.Tag1)),EB.Monate.Bereich,0))*N$11*IF(WEEKDAY(N$10,2)&gt;5,0,1),9)</f>
        <v>0.35</v>
      </c>
      <c r="O54" s="214" t="n">
        <f aca="false">ROUND(INDEX(EB.AZSOLLTag100.Bereich,MATCH(INDEX(EB.Monate.Bereich,MONTH(Monat.Tag1)),EB.Monate.Bereich,0))*O$11*IF(WEEKDAY(O$10,2)&gt;5,0,1),9)</f>
        <v>0.35</v>
      </c>
      <c r="P54" s="214" t="n">
        <f aca="false">ROUND(INDEX(EB.AZSOLLTag100.Bereich,MATCH(INDEX(EB.Monate.Bereich,MONTH(Monat.Tag1)),EB.Monate.Bereich,0))*P$11*IF(WEEKDAY(P$10,2)&gt;5,0,1),9)</f>
        <v>0.35</v>
      </c>
      <c r="Q54" s="213" t="n">
        <f aca="false">ROUND(INDEX(EB.AZSOLLTag100.Bereich,MATCH(INDEX(EB.Monate.Bereich,MONTH(Monat.Tag1)),EB.Monate.Bereich,0))*Q$11*IF(WEEKDAY(Q$10,2)&gt;5,0,1),9)</f>
        <v>0.35</v>
      </c>
      <c r="R54" s="214" t="n">
        <f aca="false">ROUND(INDEX(EB.AZSOLLTag100.Bereich,MATCH(INDEX(EB.Monate.Bereich,MONTH(Monat.Tag1)),EB.Monate.Bereich,0))*R$11*IF(WEEKDAY(R$10,2)&gt;5,0,1),9)</f>
        <v>0</v>
      </c>
      <c r="S54" s="213" t="n">
        <f aca="false">ROUND(INDEX(EB.AZSOLLTag100.Bereich,MATCH(INDEX(EB.Monate.Bereich,MONTH(Monat.Tag1)),EB.Monate.Bereich,0))*S$11*IF(WEEKDAY(S$10,2)&gt;5,0,1),9)</f>
        <v>0</v>
      </c>
      <c r="T54" s="213" t="n">
        <f aca="false">ROUND(INDEX(EB.AZSOLLTag100.Bereich,MATCH(INDEX(EB.Monate.Bereich,MONTH(Monat.Tag1)),EB.Monate.Bereich,0))*T$11*IF(WEEKDAY(T$10,2)&gt;5,0,1),9)</f>
        <v>0.35</v>
      </c>
      <c r="U54" s="214" t="n">
        <f aca="false">ROUND(INDEX(EB.AZSOLLTag100.Bereich,MATCH(INDEX(EB.Monate.Bereich,MONTH(Monat.Tag1)),EB.Monate.Bereich,0))*U$11*IF(WEEKDAY(U$10,2)&gt;5,0,1),9)</f>
        <v>0.35</v>
      </c>
      <c r="V54" s="214" t="n">
        <f aca="false">ROUND(INDEX(EB.AZSOLLTag100.Bereich,MATCH(INDEX(EB.Monate.Bereich,MONTH(Monat.Tag1)),EB.Monate.Bereich,0))*V$11*IF(WEEKDAY(V$10,2)&gt;5,0,1),9)</f>
        <v>0.35</v>
      </c>
      <c r="W54" s="214" t="n">
        <f aca="false">ROUND(INDEX(EB.AZSOLLTag100.Bereich,MATCH(INDEX(EB.Monate.Bereich,MONTH(Monat.Tag1)),EB.Monate.Bereich,0))*W$11*IF(WEEKDAY(W$10,2)&gt;5,0,1),9)</f>
        <v>0.35</v>
      </c>
      <c r="X54" s="213" t="n">
        <f aca="false">ROUND(INDEX(EB.AZSOLLTag100.Bereich,MATCH(INDEX(EB.Monate.Bereich,MONTH(Monat.Tag1)),EB.Monate.Bereich,0))*X$11*IF(WEEKDAY(X$10,2)&gt;5,0,1),9)</f>
        <v>0.35</v>
      </c>
      <c r="Y54" s="214" t="n">
        <f aca="false">ROUND(INDEX(EB.AZSOLLTag100.Bereich,MATCH(INDEX(EB.Monate.Bereich,MONTH(Monat.Tag1)),EB.Monate.Bereich,0))*Y$11*IF(WEEKDAY(Y$10,2)&gt;5,0,1),9)</f>
        <v>0</v>
      </c>
      <c r="Z54" s="215" t="n">
        <f aca="false">ROUND(INDEX(EB.AZSOLLTag100.Bereich,MATCH(INDEX(EB.Monate.Bereich,MONTH(Monat.Tag1)),EB.Monate.Bereich,0))*Z$11*IF(WEEKDAY(Z$10,2)&gt;5,0,1),9)</f>
        <v>0</v>
      </c>
      <c r="AA54" s="214" t="n">
        <f aca="false">ROUND(INDEX(EB.AZSOLLTag100.Bereich,MATCH(INDEX(EB.Monate.Bereich,MONTH(Monat.Tag1)),EB.Monate.Bereich,0))*AA$11*IF(WEEKDAY(AA$10,2)&gt;5,0,1),9)</f>
        <v>0.35</v>
      </c>
      <c r="AB54" s="214" t="n">
        <f aca="false">ROUND(INDEX(EB.AZSOLLTag100.Bereich,MATCH(INDEX(EB.Monate.Bereich,MONTH(Monat.Tag1)),EB.Monate.Bereich,0))*AB$11*IF(WEEKDAY(AB$10,2)&gt;5,0,1),9)</f>
        <v>0.35</v>
      </c>
      <c r="AC54" s="214" t="n">
        <f aca="false">ROUND(INDEX(EB.AZSOLLTag100.Bereich,MATCH(INDEX(EB.Monate.Bereich,MONTH(Monat.Tag1)),EB.Monate.Bereich,0))*AC$11*IF(WEEKDAY(AC$10,2)&gt;5,0,1),9)</f>
        <v>0.35</v>
      </c>
      <c r="AD54" s="214" t="n">
        <f aca="false">ROUND(INDEX(EB.AZSOLLTag100.Bereich,MATCH(INDEX(EB.Monate.Bereich,MONTH(Monat.Tag1)),EB.Monate.Bereich,0))*AD$11*IF(WEEKDAY(AD$10,2)&gt;5,0,1),9)</f>
        <v>0.25</v>
      </c>
      <c r="AE54" s="213" t="n">
        <f aca="false">ROUND(INDEX(EB.AZSOLLTag100.Bereich,MATCH(INDEX(EB.Monate.Bereich,MONTH(Monat.Tag1)),EB.Monate.Bereich,0))*AE$11*IF(WEEKDAY(AE$10,2)&gt;5,0,1),9)</f>
        <v>0</v>
      </c>
      <c r="AF54" s="214" t="n">
        <f aca="false">ROUND(INDEX(EB.AZSOLLTag100.Bereich,MATCH(INDEX(EB.Monate.Bereich,MONTH(Monat.Tag1)),EB.Monate.Bereich,0))*AF$11*IF(WEEKDAY(AF$10,2)&gt;5,0,1),9)</f>
        <v>0</v>
      </c>
      <c r="AG54" s="168" t="str">
        <f aca="false">A54</f>
        <v>Req. hours of work 100%</v>
      </c>
      <c r="AH54" s="184"/>
      <c r="AI54" s="207" t="n">
        <f aca="false">SUM(B54:AF54)</f>
        <v>7.25</v>
      </c>
      <c r="AJ54" s="180"/>
      <c r="AK54" s="172"/>
      <c r="AL54" s="172"/>
      <c r="AM54" s="172"/>
      <c r="AN54" s="171"/>
      <c r="AO54" s="172"/>
      <c r="AP54" s="172"/>
      <c r="AQ54" s="39"/>
    </row>
    <row r="55" s="148" customFormat="true" ht="15" hidden="false" customHeight="true" outlineLevel="0" collapsed="false">
      <c r="A55" s="175" t="s">
        <v>143</v>
      </c>
      <c r="B55" s="203" t="n">
        <f aca="false">ROUND(B51-B53,9)</f>
        <v>0</v>
      </c>
      <c r="C55" s="203" t="n">
        <f aca="false">ROUND(C51-C53,9)</f>
        <v>0</v>
      </c>
      <c r="D55" s="203" t="n">
        <f aca="false">ROUND(D51-D53,9)</f>
        <v>0</v>
      </c>
      <c r="E55" s="205" t="n">
        <f aca="false">ROUND(E51-E53,9)</f>
        <v>0</v>
      </c>
      <c r="F55" s="203" t="n">
        <f aca="false">ROUND(F51-F53,9)</f>
        <v>0</v>
      </c>
      <c r="G55" s="203" t="n">
        <f aca="false">ROUND(G51-G53,9)</f>
        <v>0</v>
      </c>
      <c r="H55" s="203" t="n">
        <f aca="false">ROUND(H51-H53,9)</f>
        <v>0</v>
      </c>
      <c r="I55" s="203" t="n">
        <f aca="false">ROUND(I51-I53,9)</f>
        <v>0</v>
      </c>
      <c r="J55" s="205" t="n">
        <f aca="false">ROUND(J51-J53,9)</f>
        <v>0</v>
      </c>
      <c r="K55" s="203" t="n">
        <f aca="false">ROUND(K51-K53,9)</f>
        <v>0</v>
      </c>
      <c r="L55" s="205" t="n">
        <f aca="false">ROUND(L51-L53,9)</f>
        <v>0</v>
      </c>
      <c r="M55" s="203" t="n">
        <f aca="false">ROUND(M51-M53,9)</f>
        <v>0</v>
      </c>
      <c r="N55" s="203" t="n">
        <f aca="false">ROUND(N51-N53,9)</f>
        <v>0</v>
      </c>
      <c r="O55" s="203" t="n">
        <f aca="false">ROUND(O51-O53,9)</f>
        <v>0</v>
      </c>
      <c r="P55" s="203" t="n">
        <f aca="false">ROUND(P51-P53,9)</f>
        <v>0</v>
      </c>
      <c r="Q55" s="205" t="n">
        <f aca="false">ROUND(Q51-Q53,9)</f>
        <v>0</v>
      </c>
      <c r="R55" s="203" t="n">
        <f aca="false">ROUND(R51-R53,9)</f>
        <v>0</v>
      </c>
      <c r="S55" s="205" t="n">
        <f aca="false">ROUND(S51-S53,9)</f>
        <v>0</v>
      </c>
      <c r="T55" s="205" t="n">
        <f aca="false">ROUND(T51-T53,9)</f>
        <v>0</v>
      </c>
      <c r="U55" s="203" t="n">
        <f aca="false">ROUND(U51-U53,9)</f>
        <v>0</v>
      </c>
      <c r="V55" s="203" t="n">
        <f aca="false">ROUND(V51-V53,9)</f>
        <v>0</v>
      </c>
      <c r="W55" s="203" t="n">
        <f aca="false">ROUND(W51-W53,9)</f>
        <v>0</v>
      </c>
      <c r="X55" s="205" t="n">
        <f aca="false">ROUND(X51-X53,9)</f>
        <v>0</v>
      </c>
      <c r="Y55" s="203" t="n">
        <f aca="false">ROUND(Y51-Y53,9)</f>
        <v>0</v>
      </c>
      <c r="Z55" s="206" t="n">
        <f aca="false">ROUND(Z51-Z53,9)</f>
        <v>0</v>
      </c>
      <c r="AA55" s="203" t="n">
        <f aca="false">ROUND(AA51-AA53,9)</f>
        <v>0</v>
      </c>
      <c r="AB55" s="203" t="n">
        <f aca="false">ROUND(AB51-AB53,9)</f>
        <v>0</v>
      </c>
      <c r="AC55" s="203" t="n">
        <f aca="false">ROUND(AC51-AC53,9)</f>
        <v>0</v>
      </c>
      <c r="AD55" s="203" t="n">
        <f aca="false">ROUND(AD51-AD53,9)</f>
        <v>0</v>
      </c>
      <c r="AE55" s="205" t="n">
        <f aca="false">ROUND(AE51-AE53,9)</f>
        <v>0</v>
      </c>
      <c r="AF55" s="203" t="n">
        <f aca="false">ROUND(AF51-AF53,9)</f>
        <v>0</v>
      </c>
      <c r="AG55" s="168" t="str">
        <f aca="false">A55</f>
        <v>+/- required/actual hours daily</v>
      </c>
      <c r="AH55" s="184"/>
      <c r="AI55" s="207" t="n">
        <f aca="false">SUM(B55:AF55)</f>
        <v>0</v>
      </c>
      <c r="AJ55" s="180"/>
      <c r="AK55" s="172"/>
      <c r="AL55" s="216" t="n">
        <f aca="false">IF(EB.Anwendung&lt;&gt;"",IF(MONTH(Monat.Tag1)=1,0,IF(MONTH(Monat.Tag1)=2,January!Monat.Soll_Ist_UeVM,IF(MONTH(Monat.Tag1)=3,February!Monat.Soll_Ist_UeVM,IF(MONTH(Monat.Tag1)=4,Monat.Soll_Ist_UeVM,IF(MONTH(Monat.Tag1)=5,April!Monat.Soll_Ist_UeVM,IF(MONTH(Monat.Tag1)=6,May!Monat.Soll_Ist_UeVM,IF(MONTH(Monat.Tag1)=7,June!Monat.Soll_Ist_UeVM,IF(MONTH(Monat.Tag1)=8,July!Monat.Soll_Ist_UeVM,IF(MONTH(Monat.Tag1)=9,August!Monat.Soll_Ist_UeVM,IF(MONTH(Monat.Tag1)=10,September!Monat.Soll_Ist_UeVM,IF(MONTH(Monat.Tag1)=11,October!Monat.Soll_Ist_UeVM,IF(MONTH(Monat.Tag1)=12,November!Monat.Soll_Ist_UeVM,"")))))))))))),"")</f>
        <v>0</v>
      </c>
      <c r="AM55" s="172"/>
      <c r="AN55" s="217" t="n">
        <f aca="false">IF(AH57="+",(AI55+AI57),(AI55-AI57))</f>
        <v>0</v>
      </c>
      <c r="AO55" s="217" t="n">
        <f aca="true">SUM(OFFSET(J.AZSaldo.Total,-12,0,MONTH(Monat.Tag1),1))</f>
        <v>0</v>
      </c>
      <c r="AP55" s="217" t="n">
        <f aca="false">J.AZSaldo.Total</f>
        <v>-54.918055555</v>
      </c>
      <c r="AQ55" s="39"/>
    </row>
    <row r="56" s="148" customFormat="true" ht="15" hidden="false" customHeight="true" outlineLevel="0" collapsed="false">
      <c r="A56" s="175" t="s">
        <v>144</v>
      </c>
      <c r="B56" s="218" t="n">
        <f aca="true">IF(EB.Anwendung&lt;&gt;"",IF(DAY(B$10)=1,IF(MONTH(Monat.Tag1)=1,ROUND(EB.ÜVMMS,9), IF(MONTH(Monat.Tag1)=2,January!Monat.MMS.UeVM,IF(MONTH(Monat.Tag1)=3,February!Monat.MMS.UeVM,IF(MONTH(Monat.Tag1)=4,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B$10&gt;TODAY(),0,B55), IF(B$10&gt;TODAY(),A56,A56+B55)),"")</f>
        <v>0</v>
      </c>
      <c r="C56" s="218" t="n">
        <f aca="true">IF(EB.Anwendung&lt;&gt;"",IF(DAY(C$10)=1,IF(MONTH(Monat.Tag1)=1,ROUND(EB.ÜVMMS,9), IF(MONTH(Monat.Tag1)=2,January!Monat.MMS.UeVM,IF(MONTH(Monat.Tag1)=3,February!Monat.MMS.UeVM,IF(MONTH(Monat.Tag1)=4,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C$10&gt;TODAY(),0,C55), IF(C$10&gt;TODAY(),B56,B56+C55)),"")</f>
        <v>0</v>
      </c>
      <c r="D56" s="218" t="n">
        <f aca="true">IF(EB.Anwendung&lt;&gt;"",IF(DAY(D$10)=1,IF(MONTH(Monat.Tag1)=1,ROUND(EB.ÜVMMS,9), IF(MONTH(Monat.Tag1)=2,January!Monat.MMS.UeVM,IF(MONTH(Monat.Tag1)=3,February!Monat.MMS.UeVM,IF(MONTH(Monat.Tag1)=4,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D$10&gt;TODAY(),0,D55), IF(D$10&gt;TODAY(),C56,C56+D55)),"")</f>
        <v>0</v>
      </c>
      <c r="E56" s="218" t="n">
        <f aca="true">IF(EB.Anwendung&lt;&gt;"",IF(DAY(E$10)=1,IF(MONTH(Monat.Tag1)=1,ROUND(EB.ÜVMMS,9), IF(MONTH(Monat.Tag1)=2,January!Monat.MMS.UeVM,IF(MONTH(Monat.Tag1)=3,February!Monat.MMS.UeVM,IF(MONTH(Monat.Tag1)=4,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E$10&gt;TODAY(),0,E55), IF(E$10&gt;TODAY(),D56,D56+E55)),"")</f>
        <v>0</v>
      </c>
      <c r="F56" s="218" t="n">
        <f aca="true">IF(EB.Anwendung&lt;&gt;"",IF(DAY(F$10)=1,IF(MONTH(Monat.Tag1)=1,ROUND(EB.ÜVMMS,9), IF(MONTH(Monat.Tag1)=2,January!Monat.MMS.UeVM,IF(MONTH(Monat.Tag1)=3,February!Monat.MMS.UeVM,IF(MONTH(Monat.Tag1)=4,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F$10&gt;TODAY(),0,F55), IF(F$10&gt;TODAY(),E56,E56+F55)),"")</f>
        <v>0</v>
      </c>
      <c r="G56" s="218" t="n">
        <f aca="true">IF(EB.Anwendung&lt;&gt;"",IF(DAY(G$10)=1,IF(MONTH(Monat.Tag1)=1,ROUND(EB.ÜVMMS,9), IF(MONTH(Monat.Tag1)=2,January!Monat.MMS.UeVM,IF(MONTH(Monat.Tag1)=3,February!Monat.MMS.UeVM,IF(MONTH(Monat.Tag1)=4,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G$10&gt;TODAY(),0,G55), IF(G$10&gt;TODAY(),F56,F56+G55)),"")</f>
        <v>0</v>
      </c>
      <c r="H56" s="218" t="n">
        <f aca="true">IF(EB.Anwendung&lt;&gt;"",IF(DAY(H$10)=1,IF(MONTH(Monat.Tag1)=1,ROUND(EB.ÜVMMS,9), IF(MONTH(Monat.Tag1)=2,January!Monat.MMS.UeVM,IF(MONTH(Monat.Tag1)=3,February!Monat.MMS.UeVM,IF(MONTH(Monat.Tag1)=4,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H$10&gt;TODAY(),0,H55), IF(H$10&gt;TODAY(),G56,G56+H55)),"")</f>
        <v>0</v>
      </c>
      <c r="I56" s="218" t="n">
        <f aca="true">IF(EB.Anwendung&lt;&gt;"",IF(DAY(I$10)=1,IF(MONTH(Monat.Tag1)=1,ROUND(EB.ÜVMMS,9), IF(MONTH(Monat.Tag1)=2,January!Monat.MMS.UeVM,IF(MONTH(Monat.Tag1)=3,February!Monat.MMS.UeVM,IF(MONTH(Monat.Tag1)=4,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I$10&gt;TODAY(),0,I55), IF(I$10&gt;TODAY(),H56,H56+I55)),"")</f>
        <v>0</v>
      </c>
      <c r="J56" s="218" t="n">
        <f aca="true">IF(EB.Anwendung&lt;&gt;"",IF(DAY(J$10)=1,IF(MONTH(Monat.Tag1)=1,ROUND(EB.ÜVMMS,9), IF(MONTH(Monat.Tag1)=2,January!Monat.MMS.UeVM,IF(MONTH(Monat.Tag1)=3,February!Monat.MMS.UeVM,IF(MONTH(Monat.Tag1)=4,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J$10&gt;TODAY(),0,J55), IF(J$10&gt;TODAY(),I56,I56+J55)),"")</f>
        <v>0</v>
      </c>
      <c r="K56" s="218" t="n">
        <f aca="true">IF(EB.Anwendung&lt;&gt;"",IF(DAY(K$10)=1,IF(MONTH(Monat.Tag1)=1,ROUND(EB.ÜVMMS,9), IF(MONTH(Monat.Tag1)=2,January!Monat.MMS.UeVM,IF(MONTH(Monat.Tag1)=3,February!Monat.MMS.UeVM,IF(MONTH(Monat.Tag1)=4,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K$10&gt;TODAY(),0,K55), IF(K$10&gt;TODAY(),J56,J56+K55)),"")</f>
        <v>0</v>
      </c>
      <c r="L56" s="218" t="n">
        <f aca="true">IF(EB.Anwendung&lt;&gt;"",IF(DAY(L$10)=1,IF(MONTH(Monat.Tag1)=1,ROUND(EB.ÜVMMS,9), IF(MONTH(Monat.Tag1)=2,January!Monat.MMS.UeVM,IF(MONTH(Monat.Tag1)=3,February!Monat.MMS.UeVM,IF(MONTH(Monat.Tag1)=4,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L$10&gt;TODAY(),0,L55), IF(L$10&gt;TODAY(),K56,K56+L55)),"")</f>
        <v>0</v>
      </c>
      <c r="M56" s="218" t="n">
        <f aca="true">IF(EB.Anwendung&lt;&gt;"",IF(DAY(M$10)=1,IF(MONTH(Monat.Tag1)=1,ROUND(EB.ÜVMMS,9), IF(MONTH(Monat.Tag1)=2,January!Monat.MMS.UeVM,IF(MONTH(Monat.Tag1)=3,February!Monat.MMS.UeVM,IF(MONTH(Monat.Tag1)=4,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M$10&gt;TODAY(),0,M55), IF(M$10&gt;TODAY(),L56,L56+M55)),"")</f>
        <v>0</v>
      </c>
      <c r="N56" s="218" t="n">
        <f aca="true">IF(EB.Anwendung&lt;&gt;"",IF(DAY(N$10)=1,IF(MONTH(Monat.Tag1)=1,ROUND(EB.ÜVMMS,9), IF(MONTH(Monat.Tag1)=2,January!Monat.MMS.UeVM,IF(MONTH(Monat.Tag1)=3,February!Monat.MMS.UeVM,IF(MONTH(Monat.Tag1)=4,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N$10&gt;TODAY(),0,N55), IF(N$10&gt;TODAY(),M56,M56+N55)),"")</f>
        <v>0</v>
      </c>
      <c r="O56" s="218" t="n">
        <f aca="true">IF(EB.Anwendung&lt;&gt;"",IF(DAY(O$10)=1,IF(MONTH(Monat.Tag1)=1,ROUND(EB.ÜVMMS,9), IF(MONTH(Monat.Tag1)=2,January!Monat.MMS.UeVM,IF(MONTH(Monat.Tag1)=3,February!Monat.MMS.UeVM,IF(MONTH(Monat.Tag1)=4,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O$10&gt;TODAY(),0,O55), IF(O$10&gt;TODAY(),N56,N56+O55)),"")</f>
        <v>0</v>
      </c>
      <c r="P56" s="218" t="n">
        <f aca="true">IF(EB.Anwendung&lt;&gt;"",IF(DAY(P$10)=1,IF(MONTH(Monat.Tag1)=1,ROUND(EB.ÜVMMS,9), IF(MONTH(Monat.Tag1)=2,January!Monat.MMS.UeVM,IF(MONTH(Monat.Tag1)=3,February!Monat.MMS.UeVM,IF(MONTH(Monat.Tag1)=4,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P$10&gt;TODAY(),0,P55), IF(P$10&gt;TODAY(),O56,O56+P55)),"")</f>
        <v>0</v>
      </c>
      <c r="Q56" s="218" t="n">
        <f aca="true">IF(EB.Anwendung&lt;&gt;"",IF(DAY(Q$10)=1,IF(MONTH(Monat.Tag1)=1,ROUND(EB.ÜVMMS,9), IF(MONTH(Monat.Tag1)=2,January!Monat.MMS.UeVM,IF(MONTH(Monat.Tag1)=3,February!Monat.MMS.UeVM,IF(MONTH(Monat.Tag1)=4,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Q$10&gt;TODAY(),0,Q55), IF(Q$10&gt;TODAY(),P56,P56+Q55)),"")</f>
        <v>0</v>
      </c>
      <c r="R56" s="218" t="n">
        <f aca="true">IF(EB.Anwendung&lt;&gt;"",IF(DAY(R$10)=1,IF(MONTH(Monat.Tag1)=1,ROUND(EB.ÜVMMS,9), IF(MONTH(Monat.Tag1)=2,January!Monat.MMS.UeVM,IF(MONTH(Monat.Tag1)=3,February!Monat.MMS.UeVM,IF(MONTH(Monat.Tag1)=4,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R$10&gt;TODAY(),0,R55), IF(R$10&gt;TODAY(),Q56,Q56+R55)),"")</f>
        <v>0</v>
      </c>
      <c r="S56" s="218" t="n">
        <f aca="true">IF(EB.Anwendung&lt;&gt;"",IF(DAY(S$10)=1,IF(MONTH(Monat.Tag1)=1,ROUND(EB.ÜVMMS,9), IF(MONTH(Monat.Tag1)=2,January!Monat.MMS.UeVM,IF(MONTH(Monat.Tag1)=3,February!Monat.MMS.UeVM,IF(MONTH(Monat.Tag1)=4,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S$10&gt;TODAY(),0,S55), IF(S$10&gt;TODAY(),R56,R56+S55)),"")</f>
        <v>0</v>
      </c>
      <c r="T56" s="218" t="n">
        <f aca="true">IF(EB.Anwendung&lt;&gt;"",IF(DAY(T$10)=1,IF(MONTH(Monat.Tag1)=1,ROUND(EB.ÜVMMS,9), IF(MONTH(Monat.Tag1)=2,January!Monat.MMS.UeVM,IF(MONTH(Monat.Tag1)=3,February!Monat.MMS.UeVM,IF(MONTH(Monat.Tag1)=4,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T$10&gt;TODAY(),0,T55), IF(T$10&gt;TODAY(),S56,S56+T55)),"")</f>
        <v>0</v>
      </c>
      <c r="U56" s="218" t="n">
        <f aca="true">IF(EB.Anwendung&lt;&gt;"",IF(DAY(U$10)=1,IF(MONTH(Monat.Tag1)=1,ROUND(EB.ÜVMMS,9), IF(MONTH(Monat.Tag1)=2,January!Monat.MMS.UeVM,IF(MONTH(Monat.Tag1)=3,February!Monat.MMS.UeVM,IF(MONTH(Monat.Tag1)=4,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U$10&gt;TODAY(),0,U55), IF(U$10&gt;TODAY(),T56,T56+U55)),"")</f>
        <v>0</v>
      </c>
      <c r="V56" s="218" t="n">
        <f aca="true">IF(EB.Anwendung&lt;&gt;"",IF(DAY(V$10)=1,IF(MONTH(Monat.Tag1)=1,ROUND(EB.ÜVMMS,9), IF(MONTH(Monat.Tag1)=2,January!Monat.MMS.UeVM,IF(MONTH(Monat.Tag1)=3,February!Monat.MMS.UeVM,IF(MONTH(Monat.Tag1)=4,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V$10&gt;TODAY(),0,V55), IF(V$10&gt;TODAY(),U56,U56+V55)),"")</f>
        <v>0</v>
      </c>
      <c r="W56" s="218" t="n">
        <f aca="true">IF(EB.Anwendung&lt;&gt;"",IF(DAY(W$10)=1,IF(MONTH(Monat.Tag1)=1,ROUND(EB.ÜVMMS,9), IF(MONTH(Monat.Tag1)=2,January!Monat.MMS.UeVM,IF(MONTH(Monat.Tag1)=3,February!Monat.MMS.UeVM,IF(MONTH(Monat.Tag1)=4,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W$10&gt;TODAY(),0,W55), IF(W$10&gt;TODAY(),V56,V56+W55)),"")</f>
        <v>0</v>
      </c>
      <c r="X56" s="218" t="n">
        <f aca="true">IF(EB.Anwendung&lt;&gt;"",IF(DAY(X$10)=1,IF(MONTH(Monat.Tag1)=1,ROUND(EB.ÜVMMS,9), IF(MONTH(Monat.Tag1)=2,January!Monat.MMS.UeVM,IF(MONTH(Monat.Tag1)=3,February!Monat.MMS.UeVM,IF(MONTH(Monat.Tag1)=4,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X$10&gt;TODAY(),0,X55), IF(X$10&gt;TODAY(),W56,W56+X55)),"")</f>
        <v>0</v>
      </c>
      <c r="Y56" s="218" t="n">
        <f aca="true">IF(EB.Anwendung&lt;&gt;"",IF(DAY(Y$10)=1,IF(MONTH(Monat.Tag1)=1,ROUND(EB.ÜVMMS,9), IF(MONTH(Monat.Tag1)=2,January!Monat.MMS.UeVM,IF(MONTH(Monat.Tag1)=3,February!Monat.MMS.UeVM,IF(MONTH(Monat.Tag1)=4,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Y$10&gt;TODAY(),0,Y55), IF(Y$10&gt;TODAY(),X56,X56+Y55)),"")</f>
        <v>0</v>
      </c>
      <c r="Z56" s="218" t="n">
        <f aca="true">IF(EB.Anwendung&lt;&gt;"",IF(DAY(Z$10)=1,IF(MONTH(Monat.Tag1)=1,ROUND(EB.ÜVMMS,9), IF(MONTH(Monat.Tag1)=2,January!Monat.MMS.UeVM,IF(MONTH(Monat.Tag1)=3,February!Monat.MMS.UeVM,IF(MONTH(Monat.Tag1)=4,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Z$10&gt;TODAY(),0,Z55), IF(Z$10&gt;TODAY(),Y56,Y56+Z55)),"")</f>
        <v>0</v>
      </c>
      <c r="AA56" s="218" t="n">
        <f aca="true">IF(EB.Anwendung&lt;&gt;"",IF(DAY(AA$10)=1,IF(MONTH(Monat.Tag1)=1,ROUND(EB.ÜVMMS,9), IF(MONTH(Monat.Tag1)=2,January!Monat.MMS.UeVM,IF(MONTH(Monat.Tag1)=3,February!Monat.MMS.UeVM,IF(MONTH(Monat.Tag1)=4,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AA$10&gt;TODAY(),0,AA55), IF(AA$10&gt;TODAY(),Z56,Z56+AA55)),"")</f>
        <v>0</v>
      </c>
      <c r="AB56" s="218" t="n">
        <f aca="true">IF(EB.Anwendung&lt;&gt;"",IF(DAY(AB$10)=1,IF(MONTH(Monat.Tag1)=1,ROUND(EB.ÜVMMS,9), IF(MONTH(Monat.Tag1)=2,January!Monat.MMS.UeVM,IF(MONTH(Monat.Tag1)=3,February!Monat.MMS.UeVM,IF(MONTH(Monat.Tag1)=4,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AB$10&gt;TODAY(),0,AB55), IF(AB$10&gt;TODAY(),AA56,AA56+AB55)),"")</f>
        <v>0</v>
      </c>
      <c r="AC56" s="218" t="n">
        <f aca="true">IF(EB.Anwendung&lt;&gt;"",IF(DAY(AC$10)=1,IF(MONTH(Monat.Tag1)=1,ROUND(EB.ÜVMMS,9), IF(MONTH(Monat.Tag1)=2,January!Monat.MMS.UeVM,IF(MONTH(Monat.Tag1)=3,February!Monat.MMS.UeVM,IF(MONTH(Monat.Tag1)=4,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AC$10&gt;TODAY(),0,AC55), IF(AC$10&gt;TODAY(),AB56,AB56+AC55)),"")</f>
        <v>0</v>
      </c>
      <c r="AD56" s="218" t="n">
        <f aca="true">IF(EB.Anwendung&lt;&gt;"",IF(DAY(AD$10)=1,IF(MONTH(Monat.Tag1)=1,ROUND(EB.ÜVMMS,9), IF(MONTH(Monat.Tag1)=2,January!Monat.MMS.UeVM,IF(MONTH(Monat.Tag1)=3,February!Monat.MMS.UeVM,IF(MONTH(Monat.Tag1)=4,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AD$10&gt;TODAY(),0,AD55), IF(AD$10&gt;TODAY(),AC56,AC56+AD55)),"")</f>
        <v>0</v>
      </c>
      <c r="AE56" s="218" t="n">
        <f aca="true">IF(EB.Anwendung&lt;&gt;"",IF(DAY(AE$10)=1,IF(MONTH(Monat.Tag1)=1,ROUND(EB.ÜVMMS,9), IF(MONTH(Monat.Tag1)=2,January!Monat.MMS.UeVM,IF(MONTH(Monat.Tag1)=3,February!Monat.MMS.UeVM,IF(MONTH(Monat.Tag1)=4,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AE$10&gt;TODAY(),0,AE55), IF(AE$10&gt;TODAY(),AD56,AD56+AE55)),"")</f>
        <v>0</v>
      </c>
      <c r="AF56" s="218" t="n">
        <f aca="true">IF(EB.Anwendung&lt;&gt;"",IF(DAY(AF$10)=1,IF(MONTH(Monat.Tag1)=1,ROUND(EB.ÜVMMS,9), IF(MONTH(Monat.Tag1)=2,January!Monat.MMS.UeVM,IF(MONTH(Monat.Tag1)=3,February!Monat.MMS.UeVM,IF(MONTH(Monat.Tag1)=4,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AF$10&gt;TODAY(),0,AF55), IF(AF$10&gt;TODAY(),AE56,AE56+AF55)),"")</f>
        <v>0</v>
      </c>
      <c r="AG56" s="168" t="str">
        <f aca="false">A56</f>
        <v>current extra/minus hours</v>
      </c>
      <c r="AH56" s="184"/>
      <c r="AI56" s="207" t="n">
        <f aca="true">OFFSET(B56,0,DAY(EOMONTH(Monat.Tag1,0))-1,1,1)</f>
        <v>0</v>
      </c>
      <c r="AJ56" s="180"/>
      <c r="AK56" s="172"/>
      <c r="AL56" s="172"/>
      <c r="AM56" s="172"/>
      <c r="AN56" s="171"/>
      <c r="AO56" s="172"/>
      <c r="AP56" s="172"/>
      <c r="AQ56" s="39"/>
    </row>
    <row r="57" s="231" customFormat="true" ht="15" hidden="false" customHeight="true" outlineLevel="1" collapsed="false">
      <c r="A57" s="219"/>
      <c r="B57" s="220"/>
      <c r="C57" s="220"/>
      <c r="D57" s="220"/>
      <c r="E57" s="152"/>
      <c r="F57" s="220"/>
      <c r="G57" s="220"/>
      <c r="H57" s="221"/>
      <c r="I57" s="220"/>
      <c r="J57" s="222"/>
      <c r="K57" s="220"/>
      <c r="L57" s="223"/>
      <c r="M57" s="220"/>
      <c r="N57" s="220"/>
      <c r="O57" s="221"/>
      <c r="P57" s="220"/>
      <c r="Q57" s="152"/>
      <c r="R57" s="220"/>
      <c r="S57" s="223"/>
      <c r="T57" s="220"/>
      <c r="U57" s="220"/>
      <c r="V57" s="221"/>
      <c r="W57" s="220"/>
      <c r="X57" s="224"/>
      <c r="Y57" s="220"/>
      <c r="Z57" s="152"/>
      <c r="AA57" s="220"/>
      <c r="AB57" s="220"/>
      <c r="AC57" s="221"/>
      <c r="AD57" s="220"/>
      <c r="AE57" s="152"/>
      <c r="AF57" s="225"/>
      <c r="AG57" s="175" t="s">
        <v>145</v>
      </c>
      <c r="AH57" s="226" t="s">
        <v>146</v>
      </c>
      <c r="AI57" s="227"/>
      <c r="AJ57" s="228"/>
      <c r="AK57" s="229"/>
      <c r="AL57" s="172"/>
      <c r="AM57" s="172"/>
      <c r="AN57" s="171"/>
      <c r="AO57" s="230"/>
      <c r="AP57" s="230"/>
      <c r="AQ57" s="96"/>
    </row>
    <row r="58" s="236" customFormat="true" ht="15" hidden="false" customHeight="true" outlineLevel="0" collapsed="false">
      <c r="A58" s="232"/>
      <c r="B58" s="223"/>
      <c r="C58" s="223"/>
      <c r="D58" s="223"/>
      <c r="E58" s="152"/>
      <c r="F58" s="223"/>
      <c r="G58" s="223"/>
      <c r="H58" s="223"/>
      <c r="I58" s="223"/>
      <c r="J58" s="152"/>
      <c r="K58" s="223"/>
      <c r="L58" s="223"/>
      <c r="M58" s="223"/>
      <c r="N58" s="223"/>
      <c r="O58" s="223"/>
      <c r="P58" s="223"/>
      <c r="Q58" s="152"/>
      <c r="R58" s="223"/>
      <c r="S58" s="223"/>
      <c r="T58" s="223"/>
      <c r="U58" s="223"/>
      <c r="V58" s="223"/>
      <c r="W58" s="223"/>
      <c r="X58" s="224"/>
      <c r="Y58" s="223"/>
      <c r="Z58" s="152"/>
      <c r="AA58" s="223"/>
      <c r="AB58" s="223"/>
      <c r="AC58" s="223"/>
      <c r="AD58" s="223"/>
      <c r="AE58" s="152"/>
      <c r="AF58" s="233"/>
      <c r="AG58" s="234" t="s">
        <v>147</v>
      </c>
      <c r="AH58" s="184"/>
      <c r="AI58" s="207" t="n">
        <f aca="false">IF(AH57="+",(Monat.ZUeZ.Total+AI57),(Monat.ZUeZ.Total-AI57))</f>
        <v>0</v>
      </c>
      <c r="AJ58" s="33"/>
      <c r="AK58" s="235"/>
      <c r="AL58" s="216" t="n">
        <f aca="false">IF(EB.Anwendung&lt;&gt;"",IF(MONTH(Monat.Tag1)=1,EB.MMS,IF(MONTH(Monat.Tag1)=2,January!Monat.MMS.UeVM,IF(MONTH(Monat.Tag1)=3,February!Monat.MMS.UeVM,IF(MONTH(Monat.Tag1)=4,Monat.MMS.UeVM,IF(MONTH(Monat.Tag1)=5,April!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,"")</f>
        <v>0</v>
      </c>
      <c r="AM58" s="172"/>
      <c r="AN58" s="217" t="n">
        <f aca="false">AI58</f>
        <v>0</v>
      </c>
      <c r="AO58" s="172"/>
      <c r="AP58" s="172"/>
      <c r="AQ58" s="51"/>
    </row>
    <row r="59" s="148" customFormat="true" ht="11.25" hidden="false" customHeight="true" outlineLevel="0" collapsed="false">
      <c r="A59" s="186"/>
      <c r="B59" s="187"/>
      <c r="C59" s="187"/>
      <c r="D59" s="187"/>
      <c r="E59" s="187"/>
      <c r="F59" s="187"/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  <c r="U59" s="187"/>
      <c r="V59" s="187"/>
      <c r="W59" s="187"/>
      <c r="X59" s="187"/>
      <c r="Y59" s="187"/>
      <c r="Z59" s="187"/>
      <c r="AA59" s="187"/>
      <c r="AB59" s="187"/>
      <c r="AC59" s="187"/>
      <c r="AD59" s="187"/>
      <c r="AE59" s="187"/>
      <c r="AF59" s="188"/>
      <c r="AG59" s="168"/>
      <c r="AH59" s="146"/>
      <c r="AI59" s="179"/>
      <c r="AJ59" s="180"/>
      <c r="AK59" s="172"/>
      <c r="AL59" s="172"/>
      <c r="AM59" s="172"/>
      <c r="AN59" s="171"/>
      <c r="AO59" s="172"/>
      <c r="AP59" s="172"/>
      <c r="AQ59" s="39"/>
    </row>
    <row r="60" s="148" customFormat="true" ht="15" hidden="false" customHeight="true" outlineLevel="0" collapsed="false">
      <c r="A60" s="175" t="s">
        <v>148</v>
      </c>
      <c r="B60" s="237" t="str">
        <f aca="true">IF(EB.Wochenarbeitszeit=50/24,IF(T.50_Vetsuisse,IF(WEEKDAY(B$10,2)=7,MAX(0,SUM(OFFSET(B51,0,-MIN(6,DAY(B$10)-1),1,MIN(7,DAY(B$10))))+IF(AND(MONTH(Monat.Tag1)&lt;&gt;1,DAY(B$10)&lt;7), IF(MONTH(Monat.Tag1)=2,January!Monat.AZIstWRestUeVM,IF(MONTH(Monat.Tag1)=3,February!Monat.AZIstWRestUeVM,IF(MONTH(Monat.Tag1)=4,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-1/24*50),""),""),IF(B45=0,"",B45))</f>
        <v/>
      </c>
      <c r="C60" s="237" t="str">
        <f aca="true">IF(EB.Wochenarbeitszeit=50/24,IF(T.50_Vetsuisse,IF(WEEKDAY(C$10,2)=7,MAX(0,SUM(OFFSET(C51,0,-MIN(6,DAY(C$10)-1),1,MIN(7,DAY(C$10))))+IF(AND(MONTH(Monat.Tag1)&lt;&gt;1,DAY(C$10)&lt;7), IF(MONTH(Monat.Tag1)=2,January!Monat.AZIstWRestUeVM,IF(MONTH(Monat.Tag1)=3,February!Monat.AZIstWRestUeVM,IF(MONTH(Monat.Tag1)=4,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-1/24*50),""),""),IF(C45=0,"",C45))</f>
        <v/>
      </c>
      <c r="D60" s="237" t="str">
        <f aca="true">IF(EB.Wochenarbeitszeit=50/24,IF(T.50_Vetsuisse,IF(WEEKDAY(D$10,2)=7,MAX(0,SUM(OFFSET(D51,0,-MIN(6,DAY(D$10)-1),1,MIN(7,DAY(D$10))))+IF(AND(MONTH(Monat.Tag1)&lt;&gt;1,DAY(D$10)&lt;7), IF(MONTH(Monat.Tag1)=2,January!Monat.AZIstWRestUeVM,IF(MONTH(Monat.Tag1)=3,February!Monat.AZIstWRestUeVM,IF(MONTH(Monat.Tag1)=4,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-1/24*50),""),""),IF(D45=0,"",D45))</f>
        <v/>
      </c>
      <c r="E60" s="238" t="str">
        <f aca="true">IF(EB.Wochenarbeitszeit=50/24,IF(T.50_Vetsuisse,IF(WEEKDAY(E$10,2)=7,MAX(0,SUM(OFFSET(E51,0,-MIN(6,DAY(E$10)-1),1,MIN(7,DAY(E$10))))+IF(AND(MONTH(Monat.Tag1)&lt;&gt;1,DAY(E$10)&lt;7), IF(MONTH(Monat.Tag1)=2,January!Monat.AZIstWRestUeVM,IF(MONTH(Monat.Tag1)=3,February!Monat.AZIstWRestUeVM,IF(MONTH(Monat.Tag1)=4,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-1/24*50),""),""),IF(E45=0,"",E45))</f>
        <v/>
      </c>
      <c r="F60" s="237" t="str">
        <f aca="true">IF(EB.Wochenarbeitszeit=50/24,IF(T.50_Vetsuisse,IF(WEEKDAY(F$10,2)=7,MAX(0,SUM(OFFSET(F51,0,-MIN(6,DAY(F$10)-1),1,MIN(7,DAY(F$10))))+IF(AND(MONTH(Monat.Tag1)&lt;&gt;1,DAY(F$10)&lt;7), IF(MONTH(Monat.Tag1)=2,January!Monat.AZIstWRestUeVM,IF(MONTH(Monat.Tag1)=3,February!Monat.AZIstWRestUeVM,IF(MONTH(Monat.Tag1)=4,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-1/24*50),""),""),IF(F45=0,"",F45))</f>
        <v/>
      </c>
      <c r="G60" s="237" t="str">
        <f aca="true">IF(EB.Wochenarbeitszeit=50/24,IF(T.50_Vetsuisse,IF(WEEKDAY(G$10,2)=7,MAX(0,SUM(OFFSET(G51,0,-MIN(6,DAY(G$10)-1),1,MIN(7,DAY(G$10))))+IF(AND(MONTH(Monat.Tag1)&lt;&gt;1,DAY(G$10)&lt;7), IF(MONTH(Monat.Tag1)=2,January!Monat.AZIstWRestUeVM,IF(MONTH(Monat.Tag1)=3,February!Monat.AZIstWRestUeVM,IF(MONTH(Monat.Tag1)=4,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-1/24*50),""),""),IF(G45=0,"",G45))</f>
        <v/>
      </c>
      <c r="H60" s="237" t="str">
        <f aca="true">IF(EB.Wochenarbeitszeit=50/24,IF(T.50_Vetsuisse,IF(WEEKDAY(H$10,2)=7,MAX(0,SUM(OFFSET(H51,0,-MIN(6,DAY(H$10)-1),1,MIN(7,DAY(H$10))))+IF(AND(MONTH(Monat.Tag1)&lt;&gt;1,DAY(H$10)&lt;7), IF(MONTH(Monat.Tag1)=2,January!Monat.AZIstWRestUeVM,IF(MONTH(Monat.Tag1)=3,February!Monat.AZIstWRestUeVM,IF(MONTH(Monat.Tag1)=4,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-1/24*50),""),""),IF(H45=0,"",H45))</f>
        <v/>
      </c>
      <c r="I60" s="237" t="str">
        <f aca="true">IF(EB.Wochenarbeitszeit=50/24,IF(T.50_Vetsuisse,IF(WEEKDAY(I$10,2)=7,MAX(0,SUM(OFFSET(I51,0,-MIN(6,DAY(I$10)-1),1,MIN(7,DAY(I$10))))+IF(AND(MONTH(Monat.Tag1)&lt;&gt;1,DAY(I$10)&lt;7), IF(MONTH(Monat.Tag1)=2,January!Monat.AZIstWRestUeVM,IF(MONTH(Monat.Tag1)=3,February!Monat.AZIstWRestUeVM,IF(MONTH(Monat.Tag1)=4,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-1/24*50),""),""),IF(I45=0,"",I45))</f>
        <v/>
      </c>
      <c r="J60" s="238" t="str">
        <f aca="true">IF(EB.Wochenarbeitszeit=50/24,IF(T.50_Vetsuisse,IF(WEEKDAY(J$10,2)=7,MAX(0,SUM(OFFSET(J51,0,-MIN(6,DAY(J$10)-1),1,MIN(7,DAY(J$10))))+IF(AND(MONTH(Monat.Tag1)&lt;&gt;1,DAY(J$10)&lt;7), IF(MONTH(Monat.Tag1)=2,January!Monat.AZIstWRestUeVM,IF(MONTH(Monat.Tag1)=3,February!Monat.AZIstWRestUeVM,IF(MONTH(Monat.Tag1)=4,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-1/24*50),""),""),IF(J45=0,"",J45))</f>
        <v/>
      </c>
      <c r="K60" s="237" t="str">
        <f aca="true">IF(EB.Wochenarbeitszeit=50/24,IF(T.50_Vetsuisse,IF(WEEKDAY(K$10,2)=7,MAX(0,SUM(OFFSET(K51,0,-MIN(6,DAY(K$10)-1),1,MIN(7,DAY(K$10))))+IF(AND(MONTH(Monat.Tag1)&lt;&gt;1,DAY(K$10)&lt;7), IF(MONTH(Monat.Tag1)=2,January!Monat.AZIstWRestUeVM,IF(MONTH(Monat.Tag1)=3,February!Monat.AZIstWRestUeVM,IF(MONTH(Monat.Tag1)=4,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-1/24*50),""),""),IF(K45=0,"",K45))</f>
        <v/>
      </c>
      <c r="L60" s="238" t="str">
        <f aca="true">IF(EB.Wochenarbeitszeit=50/24,IF(T.50_Vetsuisse,IF(WEEKDAY(L$10,2)=7,MAX(0,SUM(OFFSET(L51,0,-MIN(6,DAY(L$10)-1),1,MIN(7,DAY(L$10))))+IF(AND(MONTH(Monat.Tag1)&lt;&gt;1,DAY(L$10)&lt;7), IF(MONTH(Monat.Tag1)=2,January!Monat.AZIstWRestUeVM,IF(MONTH(Monat.Tag1)=3,February!Monat.AZIstWRestUeVM,IF(MONTH(Monat.Tag1)=4,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-1/24*50),""),""),IF(L45=0,"",L45))</f>
        <v/>
      </c>
      <c r="M60" s="237" t="str">
        <f aca="true">IF(EB.Wochenarbeitszeit=50/24,IF(T.50_Vetsuisse,IF(WEEKDAY(M$10,2)=7,MAX(0,SUM(OFFSET(M51,0,-MIN(6,DAY(M$10)-1),1,MIN(7,DAY(M$10))))+IF(AND(MONTH(Monat.Tag1)&lt;&gt;1,DAY(M$10)&lt;7), IF(MONTH(Monat.Tag1)=2,January!Monat.AZIstWRestUeVM,IF(MONTH(Monat.Tag1)=3,February!Monat.AZIstWRestUeVM,IF(MONTH(Monat.Tag1)=4,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-1/24*50),""),""),IF(M45=0,"",M45))</f>
        <v/>
      </c>
      <c r="N60" s="237" t="str">
        <f aca="true">IF(EB.Wochenarbeitszeit=50/24,IF(T.50_Vetsuisse,IF(WEEKDAY(N$10,2)=7,MAX(0,SUM(OFFSET(N51,0,-MIN(6,DAY(N$10)-1),1,MIN(7,DAY(N$10))))+IF(AND(MONTH(Monat.Tag1)&lt;&gt;1,DAY(N$10)&lt;7), IF(MONTH(Monat.Tag1)=2,January!Monat.AZIstWRestUeVM,IF(MONTH(Monat.Tag1)=3,February!Monat.AZIstWRestUeVM,IF(MONTH(Monat.Tag1)=4,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-1/24*50),""),""),IF(N45=0,"",N45))</f>
        <v/>
      </c>
      <c r="O60" s="237" t="str">
        <f aca="true">IF(EB.Wochenarbeitszeit=50/24,IF(T.50_Vetsuisse,IF(WEEKDAY(O$10,2)=7,MAX(0,SUM(OFFSET(O51,0,-MIN(6,DAY(O$10)-1),1,MIN(7,DAY(O$10))))+IF(AND(MONTH(Monat.Tag1)&lt;&gt;1,DAY(O$10)&lt;7), IF(MONTH(Monat.Tag1)=2,January!Monat.AZIstWRestUeVM,IF(MONTH(Monat.Tag1)=3,February!Monat.AZIstWRestUeVM,IF(MONTH(Monat.Tag1)=4,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-1/24*50),""),""),IF(O45=0,"",O45))</f>
        <v/>
      </c>
      <c r="P60" s="237" t="str">
        <f aca="true">IF(EB.Wochenarbeitszeit=50/24,IF(T.50_Vetsuisse,IF(WEEKDAY(P$10,2)=7,MAX(0,SUM(OFFSET(P51,0,-MIN(6,DAY(P$10)-1),1,MIN(7,DAY(P$10))))+IF(AND(MONTH(Monat.Tag1)&lt;&gt;1,DAY(P$10)&lt;7), IF(MONTH(Monat.Tag1)=2,January!Monat.AZIstWRestUeVM,IF(MONTH(Monat.Tag1)=3,February!Monat.AZIstWRestUeVM,IF(MONTH(Monat.Tag1)=4,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-1/24*50),""),""),IF(P45=0,"",P45))</f>
        <v/>
      </c>
      <c r="Q60" s="238" t="str">
        <f aca="true">IF(EB.Wochenarbeitszeit=50/24,IF(T.50_Vetsuisse,IF(WEEKDAY(Q$10,2)=7,MAX(0,SUM(OFFSET(Q51,0,-MIN(6,DAY(Q$10)-1),1,MIN(7,DAY(Q$10))))+IF(AND(MONTH(Monat.Tag1)&lt;&gt;1,DAY(Q$10)&lt;7), IF(MONTH(Monat.Tag1)=2,January!Monat.AZIstWRestUeVM,IF(MONTH(Monat.Tag1)=3,February!Monat.AZIstWRestUeVM,IF(MONTH(Monat.Tag1)=4,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-1/24*50),""),""),IF(Q45=0,"",Q45))</f>
        <v/>
      </c>
      <c r="R60" s="237" t="str">
        <f aca="true">IF(EB.Wochenarbeitszeit=50/24,IF(T.50_Vetsuisse,IF(WEEKDAY(R$10,2)=7,MAX(0,SUM(OFFSET(R51,0,-MIN(6,DAY(R$10)-1),1,MIN(7,DAY(R$10))))+IF(AND(MONTH(Monat.Tag1)&lt;&gt;1,DAY(R$10)&lt;7), IF(MONTH(Monat.Tag1)=2,January!Monat.AZIstWRestUeVM,IF(MONTH(Monat.Tag1)=3,February!Monat.AZIstWRestUeVM,IF(MONTH(Monat.Tag1)=4,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-1/24*50),""),""),IF(R45=0,"",R45))</f>
        <v/>
      </c>
      <c r="S60" s="238" t="str">
        <f aca="true">IF(EB.Wochenarbeitszeit=50/24,IF(T.50_Vetsuisse,IF(WEEKDAY(S$10,2)=7,MAX(0,SUM(OFFSET(S51,0,-MIN(6,DAY(S$10)-1),1,MIN(7,DAY(S$10))))+IF(AND(MONTH(Monat.Tag1)&lt;&gt;1,DAY(S$10)&lt;7), IF(MONTH(Monat.Tag1)=2,January!Monat.AZIstWRestUeVM,IF(MONTH(Monat.Tag1)=3,February!Monat.AZIstWRestUeVM,IF(MONTH(Monat.Tag1)=4,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-1/24*50),""),""),IF(S45=0,"",S45))</f>
        <v/>
      </c>
      <c r="T60" s="238" t="str">
        <f aca="true">IF(EB.Wochenarbeitszeit=50/24,IF(T.50_Vetsuisse,IF(WEEKDAY(T$10,2)=7,MAX(0,SUM(OFFSET(T51,0,-MIN(6,DAY(T$10)-1),1,MIN(7,DAY(T$10))))+IF(AND(MONTH(Monat.Tag1)&lt;&gt;1,DAY(T$10)&lt;7), IF(MONTH(Monat.Tag1)=2,January!Monat.AZIstWRestUeVM,IF(MONTH(Monat.Tag1)=3,February!Monat.AZIstWRestUeVM,IF(MONTH(Monat.Tag1)=4,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-1/24*50),""),""),IF(T45=0,"",T45))</f>
        <v/>
      </c>
      <c r="U60" s="237" t="str">
        <f aca="true">IF(EB.Wochenarbeitszeit=50/24,IF(T.50_Vetsuisse,IF(WEEKDAY(U$10,2)=7,MAX(0,SUM(OFFSET(U51,0,-MIN(6,DAY(U$10)-1),1,MIN(7,DAY(U$10))))+IF(AND(MONTH(Monat.Tag1)&lt;&gt;1,DAY(U$10)&lt;7), IF(MONTH(Monat.Tag1)=2,January!Monat.AZIstWRestUeVM,IF(MONTH(Monat.Tag1)=3,February!Monat.AZIstWRestUeVM,IF(MONTH(Monat.Tag1)=4,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-1/24*50),""),""),IF(U45=0,"",U45))</f>
        <v/>
      </c>
      <c r="V60" s="237" t="str">
        <f aca="true">IF(EB.Wochenarbeitszeit=50/24,IF(T.50_Vetsuisse,IF(WEEKDAY(V$10,2)=7,MAX(0,SUM(OFFSET(V51,0,-MIN(6,DAY(V$10)-1),1,MIN(7,DAY(V$10))))+IF(AND(MONTH(Monat.Tag1)&lt;&gt;1,DAY(V$10)&lt;7), IF(MONTH(Monat.Tag1)=2,January!Monat.AZIstWRestUeVM,IF(MONTH(Monat.Tag1)=3,February!Monat.AZIstWRestUeVM,IF(MONTH(Monat.Tag1)=4,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-1/24*50),""),""),IF(V45=0,"",V45))</f>
        <v/>
      </c>
      <c r="W60" s="237" t="str">
        <f aca="true">IF(EB.Wochenarbeitszeit=50/24,IF(T.50_Vetsuisse,IF(WEEKDAY(W$10,2)=7,MAX(0,SUM(OFFSET(W51,0,-MIN(6,DAY(W$10)-1),1,MIN(7,DAY(W$10))))+IF(AND(MONTH(Monat.Tag1)&lt;&gt;1,DAY(W$10)&lt;7), IF(MONTH(Monat.Tag1)=2,January!Monat.AZIstWRestUeVM,IF(MONTH(Monat.Tag1)=3,February!Monat.AZIstWRestUeVM,IF(MONTH(Monat.Tag1)=4,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-1/24*50),""),""),IF(W45=0,"",W45))</f>
        <v/>
      </c>
      <c r="X60" s="238" t="str">
        <f aca="true">IF(EB.Wochenarbeitszeit=50/24,IF(T.50_Vetsuisse,IF(WEEKDAY(X$10,2)=7,MAX(0,SUM(OFFSET(X51,0,-MIN(6,DAY(X$10)-1),1,MIN(7,DAY(X$10))))+IF(AND(MONTH(Monat.Tag1)&lt;&gt;1,DAY(X$10)&lt;7), IF(MONTH(Monat.Tag1)=2,January!Monat.AZIstWRestUeVM,IF(MONTH(Monat.Tag1)=3,February!Monat.AZIstWRestUeVM,IF(MONTH(Monat.Tag1)=4,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-1/24*50),""),""),IF(X45=0,"",X45))</f>
        <v/>
      </c>
      <c r="Y60" s="237" t="str">
        <f aca="true">IF(EB.Wochenarbeitszeit=50/24,IF(T.50_Vetsuisse,IF(WEEKDAY(Y$10,2)=7,MAX(0,SUM(OFFSET(Y51,0,-MIN(6,DAY(Y$10)-1),1,MIN(7,DAY(Y$10))))+IF(AND(MONTH(Monat.Tag1)&lt;&gt;1,DAY(Y$10)&lt;7), IF(MONTH(Monat.Tag1)=2,January!Monat.AZIstWRestUeVM,IF(MONTH(Monat.Tag1)=3,February!Monat.AZIstWRestUeVM,IF(MONTH(Monat.Tag1)=4,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-1/24*50),""),""),IF(Y45=0,"",Y45))</f>
        <v/>
      </c>
      <c r="Z60" s="239" t="str">
        <f aca="true">IF(EB.Wochenarbeitszeit=50/24,IF(T.50_Vetsuisse,IF(WEEKDAY(Z$10,2)=7,MAX(0,SUM(OFFSET(Z51,0,-MIN(6,DAY(Z$10)-1),1,MIN(7,DAY(Z$10))))+IF(AND(MONTH(Monat.Tag1)&lt;&gt;1,DAY(Z$10)&lt;7), IF(MONTH(Monat.Tag1)=2,January!Monat.AZIstWRestUeVM,IF(MONTH(Monat.Tag1)=3,February!Monat.AZIstWRestUeVM,IF(MONTH(Monat.Tag1)=4,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-1/24*50),""),""),IF(Z45=0,"",Z45))</f>
        <v/>
      </c>
      <c r="AA60" s="237" t="str">
        <f aca="true">IF(EB.Wochenarbeitszeit=50/24,IF(T.50_Vetsuisse,IF(WEEKDAY(AA$10,2)=7,MAX(0,SUM(OFFSET(AA51,0,-MIN(6,DAY(AA$10)-1),1,MIN(7,DAY(AA$10))))+IF(AND(MONTH(Monat.Tag1)&lt;&gt;1,DAY(AA$10)&lt;7), IF(MONTH(Monat.Tag1)=2,January!Monat.AZIstWRestUeVM,IF(MONTH(Monat.Tag1)=3,February!Monat.AZIstWRestUeVM,IF(MONTH(Monat.Tag1)=4,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-1/24*50),""),""),IF(AA45=0,"",AA45))</f>
        <v/>
      </c>
      <c r="AB60" s="237" t="str">
        <f aca="true">IF(EB.Wochenarbeitszeit=50/24,IF(T.50_Vetsuisse,IF(WEEKDAY(AB$10,2)=7,MAX(0,SUM(OFFSET(AB51,0,-MIN(6,DAY(AB$10)-1),1,MIN(7,DAY(AB$10))))+IF(AND(MONTH(Monat.Tag1)&lt;&gt;1,DAY(AB$10)&lt;7), IF(MONTH(Monat.Tag1)=2,January!Monat.AZIstWRestUeVM,IF(MONTH(Monat.Tag1)=3,February!Monat.AZIstWRestUeVM,IF(MONTH(Monat.Tag1)=4,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-1/24*50),""),""),IF(AB45=0,"",AB45))</f>
        <v/>
      </c>
      <c r="AC60" s="237" t="str">
        <f aca="true">IF(EB.Wochenarbeitszeit=50/24,IF(T.50_Vetsuisse,IF(WEEKDAY(AC$10,2)=7,MAX(0,SUM(OFFSET(AC51,0,-MIN(6,DAY(AC$10)-1),1,MIN(7,DAY(AC$10))))+IF(AND(MONTH(Monat.Tag1)&lt;&gt;1,DAY(AC$10)&lt;7), IF(MONTH(Monat.Tag1)=2,January!Monat.AZIstWRestUeVM,IF(MONTH(Monat.Tag1)=3,February!Monat.AZIstWRestUeVM,IF(MONTH(Monat.Tag1)=4,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-1/24*50),""),""),IF(AC45=0,"",AC45))</f>
        <v/>
      </c>
      <c r="AD60" s="237" t="str">
        <f aca="true">IF(EB.Wochenarbeitszeit=50/24,IF(T.50_Vetsuisse,IF(WEEKDAY(AD$10,2)=7,MAX(0,SUM(OFFSET(AD51,0,-MIN(6,DAY(AD$10)-1),1,MIN(7,DAY(AD$10))))+IF(AND(MONTH(Monat.Tag1)&lt;&gt;1,DAY(AD$10)&lt;7), IF(MONTH(Monat.Tag1)=2,January!Monat.AZIstWRestUeVM,IF(MONTH(Monat.Tag1)=3,February!Monat.AZIstWRestUeVM,IF(MONTH(Monat.Tag1)=4,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-1/24*50),""),""),IF(AD45=0,"",AD45))</f>
        <v/>
      </c>
      <c r="AE60" s="238" t="str">
        <f aca="true">IF(EB.Wochenarbeitszeit=50/24,IF(T.50_Vetsuisse,IF(WEEKDAY(AE$10,2)=7,MAX(0,SUM(OFFSET(AE51,0,-MIN(6,DAY(AE$10)-1),1,MIN(7,DAY(AE$10))))+IF(AND(MONTH(Monat.Tag1)&lt;&gt;1,DAY(AE$10)&lt;7), IF(MONTH(Monat.Tag1)=2,January!Monat.AZIstWRestUeVM,IF(MONTH(Monat.Tag1)=3,February!Monat.AZIstWRestUeVM,IF(MONTH(Monat.Tag1)=4,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-1/24*50),""),""),IF(AE45=0,"",AE45))</f>
        <v/>
      </c>
      <c r="AF60" s="237" t="str">
        <f aca="true">IF(EB.Wochenarbeitszeit=50/24,IF(T.50_Vetsuisse,IF(WEEKDAY(AF$10,2)=7,MAX(0,SUM(OFFSET(AF51,0,-MIN(6,DAY(AF$10)-1),1,MIN(7,DAY(AF$10))))+IF(AND(MONTH(Monat.Tag1)&lt;&gt;1,DAY(AF$10)&lt;7), IF(MONTH(Monat.Tag1)=2,January!Monat.AZIstWRestUeVM,IF(MONTH(Monat.Tag1)=3,February!Monat.AZIstWRestUeVM,IF(MONTH(Monat.Tag1)=4,Monat.AZIstWRestUeVM,IF(MONTH(Monat.Tag1)=5,April!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-1/24*50),""),""),IF(AF45=0,"",AF45))</f>
        <v/>
      </c>
      <c r="AG60" s="168" t="str">
        <f aca="false">A60</f>
        <v>Ordered overtime</v>
      </c>
      <c r="AH60" s="184"/>
      <c r="AI60" s="207" t="n">
        <f aca="false">SUM(B60:AF60)</f>
        <v>0</v>
      </c>
      <c r="AJ60" s="180"/>
      <c r="AK60" s="172"/>
      <c r="AL60" s="216" t="n">
        <f aca="false">IF(EB.Anwendung&lt;&gt;"",IF(MONTH(Monat.Tag1)=1,0,IF(MONTH(Monat.Tag1)=2,January!Monat.AnUeZUeVM,IF(MONTH(Monat.Tag1)=3,February!Monat.AnUeZUeVM,IF(MONTH(Monat.Tag1)=4,Monat.AnUeZUeVM,IF(MONTH(Monat.Tag1)=5,April!Monat.AnUeZUeVM,IF(MONTH(Monat.Tag1)=6,May!Monat.AnUeZUeVM,IF(MONTH(Monat.Tag1)=7,June!Monat.AnUeZUeVM,IF(MONTH(Monat.Tag1)=8,July!Monat.AnUeZUeVM,IF(MONTH(Monat.Tag1)=9,August!Monat.AnUeZUeVM,IF(MONTH(Monat.Tag1)=10,September!Monat.AnUeZUeVM,IF(MONTH(Monat.Tag1)=11,October!Monat.AnUeZUeVM,IF(MONTH(Monat.Tag1)=12,November!Monat.AnUeZUeVM,"")))))))))))),"")</f>
        <v>0</v>
      </c>
      <c r="AM60" s="172"/>
      <c r="AN60" s="217" t="n">
        <f aca="false">AI60+AL60</f>
        <v>0</v>
      </c>
      <c r="AO60" s="217" t="n">
        <f aca="true">SUM(OFFSET(Jahr.AngÜZ,-12,0,MONTH(Monat.Tag1),1))</f>
        <v>0</v>
      </c>
      <c r="AP60" s="217" t="n">
        <f aca="false">Jahr.AngÜZ</f>
        <v>0</v>
      </c>
      <c r="AQ60" s="39"/>
    </row>
    <row r="61" s="148" customFormat="true" ht="15" hidden="false" customHeight="true" outlineLevel="0" collapsed="false">
      <c r="A61" s="175" t="s">
        <v>149</v>
      </c>
      <c r="B61" s="177"/>
      <c r="C61" s="177"/>
      <c r="D61" s="177"/>
      <c r="E61" s="177"/>
      <c r="F61" s="177"/>
      <c r="G61" s="177"/>
      <c r="H61" s="177"/>
      <c r="I61" s="177"/>
      <c r="J61" s="177"/>
      <c r="K61" s="177"/>
      <c r="L61" s="177"/>
      <c r="M61" s="177"/>
      <c r="N61" s="177"/>
      <c r="O61" s="177"/>
      <c r="P61" s="177"/>
      <c r="Q61" s="177"/>
      <c r="R61" s="177"/>
      <c r="S61" s="177"/>
      <c r="T61" s="177"/>
      <c r="U61" s="177"/>
      <c r="V61" s="177"/>
      <c r="W61" s="177"/>
      <c r="X61" s="177"/>
      <c r="Y61" s="177"/>
      <c r="Z61" s="178"/>
      <c r="AA61" s="177"/>
      <c r="AB61" s="177"/>
      <c r="AC61" s="177"/>
      <c r="AD61" s="177"/>
      <c r="AE61" s="177"/>
      <c r="AF61" s="177"/>
      <c r="AG61" s="168" t="str">
        <f aca="false">A61</f>
        <v>Compensation overtime</v>
      </c>
      <c r="AH61" s="184"/>
      <c r="AI61" s="207" t="n">
        <f aca="false">SUM(B61:AF61)</f>
        <v>0</v>
      </c>
      <c r="AJ61" s="180"/>
      <c r="AK61" s="172"/>
      <c r="AL61" s="172"/>
      <c r="AM61" s="172"/>
      <c r="AN61" s="171"/>
      <c r="AO61" s="172"/>
      <c r="AP61" s="172"/>
      <c r="AQ61" s="39"/>
    </row>
    <row r="62" s="231" customFormat="true" ht="15" hidden="true" customHeight="true" outlineLevel="1" collapsed="false">
      <c r="A62" s="219"/>
      <c r="B62" s="224"/>
      <c r="C62" s="224"/>
      <c r="D62" s="224"/>
      <c r="E62" s="152"/>
      <c r="F62" s="224"/>
      <c r="G62" s="224"/>
      <c r="H62" s="224"/>
      <c r="I62" s="224"/>
      <c r="J62" s="222"/>
      <c r="K62" s="224"/>
      <c r="L62" s="223"/>
      <c r="M62" s="224"/>
      <c r="N62" s="224"/>
      <c r="O62" s="224"/>
      <c r="P62" s="224"/>
      <c r="Q62" s="152"/>
      <c r="R62" s="224"/>
      <c r="S62" s="223"/>
      <c r="T62" s="224"/>
      <c r="U62" s="224"/>
      <c r="V62" s="224"/>
      <c r="W62" s="224"/>
      <c r="X62" s="224"/>
      <c r="Y62" s="224"/>
      <c r="Z62" s="152"/>
      <c r="AA62" s="224"/>
      <c r="AB62" s="224"/>
      <c r="AC62" s="224"/>
      <c r="AD62" s="224"/>
      <c r="AE62" s="152"/>
      <c r="AF62" s="240"/>
      <c r="AG62" s="241" t="s">
        <v>150</v>
      </c>
      <c r="AH62" s="242"/>
      <c r="AI62" s="207" t="n">
        <f aca="false">Monat.AnUeZ.Total-Monat.KomUeZ.Total</f>
        <v>0</v>
      </c>
      <c r="AJ62" s="180"/>
      <c r="AK62" s="230"/>
      <c r="AL62" s="230"/>
      <c r="AM62" s="172"/>
      <c r="AN62" s="230"/>
      <c r="AO62" s="230"/>
      <c r="AP62" s="230"/>
      <c r="AQ62" s="96"/>
    </row>
    <row r="63" s="148" customFormat="true" ht="15" hidden="false" customHeight="true" outlineLevel="0" collapsed="false">
      <c r="A63" s="186"/>
      <c r="B63" s="152"/>
      <c r="C63" s="152"/>
      <c r="D63" s="152"/>
      <c r="E63" s="152"/>
      <c r="F63" s="152"/>
      <c r="G63" s="152"/>
      <c r="H63" s="152"/>
      <c r="I63" s="152"/>
      <c r="J63" s="152"/>
      <c r="K63" s="152"/>
      <c r="L63" s="223"/>
      <c r="M63" s="152"/>
      <c r="N63" s="152"/>
      <c r="O63" s="152"/>
      <c r="P63" s="152"/>
      <c r="Q63" s="152"/>
      <c r="R63" s="152"/>
      <c r="S63" s="223"/>
      <c r="T63" s="152"/>
      <c r="U63" s="152"/>
      <c r="V63" s="152"/>
      <c r="W63" s="152"/>
      <c r="X63" s="224"/>
      <c r="Y63" s="152"/>
      <c r="Z63" s="152"/>
      <c r="AA63" s="152"/>
      <c r="AB63" s="152"/>
      <c r="AC63" s="152"/>
      <c r="AD63" s="152"/>
      <c r="AE63" s="152"/>
      <c r="AF63" s="243"/>
      <c r="AG63" s="175" t="s">
        <v>151</v>
      </c>
      <c r="AH63" s="184"/>
      <c r="AI63" s="207" t="n">
        <f aca="true">IF(T.50_Vetsuisse,0,IF(AND(AI62&gt;0,Monat.ÜZZSBerechtigt=INDEX(T.JaNein.Bereich,1,1)),(AI62*0.25),0))</f>
        <v>0</v>
      </c>
      <c r="AJ63" s="180"/>
      <c r="AK63" s="172"/>
      <c r="AL63" s="230"/>
      <c r="AM63" s="172"/>
      <c r="AN63" s="230"/>
      <c r="AO63" s="230"/>
      <c r="AP63" s="230"/>
      <c r="AQ63" s="39"/>
    </row>
    <row r="64" s="148" customFormat="true" ht="15" hidden="true" customHeight="true" outlineLevel="1" collapsed="false">
      <c r="A64" s="186"/>
      <c r="B64" s="152"/>
      <c r="C64" s="152"/>
      <c r="D64" s="152"/>
      <c r="E64" s="152"/>
      <c r="F64" s="152"/>
      <c r="G64" s="152"/>
      <c r="H64" s="152"/>
      <c r="I64" s="152"/>
      <c r="J64" s="152"/>
      <c r="K64" s="152"/>
      <c r="L64" s="223"/>
      <c r="M64" s="152"/>
      <c r="N64" s="152"/>
      <c r="O64" s="152"/>
      <c r="P64" s="152"/>
      <c r="Q64" s="152"/>
      <c r="R64" s="152"/>
      <c r="S64" s="223"/>
      <c r="T64" s="152"/>
      <c r="U64" s="152"/>
      <c r="V64" s="152"/>
      <c r="W64" s="152"/>
      <c r="X64" s="224"/>
      <c r="Y64" s="152"/>
      <c r="Z64" s="152"/>
      <c r="AA64" s="152"/>
      <c r="AB64" s="152"/>
      <c r="AC64" s="152"/>
      <c r="AD64" s="152"/>
      <c r="AE64" s="152"/>
      <c r="AF64" s="243"/>
      <c r="AG64" s="175" t="s">
        <v>152</v>
      </c>
      <c r="AH64" s="244" t="s">
        <v>146</v>
      </c>
      <c r="AI64" s="245"/>
      <c r="AJ64" s="246"/>
      <c r="AK64" s="172"/>
      <c r="AL64" s="230"/>
      <c r="AM64" s="172"/>
      <c r="AN64" s="230"/>
      <c r="AO64" s="230"/>
      <c r="AP64" s="230"/>
      <c r="AQ64" s="39"/>
    </row>
    <row r="65" s="231" customFormat="true" ht="15" hidden="false" customHeight="true" outlineLevel="0" collapsed="false">
      <c r="A65" s="219"/>
      <c r="B65" s="224"/>
      <c r="C65" s="224"/>
      <c r="D65" s="224"/>
      <c r="E65" s="152"/>
      <c r="F65" s="224"/>
      <c r="G65" s="224"/>
      <c r="H65" s="224"/>
      <c r="I65" s="224"/>
      <c r="J65" s="152"/>
      <c r="K65" s="224"/>
      <c r="L65" s="223"/>
      <c r="M65" s="224"/>
      <c r="N65" s="224"/>
      <c r="O65" s="224"/>
      <c r="P65" s="224"/>
      <c r="Q65" s="152"/>
      <c r="R65" s="224"/>
      <c r="S65" s="223"/>
      <c r="T65" s="224"/>
      <c r="U65" s="224"/>
      <c r="V65" s="224"/>
      <c r="W65" s="224"/>
      <c r="X65" s="224"/>
      <c r="Y65" s="224"/>
      <c r="Z65" s="152"/>
      <c r="AA65" s="224"/>
      <c r="AB65" s="224"/>
      <c r="AC65" s="224"/>
      <c r="AD65" s="224"/>
      <c r="AE65" s="152"/>
      <c r="AF65" s="240"/>
      <c r="AG65" s="234" t="s">
        <v>153</v>
      </c>
      <c r="AH65" s="242"/>
      <c r="AI65" s="207" t="n">
        <f aca="false">IF(AH64="+",(AI62+AI63+AI64),(AI62+AI63-AI64))</f>
        <v>0</v>
      </c>
      <c r="AJ65" s="33"/>
      <c r="AK65" s="247"/>
      <c r="AL65" s="216" t="n">
        <f aca="false">IF(EB.Anwendung&lt;&gt;"",IF(MONTH(Monat.Tag1)=1,EB.UeZ,IF(MONTH(Monat.Tag1)=2,January!Monat.UeZUeVM,IF(MONTH(Monat.Tag1)=3,February!Monat.UeZUeVM,IF(MONTH(Monat.Tag1)=4,Monat.UeZUeVM,IF(MONTH(Monat.Tag1)=5,April!Monat.UeZUeVM,IF(MONTH(Monat.Tag1)=6,May!Monat.UeZUeVM,IF(MONTH(Monat.Tag1)=7,June!Monat.UeZUeVM,IF(MONTH(Monat.Tag1)=8,July!Monat.UeZUeVM,IF(MONTH(Monat.Tag1)=9,August!Monat.UeZUeVM,IF(MONTH(Monat.Tag1)=10,September!Monat.UeZUeVM,IF(MONTH(Monat.Tag1)=11,October!Monat.UeZUeVM,IF(MONTH(Monat.Tag1)=12,November!Monat.UeZUeVM,"")))))))))))),"")</f>
        <v>0</v>
      </c>
      <c r="AM65" s="172"/>
      <c r="AN65" s="217" t="n">
        <f aca="false">AI65+AL65</f>
        <v>0</v>
      </c>
      <c r="AO65" s="217" t="n">
        <f aca="true">SUM(OFFSET(J.UeZ.Total,-12,0,MONTH(Monat.Tag1),1))</f>
        <v>0</v>
      </c>
      <c r="AP65" s="217" t="n">
        <f aca="false">J.UeZ.Total</f>
        <v>0</v>
      </c>
      <c r="AQ65" s="96"/>
    </row>
    <row r="66" s="148" customFormat="true" ht="11.25" hidden="false" customHeight="true" outlineLevel="1" collapsed="false">
      <c r="A66" s="186"/>
      <c r="B66" s="57"/>
      <c r="C66" s="57"/>
      <c r="D66" s="57"/>
      <c r="E66" s="152"/>
      <c r="F66" s="57"/>
      <c r="G66" s="57"/>
      <c r="H66" s="57"/>
      <c r="I66" s="57"/>
      <c r="J66" s="152"/>
      <c r="K66" s="57"/>
      <c r="L66" s="223"/>
      <c r="M66" s="57"/>
      <c r="N66" s="57"/>
      <c r="O66" s="57"/>
      <c r="P66" s="57"/>
      <c r="Q66" s="152"/>
      <c r="R66" s="57"/>
      <c r="S66" s="223"/>
      <c r="T66" s="57"/>
      <c r="U66" s="57"/>
      <c r="V66" s="57"/>
      <c r="W66" s="57"/>
      <c r="X66" s="224"/>
      <c r="Y66" s="57"/>
      <c r="Z66" s="152"/>
      <c r="AA66" s="57"/>
      <c r="AB66" s="57"/>
      <c r="AC66" s="57"/>
      <c r="AD66" s="57"/>
      <c r="AE66" s="152"/>
      <c r="AF66" s="179"/>
      <c r="AG66" s="175"/>
      <c r="AH66" s="146"/>
      <c r="AI66" s="179"/>
      <c r="AJ66" s="180"/>
      <c r="AK66" s="172"/>
      <c r="AL66" s="172"/>
      <c r="AM66" s="172"/>
      <c r="AN66" s="171"/>
      <c r="AO66" s="172"/>
      <c r="AP66" s="172"/>
      <c r="AQ66" s="39"/>
    </row>
    <row r="67" s="148" customFormat="true" ht="15" hidden="false" customHeight="true" outlineLevel="1" collapsed="false">
      <c r="A67" s="175" t="s">
        <v>154</v>
      </c>
      <c r="B67" s="177"/>
      <c r="C67" s="177"/>
      <c r="D67" s="177"/>
      <c r="E67" s="177"/>
      <c r="F67" s="177"/>
      <c r="G67" s="177"/>
      <c r="H67" s="177"/>
      <c r="I67" s="177"/>
      <c r="J67" s="177"/>
      <c r="K67" s="177"/>
      <c r="L67" s="177"/>
      <c r="M67" s="177"/>
      <c r="N67" s="177"/>
      <c r="O67" s="177"/>
      <c r="P67" s="177"/>
      <c r="Q67" s="177"/>
      <c r="R67" s="177"/>
      <c r="S67" s="177"/>
      <c r="T67" s="177"/>
      <c r="U67" s="177"/>
      <c r="V67" s="177"/>
      <c r="W67" s="177"/>
      <c r="X67" s="177"/>
      <c r="Y67" s="177"/>
      <c r="Z67" s="178"/>
      <c r="AA67" s="177"/>
      <c r="AB67" s="177"/>
      <c r="AC67" s="177"/>
      <c r="AD67" s="177"/>
      <c r="AE67" s="177"/>
      <c r="AF67" s="177"/>
      <c r="AG67" s="168" t="str">
        <f aca="false">A67</f>
        <v>Compensation working hours</v>
      </c>
      <c r="AH67" s="184"/>
      <c r="AI67" s="207" t="n">
        <f aca="false">SUM(B67:AF67)</f>
        <v>0</v>
      </c>
      <c r="AJ67" s="33"/>
      <c r="AK67" s="216" t="n">
        <f aca="true">OFFSET(EB.MKAStd.Knoten,MONTH(Monat.Tag1),0,1,1)</f>
        <v>0</v>
      </c>
      <c r="AL67" s="248" t="n">
        <f aca="false">IF(EB.Anwendung&lt;&gt;"",IF(MONTH(Monat.Tag1)=1,0,IF(MONTH(Monat.Tag1)=2,January!Monat.KomUeVM,IF(MONTH(Monat.Tag1)=3,February!Monat.KomUeVM,IF(MONTH(Monat.Tag1)=4,Monat.KomUeVM,IF(MONTH(Monat.Tag1)=5,April!Monat.KomUeVM,IF(MONTH(Monat.Tag1)=6,May!Monat.KomUeVM,IF(MONTH(Monat.Tag1)=7,June!Monat.KomUeVM,IF(MONTH(Monat.Tag1)=8,July!Monat.KomUeVM,IF(MONTH(Monat.Tag1)=9,August!Monat.KomUeVM,IF(MONTH(Monat.Tag1)=10,September!Monat.KomUeVM,IF(MONTH(Monat.Tag1)=11,October!Monat.KomUeVM,IF(MONTH(Monat.Tag1)=12,November!Monat.KomUeVM,"")))))))))))),"")</f>
        <v>0</v>
      </c>
      <c r="AM67" s="172"/>
      <c r="AN67" s="217" t="n">
        <f aca="false">AK67+AL67-Monat.KomAZ.Total</f>
        <v>0</v>
      </c>
      <c r="AO67" s="217" t="n">
        <f aca="true">Jahresabrechnung!P12-SUM(OFFSET(Jahresabrechnung!P15,0,0,MONTH(Monat.Tag1),1))</f>
        <v>3.9375</v>
      </c>
      <c r="AP67" s="217" t="n">
        <f aca="false">Jahresabrechnung!P28</f>
        <v>3.9375</v>
      </c>
      <c r="AQ67" s="39"/>
    </row>
    <row r="68" s="148" customFormat="true" ht="11.25" hidden="false" customHeight="true" outlineLevel="0" collapsed="false">
      <c r="A68" s="186"/>
      <c r="B68" s="187"/>
      <c r="C68" s="187"/>
      <c r="D68" s="187"/>
      <c r="E68" s="187"/>
      <c r="F68" s="187"/>
      <c r="G68" s="187"/>
      <c r="H68" s="187"/>
      <c r="I68" s="187"/>
      <c r="J68" s="187"/>
      <c r="K68" s="187"/>
      <c r="L68" s="187"/>
      <c r="M68" s="187"/>
      <c r="N68" s="187"/>
      <c r="O68" s="187"/>
      <c r="P68" s="187"/>
      <c r="Q68" s="187"/>
      <c r="R68" s="187"/>
      <c r="S68" s="187"/>
      <c r="T68" s="187"/>
      <c r="U68" s="187"/>
      <c r="V68" s="187"/>
      <c r="W68" s="187"/>
      <c r="X68" s="187"/>
      <c r="Y68" s="187"/>
      <c r="Z68" s="187"/>
      <c r="AA68" s="187"/>
      <c r="AB68" s="187"/>
      <c r="AC68" s="187"/>
      <c r="AD68" s="187"/>
      <c r="AE68" s="187"/>
      <c r="AF68" s="188"/>
      <c r="AG68" s="168"/>
      <c r="AH68" s="146"/>
      <c r="AI68" s="179"/>
      <c r="AJ68" s="180"/>
      <c r="AK68" s="172"/>
      <c r="AL68" s="172"/>
      <c r="AM68" s="172"/>
      <c r="AN68" s="171"/>
      <c r="AO68" s="172"/>
      <c r="AP68" s="172"/>
      <c r="AQ68" s="39"/>
    </row>
    <row r="69" s="148" customFormat="true" ht="15" hidden="true" customHeight="true" outlineLevel="0" collapsed="false">
      <c r="A69" s="175" t="s">
        <v>155</v>
      </c>
      <c r="B69" s="249" t="n">
        <f aca="true">IF(AND(T.50_Vetsuisse,B72=INDEX(T.JaNein.Bereich,1,1),B73&gt;0,MOD(IFERROR(MATCH(1,B13:B22,0),1),2)=0),1, IF(AND(T.ServiceCenterIrchel,B72=INDEX(T.JaNein.Bereich,1,1),B77&gt;0),1, IF(AND(T.50_Vetsuisse=0,T.ServiceCenterIrchel=0,B77&gt;0),1,0)))</f>
        <v>0</v>
      </c>
      <c r="C69" s="249" t="n">
        <f aca="true">IF(AND(T.50_Vetsuisse,C72=INDEX(T.JaNein.Bereich,1,1),C73&gt;0,MOD(IFERROR(MATCH(1,C13:C22,0),1),2)=0),1, IF(AND(T.ServiceCenterIrchel,C72=INDEX(T.JaNein.Bereich,1,1),C77&gt;0),1, IF(AND(T.50_Vetsuisse=0,T.ServiceCenterIrchel=0,C77&gt;0),1,0)))</f>
        <v>0</v>
      </c>
      <c r="D69" s="249" t="n">
        <f aca="true">IF(AND(T.50_Vetsuisse,D72=INDEX(T.JaNein.Bereich,1,1),D73&gt;0,MOD(IFERROR(MATCH(1,D13:D22,0),1),2)=0),1, IF(AND(T.ServiceCenterIrchel,D72=INDEX(T.JaNein.Bereich,1,1),D77&gt;0),1, IF(AND(T.50_Vetsuisse=0,T.ServiceCenterIrchel=0,D77&gt;0),1,0)))</f>
        <v>0</v>
      </c>
      <c r="E69" s="249" t="n">
        <f aca="true">IF(AND(T.50_Vetsuisse,E72=INDEX(T.JaNein.Bereich,1,1),E73&gt;0,MOD(IFERROR(MATCH(1,E13:E22,0),1),2)=0),1, IF(AND(T.ServiceCenterIrchel,E72=INDEX(T.JaNein.Bereich,1,1),E77&gt;0),1, IF(AND(T.50_Vetsuisse=0,T.ServiceCenterIrchel=0,E77&gt;0),1,0)))</f>
        <v>0</v>
      </c>
      <c r="F69" s="249" t="n">
        <f aca="true">IF(AND(T.50_Vetsuisse,F72=INDEX(T.JaNein.Bereich,1,1),F73&gt;0,MOD(IFERROR(MATCH(1,F13:F22,0),1),2)=0),1, IF(AND(T.ServiceCenterIrchel,F72=INDEX(T.JaNein.Bereich,1,1),F77&gt;0),1, IF(AND(T.50_Vetsuisse=0,T.ServiceCenterIrchel=0,F77&gt;0),1,0)))</f>
        <v>0</v>
      </c>
      <c r="G69" s="249" t="n">
        <f aca="true">IF(AND(T.50_Vetsuisse,G72=INDEX(T.JaNein.Bereich,1,1),G73&gt;0,MOD(IFERROR(MATCH(1,G13:G22,0),1),2)=0),1, IF(AND(T.ServiceCenterIrchel,G72=INDEX(T.JaNein.Bereich,1,1),G77&gt;0),1, IF(AND(T.50_Vetsuisse=0,T.ServiceCenterIrchel=0,G77&gt;0),1,0)))</f>
        <v>0</v>
      </c>
      <c r="H69" s="249" t="n">
        <f aca="true">IF(AND(T.50_Vetsuisse,H72=INDEX(T.JaNein.Bereich,1,1),H73&gt;0,MOD(IFERROR(MATCH(1,H13:H22,0),1),2)=0),1, IF(AND(T.ServiceCenterIrchel,H72=INDEX(T.JaNein.Bereich,1,1),H77&gt;0),1, IF(AND(T.50_Vetsuisse=0,T.ServiceCenterIrchel=0,H77&gt;0),1,0)))</f>
        <v>0</v>
      </c>
      <c r="I69" s="249" t="n">
        <f aca="true">IF(AND(T.50_Vetsuisse,I72=INDEX(T.JaNein.Bereich,1,1),I73&gt;0,MOD(IFERROR(MATCH(1,I13:I22,0),1),2)=0),1, IF(AND(T.ServiceCenterIrchel,I72=INDEX(T.JaNein.Bereich,1,1),I77&gt;0),1, IF(AND(T.50_Vetsuisse=0,T.ServiceCenterIrchel=0,I77&gt;0),1,0)))</f>
        <v>0</v>
      </c>
      <c r="J69" s="249" t="n">
        <f aca="true">IF(AND(T.50_Vetsuisse,J72=INDEX(T.JaNein.Bereich,1,1),J73&gt;0,MOD(IFERROR(MATCH(1,J13:J22,0),1),2)=0),1, IF(AND(T.ServiceCenterIrchel,J72=INDEX(T.JaNein.Bereich,1,1),J77&gt;0),1, IF(AND(T.50_Vetsuisse=0,T.ServiceCenterIrchel=0,J77&gt;0),1,0)))</f>
        <v>0</v>
      </c>
      <c r="K69" s="249" t="n">
        <f aca="true">IF(AND(T.50_Vetsuisse,K72=INDEX(T.JaNein.Bereich,1,1),K73&gt;0,MOD(IFERROR(MATCH(1,K13:K22,0),1),2)=0),1, IF(AND(T.ServiceCenterIrchel,K72=INDEX(T.JaNein.Bereich,1,1),K77&gt;0),1, IF(AND(T.50_Vetsuisse=0,T.ServiceCenterIrchel=0,K77&gt;0),1,0)))</f>
        <v>0</v>
      </c>
      <c r="L69" s="249" t="n">
        <f aca="true">IF(AND(T.50_Vetsuisse,L72=INDEX(T.JaNein.Bereich,1,1),L73&gt;0,MOD(IFERROR(MATCH(1,L13:L22,0),1),2)=0),1, IF(AND(T.ServiceCenterIrchel,L72=INDEX(T.JaNein.Bereich,1,1),L77&gt;0),1, IF(AND(T.50_Vetsuisse=0,T.ServiceCenterIrchel=0,L77&gt;0),1,0)))</f>
        <v>0</v>
      </c>
      <c r="M69" s="249" t="n">
        <f aca="true">IF(AND(T.50_Vetsuisse,M72=INDEX(T.JaNein.Bereich,1,1),M73&gt;0,MOD(IFERROR(MATCH(1,M13:M22,0),1),2)=0),1, IF(AND(T.ServiceCenterIrchel,M72=INDEX(T.JaNein.Bereich,1,1),M77&gt;0),1, IF(AND(T.50_Vetsuisse=0,T.ServiceCenterIrchel=0,M77&gt;0),1,0)))</f>
        <v>0</v>
      </c>
      <c r="N69" s="249" t="n">
        <f aca="true">IF(AND(T.50_Vetsuisse,N72=INDEX(T.JaNein.Bereich,1,1),N73&gt;0,MOD(IFERROR(MATCH(1,N13:N22,0),1),2)=0),1, IF(AND(T.ServiceCenterIrchel,N72=INDEX(T.JaNein.Bereich,1,1),N77&gt;0),1, IF(AND(T.50_Vetsuisse=0,T.ServiceCenterIrchel=0,N77&gt;0),1,0)))</f>
        <v>0</v>
      </c>
      <c r="O69" s="249" t="n">
        <f aca="true">IF(AND(T.50_Vetsuisse,O72=INDEX(T.JaNein.Bereich,1,1),O73&gt;0,MOD(IFERROR(MATCH(1,O13:O22,0),1),2)=0),1, IF(AND(T.ServiceCenterIrchel,O72=INDEX(T.JaNein.Bereich,1,1),O77&gt;0),1, IF(AND(T.50_Vetsuisse=0,T.ServiceCenterIrchel=0,O77&gt;0),1,0)))</f>
        <v>0</v>
      </c>
      <c r="P69" s="249" t="n">
        <f aca="true">IF(AND(T.50_Vetsuisse,P72=INDEX(T.JaNein.Bereich,1,1),P73&gt;0,MOD(IFERROR(MATCH(1,P13:P22,0),1),2)=0),1, IF(AND(T.ServiceCenterIrchel,P72=INDEX(T.JaNein.Bereich,1,1),P77&gt;0),1, IF(AND(T.50_Vetsuisse=0,T.ServiceCenterIrchel=0,P77&gt;0),1,0)))</f>
        <v>0</v>
      </c>
      <c r="Q69" s="249" t="n">
        <f aca="true">IF(AND(T.50_Vetsuisse,Q72=INDEX(T.JaNein.Bereich,1,1),Q73&gt;0,MOD(IFERROR(MATCH(1,Q13:Q22,0),1),2)=0),1, IF(AND(T.ServiceCenterIrchel,Q72=INDEX(T.JaNein.Bereich,1,1),Q77&gt;0),1, IF(AND(T.50_Vetsuisse=0,T.ServiceCenterIrchel=0,Q77&gt;0),1,0)))</f>
        <v>0</v>
      </c>
      <c r="R69" s="249" t="n">
        <f aca="true">IF(AND(T.50_Vetsuisse,R72=INDEX(T.JaNein.Bereich,1,1),R73&gt;0,MOD(IFERROR(MATCH(1,R13:R22,0),1),2)=0),1, IF(AND(T.ServiceCenterIrchel,R72=INDEX(T.JaNein.Bereich,1,1),R77&gt;0),1, IF(AND(T.50_Vetsuisse=0,T.ServiceCenterIrchel=0,R77&gt;0),1,0)))</f>
        <v>0</v>
      </c>
      <c r="S69" s="249" t="n">
        <f aca="true">IF(AND(T.50_Vetsuisse,S72=INDEX(T.JaNein.Bereich,1,1),S73&gt;0,MOD(IFERROR(MATCH(1,S13:S22,0),1),2)=0),1, IF(AND(T.ServiceCenterIrchel,S72=INDEX(T.JaNein.Bereich,1,1),S77&gt;0),1, IF(AND(T.50_Vetsuisse=0,T.ServiceCenterIrchel=0,S77&gt;0),1,0)))</f>
        <v>0</v>
      </c>
      <c r="T69" s="249" t="n">
        <f aca="true">IF(AND(T.50_Vetsuisse,T72=INDEX(T.JaNein.Bereich,1,1),T73&gt;0,MOD(IFERROR(MATCH(1,T13:T22,0),1),2)=0),1, IF(AND(T.ServiceCenterIrchel,T72=INDEX(T.JaNein.Bereich,1,1),T77&gt;0),1, IF(AND(T.50_Vetsuisse=0,T.ServiceCenterIrchel=0,T77&gt;0),1,0)))</f>
        <v>0</v>
      </c>
      <c r="U69" s="249" t="n">
        <f aca="true">IF(AND(T.50_Vetsuisse,U72=INDEX(T.JaNein.Bereich,1,1),U73&gt;0,MOD(IFERROR(MATCH(1,U13:U22,0),1),2)=0),1, IF(AND(T.ServiceCenterIrchel,U72=INDEX(T.JaNein.Bereich,1,1),U77&gt;0),1, IF(AND(T.50_Vetsuisse=0,T.ServiceCenterIrchel=0,U77&gt;0),1,0)))</f>
        <v>0</v>
      </c>
      <c r="V69" s="249" t="n">
        <f aca="true">IF(AND(T.50_Vetsuisse,V72=INDEX(T.JaNein.Bereich,1,1),V73&gt;0,MOD(IFERROR(MATCH(1,V13:V22,0),1),2)=0),1, IF(AND(T.ServiceCenterIrchel,V72=INDEX(T.JaNein.Bereich,1,1),V77&gt;0),1, IF(AND(T.50_Vetsuisse=0,T.ServiceCenterIrchel=0,V77&gt;0),1,0)))</f>
        <v>0</v>
      </c>
      <c r="W69" s="249" t="n">
        <f aca="true">IF(AND(T.50_Vetsuisse,W72=INDEX(T.JaNein.Bereich,1,1),W73&gt;0,MOD(IFERROR(MATCH(1,W13:W22,0),1),2)=0),1, IF(AND(T.ServiceCenterIrchel,W72=INDEX(T.JaNein.Bereich,1,1),W77&gt;0),1, IF(AND(T.50_Vetsuisse=0,T.ServiceCenterIrchel=0,W77&gt;0),1,0)))</f>
        <v>0</v>
      </c>
      <c r="X69" s="249" t="n">
        <f aca="true">IF(AND(T.50_Vetsuisse,X72=INDEX(T.JaNein.Bereich,1,1),X73&gt;0,MOD(IFERROR(MATCH(1,X13:X22,0),1),2)=0),1, IF(AND(T.ServiceCenterIrchel,X72=INDEX(T.JaNein.Bereich,1,1),X77&gt;0),1, IF(AND(T.50_Vetsuisse=0,T.ServiceCenterIrchel=0,X77&gt;0),1,0)))</f>
        <v>0</v>
      </c>
      <c r="Y69" s="249" t="n">
        <f aca="true">IF(AND(T.50_Vetsuisse,Y72=INDEX(T.JaNein.Bereich,1,1),Y73&gt;0,MOD(IFERROR(MATCH(1,Y13:Y22,0),1),2)=0),1, IF(AND(T.ServiceCenterIrchel,Y72=INDEX(T.JaNein.Bereich,1,1),Y77&gt;0),1, IF(AND(T.50_Vetsuisse=0,T.ServiceCenterIrchel=0,Y77&gt;0),1,0)))</f>
        <v>0</v>
      </c>
      <c r="Z69" s="249" t="n">
        <f aca="true">IF(AND(T.50_Vetsuisse,Z72=INDEX(T.JaNein.Bereich,1,1),Z73&gt;0,MOD(IFERROR(MATCH(1,Z13:Z22,0),1),2)=0),1, IF(AND(T.ServiceCenterIrchel,Z72=INDEX(T.JaNein.Bereich,1,1),Z77&gt;0),1, IF(AND(T.50_Vetsuisse=0,T.ServiceCenterIrchel=0,Z77&gt;0),1,0)))</f>
        <v>0</v>
      </c>
      <c r="AA69" s="249" t="n">
        <f aca="true">IF(AND(T.50_Vetsuisse,AA72=INDEX(T.JaNein.Bereich,1,1),AA73&gt;0,MOD(IFERROR(MATCH(1,AA13:AA22,0),1),2)=0),1, IF(AND(T.ServiceCenterIrchel,AA72=INDEX(T.JaNein.Bereich,1,1),AA77&gt;0),1, IF(AND(T.50_Vetsuisse=0,T.ServiceCenterIrchel=0,AA77&gt;0),1,0)))</f>
        <v>0</v>
      </c>
      <c r="AB69" s="249" t="n">
        <f aca="true">IF(AND(T.50_Vetsuisse,AB72=INDEX(T.JaNein.Bereich,1,1),AB73&gt;0,MOD(IFERROR(MATCH(1,AB13:AB22,0),1),2)=0),1, IF(AND(T.ServiceCenterIrchel,AB72=INDEX(T.JaNein.Bereich,1,1),AB77&gt;0),1, IF(AND(T.50_Vetsuisse=0,T.ServiceCenterIrchel=0,AB77&gt;0),1,0)))</f>
        <v>0</v>
      </c>
      <c r="AC69" s="249" t="n">
        <f aca="true">IF(AND(T.50_Vetsuisse,AC72=INDEX(T.JaNein.Bereich,1,1),AC73&gt;0,MOD(IFERROR(MATCH(1,AC13:AC22,0),1),2)=0),1, IF(AND(T.ServiceCenterIrchel,AC72=INDEX(T.JaNein.Bereich,1,1),AC77&gt;0),1, IF(AND(T.50_Vetsuisse=0,T.ServiceCenterIrchel=0,AC77&gt;0),1,0)))</f>
        <v>0</v>
      </c>
      <c r="AD69" s="249" t="n">
        <f aca="true">IF(AND(T.50_Vetsuisse,AD72=INDEX(T.JaNein.Bereich,1,1),AD73&gt;0,MOD(IFERROR(MATCH(1,AD13:AD22,0),1),2)=0),1, IF(AND(T.ServiceCenterIrchel,AD72=INDEX(T.JaNein.Bereich,1,1),AD77&gt;0),1, IF(AND(T.50_Vetsuisse=0,T.ServiceCenterIrchel=0,AD77&gt;0),1,0)))</f>
        <v>0</v>
      </c>
      <c r="AE69" s="249" t="n">
        <f aca="true">IF(AND(T.50_Vetsuisse,AE72=INDEX(T.JaNein.Bereich,1,1),AE73&gt;0,MOD(IFERROR(MATCH(1,AE13:AE22,0),1),2)=0),1, IF(AND(T.ServiceCenterIrchel,AE72=INDEX(T.JaNein.Bereich,1,1),AE77&gt;0),1, IF(AND(T.50_Vetsuisse=0,T.ServiceCenterIrchel=0,AE77&gt;0),1,0)))</f>
        <v>0</v>
      </c>
      <c r="AF69" s="249" t="n">
        <f aca="true">IF(AND(T.50_Vetsuisse,AF72=INDEX(T.JaNein.Bereich,1,1),AF73&gt;0,MOD(IFERROR(MATCH(1,AF13:AF22,0),1),2)=0),1, IF(AND(T.ServiceCenterIrchel,AF72=INDEX(T.JaNein.Bereich,1,1),AF77&gt;0),1, IF(AND(T.50_Vetsuisse=0,T.ServiceCenterIrchel=0,AF77&gt;0),1,0)))</f>
        <v>0</v>
      </c>
      <c r="AG69" s="168" t="str">
        <f aca="false">A69</f>
        <v>Counter night shift</v>
      </c>
      <c r="AH69" s="250"/>
      <c r="AI69" s="251" t="n">
        <f aca="false">SUM(B69:AF69)</f>
        <v>0</v>
      </c>
      <c r="AJ69" s="33"/>
      <c r="AK69" s="192"/>
      <c r="AL69" s="252" t="n">
        <f aca="false">IF(EB.Anwendung&lt;&gt;"",IF(MONTH(Monat.Tag1)=1,0,IF(MONTH(Monat.Tag1)=2,January!Monat.ZählerNDUe,IF(MONTH(Monat.Tag1)=3,February!Monat.ZählerNDUe,IF(MONTH(Monat.Tag1)=4,Monat.ZählerNDUe,IF(MONTH(Monat.Tag1)=5,April!Monat.ZählerNDUe,IF(MONTH(Monat.Tag1)=6,May!Monat.ZählerNDUe,IF(MONTH(Monat.Tag1)=7,June!Monat.ZählerNDUe,IF(MONTH(Monat.Tag1)=8,July!Monat.ZählerNDUe,IF(MONTH(Monat.Tag1)=9,August!Monat.ZählerNDUe,IF(MONTH(Monat.Tag1)=10,September!Monat.ZählerNDUe,IF(MONTH(Monat.Tag1)=11,October!Monat.ZählerNDUe,IF(MONTH(Monat.Tag1)=12,November!Monat.ZählerNDUe,"")))))))))))),"")</f>
        <v>0</v>
      </c>
      <c r="AM69" s="172"/>
      <c r="AN69" s="253" t="n">
        <f aca="false">AL69+AI69</f>
        <v>0</v>
      </c>
      <c r="AO69" s="171"/>
      <c r="AP69" s="171"/>
      <c r="AQ69" s="39"/>
    </row>
    <row r="70" s="148" customFormat="true" ht="15" hidden="true" customHeight="true" outlineLevel="0" collapsed="false">
      <c r="A70" s="175" t="s">
        <v>156</v>
      </c>
      <c r="B70" s="249" t="n">
        <f aca="false">IF(DAY(B$10)=1,$AL$69,A70)+B69</f>
        <v>0</v>
      </c>
      <c r="C70" s="249" t="n">
        <f aca="false">IF(DAY(C$10)=1,$AL$69,B70)+C69</f>
        <v>0</v>
      </c>
      <c r="D70" s="249" t="n">
        <f aca="false">IF(DAY(D$10)=1,$AL$69,C70)+D69</f>
        <v>0</v>
      </c>
      <c r="E70" s="249" t="n">
        <f aca="false">IF(DAY(E$10)=1,$AL$69,D70)+E69</f>
        <v>0</v>
      </c>
      <c r="F70" s="249" t="n">
        <f aca="false">IF(DAY(F$10)=1,$AL$69,E70)+F69</f>
        <v>0</v>
      </c>
      <c r="G70" s="249" t="n">
        <f aca="false">IF(DAY(G$10)=1,$AL$69,F70)+G69</f>
        <v>0</v>
      </c>
      <c r="H70" s="249" t="n">
        <f aca="false">IF(DAY(H$10)=1,$AL$69,G70)+H69</f>
        <v>0</v>
      </c>
      <c r="I70" s="249" t="n">
        <f aca="false">IF(DAY(I$10)=1,$AL$69,H70)+I69</f>
        <v>0</v>
      </c>
      <c r="J70" s="249" t="n">
        <f aca="false">IF(DAY(J$10)=1,$AL$69,I70)+J69</f>
        <v>0</v>
      </c>
      <c r="K70" s="249" t="n">
        <f aca="false">IF(DAY(K$10)=1,$AL$69,J70)+K69</f>
        <v>0</v>
      </c>
      <c r="L70" s="249" t="n">
        <f aca="false">IF(DAY(L$10)=1,$AL$69,K70)+L69</f>
        <v>0</v>
      </c>
      <c r="M70" s="249" t="n">
        <f aca="false">IF(DAY(M$10)=1,$AL$69,L70)+M69</f>
        <v>0</v>
      </c>
      <c r="N70" s="249" t="n">
        <f aca="false">IF(DAY(N$10)=1,$AL$69,M70)+N69</f>
        <v>0</v>
      </c>
      <c r="O70" s="249" t="n">
        <f aca="false">IF(DAY(O$10)=1,$AL$69,N70)+O69</f>
        <v>0</v>
      </c>
      <c r="P70" s="249" t="n">
        <f aca="false">IF(DAY(P$10)=1,$AL$69,O70)+P69</f>
        <v>0</v>
      </c>
      <c r="Q70" s="249" t="n">
        <f aca="false">IF(DAY(Q$10)=1,$AL$69,P70)+Q69</f>
        <v>0</v>
      </c>
      <c r="R70" s="249" t="n">
        <f aca="false">IF(DAY(R$10)=1,$AL$69,Q70)+R69</f>
        <v>0</v>
      </c>
      <c r="S70" s="249" t="n">
        <f aca="false">IF(DAY(S$10)=1,$AL$69,R70)+S69</f>
        <v>0</v>
      </c>
      <c r="T70" s="249" t="n">
        <f aca="false">IF(DAY(T$10)=1,$AL$69,S70)+T69</f>
        <v>0</v>
      </c>
      <c r="U70" s="249" t="n">
        <f aca="false">IF(DAY(U$10)=1,$AL$69,T70)+U69</f>
        <v>0</v>
      </c>
      <c r="V70" s="249" t="n">
        <f aca="false">IF(DAY(V$10)=1,$AL$69,U70)+V69</f>
        <v>0</v>
      </c>
      <c r="W70" s="249" t="n">
        <f aca="false">IF(DAY(W$10)=1,$AL$69,V70)+W69</f>
        <v>0</v>
      </c>
      <c r="X70" s="249" t="n">
        <f aca="false">IF(DAY(X$10)=1,$AL$69,W70)+X69</f>
        <v>0</v>
      </c>
      <c r="Y70" s="249" t="n">
        <f aca="false">IF(DAY(Y$10)=1,$AL$69,X70)+Y69</f>
        <v>0</v>
      </c>
      <c r="Z70" s="249" t="n">
        <f aca="false">IF(DAY(Z$10)=1,$AL$69,Y70)+Z69</f>
        <v>0</v>
      </c>
      <c r="AA70" s="249" t="n">
        <f aca="false">IF(DAY(AA$10)=1,$AL$69,Z70)+AA69</f>
        <v>0</v>
      </c>
      <c r="AB70" s="249" t="n">
        <f aca="false">IF(DAY(AB$10)=1,$AL$69,AA70)+AB69</f>
        <v>0</v>
      </c>
      <c r="AC70" s="249" t="n">
        <f aca="false">IF(DAY(AC$10)=1,$AL$69,AB70)+AC69</f>
        <v>0</v>
      </c>
      <c r="AD70" s="249" t="n">
        <f aca="false">IF(DAY(AD$10)=1,$AL$69,AC70)+AD69</f>
        <v>0</v>
      </c>
      <c r="AE70" s="249" t="n">
        <f aca="false">IF(DAY(AE$10)=1,$AL$69,AD70)+AE69</f>
        <v>0</v>
      </c>
      <c r="AF70" s="249" t="n">
        <f aca="false">IF(DAY(AF$10)=1,$AL$69,AE70)+AF69</f>
        <v>0</v>
      </c>
      <c r="AG70" s="168" t="str">
        <f aca="false">A70</f>
        <v>Balance counter night shift</v>
      </c>
      <c r="AH70" s="197"/>
      <c r="AI70" s="192"/>
      <c r="AJ70" s="27"/>
      <c r="AK70" s="235"/>
      <c r="AL70" s="235"/>
      <c r="AM70" s="172"/>
      <c r="AN70" s="254"/>
      <c r="AO70" s="171"/>
      <c r="AP70" s="171"/>
      <c r="AQ70" s="39"/>
    </row>
    <row r="71" s="148" customFormat="true" ht="15" hidden="true" customHeight="true" outlineLevel="1" collapsed="false">
      <c r="A71" s="175" t="s">
        <v>157</v>
      </c>
      <c r="B71" s="176"/>
      <c r="C71" s="176"/>
      <c r="D71" s="176"/>
      <c r="E71" s="177"/>
      <c r="F71" s="176"/>
      <c r="G71" s="176"/>
      <c r="H71" s="176"/>
      <c r="I71" s="176"/>
      <c r="J71" s="177"/>
      <c r="K71" s="176"/>
      <c r="L71" s="177"/>
      <c r="M71" s="176"/>
      <c r="N71" s="176"/>
      <c r="O71" s="176"/>
      <c r="P71" s="176"/>
      <c r="Q71" s="177"/>
      <c r="R71" s="176"/>
      <c r="S71" s="177"/>
      <c r="T71" s="177"/>
      <c r="U71" s="176"/>
      <c r="V71" s="176"/>
      <c r="W71" s="176"/>
      <c r="X71" s="177"/>
      <c r="Y71" s="176"/>
      <c r="Z71" s="178"/>
      <c r="AA71" s="176"/>
      <c r="AB71" s="176"/>
      <c r="AC71" s="176"/>
      <c r="AD71" s="176"/>
      <c r="AE71" s="177"/>
      <c r="AF71" s="176"/>
      <c r="AG71" s="168" t="str">
        <f aca="false">A71</f>
        <v>Compensation TS night shift</v>
      </c>
      <c r="AH71" s="184"/>
      <c r="AI71" s="207" t="n">
        <f aca="false">SUM(B71:AF71)</f>
        <v>0</v>
      </c>
      <c r="AJ71" s="33"/>
      <c r="AK71" s="235"/>
      <c r="AL71" s="216" t="n">
        <f aca="false">IF(EB.Anwendung&lt;&gt;"",IF(MONTH(Monat.Tag1)=1,0,IF(MONTH(Monat.Tag1)=2,January!Monat.KompZZSNDUeVM,IF(MONTH(Monat.Tag1)=3,February!Monat.KompZZSNDUeVM,IF(MONTH(Monat.Tag1)=4,Monat.KompZZSNDUeVM,IF(MONTH(Monat.Tag1)=5,April!Monat.KompZZSNDUeVM,IF(MONTH(Monat.Tag1)=6,May!Monat.KompZZSNDUeVM,IF(MONTH(Monat.Tag1)=7,June!Monat.KompZZSNDUeVM,IF(MONTH(Monat.Tag1)=8,July!Monat.KompZZSNDUeVM,IF(MONTH(Monat.Tag1)=9,August!Monat.KompZZSNDUeVM,IF(MONTH(Monat.Tag1)=10,September!Monat.KompZZSNDUeVM,IF(MONTH(Monat.Tag1)=11,October!Monat.KompZZSNDUeVM,IF(MONTH(Monat.Tag1)=12,November!Monat.KompZZSNDUeVM,"")))))))))))),"")</f>
        <v>0</v>
      </c>
      <c r="AM71" s="172"/>
      <c r="AN71" s="217" t="n">
        <f aca="false">AI71+AL71</f>
        <v>0</v>
      </c>
      <c r="AO71" s="217" t="n">
        <f aca="true">SUM(OFFSET(Jahr.KompZZSND,-12,0,MONTH(Monat.Tag1),1))</f>
        <v>0</v>
      </c>
      <c r="AP71" s="217" t="n">
        <f aca="false">Jahr.KompZZSND</f>
        <v>0</v>
      </c>
      <c r="AQ71" s="39"/>
    </row>
    <row r="72" s="148" customFormat="true" ht="15" hidden="true" customHeight="true" outlineLevel="1" collapsed="false">
      <c r="A72" s="175" t="s">
        <v>158</v>
      </c>
      <c r="B72" s="255"/>
      <c r="C72" s="255"/>
      <c r="D72" s="255"/>
      <c r="E72" s="255"/>
      <c r="F72" s="255"/>
      <c r="G72" s="255"/>
      <c r="H72" s="255"/>
      <c r="I72" s="255"/>
      <c r="J72" s="255"/>
      <c r="K72" s="255"/>
      <c r="L72" s="255"/>
      <c r="M72" s="255"/>
      <c r="N72" s="255"/>
      <c r="O72" s="255"/>
      <c r="P72" s="255"/>
      <c r="Q72" s="255"/>
      <c r="R72" s="255"/>
      <c r="S72" s="255"/>
      <c r="T72" s="255"/>
      <c r="U72" s="255"/>
      <c r="V72" s="255"/>
      <c r="W72" s="255"/>
      <c r="X72" s="255"/>
      <c r="Y72" s="255"/>
      <c r="Z72" s="255"/>
      <c r="AA72" s="255"/>
      <c r="AB72" s="255"/>
      <c r="AC72" s="255"/>
      <c r="AD72" s="255"/>
      <c r="AE72" s="255"/>
      <c r="AF72" s="255"/>
      <c r="AG72" s="168" t="str">
        <f aca="false">A72</f>
        <v>Start pl. night shift Yes/No</v>
      </c>
      <c r="AH72" s="184"/>
      <c r="AI72" s="192"/>
      <c r="AJ72" s="198" t="n">
        <f aca="true">IFERROR(SUMPRODUCT((B72:AF72=INDEX(T.JaNein.Bereich,1))*(B72:AF72&lt;&gt;"")),0)</f>
        <v>0</v>
      </c>
      <c r="AK72" s="235"/>
      <c r="AL72" s="198" t="n">
        <f aca="false">AL69</f>
        <v>0</v>
      </c>
      <c r="AM72" s="172"/>
      <c r="AN72" s="253" t="n">
        <f aca="false">AN69</f>
        <v>0</v>
      </c>
      <c r="AO72" s="172"/>
      <c r="AP72" s="172"/>
      <c r="AQ72" s="39"/>
    </row>
    <row r="73" s="148" customFormat="true" ht="15" hidden="false" customHeight="true" outlineLevel="1" collapsed="false">
      <c r="A73" s="175" t="s">
        <v>159</v>
      </c>
      <c r="B73" s="256" t="n">
        <f aca="false">IF(B$12=0,0,IF(OR(T.50_Vetsuisse,T.ServiceCenterIrchel),ROUND(B14-B13+MAX(0,T.Nachtab-MAX(T.Nachtbis,B14))-MAX(0,T.Nachtab-MAX(B13,T.Nachtbis))+(B13&gt;B14)*(1+T.Nachtbis-T.Nachtab)+B16-B15+MAX(0,T.Nachtab-MAX(T.Nachtbis,B16))-MAX(0,T.Nachtab-MAX(B15,T.Nachtbis))+(B15&gt;B16)*(1+T.Nachtbis-T.Nachtab)+B18-B17+MAX(0,T.Nachtab-MAX(T.Nachtbis,B18))-MAX(0,T.Nachtab-MAX(B17,T.Nachtbis))+(B17&gt;B18)*(1+T.Nachtbis-T.Nachtab)+B20-B19+MAX(0,T.Nachtab-MAX(T.Nachtbis,B20))-MAX(0,T.Nachtab-MAX(B19,T.Nachtbis))+(B19&gt;B20)*(1+T.Nachtbis-T.Nachtab)+B22-B21+MAX(0,T.Nachtab-MAX(T.Nachtbis,B22))-MAX(0,T.Nachtab-MAX(B21,T.Nachtbis))+(B21&gt;B22)*(1+T.Nachtbis-T.Nachtab),9), IF(AND(WEEKDAY(B$10,2)&lt;6,B$11&lt;&gt;0),ROUND(B36-B35+MAX(0,T.Nachtab-MAX(T.Nachtbis,B36))-MAX(0,T.Nachtab-MAX(B35,T.Nachtbis))+(B35&gt;B36)*(1+T.Nachtbis-T.Nachtab)+B38-B37+MAX(0,T.Nachtab-MAX(T.Nachtbis,B38))-MAX(0,T.Nachtab-MAX(B37,T.Nachtbis))+(B37&gt;B38)*(1+T.Nachtbis-T.Nachtab)+B40-B39+MAX(0,T.Nachtab-MAX(T.Nachtbis,B40))-MAX(0,T.Nachtab-MAX(B39,T.Nachtbis))+(B39&gt;B40)*(1+T.Nachtbis-T.Nachtab)+B42-B41+MAX(0,T.Nachtab-MAX(T.Nachtbis,B42))-MAX(0,T.Nachtab-MAX(B41,T.Nachtbis))+(B41&gt;B42)*(1+T.Nachtbis-T.Nachtab)+B44-B43+MAX(0,T.Nachtab-MAX(T.Nachtbis,B44))-MAX(0,T.Nachtab-MAX(B43,T.Nachtbis))+(B43&gt;B44)*(1+T.Nachtbis-T.Nachtab),9),0)))</f>
        <v>0</v>
      </c>
      <c r="C73" s="256" t="n">
        <f aca="false">IF(C$12=0,0,IF(OR(T.50_Vetsuisse,T.ServiceCenterIrchel),ROUND(C14-C13+MAX(0,T.Nachtab-MAX(T.Nachtbis,C14))-MAX(0,T.Nachtab-MAX(C13,T.Nachtbis))+(C13&gt;C14)*(1+T.Nachtbis-T.Nachtab)+C16-C15+MAX(0,T.Nachtab-MAX(T.Nachtbis,C16))-MAX(0,T.Nachtab-MAX(C15,T.Nachtbis))+(C15&gt;C16)*(1+T.Nachtbis-T.Nachtab)+C18-C17+MAX(0,T.Nachtab-MAX(T.Nachtbis,C18))-MAX(0,T.Nachtab-MAX(C17,T.Nachtbis))+(C17&gt;C18)*(1+T.Nachtbis-T.Nachtab)+C20-C19+MAX(0,T.Nachtab-MAX(T.Nachtbis,C20))-MAX(0,T.Nachtab-MAX(C19,T.Nachtbis))+(C19&gt;C20)*(1+T.Nachtbis-T.Nachtab)+C22-C21+MAX(0,T.Nachtab-MAX(T.Nachtbis,C22))-MAX(0,T.Nachtab-MAX(C21,T.Nachtbis))+(C21&gt;C22)*(1+T.Nachtbis-T.Nachtab),9), IF(AND(WEEKDAY(C$10,2)&lt;6,C$11&lt;&gt;0),ROUND(C36-C35+MAX(0,T.Nachtab-MAX(T.Nachtbis,C36))-MAX(0,T.Nachtab-MAX(C35,T.Nachtbis))+(C35&gt;C36)*(1+T.Nachtbis-T.Nachtab)+C38-C37+MAX(0,T.Nachtab-MAX(T.Nachtbis,C38))-MAX(0,T.Nachtab-MAX(C37,T.Nachtbis))+(C37&gt;C38)*(1+T.Nachtbis-T.Nachtab)+C40-C39+MAX(0,T.Nachtab-MAX(T.Nachtbis,C40))-MAX(0,T.Nachtab-MAX(C39,T.Nachtbis))+(C39&gt;C40)*(1+T.Nachtbis-T.Nachtab)+C42-C41+MAX(0,T.Nachtab-MAX(T.Nachtbis,C42))-MAX(0,T.Nachtab-MAX(C41,T.Nachtbis))+(C41&gt;C42)*(1+T.Nachtbis-T.Nachtab)+C44-C43+MAX(0,T.Nachtab-MAX(T.Nachtbis,C44))-MAX(0,T.Nachtab-MAX(C43,T.Nachtbis))+(C43&gt;C44)*(1+T.Nachtbis-T.Nachtab),9),0)))</f>
        <v>0</v>
      </c>
      <c r="D73" s="256" t="n">
        <f aca="false">IF(D$12=0,0,IF(OR(T.50_Vetsuisse,T.ServiceCenterIrchel),ROUND(D14-D13+MAX(0,T.Nachtab-MAX(T.Nachtbis,D14))-MAX(0,T.Nachtab-MAX(D13,T.Nachtbis))+(D13&gt;D14)*(1+T.Nachtbis-T.Nachtab)+D16-D15+MAX(0,T.Nachtab-MAX(T.Nachtbis,D16))-MAX(0,T.Nachtab-MAX(D15,T.Nachtbis))+(D15&gt;D16)*(1+T.Nachtbis-T.Nachtab)+D18-D17+MAX(0,T.Nachtab-MAX(T.Nachtbis,D18))-MAX(0,T.Nachtab-MAX(D17,T.Nachtbis))+(D17&gt;D18)*(1+T.Nachtbis-T.Nachtab)+D20-D19+MAX(0,T.Nachtab-MAX(T.Nachtbis,D20))-MAX(0,T.Nachtab-MAX(D19,T.Nachtbis))+(D19&gt;D20)*(1+T.Nachtbis-T.Nachtab)+D22-D21+MAX(0,T.Nachtab-MAX(T.Nachtbis,D22))-MAX(0,T.Nachtab-MAX(D21,T.Nachtbis))+(D21&gt;D22)*(1+T.Nachtbis-T.Nachtab),9), IF(AND(WEEKDAY(D$10,2)&lt;6,D$11&lt;&gt;0),ROUND(D36-D35+MAX(0,T.Nachtab-MAX(T.Nachtbis,D36))-MAX(0,T.Nachtab-MAX(D35,T.Nachtbis))+(D35&gt;D36)*(1+T.Nachtbis-T.Nachtab)+D38-D37+MAX(0,T.Nachtab-MAX(T.Nachtbis,D38))-MAX(0,T.Nachtab-MAX(D37,T.Nachtbis))+(D37&gt;D38)*(1+T.Nachtbis-T.Nachtab)+D40-D39+MAX(0,T.Nachtab-MAX(T.Nachtbis,D40))-MAX(0,T.Nachtab-MAX(D39,T.Nachtbis))+(D39&gt;D40)*(1+T.Nachtbis-T.Nachtab)+D42-D41+MAX(0,T.Nachtab-MAX(T.Nachtbis,D42))-MAX(0,T.Nachtab-MAX(D41,T.Nachtbis))+(D41&gt;D42)*(1+T.Nachtbis-T.Nachtab)+D44-D43+MAX(0,T.Nachtab-MAX(T.Nachtbis,D44))-MAX(0,T.Nachtab-MAX(D43,T.Nachtbis))+(D43&gt;D44)*(1+T.Nachtbis-T.Nachtab),9),0)))</f>
        <v>0</v>
      </c>
      <c r="E73" s="256" t="n">
        <f aca="false">IF(E$12=0,0,IF(OR(T.50_Vetsuisse,T.ServiceCenterIrchel),ROUND(E14-E13+MAX(0,T.Nachtab-MAX(T.Nachtbis,E14))-MAX(0,T.Nachtab-MAX(E13,T.Nachtbis))+(E13&gt;E14)*(1+T.Nachtbis-T.Nachtab)+E16-E15+MAX(0,T.Nachtab-MAX(T.Nachtbis,E16))-MAX(0,T.Nachtab-MAX(E15,T.Nachtbis))+(E15&gt;E16)*(1+T.Nachtbis-T.Nachtab)+E18-E17+MAX(0,T.Nachtab-MAX(T.Nachtbis,E18))-MAX(0,T.Nachtab-MAX(E17,T.Nachtbis))+(E17&gt;E18)*(1+T.Nachtbis-T.Nachtab)+E20-E19+MAX(0,T.Nachtab-MAX(T.Nachtbis,E20))-MAX(0,T.Nachtab-MAX(E19,T.Nachtbis))+(E19&gt;E20)*(1+T.Nachtbis-T.Nachtab)+E22-E21+MAX(0,T.Nachtab-MAX(T.Nachtbis,E22))-MAX(0,T.Nachtab-MAX(E21,T.Nachtbis))+(E21&gt;E22)*(1+T.Nachtbis-T.Nachtab),9), IF(AND(WEEKDAY(E$10,2)&lt;6,E$11&lt;&gt;0),ROUND(E36-E35+MAX(0,T.Nachtab-MAX(T.Nachtbis,E36))-MAX(0,T.Nachtab-MAX(E35,T.Nachtbis))+(E35&gt;E36)*(1+T.Nachtbis-T.Nachtab)+E38-E37+MAX(0,T.Nachtab-MAX(T.Nachtbis,E38))-MAX(0,T.Nachtab-MAX(E37,T.Nachtbis))+(E37&gt;E38)*(1+T.Nachtbis-T.Nachtab)+E40-E39+MAX(0,T.Nachtab-MAX(T.Nachtbis,E40))-MAX(0,T.Nachtab-MAX(E39,T.Nachtbis))+(E39&gt;E40)*(1+T.Nachtbis-T.Nachtab)+E42-E41+MAX(0,T.Nachtab-MAX(T.Nachtbis,E42))-MAX(0,T.Nachtab-MAX(E41,T.Nachtbis))+(E41&gt;E42)*(1+T.Nachtbis-T.Nachtab)+E44-E43+MAX(0,T.Nachtab-MAX(T.Nachtbis,E44))-MAX(0,T.Nachtab-MAX(E43,T.Nachtbis))+(E43&gt;E44)*(1+T.Nachtbis-T.Nachtab),9),0)))</f>
        <v>0</v>
      </c>
      <c r="F73" s="256" t="n">
        <f aca="false">IF(F$12=0,0,IF(OR(T.50_Vetsuisse,T.ServiceCenterIrchel),ROUND(F14-F13+MAX(0,T.Nachtab-MAX(T.Nachtbis,F14))-MAX(0,T.Nachtab-MAX(F13,T.Nachtbis))+(F13&gt;F14)*(1+T.Nachtbis-T.Nachtab)+F16-F15+MAX(0,T.Nachtab-MAX(T.Nachtbis,F16))-MAX(0,T.Nachtab-MAX(F15,T.Nachtbis))+(F15&gt;F16)*(1+T.Nachtbis-T.Nachtab)+F18-F17+MAX(0,T.Nachtab-MAX(T.Nachtbis,F18))-MAX(0,T.Nachtab-MAX(F17,T.Nachtbis))+(F17&gt;F18)*(1+T.Nachtbis-T.Nachtab)+F20-F19+MAX(0,T.Nachtab-MAX(T.Nachtbis,F20))-MAX(0,T.Nachtab-MAX(F19,T.Nachtbis))+(F19&gt;F20)*(1+T.Nachtbis-T.Nachtab)+F22-F21+MAX(0,T.Nachtab-MAX(T.Nachtbis,F22))-MAX(0,T.Nachtab-MAX(F21,T.Nachtbis))+(F21&gt;F22)*(1+T.Nachtbis-T.Nachtab),9), IF(AND(WEEKDAY(F$10,2)&lt;6,F$11&lt;&gt;0),ROUND(F36-F35+MAX(0,T.Nachtab-MAX(T.Nachtbis,F36))-MAX(0,T.Nachtab-MAX(F35,T.Nachtbis))+(F35&gt;F36)*(1+T.Nachtbis-T.Nachtab)+F38-F37+MAX(0,T.Nachtab-MAX(T.Nachtbis,F38))-MAX(0,T.Nachtab-MAX(F37,T.Nachtbis))+(F37&gt;F38)*(1+T.Nachtbis-T.Nachtab)+F40-F39+MAX(0,T.Nachtab-MAX(T.Nachtbis,F40))-MAX(0,T.Nachtab-MAX(F39,T.Nachtbis))+(F39&gt;F40)*(1+T.Nachtbis-T.Nachtab)+F42-F41+MAX(0,T.Nachtab-MAX(T.Nachtbis,F42))-MAX(0,T.Nachtab-MAX(F41,T.Nachtbis))+(F41&gt;F42)*(1+T.Nachtbis-T.Nachtab)+F44-F43+MAX(0,T.Nachtab-MAX(T.Nachtbis,F44))-MAX(0,T.Nachtab-MAX(F43,T.Nachtbis))+(F43&gt;F44)*(1+T.Nachtbis-T.Nachtab),9),0)))</f>
        <v>0</v>
      </c>
      <c r="G73" s="256" t="n">
        <f aca="false">IF(G$12=0,0,IF(OR(T.50_Vetsuisse,T.ServiceCenterIrchel),ROUND(G14-G13+MAX(0,T.Nachtab-MAX(T.Nachtbis,G14))-MAX(0,T.Nachtab-MAX(G13,T.Nachtbis))+(G13&gt;G14)*(1+T.Nachtbis-T.Nachtab)+G16-G15+MAX(0,T.Nachtab-MAX(T.Nachtbis,G16))-MAX(0,T.Nachtab-MAX(G15,T.Nachtbis))+(G15&gt;G16)*(1+T.Nachtbis-T.Nachtab)+G18-G17+MAX(0,T.Nachtab-MAX(T.Nachtbis,G18))-MAX(0,T.Nachtab-MAX(G17,T.Nachtbis))+(G17&gt;G18)*(1+T.Nachtbis-T.Nachtab)+G20-G19+MAX(0,T.Nachtab-MAX(T.Nachtbis,G20))-MAX(0,T.Nachtab-MAX(G19,T.Nachtbis))+(G19&gt;G20)*(1+T.Nachtbis-T.Nachtab)+G22-G21+MAX(0,T.Nachtab-MAX(T.Nachtbis,G22))-MAX(0,T.Nachtab-MAX(G21,T.Nachtbis))+(G21&gt;G22)*(1+T.Nachtbis-T.Nachtab),9), IF(AND(WEEKDAY(G$10,2)&lt;6,G$11&lt;&gt;0),ROUND(G36-G35+MAX(0,T.Nachtab-MAX(T.Nachtbis,G36))-MAX(0,T.Nachtab-MAX(G35,T.Nachtbis))+(G35&gt;G36)*(1+T.Nachtbis-T.Nachtab)+G38-G37+MAX(0,T.Nachtab-MAX(T.Nachtbis,G38))-MAX(0,T.Nachtab-MAX(G37,T.Nachtbis))+(G37&gt;G38)*(1+T.Nachtbis-T.Nachtab)+G40-G39+MAX(0,T.Nachtab-MAX(T.Nachtbis,G40))-MAX(0,T.Nachtab-MAX(G39,T.Nachtbis))+(G39&gt;G40)*(1+T.Nachtbis-T.Nachtab)+G42-G41+MAX(0,T.Nachtab-MAX(T.Nachtbis,G42))-MAX(0,T.Nachtab-MAX(G41,T.Nachtbis))+(G41&gt;G42)*(1+T.Nachtbis-T.Nachtab)+G44-G43+MAX(0,T.Nachtab-MAX(T.Nachtbis,G44))-MAX(0,T.Nachtab-MAX(G43,T.Nachtbis))+(G43&gt;G44)*(1+T.Nachtbis-T.Nachtab),9),0)))</f>
        <v>0</v>
      </c>
      <c r="H73" s="256" t="n">
        <f aca="false">IF(H$12=0,0,IF(OR(T.50_Vetsuisse,T.ServiceCenterIrchel),ROUND(H14-H13+MAX(0,T.Nachtab-MAX(T.Nachtbis,H14))-MAX(0,T.Nachtab-MAX(H13,T.Nachtbis))+(H13&gt;H14)*(1+T.Nachtbis-T.Nachtab)+H16-H15+MAX(0,T.Nachtab-MAX(T.Nachtbis,H16))-MAX(0,T.Nachtab-MAX(H15,T.Nachtbis))+(H15&gt;H16)*(1+T.Nachtbis-T.Nachtab)+H18-H17+MAX(0,T.Nachtab-MAX(T.Nachtbis,H18))-MAX(0,T.Nachtab-MAX(H17,T.Nachtbis))+(H17&gt;H18)*(1+T.Nachtbis-T.Nachtab)+H20-H19+MAX(0,T.Nachtab-MAX(T.Nachtbis,H20))-MAX(0,T.Nachtab-MAX(H19,T.Nachtbis))+(H19&gt;H20)*(1+T.Nachtbis-T.Nachtab)+H22-H21+MAX(0,T.Nachtab-MAX(T.Nachtbis,H22))-MAX(0,T.Nachtab-MAX(H21,T.Nachtbis))+(H21&gt;H22)*(1+T.Nachtbis-T.Nachtab),9), IF(AND(WEEKDAY(H$10,2)&lt;6,H$11&lt;&gt;0),ROUND(H36-H35+MAX(0,T.Nachtab-MAX(T.Nachtbis,H36))-MAX(0,T.Nachtab-MAX(H35,T.Nachtbis))+(H35&gt;H36)*(1+T.Nachtbis-T.Nachtab)+H38-H37+MAX(0,T.Nachtab-MAX(T.Nachtbis,H38))-MAX(0,T.Nachtab-MAX(H37,T.Nachtbis))+(H37&gt;H38)*(1+T.Nachtbis-T.Nachtab)+H40-H39+MAX(0,T.Nachtab-MAX(T.Nachtbis,H40))-MAX(0,T.Nachtab-MAX(H39,T.Nachtbis))+(H39&gt;H40)*(1+T.Nachtbis-T.Nachtab)+H42-H41+MAX(0,T.Nachtab-MAX(T.Nachtbis,H42))-MAX(0,T.Nachtab-MAX(H41,T.Nachtbis))+(H41&gt;H42)*(1+T.Nachtbis-T.Nachtab)+H44-H43+MAX(0,T.Nachtab-MAX(T.Nachtbis,H44))-MAX(0,T.Nachtab-MAX(H43,T.Nachtbis))+(H43&gt;H44)*(1+T.Nachtbis-T.Nachtab),9),0)))</f>
        <v>0</v>
      </c>
      <c r="I73" s="256" t="n">
        <f aca="false">IF(I$12=0,0,IF(OR(T.50_Vetsuisse,T.ServiceCenterIrchel),ROUND(I14-I13+MAX(0,T.Nachtab-MAX(T.Nachtbis,I14))-MAX(0,T.Nachtab-MAX(I13,T.Nachtbis))+(I13&gt;I14)*(1+T.Nachtbis-T.Nachtab)+I16-I15+MAX(0,T.Nachtab-MAX(T.Nachtbis,I16))-MAX(0,T.Nachtab-MAX(I15,T.Nachtbis))+(I15&gt;I16)*(1+T.Nachtbis-T.Nachtab)+I18-I17+MAX(0,T.Nachtab-MAX(T.Nachtbis,I18))-MAX(0,T.Nachtab-MAX(I17,T.Nachtbis))+(I17&gt;I18)*(1+T.Nachtbis-T.Nachtab)+I20-I19+MAX(0,T.Nachtab-MAX(T.Nachtbis,I20))-MAX(0,T.Nachtab-MAX(I19,T.Nachtbis))+(I19&gt;I20)*(1+T.Nachtbis-T.Nachtab)+I22-I21+MAX(0,T.Nachtab-MAX(T.Nachtbis,I22))-MAX(0,T.Nachtab-MAX(I21,T.Nachtbis))+(I21&gt;I22)*(1+T.Nachtbis-T.Nachtab),9), IF(AND(WEEKDAY(I$10,2)&lt;6,I$11&lt;&gt;0),ROUND(I36-I35+MAX(0,T.Nachtab-MAX(T.Nachtbis,I36))-MAX(0,T.Nachtab-MAX(I35,T.Nachtbis))+(I35&gt;I36)*(1+T.Nachtbis-T.Nachtab)+I38-I37+MAX(0,T.Nachtab-MAX(T.Nachtbis,I38))-MAX(0,T.Nachtab-MAX(I37,T.Nachtbis))+(I37&gt;I38)*(1+T.Nachtbis-T.Nachtab)+I40-I39+MAX(0,T.Nachtab-MAX(T.Nachtbis,I40))-MAX(0,T.Nachtab-MAX(I39,T.Nachtbis))+(I39&gt;I40)*(1+T.Nachtbis-T.Nachtab)+I42-I41+MAX(0,T.Nachtab-MAX(T.Nachtbis,I42))-MAX(0,T.Nachtab-MAX(I41,T.Nachtbis))+(I41&gt;I42)*(1+T.Nachtbis-T.Nachtab)+I44-I43+MAX(0,T.Nachtab-MAX(T.Nachtbis,I44))-MAX(0,T.Nachtab-MAX(I43,T.Nachtbis))+(I43&gt;I44)*(1+T.Nachtbis-T.Nachtab),9),0)))</f>
        <v>0</v>
      </c>
      <c r="J73" s="256" t="n">
        <f aca="false">IF(J$12=0,0,IF(OR(T.50_Vetsuisse,T.ServiceCenterIrchel),ROUND(J14-J13+MAX(0,T.Nachtab-MAX(T.Nachtbis,J14))-MAX(0,T.Nachtab-MAX(J13,T.Nachtbis))+(J13&gt;J14)*(1+T.Nachtbis-T.Nachtab)+J16-J15+MAX(0,T.Nachtab-MAX(T.Nachtbis,J16))-MAX(0,T.Nachtab-MAX(J15,T.Nachtbis))+(J15&gt;J16)*(1+T.Nachtbis-T.Nachtab)+J18-J17+MAX(0,T.Nachtab-MAX(T.Nachtbis,J18))-MAX(0,T.Nachtab-MAX(J17,T.Nachtbis))+(J17&gt;J18)*(1+T.Nachtbis-T.Nachtab)+J20-J19+MAX(0,T.Nachtab-MAX(T.Nachtbis,J20))-MAX(0,T.Nachtab-MAX(J19,T.Nachtbis))+(J19&gt;J20)*(1+T.Nachtbis-T.Nachtab)+J22-J21+MAX(0,T.Nachtab-MAX(T.Nachtbis,J22))-MAX(0,T.Nachtab-MAX(J21,T.Nachtbis))+(J21&gt;J22)*(1+T.Nachtbis-T.Nachtab),9), IF(AND(WEEKDAY(J$10,2)&lt;6,J$11&lt;&gt;0),ROUND(J36-J35+MAX(0,T.Nachtab-MAX(T.Nachtbis,J36))-MAX(0,T.Nachtab-MAX(J35,T.Nachtbis))+(J35&gt;J36)*(1+T.Nachtbis-T.Nachtab)+J38-J37+MAX(0,T.Nachtab-MAX(T.Nachtbis,J38))-MAX(0,T.Nachtab-MAX(J37,T.Nachtbis))+(J37&gt;J38)*(1+T.Nachtbis-T.Nachtab)+J40-J39+MAX(0,T.Nachtab-MAX(T.Nachtbis,J40))-MAX(0,T.Nachtab-MAX(J39,T.Nachtbis))+(J39&gt;J40)*(1+T.Nachtbis-T.Nachtab)+J42-J41+MAX(0,T.Nachtab-MAX(T.Nachtbis,J42))-MAX(0,T.Nachtab-MAX(J41,T.Nachtbis))+(J41&gt;J42)*(1+T.Nachtbis-T.Nachtab)+J44-J43+MAX(0,T.Nachtab-MAX(T.Nachtbis,J44))-MAX(0,T.Nachtab-MAX(J43,T.Nachtbis))+(J43&gt;J44)*(1+T.Nachtbis-T.Nachtab),9),0)))</f>
        <v>0</v>
      </c>
      <c r="K73" s="256" t="n">
        <f aca="false">IF(K$12=0,0,IF(OR(T.50_Vetsuisse,T.ServiceCenterIrchel),ROUND(K14-K13+MAX(0,T.Nachtab-MAX(T.Nachtbis,K14))-MAX(0,T.Nachtab-MAX(K13,T.Nachtbis))+(K13&gt;K14)*(1+T.Nachtbis-T.Nachtab)+K16-K15+MAX(0,T.Nachtab-MAX(T.Nachtbis,K16))-MAX(0,T.Nachtab-MAX(K15,T.Nachtbis))+(K15&gt;K16)*(1+T.Nachtbis-T.Nachtab)+K18-K17+MAX(0,T.Nachtab-MAX(T.Nachtbis,K18))-MAX(0,T.Nachtab-MAX(K17,T.Nachtbis))+(K17&gt;K18)*(1+T.Nachtbis-T.Nachtab)+K20-K19+MAX(0,T.Nachtab-MAX(T.Nachtbis,K20))-MAX(0,T.Nachtab-MAX(K19,T.Nachtbis))+(K19&gt;K20)*(1+T.Nachtbis-T.Nachtab)+K22-K21+MAX(0,T.Nachtab-MAX(T.Nachtbis,K22))-MAX(0,T.Nachtab-MAX(K21,T.Nachtbis))+(K21&gt;K22)*(1+T.Nachtbis-T.Nachtab),9), IF(AND(WEEKDAY(K$10,2)&lt;6,K$11&lt;&gt;0),ROUND(K36-K35+MAX(0,T.Nachtab-MAX(T.Nachtbis,K36))-MAX(0,T.Nachtab-MAX(K35,T.Nachtbis))+(K35&gt;K36)*(1+T.Nachtbis-T.Nachtab)+K38-K37+MAX(0,T.Nachtab-MAX(T.Nachtbis,K38))-MAX(0,T.Nachtab-MAX(K37,T.Nachtbis))+(K37&gt;K38)*(1+T.Nachtbis-T.Nachtab)+K40-K39+MAX(0,T.Nachtab-MAX(T.Nachtbis,K40))-MAX(0,T.Nachtab-MAX(K39,T.Nachtbis))+(K39&gt;K40)*(1+T.Nachtbis-T.Nachtab)+K42-K41+MAX(0,T.Nachtab-MAX(T.Nachtbis,K42))-MAX(0,T.Nachtab-MAX(K41,T.Nachtbis))+(K41&gt;K42)*(1+T.Nachtbis-T.Nachtab)+K44-K43+MAX(0,T.Nachtab-MAX(T.Nachtbis,K44))-MAX(0,T.Nachtab-MAX(K43,T.Nachtbis))+(K43&gt;K44)*(1+T.Nachtbis-T.Nachtab),9),0)))</f>
        <v>0</v>
      </c>
      <c r="L73" s="256" t="n">
        <f aca="false">IF(L$12=0,0,IF(OR(T.50_Vetsuisse,T.ServiceCenterIrchel),ROUND(L14-L13+MAX(0,T.Nachtab-MAX(T.Nachtbis,L14))-MAX(0,T.Nachtab-MAX(L13,T.Nachtbis))+(L13&gt;L14)*(1+T.Nachtbis-T.Nachtab)+L16-L15+MAX(0,T.Nachtab-MAX(T.Nachtbis,L16))-MAX(0,T.Nachtab-MAX(L15,T.Nachtbis))+(L15&gt;L16)*(1+T.Nachtbis-T.Nachtab)+L18-L17+MAX(0,T.Nachtab-MAX(T.Nachtbis,L18))-MAX(0,T.Nachtab-MAX(L17,T.Nachtbis))+(L17&gt;L18)*(1+T.Nachtbis-T.Nachtab)+L20-L19+MAX(0,T.Nachtab-MAX(T.Nachtbis,L20))-MAX(0,T.Nachtab-MAX(L19,T.Nachtbis))+(L19&gt;L20)*(1+T.Nachtbis-T.Nachtab)+L22-L21+MAX(0,T.Nachtab-MAX(T.Nachtbis,L22))-MAX(0,T.Nachtab-MAX(L21,T.Nachtbis))+(L21&gt;L22)*(1+T.Nachtbis-T.Nachtab),9), IF(AND(WEEKDAY(L$10,2)&lt;6,L$11&lt;&gt;0),ROUND(L36-L35+MAX(0,T.Nachtab-MAX(T.Nachtbis,L36))-MAX(0,T.Nachtab-MAX(L35,T.Nachtbis))+(L35&gt;L36)*(1+T.Nachtbis-T.Nachtab)+L38-L37+MAX(0,T.Nachtab-MAX(T.Nachtbis,L38))-MAX(0,T.Nachtab-MAX(L37,T.Nachtbis))+(L37&gt;L38)*(1+T.Nachtbis-T.Nachtab)+L40-L39+MAX(0,T.Nachtab-MAX(T.Nachtbis,L40))-MAX(0,T.Nachtab-MAX(L39,T.Nachtbis))+(L39&gt;L40)*(1+T.Nachtbis-T.Nachtab)+L42-L41+MAX(0,T.Nachtab-MAX(T.Nachtbis,L42))-MAX(0,T.Nachtab-MAX(L41,T.Nachtbis))+(L41&gt;L42)*(1+T.Nachtbis-T.Nachtab)+L44-L43+MAX(0,T.Nachtab-MAX(T.Nachtbis,L44))-MAX(0,T.Nachtab-MAX(L43,T.Nachtbis))+(L43&gt;L44)*(1+T.Nachtbis-T.Nachtab),9),0)))</f>
        <v>0</v>
      </c>
      <c r="M73" s="256" t="n">
        <f aca="false">IF(M$12=0,0,IF(OR(T.50_Vetsuisse,T.ServiceCenterIrchel),ROUND(M14-M13+MAX(0,T.Nachtab-MAX(T.Nachtbis,M14))-MAX(0,T.Nachtab-MAX(M13,T.Nachtbis))+(M13&gt;M14)*(1+T.Nachtbis-T.Nachtab)+M16-M15+MAX(0,T.Nachtab-MAX(T.Nachtbis,M16))-MAX(0,T.Nachtab-MAX(M15,T.Nachtbis))+(M15&gt;M16)*(1+T.Nachtbis-T.Nachtab)+M18-M17+MAX(0,T.Nachtab-MAX(T.Nachtbis,M18))-MAX(0,T.Nachtab-MAX(M17,T.Nachtbis))+(M17&gt;M18)*(1+T.Nachtbis-T.Nachtab)+M20-M19+MAX(0,T.Nachtab-MAX(T.Nachtbis,M20))-MAX(0,T.Nachtab-MAX(M19,T.Nachtbis))+(M19&gt;M20)*(1+T.Nachtbis-T.Nachtab)+M22-M21+MAX(0,T.Nachtab-MAX(T.Nachtbis,M22))-MAX(0,T.Nachtab-MAX(M21,T.Nachtbis))+(M21&gt;M22)*(1+T.Nachtbis-T.Nachtab),9), IF(AND(WEEKDAY(M$10,2)&lt;6,M$11&lt;&gt;0),ROUND(M36-M35+MAX(0,T.Nachtab-MAX(T.Nachtbis,M36))-MAX(0,T.Nachtab-MAX(M35,T.Nachtbis))+(M35&gt;M36)*(1+T.Nachtbis-T.Nachtab)+M38-M37+MAX(0,T.Nachtab-MAX(T.Nachtbis,M38))-MAX(0,T.Nachtab-MAX(M37,T.Nachtbis))+(M37&gt;M38)*(1+T.Nachtbis-T.Nachtab)+M40-M39+MAX(0,T.Nachtab-MAX(T.Nachtbis,M40))-MAX(0,T.Nachtab-MAX(M39,T.Nachtbis))+(M39&gt;M40)*(1+T.Nachtbis-T.Nachtab)+M42-M41+MAX(0,T.Nachtab-MAX(T.Nachtbis,M42))-MAX(0,T.Nachtab-MAX(M41,T.Nachtbis))+(M41&gt;M42)*(1+T.Nachtbis-T.Nachtab)+M44-M43+MAX(0,T.Nachtab-MAX(T.Nachtbis,M44))-MAX(0,T.Nachtab-MAX(M43,T.Nachtbis))+(M43&gt;M44)*(1+T.Nachtbis-T.Nachtab),9),0)))</f>
        <v>0</v>
      </c>
      <c r="N73" s="256" t="n">
        <f aca="false">IF(N$12=0,0,IF(OR(T.50_Vetsuisse,T.ServiceCenterIrchel),ROUND(N14-N13+MAX(0,T.Nachtab-MAX(T.Nachtbis,N14))-MAX(0,T.Nachtab-MAX(N13,T.Nachtbis))+(N13&gt;N14)*(1+T.Nachtbis-T.Nachtab)+N16-N15+MAX(0,T.Nachtab-MAX(T.Nachtbis,N16))-MAX(0,T.Nachtab-MAX(N15,T.Nachtbis))+(N15&gt;N16)*(1+T.Nachtbis-T.Nachtab)+N18-N17+MAX(0,T.Nachtab-MAX(T.Nachtbis,N18))-MAX(0,T.Nachtab-MAX(N17,T.Nachtbis))+(N17&gt;N18)*(1+T.Nachtbis-T.Nachtab)+N20-N19+MAX(0,T.Nachtab-MAX(T.Nachtbis,N20))-MAX(0,T.Nachtab-MAX(N19,T.Nachtbis))+(N19&gt;N20)*(1+T.Nachtbis-T.Nachtab)+N22-N21+MAX(0,T.Nachtab-MAX(T.Nachtbis,N22))-MAX(0,T.Nachtab-MAX(N21,T.Nachtbis))+(N21&gt;N22)*(1+T.Nachtbis-T.Nachtab),9), IF(AND(WEEKDAY(N$10,2)&lt;6,N$11&lt;&gt;0),ROUND(N36-N35+MAX(0,T.Nachtab-MAX(T.Nachtbis,N36))-MAX(0,T.Nachtab-MAX(N35,T.Nachtbis))+(N35&gt;N36)*(1+T.Nachtbis-T.Nachtab)+N38-N37+MAX(0,T.Nachtab-MAX(T.Nachtbis,N38))-MAX(0,T.Nachtab-MAX(N37,T.Nachtbis))+(N37&gt;N38)*(1+T.Nachtbis-T.Nachtab)+N40-N39+MAX(0,T.Nachtab-MAX(T.Nachtbis,N40))-MAX(0,T.Nachtab-MAX(N39,T.Nachtbis))+(N39&gt;N40)*(1+T.Nachtbis-T.Nachtab)+N42-N41+MAX(0,T.Nachtab-MAX(T.Nachtbis,N42))-MAX(0,T.Nachtab-MAX(N41,T.Nachtbis))+(N41&gt;N42)*(1+T.Nachtbis-T.Nachtab)+N44-N43+MAX(0,T.Nachtab-MAX(T.Nachtbis,N44))-MAX(0,T.Nachtab-MAX(N43,T.Nachtbis))+(N43&gt;N44)*(1+T.Nachtbis-T.Nachtab),9),0)))</f>
        <v>0</v>
      </c>
      <c r="O73" s="256" t="n">
        <f aca="false">IF(O$12=0,0,IF(OR(T.50_Vetsuisse,T.ServiceCenterIrchel),ROUND(O14-O13+MAX(0,T.Nachtab-MAX(T.Nachtbis,O14))-MAX(0,T.Nachtab-MAX(O13,T.Nachtbis))+(O13&gt;O14)*(1+T.Nachtbis-T.Nachtab)+O16-O15+MAX(0,T.Nachtab-MAX(T.Nachtbis,O16))-MAX(0,T.Nachtab-MAX(O15,T.Nachtbis))+(O15&gt;O16)*(1+T.Nachtbis-T.Nachtab)+O18-O17+MAX(0,T.Nachtab-MAX(T.Nachtbis,O18))-MAX(0,T.Nachtab-MAX(O17,T.Nachtbis))+(O17&gt;O18)*(1+T.Nachtbis-T.Nachtab)+O20-O19+MAX(0,T.Nachtab-MAX(T.Nachtbis,O20))-MAX(0,T.Nachtab-MAX(O19,T.Nachtbis))+(O19&gt;O20)*(1+T.Nachtbis-T.Nachtab)+O22-O21+MAX(0,T.Nachtab-MAX(T.Nachtbis,O22))-MAX(0,T.Nachtab-MAX(O21,T.Nachtbis))+(O21&gt;O22)*(1+T.Nachtbis-T.Nachtab),9), IF(AND(WEEKDAY(O$10,2)&lt;6,O$11&lt;&gt;0),ROUND(O36-O35+MAX(0,T.Nachtab-MAX(T.Nachtbis,O36))-MAX(0,T.Nachtab-MAX(O35,T.Nachtbis))+(O35&gt;O36)*(1+T.Nachtbis-T.Nachtab)+O38-O37+MAX(0,T.Nachtab-MAX(T.Nachtbis,O38))-MAX(0,T.Nachtab-MAX(O37,T.Nachtbis))+(O37&gt;O38)*(1+T.Nachtbis-T.Nachtab)+O40-O39+MAX(0,T.Nachtab-MAX(T.Nachtbis,O40))-MAX(0,T.Nachtab-MAX(O39,T.Nachtbis))+(O39&gt;O40)*(1+T.Nachtbis-T.Nachtab)+O42-O41+MAX(0,T.Nachtab-MAX(T.Nachtbis,O42))-MAX(0,T.Nachtab-MAX(O41,T.Nachtbis))+(O41&gt;O42)*(1+T.Nachtbis-T.Nachtab)+O44-O43+MAX(0,T.Nachtab-MAX(T.Nachtbis,O44))-MAX(0,T.Nachtab-MAX(O43,T.Nachtbis))+(O43&gt;O44)*(1+T.Nachtbis-T.Nachtab),9),0)))</f>
        <v>0</v>
      </c>
      <c r="P73" s="256" t="n">
        <f aca="false">IF(P$12=0,0,IF(OR(T.50_Vetsuisse,T.ServiceCenterIrchel),ROUND(P14-P13+MAX(0,T.Nachtab-MAX(T.Nachtbis,P14))-MAX(0,T.Nachtab-MAX(P13,T.Nachtbis))+(P13&gt;P14)*(1+T.Nachtbis-T.Nachtab)+P16-P15+MAX(0,T.Nachtab-MAX(T.Nachtbis,P16))-MAX(0,T.Nachtab-MAX(P15,T.Nachtbis))+(P15&gt;P16)*(1+T.Nachtbis-T.Nachtab)+P18-P17+MAX(0,T.Nachtab-MAX(T.Nachtbis,P18))-MAX(0,T.Nachtab-MAX(P17,T.Nachtbis))+(P17&gt;P18)*(1+T.Nachtbis-T.Nachtab)+P20-P19+MAX(0,T.Nachtab-MAX(T.Nachtbis,P20))-MAX(0,T.Nachtab-MAX(P19,T.Nachtbis))+(P19&gt;P20)*(1+T.Nachtbis-T.Nachtab)+P22-P21+MAX(0,T.Nachtab-MAX(T.Nachtbis,P22))-MAX(0,T.Nachtab-MAX(P21,T.Nachtbis))+(P21&gt;P22)*(1+T.Nachtbis-T.Nachtab),9), IF(AND(WEEKDAY(P$10,2)&lt;6,P$11&lt;&gt;0),ROUND(P36-P35+MAX(0,T.Nachtab-MAX(T.Nachtbis,P36))-MAX(0,T.Nachtab-MAX(P35,T.Nachtbis))+(P35&gt;P36)*(1+T.Nachtbis-T.Nachtab)+P38-P37+MAX(0,T.Nachtab-MAX(T.Nachtbis,P38))-MAX(0,T.Nachtab-MAX(P37,T.Nachtbis))+(P37&gt;P38)*(1+T.Nachtbis-T.Nachtab)+P40-P39+MAX(0,T.Nachtab-MAX(T.Nachtbis,P40))-MAX(0,T.Nachtab-MAX(P39,T.Nachtbis))+(P39&gt;P40)*(1+T.Nachtbis-T.Nachtab)+P42-P41+MAX(0,T.Nachtab-MAX(T.Nachtbis,P42))-MAX(0,T.Nachtab-MAX(P41,T.Nachtbis))+(P41&gt;P42)*(1+T.Nachtbis-T.Nachtab)+P44-P43+MAX(0,T.Nachtab-MAX(T.Nachtbis,P44))-MAX(0,T.Nachtab-MAX(P43,T.Nachtbis))+(P43&gt;P44)*(1+T.Nachtbis-T.Nachtab),9),0)))</f>
        <v>0</v>
      </c>
      <c r="Q73" s="256" t="n">
        <f aca="false">IF(Q$12=0,0,IF(OR(T.50_Vetsuisse,T.ServiceCenterIrchel),ROUND(Q14-Q13+MAX(0,T.Nachtab-MAX(T.Nachtbis,Q14))-MAX(0,T.Nachtab-MAX(Q13,T.Nachtbis))+(Q13&gt;Q14)*(1+T.Nachtbis-T.Nachtab)+Q16-Q15+MAX(0,T.Nachtab-MAX(T.Nachtbis,Q16))-MAX(0,T.Nachtab-MAX(Q15,T.Nachtbis))+(Q15&gt;Q16)*(1+T.Nachtbis-T.Nachtab)+Q18-Q17+MAX(0,T.Nachtab-MAX(T.Nachtbis,Q18))-MAX(0,T.Nachtab-MAX(Q17,T.Nachtbis))+(Q17&gt;Q18)*(1+T.Nachtbis-T.Nachtab)+Q20-Q19+MAX(0,T.Nachtab-MAX(T.Nachtbis,Q20))-MAX(0,T.Nachtab-MAX(Q19,T.Nachtbis))+(Q19&gt;Q20)*(1+T.Nachtbis-T.Nachtab)+Q22-Q21+MAX(0,T.Nachtab-MAX(T.Nachtbis,Q22))-MAX(0,T.Nachtab-MAX(Q21,T.Nachtbis))+(Q21&gt;Q22)*(1+T.Nachtbis-T.Nachtab),9), IF(AND(WEEKDAY(Q$10,2)&lt;6,Q$11&lt;&gt;0),ROUND(Q36-Q35+MAX(0,T.Nachtab-MAX(T.Nachtbis,Q36))-MAX(0,T.Nachtab-MAX(Q35,T.Nachtbis))+(Q35&gt;Q36)*(1+T.Nachtbis-T.Nachtab)+Q38-Q37+MAX(0,T.Nachtab-MAX(T.Nachtbis,Q38))-MAX(0,T.Nachtab-MAX(Q37,T.Nachtbis))+(Q37&gt;Q38)*(1+T.Nachtbis-T.Nachtab)+Q40-Q39+MAX(0,T.Nachtab-MAX(T.Nachtbis,Q40))-MAX(0,T.Nachtab-MAX(Q39,T.Nachtbis))+(Q39&gt;Q40)*(1+T.Nachtbis-T.Nachtab)+Q42-Q41+MAX(0,T.Nachtab-MAX(T.Nachtbis,Q42))-MAX(0,T.Nachtab-MAX(Q41,T.Nachtbis))+(Q41&gt;Q42)*(1+T.Nachtbis-T.Nachtab)+Q44-Q43+MAX(0,T.Nachtab-MAX(T.Nachtbis,Q44))-MAX(0,T.Nachtab-MAX(Q43,T.Nachtbis))+(Q43&gt;Q44)*(1+T.Nachtbis-T.Nachtab),9),0)))</f>
        <v>0</v>
      </c>
      <c r="R73" s="256" t="n">
        <f aca="false">IF(R$12=0,0,IF(OR(T.50_Vetsuisse,T.ServiceCenterIrchel),ROUND(R14-R13+MAX(0,T.Nachtab-MAX(T.Nachtbis,R14))-MAX(0,T.Nachtab-MAX(R13,T.Nachtbis))+(R13&gt;R14)*(1+T.Nachtbis-T.Nachtab)+R16-R15+MAX(0,T.Nachtab-MAX(T.Nachtbis,R16))-MAX(0,T.Nachtab-MAX(R15,T.Nachtbis))+(R15&gt;R16)*(1+T.Nachtbis-T.Nachtab)+R18-R17+MAX(0,T.Nachtab-MAX(T.Nachtbis,R18))-MAX(0,T.Nachtab-MAX(R17,T.Nachtbis))+(R17&gt;R18)*(1+T.Nachtbis-T.Nachtab)+R20-R19+MAX(0,T.Nachtab-MAX(T.Nachtbis,R20))-MAX(0,T.Nachtab-MAX(R19,T.Nachtbis))+(R19&gt;R20)*(1+T.Nachtbis-T.Nachtab)+R22-R21+MAX(0,T.Nachtab-MAX(T.Nachtbis,R22))-MAX(0,T.Nachtab-MAX(R21,T.Nachtbis))+(R21&gt;R22)*(1+T.Nachtbis-T.Nachtab),9), IF(AND(WEEKDAY(R$10,2)&lt;6,R$11&lt;&gt;0),ROUND(R36-R35+MAX(0,T.Nachtab-MAX(T.Nachtbis,R36))-MAX(0,T.Nachtab-MAX(R35,T.Nachtbis))+(R35&gt;R36)*(1+T.Nachtbis-T.Nachtab)+R38-R37+MAX(0,T.Nachtab-MAX(T.Nachtbis,R38))-MAX(0,T.Nachtab-MAX(R37,T.Nachtbis))+(R37&gt;R38)*(1+T.Nachtbis-T.Nachtab)+R40-R39+MAX(0,T.Nachtab-MAX(T.Nachtbis,R40))-MAX(0,T.Nachtab-MAX(R39,T.Nachtbis))+(R39&gt;R40)*(1+T.Nachtbis-T.Nachtab)+R42-R41+MAX(0,T.Nachtab-MAX(T.Nachtbis,R42))-MAX(0,T.Nachtab-MAX(R41,T.Nachtbis))+(R41&gt;R42)*(1+T.Nachtbis-T.Nachtab)+R44-R43+MAX(0,T.Nachtab-MAX(T.Nachtbis,R44))-MAX(0,T.Nachtab-MAX(R43,T.Nachtbis))+(R43&gt;R44)*(1+T.Nachtbis-T.Nachtab),9),0)))</f>
        <v>0</v>
      </c>
      <c r="S73" s="256" t="n">
        <f aca="false">IF(S$12=0,0,IF(OR(T.50_Vetsuisse,T.ServiceCenterIrchel),ROUND(S14-S13+MAX(0,T.Nachtab-MAX(T.Nachtbis,S14))-MAX(0,T.Nachtab-MAX(S13,T.Nachtbis))+(S13&gt;S14)*(1+T.Nachtbis-T.Nachtab)+S16-S15+MAX(0,T.Nachtab-MAX(T.Nachtbis,S16))-MAX(0,T.Nachtab-MAX(S15,T.Nachtbis))+(S15&gt;S16)*(1+T.Nachtbis-T.Nachtab)+S18-S17+MAX(0,T.Nachtab-MAX(T.Nachtbis,S18))-MAX(0,T.Nachtab-MAX(S17,T.Nachtbis))+(S17&gt;S18)*(1+T.Nachtbis-T.Nachtab)+S20-S19+MAX(0,T.Nachtab-MAX(T.Nachtbis,S20))-MAX(0,T.Nachtab-MAX(S19,T.Nachtbis))+(S19&gt;S20)*(1+T.Nachtbis-T.Nachtab)+S22-S21+MAX(0,T.Nachtab-MAX(T.Nachtbis,S22))-MAX(0,T.Nachtab-MAX(S21,T.Nachtbis))+(S21&gt;S22)*(1+T.Nachtbis-T.Nachtab),9), IF(AND(WEEKDAY(S$10,2)&lt;6,S$11&lt;&gt;0),ROUND(S36-S35+MAX(0,T.Nachtab-MAX(T.Nachtbis,S36))-MAX(0,T.Nachtab-MAX(S35,T.Nachtbis))+(S35&gt;S36)*(1+T.Nachtbis-T.Nachtab)+S38-S37+MAX(0,T.Nachtab-MAX(T.Nachtbis,S38))-MAX(0,T.Nachtab-MAX(S37,T.Nachtbis))+(S37&gt;S38)*(1+T.Nachtbis-T.Nachtab)+S40-S39+MAX(0,T.Nachtab-MAX(T.Nachtbis,S40))-MAX(0,T.Nachtab-MAX(S39,T.Nachtbis))+(S39&gt;S40)*(1+T.Nachtbis-T.Nachtab)+S42-S41+MAX(0,T.Nachtab-MAX(T.Nachtbis,S42))-MAX(0,T.Nachtab-MAX(S41,T.Nachtbis))+(S41&gt;S42)*(1+T.Nachtbis-T.Nachtab)+S44-S43+MAX(0,T.Nachtab-MAX(T.Nachtbis,S44))-MAX(0,T.Nachtab-MAX(S43,T.Nachtbis))+(S43&gt;S44)*(1+T.Nachtbis-T.Nachtab),9),0)))</f>
        <v>0</v>
      </c>
      <c r="T73" s="256" t="n">
        <f aca="false">IF(T$12=0,0,IF(OR(T.50_Vetsuisse,T.ServiceCenterIrchel),ROUND(T14-T13+MAX(0,T.Nachtab-MAX(T.Nachtbis,T14))-MAX(0,T.Nachtab-MAX(T13,T.Nachtbis))+(T13&gt;T14)*(1+T.Nachtbis-T.Nachtab)+T16-T15+MAX(0,T.Nachtab-MAX(T.Nachtbis,T16))-MAX(0,T.Nachtab-MAX(T15,T.Nachtbis))+(T15&gt;T16)*(1+T.Nachtbis-T.Nachtab)+T18-T17+MAX(0,T.Nachtab-MAX(T.Nachtbis,T18))-MAX(0,T.Nachtab-MAX(T17,T.Nachtbis))+(T17&gt;T18)*(1+T.Nachtbis-T.Nachtab)+T20-T19+MAX(0,T.Nachtab-MAX(T.Nachtbis,T20))-MAX(0,T.Nachtab-MAX(T19,T.Nachtbis))+(T19&gt;T20)*(1+T.Nachtbis-T.Nachtab)+T22-T21+MAX(0,T.Nachtab-MAX(T.Nachtbis,T22))-MAX(0,T.Nachtab-MAX(T21,T.Nachtbis))+(T21&gt;T22)*(1+T.Nachtbis-T.Nachtab),9), IF(AND(WEEKDAY(T$10,2)&lt;6,T$11&lt;&gt;0),ROUND(T36-T35+MAX(0,T.Nachtab-MAX(T.Nachtbis,T36))-MAX(0,T.Nachtab-MAX(T35,T.Nachtbis))+(T35&gt;T36)*(1+T.Nachtbis-T.Nachtab)+T38-T37+MAX(0,T.Nachtab-MAX(T.Nachtbis,T38))-MAX(0,T.Nachtab-MAX(T37,T.Nachtbis))+(T37&gt;T38)*(1+T.Nachtbis-T.Nachtab)+T40-T39+MAX(0,T.Nachtab-MAX(T.Nachtbis,T40))-MAX(0,T.Nachtab-MAX(T39,T.Nachtbis))+(T39&gt;T40)*(1+T.Nachtbis-T.Nachtab)+T42-T41+MAX(0,T.Nachtab-MAX(T.Nachtbis,T42))-MAX(0,T.Nachtab-MAX(T41,T.Nachtbis))+(T41&gt;T42)*(1+T.Nachtbis-T.Nachtab)+T44-T43+MAX(0,T.Nachtab-MAX(T.Nachtbis,T44))-MAX(0,T.Nachtab-MAX(T43,T.Nachtbis))+(T43&gt;T44)*(1+T.Nachtbis-T.Nachtab),9),0)))</f>
        <v>0</v>
      </c>
      <c r="U73" s="256" t="n">
        <f aca="false">IF(U$12=0,0,IF(OR(T.50_Vetsuisse,T.ServiceCenterIrchel),ROUND(U14-U13+MAX(0,T.Nachtab-MAX(T.Nachtbis,U14))-MAX(0,T.Nachtab-MAX(U13,T.Nachtbis))+(U13&gt;U14)*(1+T.Nachtbis-T.Nachtab)+U16-U15+MAX(0,T.Nachtab-MAX(T.Nachtbis,U16))-MAX(0,T.Nachtab-MAX(U15,T.Nachtbis))+(U15&gt;U16)*(1+T.Nachtbis-T.Nachtab)+U18-U17+MAX(0,T.Nachtab-MAX(T.Nachtbis,U18))-MAX(0,T.Nachtab-MAX(U17,T.Nachtbis))+(U17&gt;U18)*(1+T.Nachtbis-T.Nachtab)+U20-U19+MAX(0,T.Nachtab-MAX(T.Nachtbis,U20))-MAX(0,T.Nachtab-MAX(U19,T.Nachtbis))+(U19&gt;U20)*(1+T.Nachtbis-T.Nachtab)+U22-U21+MAX(0,T.Nachtab-MAX(T.Nachtbis,U22))-MAX(0,T.Nachtab-MAX(U21,T.Nachtbis))+(U21&gt;U22)*(1+T.Nachtbis-T.Nachtab),9), IF(AND(WEEKDAY(U$10,2)&lt;6,U$11&lt;&gt;0),ROUND(U36-U35+MAX(0,T.Nachtab-MAX(T.Nachtbis,U36))-MAX(0,T.Nachtab-MAX(U35,T.Nachtbis))+(U35&gt;U36)*(1+T.Nachtbis-T.Nachtab)+U38-U37+MAX(0,T.Nachtab-MAX(T.Nachtbis,U38))-MAX(0,T.Nachtab-MAX(U37,T.Nachtbis))+(U37&gt;U38)*(1+T.Nachtbis-T.Nachtab)+U40-U39+MAX(0,T.Nachtab-MAX(T.Nachtbis,U40))-MAX(0,T.Nachtab-MAX(U39,T.Nachtbis))+(U39&gt;U40)*(1+T.Nachtbis-T.Nachtab)+U42-U41+MAX(0,T.Nachtab-MAX(T.Nachtbis,U42))-MAX(0,T.Nachtab-MAX(U41,T.Nachtbis))+(U41&gt;U42)*(1+T.Nachtbis-T.Nachtab)+U44-U43+MAX(0,T.Nachtab-MAX(T.Nachtbis,U44))-MAX(0,T.Nachtab-MAX(U43,T.Nachtbis))+(U43&gt;U44)*(1+T.Nachtbis-T.Nachtab),9),0)))</f>
        <v>0</v>
      </c>
      <c r="V73" s="256" t="n">
        <f aca="false">IF(V$12=0,0,IF(OR(T.50_Vetsuisse,T.ServiceCenterIrchel),ROUND(V14-V13+MAX(0,T.Nachtab-MAX(T.Nachtbis,V14))-MAX(0,T.Nachtab-MAX(V13,T.Nachtbis))+(V13&gt;V14)*(1+T.Nachtbis-T.Nachtab)+V16-V15+MAX(0,T.Nachtab-MAX(T.Nachtbis,V16))-MAX(0,T.Nachtab-MAX(V15,T.Nachtbis))+(V15&gt;V16)*(1+T.Nachtbis-T.Nachtab)+V18-V17+MAX(0,T.Nachtab-MAX(T.Nachtbis,V18))-MAX(0,T.Nachtab-MAX(V17,T.Nachtbis))+(V17&gt;V18)*(1+T.Nachtbis-T.Nachtab)+V20-V19+MAX(0,T.Nachtab-MAX(T.Nachtbis,V20))-MAX(0,T.Nachtab-MAX(V19,T.Nachtbis))+(V19&gt;V20)*(1+T.Nachtbis-T.Nachtab)+V22-V21+MAX(0,T.Nachtab-MAX(T.Nachtbis,V22))-MAX(0,T.Nachtab-MAX(V21,T.Nachtbis))+(V21&gt;V22)*(1+T.Nachtbis-T.Nachtab),9), IF(AND(WEEKDAY(V$10,2)&lt;6,V$11&lt;&gt;0),ROUND(V36-V35+MAX(0,T.Nachtab-MAX(T.Nachtbis,V36))-MAX(0,T.Nachtab-MAX(V35,T.Nachtbis))+(V35&gt;V36)*(1+T.Nachtbis-T.Nachtab)+V38-V37+MAX(0,T.Nachtab-MAX(T.Nachtbis,V38))-MAX(0,T.Nachtab-MAX(V37,T.Nachtbis))+(V37&gt;V38)*(1+T.Nachtbis-T.Nachtab)+V40-V39+MAX(0,T.Nachtab-MAX(T.Nachtbis,V40))-MAX(0,T.Nachtab-MAX(V39,T.Nachtbis))+(V39&gt;V40)*(1+T.Nachtbis-T.Nachtab)+V42-V41+MAX(0,T.Nachtab-MAX(T.Nachtbis,V42))-MAX(0,T.Nachtab-MAX(V41,T.Nachtbis))+(V41&gt;V42)*(1+T.Nachtbis-T.Nachtab)+V44-V43+MAX(0,T.Nachtab-MAX(T.Nachtbis,V44))-MAX(0,T.Nachtab-MAX(V43,T.Nachtbis))+(V43&gt;V44)*(1+T.Nachtbis-T.Nachtab),9),0)))</f>
        <v>0</v>
      </c>
      <c r="W73" s="256" t="n">
        <f aca="false">IF(W$12=0,0,IF(OR(T.50_Vetsuisse,T.ServiceCenterIrchel),ROUND(W14-W13+MAX(0,T.Nachtab-MAX(T.Nachtbis,W14))-MAX(0,T.Nachtab-MAX(W13,T.Nachtbis))+(W13&gt;W14)*(1+T.Nachtbis-T.Nachtab)+W16-W15+MAX(0,T.Nachtab-MAX(T.Nachtbis,W16))-MAX(0,T.Nachtab-MAX(W15,T.Nachtbis))+(W15&gt;W16)*(1+T.Nachtbis-T.Nachtab)+W18-W17+MAX(0,T.Nachtab-MAX(T.Nachtbis,W18))-MAX(0,T.Nachtab-MAX(W17,T.Nachtbis))+(W17&gt;W18)*(1+T.Nachtbis-T.Nachtab)+W20-W19+MAX(0,T.Nachtab-MAX(T.Nachtbis,W20))-MAX(0,T.Nachtab-MAX(W19,T.Nachtbis))+(W19&gt;W20)*(1+T.Nachtbis-T.Nachtab)+W22-W21+MAX(0,T.Nachtab-MAX(T.Nachtbis,W22))-MAX(0,T.Nachtab-MAX(W21,T.Nachtbis))+(W21&gt;W22)*(1+T.Nachtbis-T.Nachtab),9), IF(AND(WEEKDAY(W$10,2)&lt;6,W$11&lt;&gt;0),ROUND(W36-W35+MAX(0,T.Nachtab-MAX(T.Nachtbis,W36))-MAX(0,T.Nachtab-MAX(W35,T.Nachtbis))+(W35&gt;W36)*(1+T.Nachtbis-T.Nachtab)+W38-W37+MAX(0,T.Nachtab-MAX(T.Nachtbis,W38))-MAX(0,T.Nachtab-MAX(W37,T.Nachtbis))+(W37&gt;W38)*(1+T.Nachtbis-T.Nachtab)+W40-W39+MAX(0,T.Nachtab-MAX(T.Nachtbis,W40))-MAX(0,T.Nachtab-MAX(W39,T.Nachtbis))+(W39&gt;W40)*(1+T.Nachtbis-T.Nachtab)+W42-W41+MAX(0,T.Nachtab-MAX(T.Nachtbis,W42))-MAX(0,T.Nachtab-MAX(W41,T.Nachtbis))+(W41&gt;W42)*(1+T.Nachtbis-T.Nachtab)+W44-W43+MAX(0,T.Nachtab-MAX(T.Nachtbis,W44))-MAX(0,T.Nachtab-MAX(W43,T.Nachtbis))+(W43&gt;W44)*(1+T.Nachtbis-T.Nachtab),9),0)))</f>
        <v>0</v>
      </c>
      <c r="X73" s="256" t="n">
        <f aca="false">IF(X$12=0,0,IF(OR(T.50_Vetsuisse,T.ServiceCenterIrchel),ROUND(X14-X13+MAX(0,T.Nachtab-MAX(T.Nachtbis,X14))-MAX(0,T.Nachtab-MAX(X13,T.Nachtbis))+(X13&gt;X14)*(1+T.Nachtbis-T.Nachtab)+X16-X15+MAX(0,T.Nachtab-MAX(T.Nachtbis,X16))-MAX(0,T.Nachtab-MAX(X15,T.Nachtbis))+(X15&gt;X16)*(1+T.Nachtbis-T.Nachtab)+X18-X17+MAX(0,T.Nachtab-MAX(T.Nachtbis,X18))-MAX(0,T.Nachtab-MAX(X17,T.Nachtbis))+(X17&gt;X18)*(1+T.Nachtbis-T.Nachtab)+X20-X19+MAX(0,T.Nachtab-MAX(T.Nachtbis,X20))-MAX(0,T.Nachtab-MAX(X19,T.Nachtbis))+(X19&gt;X20)*(1+T.Nachtbis-T.Nachtab)+X22-X21+MAX(0,T.Nachtab-MAX(T.Nachtbis,X22))-MAX(0,T.Nachtab-MAX(X21,T.Nachtbis))+(X21&gt;X22)*(1+T.Nachtbis-T.Nachtab),9), IF(AND(WEEKDAY(X$10,2)&lt;6,X$11&lt;&gt;0),ROUND(X36-X35+MAX(0,T.Nachtab-MAX(T.Nachtbis,X36))-MAX(0,T.Nachtab-MAX(X35,T.Nachtbis))+(X35&gt;X36)*(1+T.Nachtbis-T.Nachtab)+X38-X37+MAX(0,T.Nachtab-MAX(T.Nachtbis,X38))-MAX(0,T.Nachtab-MAX(X37,T.Nachtbis))+(X37&gt;X38)*(1+T.Nachtbis-T.Nachtab)+X40-X39+MAX(0,T.Nachtab-MAX(T.Nachtbis,X40))-MAX(0,T.Nachtab-MAX(X39,T.Nachtbis))+(X39&gt;X40)*(1+T.Nachtbis-T.Nachtab)+X42-X41+MAX(0,T.Nachtab-MAX(T.Nachtbis,X42))-MAX(0,T.Nachtab-MAX(X41,T.Nachtbis))+(X41&gt;X42)*(1+T.Nachtbis-T.Nachtab)+X44-X43+MAX(0,T.Nachtab-MAX(T.Nachtbis,X44))-MAX(0,T.Nachtab-MAX(X43,T.Nachtbis))+(X43&gt;X44)*(1+T.Nachtbis-T.Nachtab),9),0)))</f>
        <v>0</v>
      </c>
      <c r="Y73" s="256" t="n">
        <f aca="false">IF(Y$12=0,0,IF(OR(T.50_Vetsuisse,T.ServiceCenterIrchel),ROUND(Y14-Y13+MAX(0,T.Nachtab-MAX(T.Nachtbis,Y14))-MAX(0,T.Nachtab-MAX(Y13,T.Nachtbis))+(Y13&gt;Y14)*(1+T.Nachtbis-T.Nachtab)+Y16-Y15+MAX(0,T.Nachtab-MAX(T.Nachtbis,Y16))-MAX(0,T.Nachtab-MAX(Y15,T.Nachtbis))+(Y15&gt;Y16)*(1+T.Nachtbis-T.Nachtab)+Y18-Y17+MAX(0,T.Nachtab-MAX(T.Nachtbis,Y18))-MAX(0,T.Nachtab-MAX(Y17,T.Nachtbis))+(Y17&gt;Y18)*(1+T.Nachtbis-T.Nachtab)+Y20-Y19+MAX(0,T.Nachtab-MAX(T.Nachtbis,Y20))-MAX(0,T.Nachtab-MAX(Y19,T.Nachtbis))+(Y19&gt;Y20)*(1+T.Nachtbis-T.Nachtab)+Y22-Y21+MAX(0,T.Nachtab-MAX(T.Nachtbis,Y22))-MAX(0,T.Nachtab-MAX(Y21,T.Nachtbis))+(Y21&gt;Y22)*(1+T.Nachtbis-T.Nachtab),9), IF(AND(WEEKDAY(Y$10,2)&lt;6,Y$11&lt;&gt;0),ROUND(Y36-Y35+MAX(0,T.Nachtab-MAX(T.Nachtbis,Y36))-MAX(0,T.Nachtab-MAX(Y35,T.Nachtbis))+(Y35&gt;Y36)*(1+T.Nachtbis-T.Nachtab)+Y38-Y37+MAX(0,T.Nachtab-MAX(T.Nachtbis,Y38))-MAX(0,T.Nachtab-MAX(Y37,T.Nachtbis))+(Y37&gt;Y38)*(1+T.Nachtbis-T.Nachtab)+Y40-Y39+MAX(0,T.Nachtab-MAX(T.Nachtbis,Y40))-MAX(0,T.Nachtab-MAX(Y39,T.Nachtbis))+(Y39&gt;Y40)*(1+T.Nachtbis-T.Nachtab)+Y42-Y41+MAX(0,T.Nachtab-MAX(T.Nachtbis,Y42))-MAX(0,T.Nachtab-MAX(Y41,T.Nachtbis))+(Y41&gt;Y42)*(1+T.Nachtbis-T.Nachtab)+Y44-Y43+MAX(0,T.Nachtab-MAX(T.Nachtbis,Y44))-MAX(0,T.Nachtab-MAX(Y43,T.Nachtbis))+(Y43&gt;Y44)*(1+T.Nachtbis-T.Nachtab),9),0)))</f>
        <v>0</v>
      </c>
      <c r="Z73" s="256" t="n">
        <f aca="false">IF(Z$12=0,0,IF(OR(T.50_Vetsuisse,T.ServiceCenterIrchel),ROUND(Z14-Z13+MAX(0,T.Nachtab-MAX(T.Nachtbis,Z14))-MAX(0,T.Nachtab-MAX(Z13,T.Nachtbis))+(Z13&gt;Z14)*(1+T.Nachtbis-T.Nachtab)+Z16-Z15+MAX(0,T.Nachtab-MAX(T.Nachtbis,Z16))-MAX(0,T.Nachtab-MAX(Z15,T.Nachtbis))+(Z15&gt;Z16)*(1+T.Nachtbis-T.Nachtab)+Z18-Z17+MAX(0,T.Nachtab-MAX(T.Nachtbis,Z18))-MAX(0,T.Nachtab-MAX(Z17,T.Nachtbis))+(Z17&gt;Z18)*(1+T.Nachtbis-T.Nachtab)+Z20-Z19+MAX(0,T.Nachtab-MAX(T.Nachtbis,Z20))-MAX(0,T.Nachtab-MAX(Z19,T.Nachtbis))+(Z19&gt;Z20)*(1+T.Nachtbis-T.Nachtab)+Z22-Z21+MAX(0,T.Nachtab-MAX(T.Nachtbis,Z22))-MAX(0,T.Nachtab-MAX(Z21,T.Nachtbis))+(Z21&gt;Z22)*(1+T.Nachtbis-T.Nachtab),9), IF(AND(WEEKDAY(Z$10,2)&lt;6,Z$11&lt;&gt;0),ROUND(Z36-Z35+MAX(0,T.Nachtab-MAX(T.Nachtbis,Z36))-MAX(0,T.Nachtab-MAX(Z35,T.Nachtbis))+(Z35&gt;Z36)*(1+T.Nachtbis-T.Nachtab)+Z38-Z37+MAX(0,T.Nachtab-MAX(T.Nachtbis,Z38))-MAX(0,T.Nachtab-MAX(Z37,T.Nachtbis))+(Z37&gt;Z38)*(1+T.Nachtbis-T.Nachtab)+Z40-Z39+MAX(0,T.Nachtab-MAX(T.Nachtbis,Z40))-MAX(0,T.Nachtab-MAX(Z39,T.Nachtbis))+(Z39&gt;Z40)*(1+T.Nachtbis-T.Nachtab)+Z42-Z41+MAX(0,T.Nachtab-MAX(T.Nachtbis,Z42))-MAX(0,T.Nachtab-MAX(Z41,T.Nachtbis))+(Z41&gt;Z42)*(1+T.Nachtbis-T.Nachtab)+Z44-Z43+MAX(0,T.Nachtab-MAX(T.Nachtbis,Z44))-MAX(0,T.Nachtab-MAX(Z43,T.Nachtbis))+(Z43&gt;Z44)*(1+T.Nachtbis-T.Nachtab),9),0)))</f>
        <v>0</v>
      </c>
      <c r="AA73" s="256" t="n">
        <f aca="false">IF(AA$12=0,0,IF(OR(T.50_Vetsuisse,T.ServiceCenterIrchel),ROUND(AA14-AA13+MAX(0,T.Nachtab-MAX(T.Nachtbis,AA14))-MAX(0,T.Nachtab-MAX(AA13,T.Nachtbis))+(AA13&gt;AA14)*(1+T.Nachtbis-T.Nachtab)+AA16-AA15+MAX(0,T.Nachtab-MAX(T.Nachtbis,AA16))-MAX(0,T.Nachtab-MAX(AA15,T.Nachtbis))+(AA15&gt;AA16)*(1+T.Nachtbis-T.Nachtab)+AA18-AA17+MAX(0,T.Nachtab-MAX(T.Nachtbis,AA18))-MAX(0,T.Nachtab-MAX(AA17,T.Nachtbis))+(AA17&gt;AA18)*(1+T.Nachtbis-T.Nachtab)+AA20-AA19+MAX(0,T.Nachtab-MAX(T.Nachtbis,AA20))-MAX(0,T.Nachtab-MAX(AA19,T.Nachtbis))+(AA19&gt;AA20)*(1+T.Nachtbis-T.Nachtab)+AA22-AA21+MAX(0,T.Nachtab-MAX(T.Nachtbis,AA22))-MAX(0,T.Nachtab-MAX(AA21,T.Nachtbis))+(AA21&gt;AA22)*(1+T.Nachtbis-T.Nachtab),9), IF(AND(WEEKDAY(AA$10,2)&lt;6,AA$11&lt;&gt;0),ROUND(AA36-AA35+MAX(0,T.Nachtab-MAX(T.Nachtbis,AA36))-MAX(0,T.Nachtab-MAX(AA35,T.Nachtbis))+(AA35&gt;AA36)*(1+T.Nachtbis-T.Nachtab)+AA38-AA37+MAX(0,T.Nachtab-MAX(T.Nachtbis,AA38))-MAX(0,T.Nachtab-MAX(AA37,T.Nachtbis))+(AA37&gt;AA38)*(1+T.Nachtbis-T.Nachtab)+AA40-AA39+MAX(0,T.Nachtab-MAX(T.Nachtbis,AA40))-MAX(0,T.Nachtab-MAX(AA39,T.Nachtbis))+(AA39&gt;AA40)*(1+T.Nachtbis-T.Nachtab)+AA42-AA41+MAX(0,T.Nachtab-MAX(T.Nachtbis,AA42))-MAX(0,T.Nachtab-MAX(AA41,T.Nachtbis))+(AA41&gt;AA42)*(1+T.Nachtbis-T.Nachtab)+AA44-AA43+MAX(0,T.Nachtab-MAX(T.Nachtbis,AA44))-MAX(0,T.Nachtab-MAX(AA43,T.Nachtbis))+(AA43&gt;AA44)*(1+T.Nachtbis-T.Nachtab),9),0)))</f>
        <v>0</v>
      </c>
      <c r="AB73" s="256" t="n">
        <f aca="false">IF(AB$12=0,0,IF(OR(T.50_Vetsuisse,T.ServiceCenterIrchel),ROUND(AB14-AB13+MAX(0,T.Nachtab-MAX(T.Nachtbis,AB14))-MAX(0,T.Nachtab-MAX(AB13,T.Nachtbis))+(AB13&gt;AB14)*(1+T.Nachtbis-T.Nachtab)+AB16-AB15+MAX(0,T.Nachtab-MAX(T.Nachtbis,AB16))-MAX(0,T.Nachtab-MAX(AB15,T.Nachtbis))+(AB15&gt;AB16)*(1+T.Nachtbis-T.Nachtab)+AB18-AB17+MAX(0,T.Nachtab-MAX(T.Nachtbis,AB18))-MAX(0,T.Nachtab-MAX(AB17,T.Nachtbis))+(AB17&gt;AB18)*(1+T.Nachtbis-T.Nachtab)+AB20-AB19+MAX(0,T.Nachtab-MAX(T.Nachtbis,AB20))-MAX(0,T.Nachtab-MAX(AB19,T.Nachtbis))+(AB19&gt;AB20)*(1+T.Nachtbis-T.Nachtab)+AB22-AB21+MAX(0,T.Nachtab-MAX(T.Nachtbis,AB22))-MAX(0,T.Nachtab-MAX(AB21,T.Nachtbis))+(AB21&gt;AB22)*(1+T.Nachtbis-T.Nachtab),9), IF(AND(WEEKDAY(AB$10,2)&lt;6,AB$11&lt;&gt;0),ROUND(AB36-AB35+MAX(0,T.Nachtab-MAX(T.Nachtbis,AB36))-MAX(0,T.Nachtab-MAX(AB35,T.Nachtbis))+(AB35&gt;AB36)*(1+T.Nachtbis-T.Nachtab)+AB38-AB37+MAX(0,T.Nachtab-MAX(T.Nachtbis,AB38))-MAX(0,T.Nachtab-MAX(AB37,T.Nachtbis))+(AB37&gt;AB38)*(1+T.Nachtbis-T.Nachtab)+AB40-AB39+MAX(0,T.Nachtab-MAX(T.Nachtbis,AB40))-MAX(0,T.Nachtab-MAX(AB39,T.Nachtbis))+(AB39&gt;AB40)*(1+T.Nachtbis-T.Nachtab)+AB42-AB41+MAX(0,T.Nachtab-MAX(T.Nachtbis,AB42))-MAX(0,T.Nachtab-MAX(AB41,T.Nachtbis))+(AB41&gt;AB42)*(1+T.Nachtbis-T.Nachtab)+AB44-AB43+MAX(0,T.Nachtab-MAX(T.Nachtbis,AB44))-MAX(0,T.Nachtab-MAX(AB43,T.Nachtbis))+(AB43&gt;AB44)*(1+T.Nachtbis-T.Nachtab),9),0)))</f>
        <v>0</v>
      </c>
      <c r="AC73" s="256" t="n">
        <f aca="false">IF(AC$12=0,0,IF(OR(T.50_Vetsuisse,T.ServiceCenterIrchel),ROUND(AC14-AC13+MAX(0,T.Nachtab-MAX(T.Nachtbis,AC14))-MAX(0,T.Nachtab-MAX(AC13,T.Nachtbis))+(AC13&gt;AC14)*(1+T.Nachtbis-T.Nachtab)+AC16-AC15+MAX(0,T.Nachtab-MAX(T.Nachtbis,AC16))-MAX(0,T.Nachtab-MAX(AC15,T.Nachtbis))+(AC15&gt;AC16)*(1+T.Nachtbis-T.Nachtab)+AC18-AC17+MAX(0,T.Nachtab-MAX(T.Nachtbis,AC18))-MAX(0,T.Nachtab-MAX(AC17,T.Nachtbis))+(AC17&gt;AC18)*(1+T.Nachtbis-T.Nachtab)+AC20-AC19+MAX(0,T.Nachtab-MAX(T.Nachtbis,AC20))-MAX(0,T.Nachtab-MAX(AC19,T.Nachtbis))+(AC19&gt;AC20)*(1+T.Nachtbis-T.Nachtab)+AC22-AC21+MAX(0,T.Nachtab-MAX(T.Nachtbis,AC22))-MAX(0,T.Nachtab-MAX(AC21,T.Nachtbis))+(AC21&gt;AC22)*(1+T.Nachtbis-T.Nachtab),9), IF(AND(WEEKDAY(AC$10,2)&lt;6,AC$11&lt;&gt;0),ROUND(AC36-AC35+MAX(0,T.Nachtab-MAX(T.Nachtbis,AC36))-MAX(0,T.Nachtab-MAX(AC35,T.Nachtbis))+(AC35&gt;AC36)*(1+T.Nachtbis-T.Nachtab)+AC38-AC37+MAX(0,T.Nachtab-MAX(T.Nachtbis,AC38))-MAX(0,T.Nachtab-MAX(AC37,T.Nachtbis))+(AC37&gt;AC38)*(1+T.Nachtbis-T.Nachtab)+AC40-AC39+MAX(0,T.Nachtab-MAX(T.Nachtbis,AC40))-MAX(0,T.Nachtab-MAX(AC39,T.Nachtbis))+(AC39&gt;AC40)*(1+T.Nachtbis-T.Nachtab)+AC42-AC41+MAX(0,T.Nachtab-MAX(T.Nachtbis,AC42))-MAX(0,T.Nachtab-MAX(AC41,T.Nachtbis))+(AC41&gt;AC42)*(1+T.Nachtbis-T.Nachtab)+AC44-AC43+MAX(0,T.Nachtab-MAX(T.Nachtbis,AC44))-MAX(0,T.Nachtab-MAX(AC43,T.Nachtbis))+(AC43&gt;AC44)*(1+T.Nachtbis-T.Nachtab),9),0)))</f>
        <v>0</v>
      </c>
      <c r="AD73" s="256" t="n">
        <f aca="false">IF(AD$12=0,0,IF(OR(T.50_Vetsuisse,T.ServiceCenterIrchel),ROUND(AD14-AD13+MAX(0,T.Nachtab-MAX(T.Nachtbis,AD14))-MAX(0,T.Nachtab-MAX(AD13,T.Nachtbis))+(AD13&gt;AD14)*(1+T.Nachtbis-T.Nachtab)+AD16-AD15+MAX(0,T.Nachtab-MAX(T.Nachtbis,AD16))-MAX(0,T.Nachtab-MAX(AD15,T.Nachtbis))+(AD15&gt;AD16)*(1+T.Nachtbis-T.Nachtab)+AD18-AD17+MAX(0,T.Nachtab-MAX(T.Nachtbis,AD18))-MAX(0,T.Nachtab-MAX(AD17,T.Nachtbis))+(AD17&gt;AD18)*(1+T.Nachtbis-T.Nachtab)+AD20-AD19+MAX(0,T.Nachtab-MAX(T.Nachtbis,AD20))-MAX(0,T.Nachtab-MAX(AD19,T.Nachtbis))+(AD19&gt;AD20)*(1+T.Nachtbis-T.Nachtab)+AD22-AD21+MAX(0,T.Nachtab-MAX(T.Nachtbis,AD22))-MAX(0,T.Nachtab-MAX(AD21,T.Nachtbis))+(AD21&gt;AD22)*(1+T.Nachtbis-T.Nachtab),9), IF(AND(WEEKDAY(AD$10,2)&lt;6,AD$11&lt;&gt;0),ROUND(AD36-AD35+MAX(0,T.Nachtab-MAX(T.Nachtbis,AD36))-MAX(0,T.Nachtab-MAX(AD35,T.Nachtbis))+(AD35&gt;AD36)*(1+T.Nachtbis-T.Nachtab)+AD38-AD37+MAX(0,T.Nachtab-MAX(T.Nachtbis,AD38))-MAX(0,T.Nachtab-MAX(AD37,T.Nachtbis))+(AD37&gt;AD38)*(1+T.Nachtbis-T.Nachtab)+AD40-AD39+MAX(0,T.Nachtab-MAX(T.Nachtbis,AD40))-MAX(0,T.Nachtab-MAX(AD39,T.Nachtbis))+(AD39&gt;AD40)*(1+T.Nachtbis-T.Nachtab)+AD42-AD41+MAX(0,T.Nachtab-MAX(T.Nachtbis,AD42))-MAX(0,T.Nachtab-MAX(AD41,T.Nachtbis))+(AD41&gt;AD42)*(1+T.Nachtbis-T.Nachtab)+AD44-AD43+MAX(0,T.Nachtab-MAX(T.Nachtbis,AD44))-MAX(0,T.Nachtab-MAX(AD43,T.Nachtbis))+(AD43&gt;AD44)*(1+T.Nachtbis-T.Nachtab),9),0)))</f>
        <v>0</v>
      </c>
      <c r="AE73" s="256" t="n">
        <f aca="false">IF(AE$12=0,0,IF(OR(T.50_Vetsuisse,T.ServiceCenterIrchel),ROUND(AE14-AE13+MAX(0,T.Nachtab-MAX(T.Nachtbis,AE14))-MAX(0,T.Nachtab-MAX(AE13,T.Nachtbis))+(AE13&gt;AE14)*(1+T.Nachtbis-T.Nachtab)+AE16-AE15+MAX(0,T.Nachtab-MAX(T.Nachtbis,AE16))-MAX(0,T.Nachtab-MAX(AE15,T.Nachtbis))+(AE15&gt;AE16)*(1+T.Nachtbis-T.Nachtab)+AE18-AE17+MAX(0,T.Nachtab-MAX(T.Nachtbis,AE18))-MAX(0,T.Nachtab-MAX(AE17,T.Nachtbis))+(AE17&gt;AE18)*(1+T.Nachtbis-T.Nachtab)+AE20-AE19+MAX(0,T.Nachtab-MAX(T.Nachtbis,AE20))-MAX(0,T.Nachtab-MAX(AE19,T.Nachtbis))+(AE19&gt;AE20)*(1+T.Nachtbis-T.Nachtab)+AE22-AE21+MAX(0,T.Nachtab-MAX(T.Nachtbis,AE22))-MAX(0,T.Nachtab-MAX(AE21,T.Nachtbis))+(AE21&gt;AE22)*(1+T.Nachtbis-T.Nachtab),9), IF(AND(WEEKDAY(AE$10,2)&lt;6,AE$11&lt;&gt;0),ROUND(AE36-AE35+MAX(0,T.Nachtab-MAX(T.Nachtbis,AE36))-MAX(0,T.Nachtab-MAX(AE35,T.Nachtbis))+(AE35&gt;AE36)*(1+T.Nachtbis-T.Nachtab)+AE38-AE37+MAX(0,T.Nachtab-MAX(T.Nachtbis,AE38))-MAX(0,T.Nachtab-MAX(AE37,T.Nachtbis))+(AE37&gt;AE38)*(1+T.Nachtbis-T.Nachtab)+AE40-AE39+MAX(0,T.Nachtab-MAX(T.Nachtbis,AE40))-MAX(0,T.Nachtab-MAX(AE39,T.Nachtbis))+(AE39&gt;AE40)*(1+T.Nachtbis-T.Nachtab)+AE42-AE41+MAX(0,T.Nachtab-MAX(T.Nachtbis,AE42))-MAX(0,T.Nachtab-MAX(AE41,T.Nachtbis))+(AE41&gt;AE42)*(1+T.Nachtbis-T.Nachtab)+AE44-AE43+MAX(0,T.Nachtab-MAX(T.Nachtbis,AE44))-MAX(0,T.Nachtab-MAX(AE43,T.Nachtbis))+(AE43&gt;AE44)*(1+T.Nachtbis-T.Nachtab),9),0)))</f>
        <v>0</v>
      </c>
      <c r="AF73" s="256" t="n">
        <f aca="false">IF(AF$12=0,0,IF(OR(T.50_Vetsuisse,T.ServiceCenterIrchel),ROUND(AF14-AF13+MAX(0,T.Nachtab-MAX(T.Nachtbis,AF14))-MAX(0,T.Nachtab-MAX(AF13,T.Nachtbis))+(AF13&gt;AF14)*(1+T.Nachtbis-T.Nachtab)+AF16-AF15+MAX(0,T.Nachtab-MAX(T.Nachtbis,AF16))-MAX(0,T.Nachtab-MAX(AF15,T.Nachtbis))+(AF15&gt;AF16)*(1+T.Nachtbis-T.Nachtab)+AF18-AF17+MAX(0,T.Nachtab-MAX(T.Nachtbis,AF18))-MAX(0,T.Nachtab-MAX(AF17,T.Nachtbis))+(AF17&gt;AF18)*(1+T.Nachtbis-T.Nachtab)+AF20-AF19+MAX(0,T.Nachtab-MAX(T.Nachtbis,AF20))-MAX(0,T.Nachtab-MAX(AF19,T.Nachtbis))+(AF19&gt;AF20)*(1+T.Nachtbis-T.Nachtab)+AF22-AF21+MAX(0,T.Nachtab-MAX(T.Nachtbis,AF22))-MAX(0,T.Nachtab-MAX(AF21,T.Nachtbis))+(AF21&gt;AF22)*(1+T.Nachtbis-T.Nachtab),9), IF(AND(WEEKDAY(AF$10,2)&lt;6,AF$11&lt;&gt;0),ROUND(AF36-AF35+MAX(0,T.Nachtab-MAX(T.Nachtbis,AF36))-MAX(0,T.Nachtab-MAX(AF35,T.Nachtbis))+(AF35&gt;AF36)*(1+T.Nachtbis-T.Nachtab)+AF38-AF37+MAX(0,T.Nachtab-MAX(T.Nachtbis,AF38))-MAX(0,T.Nachtab-MAX(AF37,T.Nachtbis))+(AF37&gt;AF38)*(1+T.Nachtbis-T.Nachtab)+AF40-AF39+MAX(0,T.Nachtab-MAX(T.Nachtbis,AF40))-MAX(0,T.Nachtab-MAX(AF39,T.Nachtbis))+(AF39&gt;AF40)*(1+T.Nachtbis-T.Nachtab)+AF42-AF41+MAX(0,T.Nachtab-MAX(T.Nachtbis,AF42))-MAX(0,T.Nachtab-MAX(AF41,T.Nachtbis))+(AF41&gt;AF42)*(1+T.Nachtbis-T.Nachtab)+AF44-AF43+MAX(0,T.Nachtab-MAX(T.Nachtbis,AF44))-MAX(0,T.Nachtab-MAX(AF43,T.Nachtbis))+(AF43&gt;AF44)*(1+T.Nachtbis-T.Nachtab),9),0)))</f>
        <v>0</v>
      </c>
      <c r="AG73" s="168" t="str">
        <f aca="false">A73</f>
        <v>Night shift</v>
      </c>
      <c r="AH73" s="197"/>
      <c r="AI73" s="207" t="n">
        <f aca="false">SUM(B73:AF73)</f>
        <v>0</v>
      </c>
      <c r="AJ73" s="198" t="n">
        <f aca="false">IF(OR(T.50_Vetsuisse,T.ServiceCenterIrchel),AI69, IFERROR(SUMPRODUCT((B77:AF77&gt;0)*(B77:AF77&lt;&gt;"")),0))</f>
        <v>0</v>
      </c>
      <c r="AK73" s="192"/>
      <c r="AL73" s="216" t="n">
        <f aca="false">IF(EB.Anwendung&lt;&gt;"",IF(MONTH(Monat.Tag1)=1,0,IF(MONTH(Monat.Tag1)=2,January!Monat.NDUeVM,IF(MONTH(Monat.Tag1)=3,February!Monat.NDUeVM,IF(MONTH(Monat.Tag1)=4,Monat.NDUeVM,IF(MONTH(Monat.Tag1)=5,April!Monat.NDUeVM,IF(MONTH(Monat.Tag1)=6,May!Monat.NDUeVM,IF(MONTH(Monat.Tag1)=7,June!Monat.NDUeVM,IF(MONTH(Monat.Tag1)=8,July!Monat.NDUeVM,IF(MONTH(Monat.Tag1)=9,August!Monat.NDUeVM,IF(MONTH(Monat.Tag1)=10,September!Monat.NDUeVM,IF(MONTH(Monat.Tag1)=11,October!Monat.NDUeVM,IF(MONTH(Monat.Tag1)=12,November!Monat.NDUeVM,"")))))))))))),"")</f>
        <v>0</v>
      </c>
      <c r="AM73" s="172"/>
      <c r="AN73" s="217" t="n">
        <f aca="false">AI73+AL73</f>
        <v>0</v>
      </c>
      <c r="AO73" s="171"/>
      <c r="AP73" s="171"/>
      <c r="AQ73" s="39"/>
    </row>
    <row r="74" s="148" customFormat="true" ht="3.75" hidden="true" customHeight="true" outlineLevel="0" collapsed="false">
      <c r="A74" s="186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179"/>
      <c r="AG74" s="168"/>
      <c r="AH74" s="146"/>
      <c r="AI74" s="179"/>
      <c r="AJ74" s="180"/>
      <c r="AK74" s="172"/>
      <c r="AL74" s="172"/>
      <c r="AM74" s="172"/>
      <c r="AN74" s="171"/>
      <c r="AO74" s="172"/>
      <c r="AP74" s="172"/>
      <c r="AQ74" s="39"/>
    </row>
    <row r="75" s="148" customFormat="true" ht="16.5" hidden="true" customHeight="true" outlineLevel="1" collapsed="false">
      <c r="A75" s="181" t="s">
        <v>160</v>
      </c>
      <c r="B75" s="182" t="n">
        <f aca="false">IF(B73&gt;0,ROUND(B73- IF(B13&lt;T.Nachtbis,MIN(T.Nachtbis-B13,B14-B13)+IF(B15&lt;T.Nachtbis,MIN(T.Nachtbis-B15,B16-B15)+IF(B17&lt;T.Nachtbis,MIN(T.Nachtbis-B17,B18-B17)+IF(B19&lt;T.Nachtbis,MIN(T.Nachtbis-B19,B20-B19)+IF(B21&lt;T.Nachtbis,MIN(T.Nachtbis-B21,B22-B21),0),0),0),0),0),9),0)</f>
        <v>0</v>
      </c>
      <c r="C75" s="182" t="n">
        <f aca="false">IF(C73&gt;0,ROUND(C73- IF(C13&lt;T.Nachtbis,MIN(T.Nachtbis-C13,C14-C13)+IF(C15&lt;T.Nachtbis,MIN(T.Nachtbis-C15,C16-C15)+IF(C17&lt;T.Nachtbis,MIN(T.Nachtbis-C17,C18-C17)+IF(C19&lt;T.Nachtbis,MIN(T.Nachtbis-C19,C20-C19)+IF(C21&lt;T.Nachtbis,MIN(T.Nachtbis-C21,C22-C21),0),0),0),0),0),9),0)</f>
        <v>0</v>
      </c>
      <c r="D75" s="182" t="n">
        <f aca="false">IF(D73&gt;0,ROUND(D73- IF(D13&lt;T.Nachtbis,MIN(T.Nachtbis-D13,D14-D13)+IF(D15&lt;T.Nachtbis,MIN(T.Nachtbis-D15,D16-D15)+IF(D17&lt;T.Nachtbis,MIN(T.Nachtbis-D17,D18-D17)+IF(D19&lt;T.Nachtbis,MIN(T.Nachtbis-D19,D20-D19)+IF(D21&lt;T.Nachtbis,MIN(T.Nachtbis-D21,D22-D21),0),0),0),0),0),9),0)</f>
        <v>0</v>
      </c>
      <c r="E75" s="182" t="n">
        <f aca="false">IF(E73&gt;0,ROUND(E73- IF(E13&lt;T.Nachtbis,MIN(T.Nachtbis-E13,E14-E13)+IF(E15&lt;T.Nachtbis,MIN(T.Nachtbis-E15,E16-E15)+IF(E17&lt;T.Nachtbis,MIN(T.Nachtbis-E17,E18-E17)+IF(E19&lt;T.Nachtbis,MIN(T.Nachtbis-E19,E20-E19)+IF(E21&lt;T.Nachtbis,MIN(T.Nachtbis-E21,E22-E21),0),0),0),0),0),9),0)</f>
        <v>0</v>
      </c>
      <c r="F75" s="182" t="n">
        <f aca="false">IF(F73&gt;0,ROUND(F73- IF(F13&lt;T.Nachtbis,MIN(T.Nachtbis-F13,F14-F13)+IF(F15&lt;T.Nachtbis,MIN(T.Nachtbis-F15,F16-F15)+IF(F17&lt;T.Nachtbis,MIN(T.Nachtbis-F17,F18-F17)+IF(F19&lt;T.Nachtbis,MIN(T.Nachtbis-F19,F20-F19)+IF(F21&lt;T.Nachtbis,MIN(T.Nachtbis-F21,F22-F21),0),0),0),0),0),9),0)</f>
        <v>0</v>
      </c>
      <c r="G75" s="182" t="n">
        <f aca="false">IF(G73&gt;0,ROUND(G73- IF(G13&lt;T.Nachtbis,MIN(T.Nachtbis-G13,G14-G13)+IF(G15&lt;T.Nachtbis,MIN(T.Nachtbis-G15,G16-G15)+IF(G17&lt;T.Nachtbis,MIN(T.Nachtbis-G17,G18-G17)+IF(G19&lt;T.Nachtbis,MIN(T.Nachtbis-G19,G20-G19)+IF(G21&lt;T.Nachtbis,MIN(T.Nachtbis-G21,G22-G21),0),0),0),0),0),9),0)</f>
        <v>0</v>
      </c>
      <c r="H75" s="182" t="n">
        <f aca="false">IF(H73&gt;0,ROUND(H73- IF(H13&lt;T.Nachtbis,MIN(T.Nachtbis-H13,H14-H13)+IF(H15&lt;T.Nachtbis,MIN(T.Nachtbis-H15,H16-H15)+IF(H17&lt;T.Nachtbis,MIN(T.Nachtbis-H17,H18-H17)+IF(H19&lt;T.Nachtbis,MIN(T.Nachtbis-H19,H20-H19)+IF(H21&lt;T.Nachtbis,MIN(T.Nachtbis-H21,H22-H21),0),0),0),0),0),9),0)</f>
        <v>0</v>
      </c>
      <c r="I75" s="182" t="n">
        <f aca="false">IF(I73&gt;0,ROUND(I73- IF(I13&lt;T.Nachtbis,MIN(T.Nachtbis-I13,I14-I13)+IF(I15&lt;T.Nachtbis,MIN(T.Nachtbis-I15,I16-I15)+IF(I17&lt;T.Nachtbis,MIN(T.Nachtbis-I17,I18-I17)+IF(I19&lt;T.Nachtbis,MIN(T.Nachtbis-I19,I20-I19)+IF(I21&lt;T.Nachtbis,MIN(T.Nachtbis-I21,I22-I21),0),0),0),0),0),9),0)</f>
        <v>0</v>
      </c>
      <c r="J75" s="182" t="n">
        <f aca="false">IF(J73&gt;0,ROUND(J73- IF(J13&lt;T.Nachtbis,MIN(T.Nachtbis-J13,J14-J13)+IF(J15&lt;T.Nachtbis,MIN(T.Nachtbis-J15,J16-J15)+IF(J17&lt;T.Nachtbis,MIN(T.Nachtbis-J17,J18-J17)+IF(J19&lt;T.Nachtbis,MIN(T.Nachtbis-J19,J20-J19)+IF(J21&lt;T.Nachtbis,MIN(T.Nachtbis-J21,J22-J21),0),0),0),0),0),9),0)</f>
        <v>0</v>
      </c>
      <c r="K75" s="182" t="n">
        <f aca="false">IF(K73&gt;0,ROUND(K73- IF(K13&lt;T.Nachtbis,MIN(T.Nachtbis-K13,K14-K13)+IF(K15&lt;T.Nachtbis,MIN(T.Nachtbis-K15,K16-K15)+IF(K17&lt;T.Nachtbis,MIN(T.Nachtbis-K17,K18-K17)+IF(K19&lt;T.Nachtbis,MIN(T.Nachtbis-K19,K20-K19)+IF(K21&lt;T.Nachtbis,MIN(T.Nachtbis-K21,K22-K21),0),0),0),0),0),9),0)</f>
        <v>0</v>
      </c>
      <c r="L75" s="182" t="n">
        <f aca="false">IF(L73&gt;0,ROUND(L73- IF(L13&lt;T.Nachtbis,MIN(T.Nachtbis-L13,L14-L13)+IF(L15&lt;T.Nachtbis,MIN(T.Nachtbis-L15,L16-L15)+IF(L17&lt;T.Nachtbis,MIN(T.Nachtbis-L17,L18-L17)+IF(L19&lt;T.Nachtbis,MIN(T.Nachtbis-L19,L20-L19)+IF(L21&lt;T.Nachtbis,MIN(T.Nachtbis-L21,L22-L21),0),0),0),0),0),9),0)</f>
        <v>0</v>
      </c>
      <c r="M75" s="182" t="n">
        <f aca="false">IF(M73&gt;0,ROUND(M73- IF(M13&lt;T.Nachtbis,MIN(T.Nachtbis-M13,M14-M13)+IF(M15&lt;T.Nachtbis,MIN(T.Nachtbis-M15,M16-M15)+IF(M17&lt;T.Nachtbis,MIN(T.Nachtbis-M17,M18-M17)+IF(M19&lt;T.Nachtbis,MIN(T.Nachtbis-M19,M20-M19)+IF(M21&lt;T.Nachtbis,MIN(T.Nachtbis-M21,M22-M21),0),0),0),0),0),9),0)</f>
        <v>0</v>
      </c>
      <c r="N75" s="182" t="n">
        <f aca="false">IF(N73&gt;0,ROUND(N73- IF(N13&lt;T.Nachtbis,MIN(T.Nachtbis-N13,N14-N13)+IF(N15&lt;T.Nachtbis,MIN(T.Nachtbis-N15,N16-N15)+IF(N17&lt;T.Nachtbis,MIN(T.Nachtbis-N17,N18-N17)+IF(N19&lt;T.Nachtbis,MIN(T.Nachtbis-N19,N20-N19)+IF(N21&lt;T.Nachtbis,MIN(T.Nachtbis-N21,N22-N21),0),0),0),0),0),9),0)</f>
        <v>0</v>
      </c>
      <c r="O75" s="182" t="n">
        <f aca="false">IF(O73&gt;0,ROUND(O73- IF(O13&lt;T.Nachtbis,MIN(T.Nachtbis-O13,O14-O13)+IF(O15&lt;T.Nachtbis,MIN(T.Nachtbis-O15,O16-O15)+IF(O17&lt;T.Nachtbis,MIN(T.Nachtbis-O17,O18-O17)+IF(O19&lt;T.Nachtbis,MIN(T.Nachtbis-O19,O20-O19)+IF(O21&lt;T.Nachtbis,MIN(T.Nachtbis-O21,O22-O21),0),0),0),0),0),9),0)</f>
        <v>0</v>
      </c>
      <c r="P75" s="182" t="n">
        <f aca="false">IF(P73&gt;0,ROUND(P73- IF(P13&lt;T.Nachtbis,MIN(T.Nachtbis-P13,P14-P13)+IF(P15&lt;T.Nachtbis,MIN(T.Nachtbis-P15,P16-P15)+IF(P17&lt;T.Nachtbis,MIN(T.Nachtbis-P17,P18-P17)+IF(P19&lt;T.Nachtbis,MIN(T.Nachtbis-P19,P20-P19)+IF(P21&lt;T.Nachtbis,MIN(T.Nachtbis-P21,P22-P21),0),0),0),0),0),9),0)</f>
        <v>0</v>
      </c>
      <c r="Q75" s="182" t="n">
        <f aca="false">IF(Q73&gt;0,ROUND(Q73- IF(Q13&lt;T.Nachtbis,MIN(T.Nachtbis-Q13,Q14-Q13)+IF(Q15&lt;T.Nachtbis,MIN(T.Nachtbis-Q15,Q16-Q15)+IF(Q17&lt;T.Nachtbis,MIN(T.Nachtbis-Q17,Q18-Q17)+IF(Q19&lt;T.Nachtbis,MIN(T.Nachtbis-Q19,Q20-Q19)+IF(Q21&lt;T.Nachtbis,MIN(T.Nachtbis-Q21,Q22-Q21),0),0),0),0),0),9),0)</f>
        <v>0</v>
      </c>
      <c r="R75" s="182" t="n">
        <f aca="false">IF(R73&gt;0,ROUND(R73- IF(R13&lt;T.Nachtbis,MIN(T.Nachtbis-R13,R14-R13)+IF(R15&lt;T.Nachtbis,MIN(T.Nachtbis-R15,R16-R15)+IF(R17&lt;T.Nachtbis,MIN(T.Nachtbis-R17,R18-R17)+IF(R19&lt;T.Nachtbis,MIN(T.Nachtbis-R19,R20-R19)+IF(R21&lt;T.Nachtbis,MIN(T.Nachtbis-R21,R22-R21),0),0),0),0),0),9),0)</f>
        <v>0</v>
      </c>
      <c r="S75" s="182" t="n">
        <f aca="false">IF(S73&gt;0,ROUND(S73- IF(S13&lt;T.Nachtbis,MIN(T.Nachtbis-S13,S14-S13)+IF(S15&lt;T.Nachtbis,MIN(T.Nachtbis-S15,S16-S15)+IF(S17&lt;T.Nachtbis,MIN(T.Nachtbis-S17,S18-S17)+IF(S19&lt;T.Nachtbis,MIN(T.Nachtbis-S19,S20-S19)+IF(S21&lt;T.Nachtbis,MIN(T.Nachtbis-S21,S22-S21),0),0),0),0),0),9),0)</f>
        <v>0</v>
      </c>
      <c r="T75" s="182" t="n">
        <f aca="false">IF(T73&gt;0,ROUND(T73- IF(T13&lt;T.Nachtbis,MIN(T.Nachtbis-T13,T14-T13)+IF(T15&lt;T.Nachtbis,MIN(T.Nachtbis-T15,T16-T15)+IF(T17&lt;T.Nachtbis,MIN(T.Nachtbis-T17,T18-T17)+IF(T19&lt;T.Nachtbis,MIN(T.Nachtbis-T19,T20-T19)+IF(T21&lt;T.Nachtbis,MIN(T.Nachtbis-T21,T22-T21),0),0),0),0),0),9),0)</f>
        <v>0</v>
      </c>
      <c r="U75" s="182" t="n">
        <f aca="false">IF(U73&gt;0,ROUND(U73- IF(U13&lt;T.Nachtbis,MIN(T.Nachtbis-U13,U14-U13)+IF(U15&lt;T.Nachtbis,MIN(T.Nachtbis-U15,U16-U15)+IF(U17&lt;T.Nachtbis,MIN(T.Nachtbis-U17,U18-U17)+IF(U19&lt;T.Nachtbis,MIN(T.Nachtbis-U19,U20-U19)+IF(U21&lt;T.Nachtbis,MIN(T.Nachtbis-U21,U22-U21),0),0),0),0),0),9),0)</f>
        <v>0</v>
      </c>
      <c r="V75" s="182" t="n">
        <f aca="false">IF(V73&gt;0,ROUND(V73- IF(V13&lt;T.Nachtbis,MIN(T.Nachtbis-V13,V14-V13)+IF(V15&lt;T.Nachtbis,MIN(T.Nachtbis-V15,V16-V15)+IF(V17&lt;T.Nachtbis,MIN(T.Nachtbis-V17,V18-V17)+IF(V19&lt;T.Nachtbis,MIN(T.Nachtbis-V19,V20-V19)+IF(V21&lt;T.Nachtbis,MIN(T.Nachtbis-V21,V22-V21),0),0),0),0),0),9),0)</f>
        <v>0</v>
      </c>
      <c r="W75" s="182" t="n">
        <f aca="false">IF(W73&gt;0,ROUND(W73- IF(W13&lt;T.Nachtbis,MIN(T.Nachtbis-W13,W14-W13)+IF(W15&lt;T.Nachtbis,MIN(T.Nachtbis-W15,W16-W15)+IF(W17&lt;T.Nachtbis,MIN(T.Nachtbis-W17,W18-W17)+IF(W19&lt;T.Nachtbis,MIN(T.Nachtbis-W19,W20-W19)+IF(W21&lt;T.Nachtbis,MIN(T.Nachtbis-W21,W22-W21),0),0),0),0),0),9),0)</f>
        <v>0</v>
      </c>
      <c r="X75" s="182" t="n">
        <f aca="false">IF(X73&gt;0,ROUND(X73- IF(X13&lt;T.Nachtbis,MIN(T.Nachtbis-X13,X14-X13)+IF(X15&lt;T.Nachtbis,MIN(T.Nachtbis-X15,X16-X15)+IF(X17&lt;T.Nachtbis,MIN(T.Nachtbis-X17,X18-X17)+IF(X19&lt;T.Nachtbis,MIN(T.Nachtbis-X19,X20-X19)+IF(X21&lt;T.Nachtbis,MIN(T.Nachtbis-X21,X22-X21),0),0),0),0),0),9),0)</f>
        <v>0</v>
      </c>
      <c r="Y75" s="182" t="n">
        <f aca="false">IF(Y73&gt;0,ROUND(Y73- IF(Y13&lt;T.Nachtbis,MIN(T.Nachtbis-Y13,Y14-Y13)+IF(Y15&lt;T.Nachtbis,MIN(T.Nachtbis-Y15,Y16-Y15)+IF(Y17&lt;T.Nachtbis,MIN(T.Nachtbis-Y17,Y18-Y17)+IF(Y19&lt;T.Nachtbis,MIN(T.Nachtbis-Y19,Y20-Y19)+IF(Y21&lt;T.Nachtbis,MIN(T.Nachtbis-Y21,Y22-Y21),0),0),0),0),0),9),0)</f>
        <v>0</v>
      </c>
      <c r="Z75" s="182" t="n">
        <f aca="false">IF(Z73&gt;0,ROUND(Z73- IF(Z13&lt;T.Nachtbis,MIN(T.Nachtbis-Z13,Z14-Z13)+IF(Z15&lt;T.Nachtbis,MIN(T.Nachtbis-Z15,Z16-Z15)+IF(Z17&lt;T.Nachtbis,MIN(T.Nachtbis-Z17,Z18-Z17)+IF(Z19&lt;T.Nachtbis,MIN(T.Nachtbis-Z19,Z20-Z19)+IF(Z21&lt;T.Nachtbis,MIN(T.Nachtbis-Z21,Z22-Z21),0),0),0),0),0),9),0)</f>
        <v>0</v>
      </c>
      <c r="AA75" s="182" t="n">
        <f aca="false">IF(AA73&gt;0,ROUND(AA73- IF(AA13&lt;T.Nachtbis,MIN(T.Nachtbis-AA13,AA14-AA13)+IF(AA15&lt;T.Nachtbis,MIN(T.Nachtbis-AA15,AA16-AA15)+IF(AA17&lt;T.Nachtbis,MIN(T.Nachtbis-AA17,AA18-AA17)+IF(AA19&lt;T.Nachtbis,MIN(T.Nachtbis-AA19,AA20-AA19)+IF(AA21&lt;T.Nachtbis,MIN(T.Nachtbis-AA21,AA22-AA21),0),0),0),0),0),9),0)</f>
        <v>0</v>
      </c>
      <c r="AB75" s="182" t="n">
        <f aca="false">IF(AB73&gt;0,ROUND(AB73- IF(AB13&lt;T.Nachtbis,MIN(T.Nachtbis-AB13,AB14-AB13)+IF(AB15&lt;T.Nachtbis,MIN(T.Nachtbis-AB15,AB16-AB15)+IF(AB17&lt;T.Nachtbis,MIN(T.Nachtbis-AB17,AB18-AB17)+IF(AB19&lt;T.Nachtbis,MIN(T.Nachtbis-AB19,AB20-AB19)+IF(AB21&lt;T.Nachtbis,MIN(T.Nachtbis-AB21,AB22-AB21),0),0),0),0),0),9),0)</f>
        <v>0</v>
      </c>
      <c r="AC75" s="182" t="n">
        <f aca="false">IF(AC73&gt;0,ROUND(AC73- IF(AC13&lt;T.Nachtbis,MIN(T.Nachtbis-AC13,AC14-AC13)+IF(AC15&lt;T.Nachtbis,MIN(T.Nachtbis-AC15,AC16-AC15)+IF(AC17&lt;T.Nachtbis,MIN(T.Nachtbis-AC17,AC18-AC17)+IF(AC19&lt;T.Nachtbis,MIN(T.Nachtbis-AC19,AC20-AC19)+IF(AC21&lt;T.Nachtbis,MIN(T.Nachtbis-AC21,AC22-AC21),0),0),0),0),0),9),0)</f>
        <v>0</v>
      </c>
      <c r="AD75" s="182" t="n">
        <f aca="false">IF(AD73&gt;0,ROUND(AD73- IF(AD13&lt;T.Nachtbis,MIN(T.Nachtbis-AD13,AD14-AD13)+IF(AD15&lt;T.Nachtbis,MIN(T.Nachtbis-AD15,AD16-AD15)+IF(AD17&lt;T.Nachtbis,MIN(T.Nachtbis-AD17,AD18-AD17)+IF(AD19&lt;T.Nachtbis,MIN(T.Nachtbis-AD19,AD20-AD19)+IF(AD21&lt;T.Nachtbis,MIN(T.Nachtbis-AD21,AD22-AD21),0),0),0),0),0),9),0)</f>
        <v>0</v>
      </c>
      <c r="AE75" s="182" t="n">
        <f aca="false">IF(AE73&gt;0,ROUND(AE73- IF(AE13&lt;T.Nachtbis,MIN(T.Nachtbis-AE13,AE14-AE13)+IF(AE15&lt;T.Nachtbis,MIN(T.Nachtbis-AE15,AE16-AE15)+IF(AE17&lt;T.Nachtbis,MIN(T.Nachtbis-AE17,AE18-AE17)+IF(AE19&lt;T.Nachtbis,MIN(T.Nachtbis-AE19,AE20-AE19)+IF(AE21&lt;T.Nachtbis,MIN(T.Nachtbis-AE21,AE22-AE21),0),0),0),0),0),9),0)</f>
        <v>0</v>
      </c>
      <c r="AF75" s="182" t="n">
        <f aca="false">IF(AF73&gt;0,ROUND(AF73- IF(AF13&lt;T.Nachtbis,MIN(T.Nachtbis-AF13,AF14-AF13)+IF(AF15&lt;T.Nachtbis,MIN(T.Nachtbis-AF15,AF16-AF15)+IF(AF17&lt;T.Nachtbis,MIN(T.Nachtbis-AF17,AF18-AF17)+IF(AF19&lt;T.Nachtbis,MIN(T.Nachtbis-AF19,AF20-AF19)+IF(AF21&lt;T.Nachtbis,MIN(T.Nachtbis-AF21,AF22-AF21),0),0),0),0),0),9),0)</f>
        <v>0</v>
      </c>
      <c r="AG75" s="183" t="str">
        <f aca="false">A75</f>
        <v>Total NS hours today</v>
      </c>
      <c r="AH75" s="146"/>
      <c r="AI75" s="179"/>
      <c r="AJ75" s="180"/>
      <c r="AK75" s="172"/>
      <c r="AL75" s="172"/>
      <c r="AM75" s="172"/>
      <c r="AN75" s="171"/>
      <c r="AO75" s="172"/>
      <c r="AP75" s="172"/>
      <c r="AQ75" s="39"/>
    </row>
    <row r="76" s="148" customFormat="true" ht="16.5" hidden="true" customHeight="true" outlineLevel="1" collapsed="false">
      <c r="A76" s="181" t="s">
        <v>161</v>
      </c>
      <c r="B76" s="193" t="n">
        <f aca="false">B73-B75</f>
        <v>0</v>
      </c>
      <c r="C76" s="193" t="n">
        <f aca="false">C73-C75</f>
        <v>0</v>
      </c>
      <c r="D76" s="193" t="n">
        <f aca="false">D73-D75</f>
        <v>0</v>
      </c>
      <c r="E76" s="193" t="n">
        <f aca="false">E73-E75</f>
        <v>0</v>
      </c>
      <c r="F76" s="193" t="n">
        <f aca="false">F73-F75</f>
        <v>0</v>
      </c>
      <c r="G76" s="193" t="n">
        <f aca="false">G73-G75</f>
        <v>0</v>
      </c>
      <c r="H76" s="193" t="n">
        <f aca="false">H73-H75</f>
        <v>0</v>
      </c>
      <c r="I76" s="193" t="n">
        <f aca="false">I73-I75</f>
        <v>0</v>
      </c>
      <c r="J76" s="193" t="n">
        <f aca="false">J73-J75</f>
        <v>0</v>
      </c>
      <c r="K76" s="193" t="n">
        <f aca="false">K73-K75</f>
        <v>0</v>
      </c>
      <c r="L76" s="193" t="n">
        <f aca="false">L73-L75</f>
        <v>0</v>
      </c>
      <c r="M76" s="193" t="n">
        <f aca="false">M73-M75</f>
        <v>0</v>
      </c>
      <c r="N76" s="193" t="n">
        <f aca="false">N73-N75</f>
        <v>0</v>
      </c>
      <c r="O76" s="193" t="n">
        <f aca="false">O73-O75</f>
        <v>0</v>
      </c>
      <c r="P76" s="193" t="n">
        <f aca="false">P73-P75</f>
        <v>0</v>
      </c>
      <c r="Q76" s="193" t="n">
        <f aca="false">Q73-Q75</f>
        <v>0</v>
      </c>
      <c r="R76" s="193" t="n">
        <f aca="false">R73-R75</f>
        <v>0</v>
      </c>
      <c r="S76" s="193" t="n">
        <f aca="false">S73-S75</f>
        <v>0</v>
      </c>
      <c r="T76" s="193" t="n">
        <f aca="false">T73-T75</f>
        <v>0</v>
      </c>
      <c r="U76" s="193" t="n">
        <f aca="false">U73-U75</f>
        <v>0</v>
      </c>
      <c r="V76" s="193" t="n">
        <f aca="false">V73-V75</f>
        <v>0</v>
      </c>
      <c r="W76" s="193" t="n">
        <f aca="false">W73-W75</f>
        <v>0</v>
      </c>
      <c r="X76" s="193" t="n">
        <f aca="false">X73-X75</f>
        <v>0</v>
      </c>
      <c r="Y76" s="193" t="n">
        <f aca="false">Y73-Y75</f>
        <v>0</v>
      </c>
      <c r="Z76" s="193" t="n">
        <f aca="false">Z73-Z75</f>
        <v>0</v>
      </c>
      <c r="AA76" s="193" t="n">
        <f aca="false">AA73-AA75</f>
        <v>0</v>
      </c>
      <c r="AB76" s="193" t="n">
        <f aca="false">AB73-AB75</f>
        <v>0</v>
      </c>
      <c r="AC76" s="193" t="n">
        <f aca="false">AC73-AC75</f>
        <v>0</v>
      </c>
      <c r="AD76" s="193" t="n">
        <f aca="false">AD73-AD75</f>
        <v>0</v>
      </c>
      <c r="AE76" s="193" t="n">
        <f aca="false">AE73-AE75</f>
        <v>0</v>
      </c>
      <c r="AF76" s="193" t="n">
        <f aca="false">AF73-AF75</f>
        <v>0</v>
      </c>
      <c r="AG76" s="183" t="str">
        <f aca="false">A76</f>
        <v>Total NS hours yesterday</v>
      </c>
      <c r="AH76" s="146"/>
      <c r="AI76" s="179"/>
      <c r="AJ76" s="180"/>
      <c r="AK76" s="172"/>
      <c r="AL76" s="172"/>
      <c r="AM76" s="199" t="n">
        <f aca="false">IF(EB.Anwendung&lt;&gt;"",IF(MONTH(Monat.Tag1)=12,0,IF(MONTH(Monat.Tag1)=1,February!Monat.NDgesternTag1,IF(MONTH(Monat.Tag1)=2,Monat.NDgesternTag1,IF(MONTH(Monat.Tag1)=3,April!Monat.NDgesternTag1,IF(MONTH(Monat.Tag1)=4,May!Monat.NDgesternTag1,IF(MONTH(Monat.Tag1)=5,June!Monat.NDgesternTag1,IF(MONTH(Monat.Tag1)=6,July!Monat.NDgesternTag1,IF(MONTH(Monat.Tag1)=7,August!Monat.NDgesternTag1,IF(MONTH(Monat.Tag1)=8,September!Monat.NDgesternTag1,IF(MONTH(Monat.Tag1)=9,October!Monat.NDgesternTag1,IF(MONTH(Monat.Tag1)=10,November!Monat.NDgesternTag1,IF(MONTH(Monat.Tag1)=11,December!Monat.NDgesternTag1,"")))))))))))),"")</f>
        <v>0</v>
      </c>
      <c r="AN76" s="171"/>
      <c r="AO76" s="172"/>
      <c r="AP76" s="172"/>
      <c r="AQ76" s="39"/>
    </row>
    <row r="77" s="148" customFormat="true" ht="16.5" hidden="true" customHeight="true" outlineLevel="1" collapsed="false">
      <c r="A77" s="181" t="s">
        <v>162</v>
      </c>
      <c r="B77" s="182" t="n">
        <f aca="false">B75+IF(B$10=EOMONTH(B$10,0),$AM76,C76)</f>
        <v>0</v>
      </c>
      <c r="C77" s="182" t="n">
        <f aca="false">C75+IF(C$10=EOMONTH(C$10,0),$AM76,D76)</f>
        <v>0</v>
      </c>
      <c r="D77" s="182" t="n">
        <f aca="false">D75+IF(D$10=EOMONTH(D$10,0),$AM76,E76)</f>
        <v>0</v>
      </c>
      <c r="E77" s="182" t="n">
        <f aca="false">E75+IF(E$10=EOMONTH(E$10,0),$AM76,F76)</f>
        <v>0</v>
      </c>
      <c r="F77" s="182" t="n">
        <f aca="false">F75+IF(F$10=EOMONTH(F$10,0),$AM76,G76)</f>
        <v>0</v>
      </c>
      <c r="G77" s="182" t="n">
        <f aca="false">G75+IF(G$10=EOMONTH(G$10,0),$AM76,H76)</f>
        <v>0</v>
      </c>
      <c r="H77" s="182" t="n">
        <f aca="false">H75+IF(H$10=EOMONTH(H$10,0),$AM76,I76)</f>
        <v>0</v>
      </c>
      <c r="I77" s="182" t="n">
        <f aca="false">I75+IF(I$10=EOMONTH(I$10,0),$AM76,J76)</f>
        <v>0</v>
      </c>
      <c r="J77" s="182" t="n">
        <f aca="false">J75+IF(J$10=EOMONTH(J$10,0),$AM76,K76)</f>
        <v>0</v>
      </c>
      <c r="K77" s="182" t="n">
        <f aca="false">K75+IF(K$10=EOMONTH(K$10,0),$AM76,L76)</f>
        <v>0</v>
      </c>
      <c r="L77" s="182" t="n">
        <f aca="false">L75+IF(L$10=EOMONTH(L$10,0),$AM76,M76)</f>
        <v>0</v>
      </c>
      <c r="M77" s="182" t="n">
        <f aca="false">M75+IF(M$10=EOMONTH(M$10,0),$AM76,N76)</f>
        <v>0</v>
      </c>
      <c r="N77" s="182" t="n">
        <f aca="false">N75+IF(N$10=EOMONTH(N$10,0),$AM76,O76)</f>
        <v>0</v>
      </c>
      <c r="O77" s="182" t="n">
        <f aca="false">O75+IF(O$10=EOMONTH(O$10,0),$AM76,P76)</f>
        <v>0</v>
      </c>
      <c r="P77" s="182" t="n">
        <f aca="false">P75+IF(P$10=EOMONTH(P$10,0),$AM76,Q76)</f>
        <v>0</v>
      </c>
      <c r="Q77" s="182" t="n">
        <f aca="false">Q75+IF(Q$10=EOMONTH(Q$10,0),$AM76,R76)</f>
        <v>0</v>
      </c>
      <c r="R77" s="182" t="n">
        <f aca="false">R75+IF(R$10=EOMONTH(R$10,0),$AM76,S76)</f>
        <v>0</v>
      </c>
      <c r="S77" s="182" t="n">
        <f aca="false">S75+IF(S$10=EOMONTH(S$10,0),$AM76,T76)</f>
        <v>0</v>
      </c>
      <c r="T77" s="182" t="n">
        <f aca="false">T75+IF(T$10=EOMONTH(T$10,0),$AM76,U76)</f>
        <v>0</v>
      </c>
      <c r="U77" s="182" t="n">
        <f aca="false">U75+IF(U$10=EOMONTH(U$10,0),$AM76,V76)</f>
        <v>0</v>
      </c>
      <c r="V77" s="182" t="n">
        <f aca="false">V75+IF(V$10=EOMONTH(V$10,0),$AM76,W76)</f>
        <v>0</v>
      </c>
      <c r="W77" s="182" t="n">
        <f aca="false">W75+IF(W$10=EOMONTH(W$10,0),$AM76,X76)</f>
        <v>0</v>
      </c>
      <c r="X77" s="182" t="n">
        <f aca="false">X75+IF(X$10=EOMONTH(X$10,0),$AM76,Y76)</f>
        <v>0</v>
      </c>
      <c r="Y77" s="182" t="n">
        <f aca="false">Y75+IF(Y$10=EOMONTH(Y$10,0),$AM76,Z76)</f>
        <v>0</v>
      </c>
      <c r="Z77" s="182" t="n">
        <f aca="false">Z75+IF(Z$10=EOMONTH(Z$10,0),$AM76,AA76)</f>
        <v>0</v>
      </c>
      <c r="AA77" s="182" t="n">
        <f aca="false">AA75+IF(AA$10=EOMONTH(AA$10,0),$AM76,AB76)</f>
        <v>0</v>
      </c>
      <c r="AB77" s="182" t="n">
        <f aca="false">AB75+IF(AB$10=EOMONTH(AB$10,0),$AM76,AC76)</f>
        <v>0</v>
      </c>
      <c r="AC77" s="182" t="n">
        <f aca="false">AC75+IF(AC$10=EOMONTH(AC$10,0),$AM76,AD76)</f>
        <v>0</v>
      </c>
      <c r="AD77" s="182" t="n">
        <f aca="false">AD75+IF(AD$10=EOMONTH(AD$10,0),$AM76,AE76)</f>
        <v>0</v>
      </c>
      <c r="AE77" s="182" t="n">
        <f aca="false">AE75+IF(AE$10=EOMONTH(AE$10,0),$AM76,AF76)</f>
        <v>0</v>
      </c>
      <c r="AF77" s="182" t="n">
        <f aca="false">AF75+IF(AF$10=EOMONTH(AF$10,0),$AM76,AG76)</f>
        <v>0</v>
      </c>
      <c r="AG77" s="183" t="str">
        <f aca="false">A77</f>
        <v>Total NS hours</v>
      </c>
      <c r="AH77" s="184"/>
      <c r="AI77" s="185" t="n">
        <f aca="false">SUM(B77:AF77)</f>
        <v>0</v>
      </c>
      <c r="AJ77" s="180"/>
      <c r="AK77" s="172"/>
      <c r="AL77" s="172"/>
      <c r="AM77" s="172"/>
      <c r="AN77" s="171"/>
      <c r="AO77" s="172"/>
      <c r="AP77" s="172"/>
      <c r="AQ77" s="39"/>
    </row>
    <row r="78" s="148" customFormat="true" ht="3.75" hidden="true" customHeight="true" outlineLevel="0" collapsed="false">
      <c r="A78" s="186"/>
      <c r="B78" s="187"/>
      <c r="C78" s="187"/>
      <c r="D78" s="187"/>
      <c r="E78" s="187"/>
      <c r="F78" s="187"/>
      <c r="G78" s="187"/>
      <c r="H78" s="187"/>
      <c r="I78" s="187"/>
      <c r="J78" s="187"/>
      <c r="K78" s="187"/>
      <c r="L78" s="187"/>
      <c r="M78" s="187"/>
      <c r="N78" s="187"/>
      <c r="O78" s="187"/>
      <c r="P78" s="187"/>
      <c r="Q78" s="187"/>
      <c r="R78" s="187"/>
      <c r="S78" s="187"/>
      <c r="T78" s="187"/>
      <c r="U78" s="187"/>
      <c r="V78" s="187"/>
      <c r="W78" s="187"/>
      <c r="X78" s="187"/>
      <c r="Y78" s="187"/>
      <c r="Z78" s="187"/>
      <c r="AA78" s="187"/>
      <c r="AB78" s="187"/>
      <c r="AC78" s="187"/>
      <c r="AD78" s="187"/>
      <c r="AE78" s="187"/>
      <c r="AF78" s="188"/>
      <c r="AG78" s="168"/>
      <c r="AH78" s="202"/>
      <c r="AI78" s="188"/>
      <c r="AJ78" s="180"/>
      <c r="AK78" s="172"/>
      <c r="AL78" s="172"/>
      <c r="AM78" s="172"/>
      <c r="AN78" s="171"/>
      <c r="AO78" s="172"/>
      <c r="AP78" s="172"/>
      <c r="AQ78" s="39"/>
    </row>
    <row r="79" s="148" customFormat="true" ht="15" hidden="true" customHeight="true" outlineLevel="1" collapsed="false">
      <c r="A79" s="175" t="s">
        <v>84</v>
      </c>
      <c r="B79" s="256" t="n">
        <f aca="false">IF(AND(T.50_Vetsuisse,B70&gt;24),ROUND(B73*T.50_VetsuisseZZSND,9), IF(AND(T.ServiceCenterIrchel,B69&gt;0,B77&gt;=ROUND(1/24*8,9)),ROUND(B77*T.ServiceCenterIrchelZZSND,9),))</f>
        <v>0</v>
      </c>
      <c r="C79" s="256" t="n">
        <f aca="false">IF(AND(T.50_Vetsuisse,C70&gt;24),ROUND(C73*T.50_VetsuisseZZSND,9), IF(AND(T.ServiceCenterIrchel,C69&gt;0,C77&gt;=ROUND(1/24*8,9)),ROUND(C77*T.ServiceCenterIrchelZZSND,9),))</f>
        <v>0</v>
      </c>
      <c r="D79" s="256" t="n">
        <f aca="false">IF(AND(T.50_Vetsuisse,D70&gt;24),ROUND(D73*T.50_VetsuisseZZSND,9), IF(AND(T.ServiceCenterIrchel,D69&gt;0,D77&gt;=ROUND(1/24*8,9)),ROUND(D77*T.ServiceCenterIrchelZZSND,9),))</f>
        <v>0</v>
      </c>
      <c r="E79" s="256" t="n">
        <f aca="false">IF(AND(T.50_Vetsuisse,E70&gt;24),ROUND(E73*T.50_VetsuisseZZSND,9), IF(AND(T.ServiceCenterIrchel,E69&gt;0,E77&gt;=ROUND(1/24*8,9)),ROUND(E77*T.ServiceCenterIrchelZZSND,9),))</f>
        <v>0</v>
      </c>
      <c r="F79" s="256" t="n">
        <f aca="false">IF(AND(T.50_Vetsuisse,F70&gt;24),ROUND(F73*T.50_VetsuisseZZSND,9), IF(AND(T.ServiceCenterIrchel,F69&gt;0,F77&gt;=ROUND(1/24*8,9)),ROUND(F77*T.ServiceCenterIrchelZZSND,9),))</f>
        <v>0</v>
      </c>
      <c r="G79" s="256" t="n">
        <f aca="false">IF(AND(T.50_Vetsuisse,G70&gt;24),ROUND(G73*T.50_VetsuisseZZSND,9), IF(AND(T.ServiceCenterIrchel,G69&gt;0,G77&gt;=ROUND(1/24*8,9)),ROUND(G77*T.ServiceCenterIrchelZZSND,9),))</f>
        <v>0</v>
      </c>
      <c r="H79" s="256" t="n">
        <f aca="false">IF(AND(T.50_Vetsuisse,H70&gt;24),ROUND(H73*T.50_VetsuisseZZSND,9), IF(AND(T.ServiceCenterIrchel,H69&gt;0,H77&gt;=ROUND(1/24*8,9)),ROUND(H77*T.ServiceCenterIrchelZZSND,9),))</f>
        <v>0</v>
      </c>
      <c r="I79" s="256" t="n">
        <f aca="false">IF(AND(T.50_Vetsuisse,I70&gt;24),ROUND(I73*T.50_VetsuisseZZSND,9), IF(AND(T.ServiceCenterIrchel,I69&gt;0,I77&gt;=ROUND(1/24*8,9)),ROUND(I77*T.ServiceCenterIrchelZZSND,9),))</f>
        <v>0</v>
      </c>
      <c r="J79" s="256" t="n">
        <f aca="false">IF(AND(T.50_Vetsuisse,J70&gt;24),ROUND(J73*T.50_VetsuisseZZSND,9), IF(AND(T.ServiceCenterIrchel,J69&gt;0,J77&gt;=ROUND(1/24*8,9)),ROUND(J77*T.ServiceCenterIrchelZZSND,9),))</f>
        <v>0</v>
      </c>
      <c r="K79" s="256" t="n">
        <f aca="false">IF(AND(T.50_Vetsuisse,K70&gt;24),ROUND(K73*T.50_VetsuisseZZSND,9), IF(AND(T.ServiceCenterIrchel,K69&gt;0,K77&gt;=ROUND(1/24*8,9)),ROUND(K77*T.ServiceCenterIrchelZZSND,9),))</f>
        <v>0</v>
      </c>
      <c r="L79" s="256" t="n">
        <f aca="false">IF(AND(T.50_Vetsuisse,L70&gt;24),ROUND(L73*T.50_VetsuisseZZSND,9), IF(AND(T.ServiceCenterIrchel,L69&gt;0,L77&gt;=ROUND(1/24*8,9)),ROUND(L77*T.ServiceCenterIrchelZZSND,9),))</f>
        <v>0</v>
      </c>
      <c r="M79" s="256" t="n">
        <f aca="false">IF(AND(T.50_Vetsuisse,M70&gt;24),ROUND(M73*T.50_VetsuisseZZSND,9), IF(AND(T.ServiceCenterIrchel,M69&gt;0,M77&gt;=ROUND(1/24*8,9)),ROUND(M77*T.ServiceCenterIrchelZZSND,9),))</f>
        <v>0</v>
      </c>
      <c r="N79" s="256" t="n">
        <f aca="false">IF(AND(T.50_Vetsuisse,N70&gt;24),ROUND(N73*T.50_VetsuisseZZSND,9), IF(AND(T.ServiceCenterIrchel,N69&gt;0,N77&gt;=ROUND(1/24*8,9)),ROUND(N77*T.ServiceCenterIrchelZZSND,9),))</f>
        <v>0</v>
      </c>
      <c r="O79" s="256" t="n">
        <f aca="false">IF(AND(T.50_Vetsuisse,O70&gt;24),ROUND(O73*T.50_VetsuisseZZSND,9), IF(AND(T.ServiceCenterIrchel,O69&gt;0,O77&gt;=ROUND(1/24*8,9)),ROUND(O77*T.ServiceCenterIrchelZZSND,9),))</f>
        <v>0</v>
      </c>
      <c r="P79" s="256" t="n">
        <f aca="false">IF(AND(T.50_Vetsuisse,P70&gt;24),ROUND(P73*T.50_VetsuisseZZSND,9), IF(AND(T.ServiceCenterIrchel,P69&gt;0,P77&gt;=ROUND(1/24*8,9)),ROUND(P77*T.ServiceCenterIrchelZZSND,9),))</f>
        <v>0</v>
      </c>
      <c r="Q79" s="256" t="n">
        <f aca="false">IF(AND(T.50_Vetsuisse,Q70&gt;24),ROUND(Q73*T.50_VetsuisseZZSND,9), IF(AND(T.ServiceCenterIrchel,Q69&gt;0,Q77&gt;=ROUND(1/24*8,9)),ROUND(Q77*T.ServiceCenterIrchelZZSND,9),))</f>
        <v>0</v>
      </c>
      <c r="R79" s="256" t="n">
        <f aca="false">IF(AND(T.50_Vetsuisse,R70&gt;24),ROUND(R73*T.50_VetsuisseZZSND,9), IF(AND(T.ServiceCenterIrchel,R69&gt;0,R77&gt;=ROUND(1/24*8,9)),ROUND(R77*T.ServiceCenterIrchelZZSND,9),))</f>
        <v>0</v>
      </c>
      <c r="S79" s="256" t="n">
        <f aca="false">IF(AND(T.50_Vetsuisse,S70&gt;24),ROUND(S73*T.50_VetsuisseZZSND,9), IF(AND(T.ServiceCenterIrchel,S69&gt;0,S77&gt;=ROUND(1/24*8,9)),ROUND(S77*T.ServiceCenterIrchelZZSND,9),))</f>
        <v>0</v>
      </c>
      <c r="T79" s="256" t="n">
        <f aca="false">IF(AND(T.50_Vetsuisse,T70&gt;24),ROUND(T73*T.50_VetsuisseZZSND,9), IF(AND(T.ServiceCenterIrchel,T69&gt;0,T77&gt;=ROUND(1/24*8,9)),ROUND(T77*T.ServiceCenterIrchelZZSND,9),))</f>
        <v>0</v>
      </c>
      <c r="U79" s="256" t="n">
        <f aca="false">IF(AND(T.50_Vetsuisse,U70&gt;24),ROUND(U73*T.50_VetsuisseZZSND,9), IF(AND(T.ServiceCenterIrchel,U69&gt;0,U77&gt;=ROUND(1/24*8,9)),ROUND(U77*T.ServiceCenterIrchelZZSND,9),))</f>
        <v>0</v>
      </c>
      <c r="V79" s="256" t="n">
        <f aca="false">IF(AND(T.50_Vetsuisse,V70&gt;24),ROUND(V73*T.50_VetsuisseZZSND,9), IF(AND(T.ServiceCenterIrchel,V69&gt;0,V77&gt;=ROUND(1/24*8,9)),ROUND(V77*T.ServiceCenterIrchelZZSND,9),))</f>
        <v>0</v>
      </c>
      <c r="W79" s="256" t="n">
        <f aca="false">IF(AND(T.50_Vetsuisse,W70&gt;24),ROUND(W73*T.50_VetsuisseZZSND,9), IF(AND(T.ServiceCenterIrchel,W69&gt;0,W77&gt;=ROUND(1/24*8,9)),ROUND(W77*T.ServiceCenterIrchelZZSND,9),))</f>
        <v>0</v>
      </c>
      <c r="X79" s="256" t="n">
        <f aca="false">IF(AND(T.50_Vetsuisse,X70&gt;24),ROUND(X73*T.50_VetsuisseZZSND,9), IF(AND(T.ServiceCenterIrchel,X69&gt;0,X77&gt;=ROUND(1/24*8,9)),ROUND(X77*T.ServiceCenterIrchelZZSND,9),))</f>
        <v>0</v>
      </c>
      <c r="Y79" s="256" t="n">
        <f aca="false">IF(AND(T.50_Vetsuisse,Y70&gt;24),ROUND(Y73*T.50_VetsuisseZZSND,9), IF(AND(T.ServiceCenterIrchel,Y69&gt;0,Y77&gt;=ROUND(1/24*8,9)),ROUND(Y77*T.ServiceCenterIrchelZZSND,9),))</f>
        <v>0</v>
      </c>
      <c r="Z79" s="256" t="n">
        <f aca="false">IF(AND(T.50_Vetsuisse,Z70&gt;24),ROUND(Z73*T.50_VetsuisseZZSND,9), IF(AND(T.ServiceCenterIrchel,Z69&gt;0,Z77&gt;=ROUND(1/24*8,9)),ROUND(Z77*T.ServiceCenterIrchelZZSND,9),))</f>
        <v>0</v>
      </c>
      <c r="AA79" s="256" t="n">
        <f aca="false">IF(AND(T.50_Vetsuisse,AA70&gt;24),ROUND(AA73*T.50_VetsuisseZZSND,9), IF(AND(T.ServiceCenterIrchel,AA69&gt;0,AA77&gt;=ROUND(1/24*8,9)),ROUND(AA77*T.ServiceCenterIrchelZZSND,9),))</f>
        <v>0</v>
      </c>
      <c r="AB79" s="256" t="n">
        <f aca="false">IF(AND(T.50_Vetsuisse,AB70&gt;24),ROUND(AB73*T.50_VetsuisseZZSND,9), IF(AND(T.ServiceCenterIrchel,AB69&gt;0,AB77&gt;=ROUND(1/24*8,9)),ROUND(AB77*T.ServiceCenterIrchelZZSND,9),))</f>
        <v>0</v>
      </c>
      <c r="AC79" s="256" t="n">
        <f aca="false">IF(AND(T.50_Vetsuisse,AC70&gt;24),ROUND(AC73*T.50_VetsuisseZZSND,9), IF(AND(T.ServiceCenterIrchel,AC69&gt;0,AC77&gt;=ROUND(1/24*8,9)),ROUND(AC77*T.ServiceCenterIrchelZZSND,9),))</f>
        <v>0</v>
      </c>
      <c r="AD79" s="256" t="n">
        <f aca="false">IF(AND(T.50_Vetsuisse,AD70&gt;24),ROUND(AD73*T.50_VetsuisseZZSND,9), IF(AND(T.ServiceCenterIrchel,AD69&gt;0,AD77&gt;=ROUND(1/24*8,9)),ROUND(AD77*T.ServiceCenterIrchelZZSND,9),))</f>
        <v>0</v>
      </c>
      <c r="AE79" s="256" t="n">
        <f aca="false">IF(AND(T.50_Vetsuisse,AE70&gt;24),ROUND(AE73*T.50_VetsuisseZZSND,9), IF(AND(T.ServiceCenterIrchel,AE69&gt;0,AE77&gt;=ROUND(1/24*8,9)),ROUND(AE77*T.ServiceCenterIrchelZZSND,9),))</f>
        <v>0</v>
      </c>
      <c r="AF79" s="256" t="n">
        <f aca="false">IF(AND(T.50_Vetsuisse,AF70&gt;24),ROUND(AF73*T.50_VetsuisseZZSND,9), IF(AND(T.ServiceCenterIrchel,AF69&gt;0,AF77&gt;=ROUND(1/24*8,9)),ROUND(AF77*T.ServiceCenterIrchelZZSND,9),))</f>
        <v>0</v>
      </c>
      <c r="AG79" s="168" t="str">
        <f aca="false">A79</f>
        <v>Time supplement night shift</v>
      </c>
      <c r="AH79" s="250"/>
      <c r="AI79" s="207" t="n">
        <f aca="false">SUM(B79:AF79)</f>
        <v>0</v>
      </c>
      <c r="AJ79" s="33"/>
      <c r="AK79" s="192"/>
      <c r="AL79" s="216" t="n">
        <f aca="false">IF(EB.Anwendung&lt;&gt;"",IF(MONTH(Monat.Tag1)=1,EB.ZZNd,IF(MONTH(Monat.Tag1)=2,January!Monat.ZZNdUe,IF(MONTH(Monat.Tag1)=3,February!Monat.ZZNdUe,IF(MONTH(Monat.Tag1)=4,Monat.ZZNdUe,IF(MONTH(Monat.Tag1)=5,April!Monat.ZZNdUe,IF(MONTH(Monat.Tag1)=6,May!Monat.ZZNdUe,IF(MONTH(Monat.Tag1)=7,June!Monat.ZZNdUe,IF(MONTH(Monat.Tag1)=8,July!Monat.ZZNdUe,IF(MONTH(Monat.Tag1)=9,August!Monat.ZZNdUe,IF(MONTH(Monat.Tag1)=10,September!Monat.ZZNdUe,IF(MONTH(Monat.Tag1)=11,October!Monat.ZZNdUe,IF(MONTH(Monat.Tag1)=12,November!Monat.ZZNdUe,"")))))))))))),"")</f>
        <v>0</v>
      </c>
      <c r="AM79" s="172"/>
      <c r="AN79" s="217" t="n">
        <f aca="false">AI79+AL79-AI71</f>
        <v>0</v>
      </c>
      <c r="AO79" s="217" t="n">
        <f aca="true">OFFSET(Jahr.ZZSNDSaldo,-13+MONTH(Monat.Tag1),0,1,1)</f>
        <v>0</v>
      </c>
      <c r="AP79" s="217" t="n">
        <f aca="false">Jahr.ZZSNDSaldo</f>
        <v>0</v>
      </c>
      <c r="AQ79" s="39"/>
    </row>
    <row r="80" s="148" customFormat="true" ht="15" hidden="true" customHeight="true" outlineLevel="1" collapsed="false">
      <c r="A80" s="175" t="s">
        <v>163</v>
      </c>
      <c r="B80" s="256" t="str">
        <f aca="false">IF(T.50_Vetsuisse,IF(OR(B$12=0,B$11=0,WEEKDAY(B$10,2)&gt;5),0,ROUND(MAX(0,T.Abendbis-MAX(B13,T.Abendab))-MAX(0,T.Abendbis-MAX(T.Abendab,B14))+(B13&gt;B14)*(1+T.Abendab-T.Abendbis)+MAX(0,T.Abendbis-MAX(B15,T.Abendab))-MAX(0,T.Abendbis-MAX(T.Abendab,B16))+(B15&gt;B16)*(1+T.Abendab-T.Abendbis)+MAX(0,T.Abendbis-MAX(B17,T.Abendab))-MAX(0,T.Abendbis-MAX(T.Abendab,B18))+(B17&gt;B18)*(1+T.Abendab-T.Abendbis)+MAX(0,T.Abendbis-MAX(B19,T.Abendab))-MAX(0,T.Abendbis-MAX(T.Abendab,B20))+(B19&gt;B20)*(1+T.Abendab-T.Abendbis)+MAX(0,T.Abendbis-MAX(B21,T.Abendab))-MAX(0,T.Abendbis-MAX(T.Abendab,B22))+(B21&gt;B22)*(1+T.Abendab-T.Abendbis),9)),"")</f>
        <v/>
      </c>
      <c r="C80" s="256" t="str">
        <f aca="false">IF(T.50_Vetsuisse,IF(OR(C$12=0,C$11=0,WEEKDAY(C$10,2)&gt;5),0,ROUND(MAX(0,T.Abendbis-MAX(C13,T.Abendab))-MAX(0,T.Abendbis-MAX(T.Abendab,C14))+(C13&gt;C14)*(1+T.Abendab-T.Abendbis)+MAX(0,T.Abendbis-MAX(C15,T.Abendab))-MAX(0,T.Abendbis-MAX(T.Abendab,C16))+(C15&gt;C16)*(1+T.Abendab-T.Abendbis)+MAX(0,T.Abendbis-MAX(C17,T.Abendab))-MAX(0,T.Abendbis-MAX(T.Abendab,C18))+(C17&gt;C18)*(1+T.Abendab-T.Abendbis)+MAX(0,T.Abendbis-MAX(C19,T.Abendab))-MAX(0,T.Abendbis-MAX(T.Abendab,C20))+(C19&gt;C20)*(1+T.Abendab-T.Abendbis)+MAX(0,T.Abendbis-MAX(C21,T.Abendab))-MAX(0,T.Abendbis-MAX(T.Abendab,C22))+(C21&gt;C22)*(1+T.Abendab-T.Abendbis),9)),"")</f>
        <v/>
      </c>
      <c r="D80" s="256" t="str">
        <f aca="false">IF(T.50_Vetsuisse,IF(OR(D$12=0,D$11=0,WEEKDAY(D$10,2)&gt;5),0,ROUND(MAX(0,T.Abendbis-MAX(D13,T.Abendab))-MAX(0,T.Abendbis-MAX(T.Abendab,D14))+(D13&gt;D14)*(1+T.Abendab-T.Abendbis)+MAX(0,T.Abendbis-MAX(D15,T.Abendab))-MAX(0,T.Abendbis-MAX(T.Abendab,D16))+(D15&gt;D16)*(1+T.Abendab-T.Abendbis)+MAX(0,T.Abendbis-MAX(D17,T.Abendab))-MAX(0,T.Abendbis-MAX(T.Abendab,D18))+(D17&gt;D18)*(1+T.Abendab-T.Abendbis)+MAX(0,T.Abendbis-MAX(D19,T.Abendab))-MAX(0,T.Abendbis-MAX(T.Abendab,D20))+(D19&gt;D20)*(1+T.Abendab-T.Abendbis)+MAX(0,T.Abendbis-MAX(D21,T.Abendab))-MAX(0,T.Abendbis-MAX(T.Abendab,D22))+(D21&gt;D22)*(1+T.Abendab-T.Abendbis),9)),"")</f>
        <v/>
      </c>
      <c r="E80" s="256" t="str">
        <f aca="false">IF(T.50_Vetsuisse,IF(OR(E$12=0,E$11=0,WEEKDAY(E$10,2)&gt;5),0,ROUND(MAX(0,T.Abendbis-MAX(E13,T.Abendab))-MAX(0,T.Abendbis-MAX(T.Abendab,E14))+(E13&gt;E14)*(1+T.Abendab-T.Abendbis)+MAX(0,T.Abendbis-MAX(E15,T.Abendab))-MAX(0,T.Abendbis-MAX(T.Abendab,E16))+(E15&gt;E16)*(1+T.Abendab-T.Abendbis)+MAX(0,T.Abendbis-MAX(E17,T.Abendab))-MAX(0,T.Abendbis-MAX(T.Abendab,E18))+(E17&gt;E18)*(1+T.Abendab-T.Abendbis)+MAX(0,T.Abendbis-MAX(E19,T.Abendab))-MAX(0,T.Abendbis-MAX(T.Abendab,E20))+(E19&gt;E20)*(1+T.Abendab-T.Abendbis)+MAX(0,T.Abendbis-MAX(E21,T.Abendab))-MAX(0,T.Abendbis-MAX(T.Abendab,E22))+(E21&gt;E22)*(1+T.Abendab-T.Abendbis),9)),"")</f>
        <v/>
      </c>
      <c r="F80" s="256" t="str">
        <f aca="false">IF(T.50_Vetsuisse,IF(OR(F$12=0,F$11=0,WEEKDAY(F$10,2)&gt;5),0,ROUND(MAX(0,T.Abendbis-MAX(F13,T.Abendab))-MAX(0,T.Abendbis-MAX(T.Abendab,F14))+(F13&gt;F14)*(1+T.Abendab-T.Abendbis)+MAX(0,T.Abendbis-MAX(F15,T.Abendab))-MAX(0,T.Abendbis-MAX(T.Abendab,F16))+(F15&gt;F16)*(1+T.Abendab-T.Abendbis)+MAX(0,T.Abendbis-MAX(F17,T.Abendab))-MAX(0,T.Abendbis-MAX(T.Abendab,F18))+(F17&gt;F18)*(1+T.Abendab-T.Abendbis)+MAX(0,T.Abendbis-MAX(F19,T.Abendab))-MAX(0,T.Abendbis-MAX(T.Abendab,F20))+(F19&gt;F20)*(1+T.Abendab-T.Abendbis)+MAX(0,T.Abendbis-MAX(F21,T.Abendab))-MAX(0,T.Abendbis-MAX(T.Abendab,F22))+(F21&gt;F22)*(1+T.Abendab-T.Abendbis),9)),"")</f>
        <v/>
      </c>
      <c r="G80" s="256" t="str">
        <f aca="false">IF(T.50_Vetsuisse,IF(OR(G$12=0,G$11=0,WEEKDAY(G$10,2)&gt;5),0,ROUND(MAX(0,T.Abendbis-MAX(G13,T.Abendab))-MAX(0,T.Abendbis-MAX(T.Abendab,G14))+(G13&gt;G14)*(1+T.Abendab-T.Abendbis)+MAX(0,T.Abendbis-MAX(G15,T.Abendab))-MAX(0,T.Abendbis-MAX(T.Abendab,G16))+(G15&gt;G16)*(1+T.Abendab-T.Abendbis)+MAX(0,T.Abendbis-MAX(G17,T.Abendab))-MAX(0,T.Abendbis-MAX(T.Abendab,G18))+(G17&gt;G18)*(1+T.Abendab-T.Abendbis)+MAX(0,T.Abendbis-MAX(G19,T.Abendab))-MAX(0,T.Abendbis-MAX(T.Abendab,G20))+(G19&gt;G20)*(1+T.Abendab-T.Abendbis)+MAX(0,T.Abendbis-MAX(G21,T.Abendab))-MAX(0,T.Abendbis-MAX(T.Abendab,G22))+(G21&gt;G22)*(1+T.Abendab-T.Abendbis),9)),"")</f>
        <v/>
      </c>
      <c r="H80" s="256" t="str">
        <f aca="false">IF(T.50_Vetsuisse,IF(OR(H$12=0,H$11=0,WEEKDAY(H$10,2)&gt;5),0,ROUND(MAX(0,T.Abendbis-MAX(H13,T.Abendab))-MAX(0,T.Abendbis-MAX(T.Abendab,H14))+(H13&gt;H14)*(1+T.Abendab-T.Abendbis)+MAX(0,T.Abendbis-MAX(H15,T.Abendab))-MAX(0,T.Abendbis-MAX(T.Abendab,H16))+(H15&gt;H16)*(1+T.Abendab-T.Abendbis)+MAX(0,T.Abendbis-MAX(H17,T.Abendab))-MAX(0,T.Abendbis-MAX(T.Abendab,H18))+(H17&gt;H18)*(1+T.Abendab-T.Abendbis)+MAX(0,T.Abendbis-MAX(H19,T.Abendab))-MAX(0,T.Abendbis-MAX(T.Abendab,H20))+(H19&gt;H20)*(1+T.Abendab-T.Abendbis)+MAX(0,T.Abendbis-MAX(H21,T.Abendab))-MAX(0,T.Abendbis-MAX(T.Abendab,H22))+(H21&gt;H22)*(1+T.Abendab-T.Abendbis),9)),"")</f>
        <v/>
      </c>
      <c r="I80" s="256" t="str">
        <f aca="false">IF(T.50_Vetsuisse,IF(OR(I$12=0,I$11=0,WEEKDAY(I$10,2)&gt;5),0,ROUND(MAX(0,T.Abendbis-MAX(I13,T.Abendab))-MAX(0,T.Abendbis-MAX(T.Abendab,I14))+(I13&gt;I14)*(1+T.Abendab-T.Abendbis)+MAX(0,T.Abendbis-MAX(I15,T.Abendab))-MAX(0,T.Abendbis-MAX(T.Abendab,I16))+(I15&gt;I16)*(1+T.Abendab-T.Abendbis)+MAX(0,T.Abendbis-MAX(I17,T.Abendab))-MAX(0,T.Abendbis-MAX(T.Abendab,I18))+(I17&gt;I18)*(1+T.Abendab-T.Abendbis)+MAX(0,T.Abendbis-MAX(I19,T.Abendab))-MAX(0,T.Abendbis-MAX(T.Abendab,I20))+(I19&gt;I20)*(1+T.Abendab-T.Abendbis)+MAX(0,T.Abendbis-MAX(I21,T.Abendab))-MAX(0,T.Abendbis-MAX(T.Abendab,I22))+(I21&gt;I22)*(1+T.Abendab-T.Abendbis),9)),"")</f>
        <v/>
      </c>
      <c r="J80" s="256" t="str">
        <f aca="false">IF(T.50_Vetsuisse,IF(OR(J$12=0,J$11=0,WEEKDAY(J$10,2)&gt;5),0,ROUND(MAX(0,T.Abendbis-MAX(J13,T.Abendab))-MAX(0,T.Abendbis-MAX(T.Abendab,J14))+(J13&gt;J14)*(1+T.Abendab-T.Abendbis)+MAX(0,T.Abendbis-MAX(J15,T.Abendab))-MAX(0,T.Abendbis-MAX(T.Abendab,J16))+(J15&gt;J16)*(1+T.Abendab-T.Abendbis)+MAX(0,T.Abendbis-MAX(J17,T.Abendab))-MAX(0,T.Abendbis-MAX(T.Abendab,J18))+(J17&gt;J18)*(1+T.Abendab-T.Abendbis)+MAX(0,T.Abendbis-MAX(J19,T.Abendab))-MAX(0,T.Abendbis-MAX(T.Abendab,J20))+(J19&gt;J20)*(1+T.Abendab-T.Abendbis)+MAX(0,T.Abendbis-MAX(J21,T.Abendab))-MAX(0,T.Abendbis-MAX(T.Abendab,J22))+(J21&gt;J22)*(1+T.Abendab-T.Abendbis),9)),"")</f>
        <v/>
      </c>
      <c r="K80" s="256" t="str">
        <f aca="false">IF(T.50_Vetsuisse,IF(OR(K$12=0,K$11=0,WEEKDAY(K$10,2)&gt;5),0,ROUND(MAX(0,T.Abendbis-MAX(K13,T.Abendab))-MAX(0,T.Abendbis-MAX(T.Abendab,K14))+(K13&gt;K14)*(1+T.Abendab-T.Abendbis)+MAX(0,T.Abendbis-MAX(K15,T.Abendab))-MAX(0,T.Abendbis-MAX(T.Abendab,K16))+(K15&gt;K16)*(1+T.Abendab-T.Abendbis)+MAX(0,T.Abendbis-MAX(K17,T.Abendab))-MAX(0,T.Abendbis-MAX(T.Abendab,K18))+(K17&gt;K18)*(1+T.Abendab-T.Abendbis)+MAX(0,T.Abendbis-MAX(K19,T.Abendab))-MAX(0,T.Abendbis-MAX(T.Abendab,K20))+(K19&gt;K20)*(1+T.Abendab-T.Abendbis)+MAX(0,T.Abendbis-MAX(K21,T.Abendab))-MAX(0,T.Abendbis-MAX(T.Abendab,K22))+(K21&gt;K22)*(1+T.Abendab-T.Abendbis),9)),"")</f>
        <v/>
      </c>
      <c r="L80" s="256" t="str">
        <f aca="false">IF(T.50_Vetsuisse,IF(OR(L$12=0,L$11=0,WEEKDAY(L$10,2)&gt;5),0,ROUND(MAX(0,T.Abendbis-MAX(L13,T.Abendab))-MAX(0,T.Abendbis-MAX(T.Abendab,L14))+(L13&gt;L14)*(1+T.Abendab-T.Abendbis)+MAX(0,T.Abendbis-MAX(L15,T.Abendab))-MAX(0,T.Abendbis-MAX(T.Abendab,L16))+(L15&gt;L16)*(1+T.Abendab-T.Abendbis)+MAX(0,T.Abendbis-MAX(L17,T.Abendab))-MAX(0,T.Abendbis-MAX(T.Abendab,L18))+(L17&gt;L18)*(1+T.Abendab-T.Abendbis)+MAX(0,T.Abendbis-MAX(L19,T.Abendab))-MAX(0,T.Abendbis-MAX(T.Abendab,L20))+(L19&gt;L20)*(1+T.Abendab-T.Abendbis)+MAX(0,T.Abendbis-MAX(L21,T.Abendab))-MAX(0,T.Abendbis-MAX(T.Abendab,L22))+(L21&gt;L22)*(1+T.Abendab-T.Abendbis),9)),"")</f>
        <v/>
      </c>
      <c r="M80" s="256" t="str">
        <f aca="false">IF(T.50_Vetsuisse,IF(OR(M$12=0,M$11=0,WEEKDAY(M$10,2)&gt;5),0,ROUND(MAX(0,T.Abendbis-MAX(M13,T.Abendab))-MAX(0,T.Abendbis-MAX(T.Abendab,M14))+(M13&gt;M14)*(1+T.Abendab-T.Abendbis)+MAX(0,T.Abendbis-MAX(M15,T.Abendab))-MAX(0,T.Abendbis-MAX(T.Abendab,M16))+(M15&gt;M16)*(1+T.Abendab-T.Abendbis)+MAX(0,T.Abendbis-MAX(M17,T.Abendab))-MAX(0,T.Abendbis-MAX(T.Abendab,M18))+(M17&gt;M18)*(1+T.Abendab-T.Abendbis)+MAX(0,T.Abendbis-MAX(M19,T.Abendab))-MAX(0,T.Abendbis-MAX(T.Abendab,M20))+(M19&gt;M20)*(1+T.Abendab-T.Abendbis)+MAX(0,T.Abendbis-MAX(M21,T.Abendab))-MAX(0,T.Abendbis-MAX(T.Abendab,M22))+(M21&gt;M22)*(1+T.Abendab-T.Abendbis),9)),"")</f>
        <v/>
      </c>
      <c r="N80" s="256" t="str">
        <f aca="false">IF(T.50_Vetsuisse,IF(OR(N$12=0,N$11=0,WEEKDAY(N$10,2)&gt;5),0,ROUND(MAX(0,T.Abendbis-MAX(N13,T.Abendab))-MAX(0,T.Abendbis-MAX(T.Abendab,N14))+(N13&gt;N14)*(1+T.Abendab-T.Abendbis)+MAX(0,T.Abendbis-MAX(N15,T.Abendab))-MAX(0,T.Abendbis-MAX(T.Abendab,N16))+(N15&gt;N16)*(1+T.Abendab-T.Abendbis)+MAX(0,T.Abendbis-MAX(N17,T.Abendab))-MAX(0,T.Abendbis-MAX(T.Abendab,N18))+(N17&gt;N18)*(1+T.Abendab-T.Abendbis)+MAX(0,T.Abendbis-MAX(N19,T.Abendab))-MAX(0,T.Abendbis-MAX(T.Abendab,N20))+(N19&gt;N20)*(1+T.Abendab-T.Abendbis)+MAX(0,T.Abendbis-MAX(N21,T.Abendab))-MAX(0,T.Abendbis-MAX(T.Abendab,N22))+(N21&gt;N22)*(1+T.Abendab-T.Abendbis),9)),"")</f>
        <v/>
      </c>
      <c r="O80" s="256" t="str">
        <f aca="false">IF(T.50_Vetsuisse,IF(OR(O$12=0,O$11=0,WEEKDAY(O$10,2)&gt;5),0,ROUND(MAX(0,T.Abendbis-MAX(O13,T.Abendab))-MAX(0,T.Abendbis-MAX(T.Abendab,O14))+(O13&gt;O14)*(1+T.Abendab-T.Abendbis)+MAX(0,T.Abendbis-MAX(O15,T.Abendab))-MAX(0,T.Abendbis-MAX(T.Abendab,O16))+(O15&gt;O16)*(1+T.Abendab-T.Abendbis)+MAX(0,T.Abendbis-MAX(O17,T.Abendab))-MAX(0,T.Abendbis-MAX(T.Abendab,O18))+(O17&gt;O18)*(1+T.Abendab-T.Abendbis)+MAX(0,T.Abendbis-MAX(O19,T.Abendab))-MAX(0,T.Abendbis-MAX(T.Abendab,O20))+(O19&gt;O20)*(1+T.Abendab-T.Abendbis)+MAX(0,T.Abendbis-MAX(O21,T.Abendab))-MAX(0,T.Abendbis-MAX(T.Abendab,O22))+(O21&gt;O22)*(1+T.Abendab-T.Abendbis),9)),"")</f>
        <v/>
      </c>
      <c r="P80" s="256" t="str">
        <f aca="false">IF(T.50_Vetsuisse,IF(OR(P$12=0,P$11=0,WEEKDAY(P$10,2)&gt;5),0,ROUND(MAX(0,T.Abendbis-MAX(P13,T.Abendab))-MAX(0,T.Abendbis-MAX(T.Abendab,P14))+(P13&gt;P14)*(1+T.Abendab-T.Abendbis)+MAX(0,T.Abendbis-MAX(P15,T.Abendab))-MAX(0,T.Abendbis-MAX(T.Abendab,P16))+(P15&gt;P16)*(1+T.Abendab-T.Abendbis)+MAX(0,T.Abendbis-MAX(P17,T.Abendab))-MAX(0,T.Abendbis-MAX(T.Abendab,P18))+(P17&gt;P18)*(1+T.Abendab-T.Abendbis)+MAX(0,T.Abendbis-MAX(P19,T.Abendab))-MAX(0,T.Abendbis-MAX(T.Abendab,P20))+(P19&gt;P20)*(1+T.Abendab-T.Abendbis)+MAX(0,T.Abendbis-MAX(P21,T.Abendab))-MAX(0,T.Abendbis-MAX(T.Abendab,P22))+(P21&gt;P22)*(1+T.Abendab-T.Abendbis),9)),"")</f>
        <v/>
      </c>
      <c r="Q80" s="256" t="str">
        <f aca="false">IF(T.50_Vetsuisse,IF(OR(Q$12=0,Q$11=0,WEEKDAY(Q$10,2)&gt;5),0,ROUND(MAX(0,T.Abendbis-MAX(Q13,T.Abendab))-MAX(0,T.Abendbis-MAX(T.Abendab,Q14))+(Q13&gt;Q14)*(1+T.Abendab-T.Abendbis)+MAX(0,T.Abendbis-MAX(Q15,T.Abendab))-MAX(0,T.Abendbis-MAX(T.Abendab,Q16))+(Q15&gt;Q16)*(1+T.Abendab-T.Abendbis)+MAX(0,T.Abendbis-MAX(Q17,T.Abendab))-MAX(0,T.Abendbis-MAX(T.Abendab,Q18))+(Q17&gt;Q18)*(1+T.Abendab-T.Abendbis)+MAX(0,T.Abendbis-MAX(Q19,T.Abendab))-MAX(0,T.Abendbis-MAX(T.Abendab,Q20))+(Q19&gt;Q20)*(1+T.Abendab-T.Abendbis)+MAX(0,T.Abendbis-MAX(Q21,T.Abendab))-MAX(0,T.Abendbis-MAX(T.Abendab,Q22))+(Q21&gt;Q22)*(1+T.Abendab-T.Abendbis),9)),"")</f>
        <v/>
      </c>
      <c r="R80" s="256" t="str">
        <f aca="false">IF(T.50_Vetsuisse,IF(OR(R$12=0,R$11=0,WEEKDAY(R$10,2)&gt;5),0,ROUND(MAX(0,T.Abendbis-MAX(R13,T.Abendab))-MAX(0,T.Abendbis-MAX(T.Abendab,R14))+(R13&gt;R14)*(1+T.Abendab-T.Abendbis)+MAX(0,T.Abendbis-MAX(R15,T.Abendab))-MAX(0,T.Abendbis-MAX(T.Abendab,R16))+(R15&gt;R16)*(1+T.Abendab-T.Abendbis)+MAX(0,T.Abendbis-MAX(R17,T.Abendab))-MAX(0,T.Abendbis-MAX(T.Abendab,R18))+(R17&gt;R18)*(1+T.Abendab-T.Abendbis)+MAX(0,T.Abendbis-MAX(R19,T.Abendab))-MAX(0,T.Abendbis-MAX(T.Abendab,R20))+(R19&gt;R20)*(1+T.Abendab-T.Abendbis)+MAX(0,T.Abendbis-MAX(R21,T.Abendab))-MAX(0,T.Abendbis-MAX(T.Abendab,R22))+(R21&gt;R22)*(1+T.Abendab-T.Abendbis),9)),"")</f>
        <v/>
      </c>
      <c r="S80" s="256" t="str">
        <f aca="false">IF(T.50_Vetsuisse,IF(OR(S$12=0,S$11=0,WEEKDAY(S$10,2)&gt;5),0,ROUND(MAX(0,T.Abendbis-MAX(S13,T.Abendab))-MAX(0,T.Abendbis-MAX(T.Abendab,S14))+(S13&gt;S14)*(1+T.Abendab-T.Abendbis)+MAX(0,T.Abendbis-MAX(S15,T.Abendab))-MAX(0,T.Abendbis-MAX(T.Abendab,S16))+(S15&gt;S16)*(1+T.Abendab-T.Abendbis)+MAX(0,T.Abendbis-MAX(S17,T.Abendab))-MAX(0,T.Abendbis-MAX(T.Abendab,S18))+(S17&gt;S18)*(1+T.Abendab-T.Abendbis)+MAX(0,T.Abendbis-MAX(S19,T.Abendab))-MAX(0,T.Abendbis-MAX(T.Abendab,S20))+(S19&gt;S20)*(1+T.Abendab-T.Abendbis)+MAX(0,T.Abendbis-MAX(S21,T.Abendab))-MAX(0,T.Abendbis-MAX(T.Abendab,S22))+(S21&gt;S22)*(1+T.Abendab-T.Abendbis),9)),"")</f>
        <v/>
      </c>
      <c r="T80" s="256" t="str">
        <f aca="false">IF(T.50_Vetsuisse,IF(OR(T$12=0,T$11=0,WEEKDAY(T$10,2)&gt;5),0,ROUND(MAX(0,T.Abendbis-MAX(T13,T.Abendab))-MAX(0,T.Abendbis-MAX(T.Abendab,T14))+(T13&gt;T14)*(1+T.Abendab-T.Abendbis)+MAX(0,T.Abendbis-MAX(T15,T.Abendab))-MAX(0,T.Abendbis-MAX(T.Abendab,T16))+(T15&gt;T16)*(1+T.Abendab-T.Abendbis)+MAX(0,T.Abendbis-MAX(T17,T.Abendab))-MAX(0,T.Abendbis-MAX(T.Abendab,T18))+(T17&gt;T18)*(1+T.Abendab-T.Abendbis)+MAX(0,T.Abendbis-MAX(T19,T.Abendab))-MAX(0,T.Abendbis-MAX(T.Abendab,T20))+(T19&gt;T20)*(1+T.Abendab-T.Abendbis)+MAX(0,T.Abendbis-MAX(T21,T.Abendab))-MAX(0,T.Abendbis-MAX(T.Abendab,T22))+(T21&gt;T22)*(1+T.Abendab-T.Abendbis),9)),"")</f>
        <v/>
      </c>
      <c r="U80" s="256" t="str">
        <f aca="false">IF(T.50_Vetsuisse,IF(OR(U$12=0,U$11=0,WEEKDAY(U$10,2)&gt;5),0,ROUND(MAX(0,T.Abendbis-MAX(U13,T.Abendab))-MAX(0,T.Abendbis-MAX(T.Abendab,U14))+(U13&gt;U14)*(1+T.Abendab-T.Abendbis)+MAX(0,T.Abendbis-MAX(U15,T.Abendab))-MAX(0,T.Abendbis-MAX(T.Abendab,U16))+(U15&gt;U16)*(1+T.Abendab-T.Abendbis)+MAX(0,T.Abendbis-MAX(U17,T.Abendab))-MAX(0,T.Abendbis-MAX(T.Abendab,U18))+(U17&gt;U18)*(1+T.Abendab-T.Abendbis)+MAX(0,T.Abendbis-MAX(U19,T.Abendab))-MAX(0,T.Abendbis-MAX(T.Abendab,U20))+(U19&gt;U20)*(1+T.Abendab-T.Abendbis)+MAX(0,T.Abendbis-MAX(U21,T.Abendab))-MAX(0,T.Abendbis-MAX(T.Abendab,U22))+(U21&gt;U22)*(1+T.Abendab-T.Abendbis),9)),"")</f>
        <v/>
      </c>
      <c r="V80" s="256" t="str">
        <f aca="false">IF(T.50_Vetsuisse,IF(OR(V$12=0,V$11=0,WEEKDAY(V$10,2)&gt;5),0,ROUND(MAX(0,T.Abendbis-MAX(V13,T.Abendab))-MAX(0,T.Abendbis-MAX(T.Abendab,V14))+(V13&gt;V14)*(1+T.Abendab-T.Abendbis)+MAX(0,T.Abendbis-MAX(V15,T.Abendab))-MAX(0,T.Abendbis-MAX(T.Abendab,V16))+(V15&gt;V16)*(1+T.Abendab-T.Abendbis)+MAX(0,T.Abendbis-MAX(V17,T.Abendab))-MAX(0,T.Abendbis-MAX(T.Abendab,V18))+(V17&gt;V18)*(1+T.Abendab-T.Abendbis)+MAX(0,T.Abendbis-MAX(V19,T.Abendab))-MAX(0,T.Abendbis-MAX(T.Abendab,V20))+(V19&gt;V20)*(1+T.Abendab-T.Abendbis)+MAX(0,T.Abendbis-MAX(V21,T.Abendab))-MAX(0,T.Abendbis-MAX(T.Abendab,V22))+(V21&gt;V22)*(1+T.Abendab-T.Abendbis),9)),"")</f>
        <v/>
      </c>
      <c r="W80" s="256" t="str">
        <f aca="false">IF(T.50_Vetsuisse,IF(OR(W$12=0,W$11=0,WEEKDAY(W$10,2)&gt;5),0,ROUND(MAX(0,T.Abendbis-MAX(W13,T.Abendab))-MAX(0,T.Abendbis-MAX(T.Abendab,W14))+(W13&gt;W14)*(1+T.Abendab-T.Abendbis)+MAX(0,T.Abendbis-MAX(W15,T.Abendab))-MAX(0,T.Abendbis-MAX(T.Abendab,W16))+(W15&gt;W16)*(1+T.Abendab-T.Abendbis)+MAX(0,T.Abendbis-MAX(W17,T.Abendab))-MAX(0,T.Abendbis-MAX(T.Abendab,W18))+(W17&gt;W18)*(1+T.Abendab-T.Abendbis)+MAX(0,T.Abendbis-MAX(W19,T.Abendab))-MAX(0,T.Abendbis-MAX(T.Abendab,W20))+(W19&gt;W20)*(1+T.Abendab-T.Abendbis)+MAX(0,T.Abendbis-MAX(W21,T.Abendab))-MAX(0,T.Abendbis-MAX(T.Abendab,W22))+(W21&gt;W22)*(1+T.Abendab-T.Abendbis),9)),"")</f>
        <v/>
      </c>
      <c r="X80" s="256" t="str">
        <f aca="false">IF(T.50_Vetsuisse,IF(OR(X$12=0,X$11=0,WEEKDAY(X$10,2)&gt;5),0,ROUND(MAX(0,T.Abendbis-MAX(X13,T.Abendab))-MAX(0,T.Abendbis-MAX(T.Abendab,X14))+(X13&gt;X14)*(1+T.Abendab-T.Abendbis)+MAX(0,T.Abendbis-MAX(X15,T.Abendab))-MAX(0,T.Abendbis-MAX(T.Abendab,X16))+(X15&gt;X16)*(1+T.Abendab-T.Abendbis)+MAX(0,T.Abendbis-MAX(X17,T.Abendab))-MAX(0,T.Abendbis-MAX(T.Abendab,X18))+(X17&gt;X18)*(1+T.Abendab-T.Abendbis)+MAX(0,T.Abendbis-MAX(X19,T.Abendab))-MAX(0,T.Abendbis-MAX(T.Abendab,X20))+(X19&gt;X20)*(1+T.Abendab-T.Abendbis)+MAX(0,T.Abendbis-MAX(X21,T.Abendab))-MAX(0,T.Abendbis-MAX(T.Abendab,X22))+(X21&gt;X22)*(1+T.Abendab-T.Abendbis),9)),"")</f>
        <v/>
      </c>
      <c r="Y80" s="256" t="str">
        <f aca="false">IF(T.50_Vetsuisse,IF(OR(Y$12=0,Y$11=0,WEEKDAY(Y$10,2)&gt;5),0,ROUND(MAX(0,T.Abendbis-MAX(Y13,T.Abendab))-MAX(0,T.Abendbis-MAX(T.Abendab,Y14))+(Y13&gt;Y14)*(1+T.Abendab-T.Abendbis)+MAX(0,T.Abendbis-MAX(Y15,T.Abendab))-MAX(0,T.Abendbis-MAX(T.Abendab,Y16))+(Y15&gt;Y16)*(1+T.Abendab-T.Abendbis)+MAX(0,T.Abendbis-MAX(Y17,T.Abendab))-MAX(0,T.Abendbis-MAX(T.Abendab,Y18))+(Y17&gt;Y18)*(1+T.Abendab-T.Abendbis)+MAX(0,T.Abendbis-MAX(Y19,T.Abendab))-MAX(0,T.Abendbis-MAX(T.Abendab,Y20))+(Y19&gt;Y20)*(1+T.Abendab-T.Abendbis)+MAX(0,T.Abendbis-MAX(Y21,T.Abendab))-MAX(0,T.Abendbis-MAX(T.Abendab,Y22))+(Y21&gt;Y22)*(1+T.Abendab-T.Abendbis),9)),"")</f>
        <v/>
      </c>
      <c r="Z80" s="256" t="str">
        <f aca="false">IF(T.50_Vetsuisse,IF(OR(Z$12=0,Z$11=0,WEEKDAY(Z$10,2)&gt;5),0,ROUND(MAX(0,T.Abendbis-MAX(Z13,T.Abendab))-MAX(0,T.Abendbis-MAX(T.Abendab,Z14))+(Z13&gt;Z14)*(1+T.Abendab-T.Abendbis)+MAX(0,T.Abendbis-MAX(Z15,T.Abendab))-MAX(0,T.Abendbis-MAX(T.Abendab,Z16))+(Z15&gt;Z16)*(1+T.Abendab-T.Abendbis)+MAX(0,T.Abendbis-MAX(Z17,T.Abendab))-MAX(0,T.Abendbis-MAX(T.Abendab,Z18))+(Z17&gt;Z18)*(1+T.Abendab-T.Abendbis)+MAX(0,T.Abendbis-MAX(Z19,T.Abendab))-MAX(0,T.Abendbis-MAX(T.Abendab,Z20))+(Z19&gt;Z20)*(1+T.Abendab-T.Abendbis)+MAX(0,T.Abendbis-MAX(Z21,T.Abendab))-MAX(0,T.Abendbis-MAX(T.Abendab,Z22))+(Z21&gt;Z22)*(1+T.Abendab-T.Abendbis),9)),"")</f>
        <v/>
      </c>
      <c r="AA80" s="256" t="str">
        <f aca="false">IF(T.50_Vetsuisse,IF(OR(AA$12=0,AA$11=0,WEEKDAY(AA$10,2)&gt;5),0,ROUND(MAX(0,T.Abendbis-MAX(AA13,T.Abendab))-MAX(0,T.Abendbis-MAX(T.Abendab,AA14))+(AA13&gt;AA14)*(1+T.Abendab-T.Abendbis)+MAX(0,T.Abendbis-MAX(AA15,T.Abendab))-MAX(0,T.Abendbis-MAX(T.Abendab,AA16))+(AA15&gt;AA16)*(1+T.Abendab-T.Abendbis)+MAX(0,T.Abendbis-MAX(AA17,T.Abendab))-MAX(0,T.Abendbis-MAX(T.Abendab,AA18))+(AA17&gt;AA18)*(1+T.Abendab-T.Abendbis)+MAX(0,T.Abendbis-MAX(AA19,T.Abendab))-MAX(0,T.Abendbis-MAX(T.Abendab,AA20))+(AA19&gt;AA20)*(1+T.Abendab-T.Abendbis)+MAX(0,T.Abendbis-MAX(AA21,T.Abendab))-MAX(0,T.Abendbis-MAX(T.Abendab,AA22))+(AA21&gt;AA22)*(1+T.Abendab-T.Abendbis),9)),"")</f>
        <v/>
      </c>
      <c r="AB80" s="256" t="str">
        <f aca="false">IF(T.50_Vetsuisse,IF(OR(AB$12=0,AB$11=0,WEEKDAY(AB$10,2)&gt;5),0,ROUND(MAX(0,T.Abendbis-MAX(AB13,T.Abendab))-MAX(0,T.Abendbis-MAX(T.Abendab,AB14))+(AB13&gt;AB14)*(1+T.Abendab-T.Abendbis)+MAX(0,T.Abendbis-MAX(AB15,T.Abendab))-MAX(0,T.Abendbis-MAX(T.Abendab,AB16))+(AB15&gt;AB16)*(1+T.Abendab-T.Abendbis)+MAX(0,T.Abendbis-MAX(AB17,T.Abendab))-MAX(0,T.Abendbis-MAX(T.Abendab,AB18))+(AB17&gt;AB18)*(1+T.Abendab-T.Abendbis)+MAX(0,T.Abendbis-MAX(AB19,T.Abendab))-MAX(0,T.Abendbis-MAX(T.Abendab,AB20))+(AB19&gt;AB20)*(1+T.Abendab-T.Abendbis)+MAX(0,T.Abendbis-MAX(AB21,T.Abendab))-MAX(0,T.Abendbis-MAX(T.Abendab,AB22))+(AB21&gt;AB22)*(1+T.Abendab-T.Abendbis),9)),"")</f>
        <v/>
      </c>
      <c r="AC80" s="256" t="str">
        <f aca="false">IF(T.50_Vetsuisse,IF(OR(AC$12=0,AC$11=0,WEEKDAY(AC$10,2)&gt;5),0,ROUND(MAX(0,T.Abendbis-MAX(AC13,T.Abendab))-MAX(0,T.Abendbis-MAX(T.Abendab,AC14))+(AC13&gt;AC14)*(1+T.Abendab-T.Abendbis)+MAX(0,T.Abendbis-MAX(AC15,T.Abendab))-MAX(0,T.Abendbis-MAX(T.Abendab,AC16))+(AC15&gt;AC16)*(1+T.Abendab-T.Abendbis)+MAX(0,T.Abendbis-MAX(AC17,T.Abendab))-MAX(0,T.Abendbis-MAX(T.Abendab,AC18))+(AC17&gt;AC18)*(1+T.Abendab-T.Abendbis)+MAX(0,T.Abendbis-MAX(AC19,T.Abendab))-MAX(0,T.Abendbis-MAX(T.Abendab,AC20))+(AC19&gt;AC20)*(1+T.Abendab-T.Abendbis)+MAX(0,T.Abendbis-MAX(AC21,T.Abendab))-MAX(0,T.Abendbis-MAX(T.Abendab,AC22))+(AC21&gt;AC22)*(1+T.Abendab-T.Abendbis),9)),"")</f>
        <v/>
      </c>
      <c r="AD80" s="256" t="str">
        <f aca="false">IF(T.50_Vetsuisse,IF(OR(AD$12=0,AD$11=0,WEEKDAY(AD$10,2)&gt;5),0,ROUND(MAX(0,T.Abendbis-MAX(AD13,T.Abendab))-MAX(0,T.Abendbis-MAX(T.Abendab,AD14))+(AD13&gt;AD14)*(1+T.Abendab-T.Abendbis)+MAX(0,T.Abendbis-MAX(AD15,T.Abendab))-MAX(0,T.Abendbis-MAX(T.Abendab,AD16))+(AD15&gt;AD16)*(1+T.Abendab-T.Abendbis)+MAX(0,T.Abendbis-MAX(AD17,T.Abendab))-MAX(0,T.Abendbis-MAX(T.Abendab,AD18))+(AD17&gt;AD18)*(1+T.Abendab-T.Abendbis)+MAX(0,T.Abendbis-MAX(AD19,T.Abendab))-MAX(0,T.Abendbis-MAX(T.Abendab,AD20))+(AD19&gt;AD20)*(1+T.Abendab-T.Abendbis)+MAX(0,T.Abendbis-MAX(AD21,T.Abendab))-MAX(0,T.Abendbis-MAX(T.Abendab,AD22))+(AD21&gt;AD22)*(1+T.Abendab-T.Abendbis),9)),"")</f>
        <v/>
      </c>
      <c r="AE80" s="256" t="str">
        <f aca="false">IF(T.50_Vetsuisse,IF(OR(AE$12=0,AE$11=0,WEEKDAY(AE$10,2)&gt;5),0,ROUND(MAX(0,T.Abendbis-MAX(AE13,T.Abendab))-MAX(0,T.Abendbis-MAX(T.Abendab,AE14))+(AE13&gt;AE14)*(1+T.Abendab-T.Abendbis)+MAX(0,T.Abendbis-MAX(AE15,T.Abendab))-MAX(0,T.Abendbis-MAX(T.Abendab,AE16))+(AE15&gt;AE16)*(1+T.Abendab-T.Abendbis)+MAX(0,T.Abendbis-MAX(AE17,T.Abendab))-MAX(0,T.Abendbis-MAX(T.Abendab,AE18))+(AE17&gt;AE18)*(1+T.Abendab-T.Abendbis)+MAX(0,T.Abendbis-MAX(AE19,T.Abendab))-MAX(0,T.Abendbis-MAX(T.Abendab,AE20))+(AE19&gt;AE20)*(1+T.Abendab-T.Abendbis)+MAX(0,T.Abendbis-MAX(AE21,T.Abendab))-MAX(0,T.Abendbis-MAX(T.Abendab,AE22))+(AE21&gt;AE22)*(1+T.Abendab-T.Abendbis),9)),"")</f>
        <v/>
      </c>
      <c r="AF80" s="256" t="str">
        <f aca="false">IF(T.50_Vetsuisse,IF(OR(AF$12=0,AF$11=0,WEEKDAY(AF$10,2)&gt;5),0,ROUND(MAX(0,T.Abendbis-MAX(AF13,T.Abendab))-MAX(0,T.Abendbis-MAX(T.Abendab,AF14))+(AF13&gt;AF14)*(1+T.Abendab-T.Abendbis)+MAX(0,T.Abendbis-MAX(AF15,T.Abendab))-MAX(0,T.Abendbis-MAX(T.Abendab,AF16))+(AF15&gt;AF16)*(1+T.Abendab-T.Abendbis)+MAX(0,T.Abendbis-MAX(AF17,T.Abendab))-MAX(0,T.Abendbis-MAX(T.Abendab,AF18))+(AF17&gt;AF18)*(1+T.Abendab-T.Abendbis)+MAX(0,T.Abendbis-MAX(AF19,T.Abendab))-MAX(0,T.Abendbis-MAX(T.Abendab,AF20))+(AF19&gt;AF20)*(1+T.Abendab-T.Abendbis)+MAX(0,T.Abendbis-MAX(AF21,T.Abendab))-MAX(0,T.Abendbis-MAX(T.Abendab,AF22))+(AF21&gt;AF22)*(1+T.Abendab-T.Abendbis),9)),"")</f>
        <v/>
      </c>
      <c r="AG80" s="168" t="str">
        <f aca="false">A80</f>
        <v>Evening work</v>
      </c>
      <c r="AH80" s="250"/>
      <c r="AI80" s="207" t="n">
        <f aca="false">SUM(B80:AF80)</f>
        <v>0</v>
      </c>
      <c r="AJ80" s="33"/>
      <c r="AK80" s="192"/>
      <c r="AL80" s="216" t="n">
        <f aca="false">IF(EB.Anwendung&lt;&gt;"",IF(MONTH(Monat.Tag1)=1,0,IF(MONTH(Monat.Tag1)=2,January!Monat.AAUeVM,IF(MONTH(Monat.Tag1)=3,February!Monat.AAUeVM,IF(MONTH(Monat.Tag1)=4,Monat.AAUeVM,IF(MONTH(Monat.Tag1)=5,April!Monat.AAUeVM,IF(MONTH(Monat.Tag1)=6,May!Monat.AAUeVM,IF(MONTH(Monat.Tag1)=7,June!Monat.AAUeVM,IF(MONTH(Monat.Tag1)=8,July!Monat.AAUeVM,IF(MONTH(Monat.Tag1)=9,August!Monat.AAUeVM,IF(MONTH(Monat.Tag1)=10,September!Monat.AAUeVM,IF(MONTH(Monat.Tag1)=11,October!Monat.AAUeVM,IF(MONTH(Monat.Tag1)=12,November!Monat.AAUeVM,"")))))))))))),"")</f>
        <v>0</v>
      </c>
      <c r="AM80" s="172"/>
      <c r="AN80" s="217" t="n">
        <f aca="false">AI80+AL80</f>
        <v>0</v>
      </c>
      <c r="AO80" s="171"/>
      <c r="AP80" s="171"/>
      <c r="AQ80" s="39"/>
    </row>
    <row r="81" s="148" customFormat="true" ht="15" hidden="false" customHeight="true" outlineLevel="1" collapsed="false">
      <c r="A81" s="175" t="s">
        <v>164</v>
      </c>
      <c r="B81" s="256" t="n">
        <f aca="true">IF(EB.Wochenarbeitszeit=50/24,"",IF(B$12=0,0,IF(OR(WEEKDAY(B$10,2)&gt;5,B$11=0),IF(NOT(B$34=INDEX(T.Pikett.Bereich,1)),1,0),IF(WEEKDAY(B$10,2)&lt;6,IF(AND(OR(B$34=INDEX(T.Pikett.Bereich,2),B$34=INDEX(T.Pikett.Bereich,3)),B$11=1),8/24,0))+IF(WEEKDAY(B$10,2)&lt;6,IF(AND(OR(B$34=INDEX(T.Pikett.Bereich,2),B$34=INDEX(T.Pikett.Bereich,3)),B$11=6/8.4),10/24,0)) +IF(WEEKDAY(B$10,2)&lt;6,IF(AND(OR(B$34=INDEX(T.Pikett.Bereich,2),B$34=INDEX(T.Pikett.Bereich,3)),B$11=0.5),0.5,0)) +IF(AND(B$34=INDEX(T.Pikett.Bereich,4),B$11=6/8.4),0.75,0)+IF(AND(B$34=INDEX(T.Pikett.Bereich,4),B$11=1),16/24,0) +IF(AND(B$34=INDEX(T.Pikett.Bereich,4),B$11=0.5),20/24,0))))</f>
        <v>0</v>
      </c>
      <c r="C81" s="256" t="n">
        <f aca="true">IF(EB.Wochenarbeitszeit=50/24,"",IF(C$12=0,0,IF(OR(WEEKDAY(C$10,2)&gt;5,C$11=0),IF(NOT(C$34=INDEX(T.Pikett.Bereich,1)),1,0),IF(WEEKDAY(C$10,2)&lt;6,IF(AND(OR(C$34=INDEX(T.Pikett.Bereich,2),C$34=INDEX(T.Pikett.Bereich,3)),C$11=1),8/24,0))+IF(WEEKDAY(C$10,2)&lt;6,IF(AND(OR(C$34=INDEX(T.Pikett.Bereich,2),C$34=INDEX(T.Pikett.Bereich,3)),C$11=6/8.4),10/24,0)) +IF(WEEKDAY(C$10,2)&lt;6,IF(AND(OR(C$34=INDEX(T.Pikett.Bereich,2),C$34=INDEX(T.Pikett.Bereich,3)),C$11=0.5),0.5,0)) +IF(AND(C$34=INDEX(T.Pikett.Bereich,4),C$11=6/8.4),0.75,0)+IF(AND(C$34=INDEX(T.Pikett.Bereich,4),C$11=1),16/24,0) +IF(AND(C$34=INDEX(T.Pikett.Bereich,4),C$11=0.5),20/24,0))))</f>
        <v>0</v>
      </c>
      <c r="D81" s="256" t="n">
        <f aca="true">IF(EB.Wochenarbeitszeit=50/24,"",IF(D$12=0,0,IF(OR(WEEKDAY(D$10,2)&gt;5,D$11=0),IF(NOT(D$34=INDEX(T.Pikett.Bereich,1)),1,0),IF(WEEKDAY(D$10,2)&lt;6,IF(AND(OR(D$34=INDEX(T.Pikett.Bereich,2),D$34=INDEX(T.Pikett.Bereich,3)),D$11=1),8/24,0))+IF(WEEKDAY(D$10,2)&lt;6,IF(AND(OR(D$34=INDEX(T.Pikett.Bereich,2),D$34=INDEX(T.Pikett.Bereich,3)),D$11=6/8.4),10/24,0)) +IF(WEEKDAY(D$10,2)&lt;6,IF(AND(OR(D$34=INDEX(T.Pikett.Bereich,2),D$34=INDEX(T.Pikett.Bereich,3)),D$11=0.5),0.5,0)) +IF(AND(D$34=INDEX(T.Pikett.Bereich,4),D$11=6/8.4),0.75,0)+IF(AND(D$34=INDEX(T.Pikett.Bereich,4),D$11=1),16/24,0) +IF(AND(D$34=INDEX(T.Pikett.Bereich,4),D$11=0.5),20/24,0))))</f>
        <v>0</v>
      </c>
      <c r="E81" s="256" t="n">
        <f aca="true">IF(EB.Wochenarbeitszeit=50/24,"",IF(E$12=0,0,IF(OR(WEEKDAY(E$10,2)&gt;5,E$11=0),IF(NOT(E$34=INDEX(T.Pikett.Bereich,1)),1,0),IF(WEEKDAY(E$10,2)&lt;6,IF(AND(OR(E$34=INDEX(T.Pikett.Bereich,2),E$34=INDEX(T.Pikett.Bereich,3)),E$11=1),8/24,0))+IF(WEEKDAY(E$10,2)&lt;6,IF(AND(OR(E$34=INDEX(T.Pikett.Bereich,2),E$34=INDEX(T.Pikett.Bereich,3)),E$11=6/8.4),10/24,0)) +IF(WEEKDAY(E$10,2)&lt;6,IF(AND(OR(E$34=INDEX(T.Pikett.Bereich,2),E$34=INDEX(T.Pikett.Bereich,3)),E$11=0.5),0.5,0)) +IF(AND(E$34=INDEX(T.Pikett.Bereich,4),E$11=6/8.4),0.75,0)+IF(AND(E$34=INDEX(T.Pikett.Bereich,4),E$11=1),16/24,0) +IF(AND(E$34=INDEX(T.Pikett.Bereich,4),E$11=0.5),20/24,0))))</f>
        <v>0</v>
      </c>
      <c r="F81" s="256" t="n">
        <f aca="true">IF(EB.Wochenarbeitszeit=50/24,"",IF(F$12=0,0,IF(OR(WEEKDAY(F$10,2)&gt;5,F$11=0),IF(NOT(F$34=INDEX(T.Pikett.Bereich,1)),1,0),IF(WEEKDAY(F$10,2)&lt;6,IF(AND(OR(F$34=INDEX(T.Pikett.Bereich,2),F$34=INDEX(T.Pikett.Bereich,3)),F$11=1),8/24,0))+IF(WEEKDAY(F$10,2)&lt;6,IF(AND(OR(F$34=INDEX(T.Pikett.Bereich,2),F$34=INDEX(T.Pikett.Bereich,3)),F$11=6/8.4),10/24,0)) +IF(WEEKDAY(F$10,2)&lt;6,IF(AND(OR(F$34=INDEX(T.Pikett.Bereich,2),F$34=INDEX(T.Pikett.Bereich,3)),F$11=0.5),0.5,0)) +IF(AND(F$34=INDEX(T.Pikett.Bereich,4),F$11=6/8.4),0.75,0)+IF(AND(F$34=INDEX(T.Pikett.Bereich,4),F$11=1),16/24,0) +IF(AND(F$34=INDEX(T.Pikett.Bereich,4),F$11=0.5),20/24,0))))</f>
        <v>0</v>
      </c>
      <c r="G81" s="256" t="n">
        <f aca="true">IF(EB.Wochenarbeitszeit=50/24,"",IF(G$12=0,0,IF(OR(WEEKDAY(G$10,2)&gt;5,G$11=0),IF(NOT(G$34=INDEX(T.Pikett.Bereich,1)),1,0),IF(WEEKDAY(G$10,2)&lt;6,IF(AND(OR(G$34=INDEX(T.Pikett.Bereich,2),G$34=INDEX(T.Pikett.Bereich,3)),G$11=1),8/24,0))+IF(WEEKDAY(G$10,2)&lt;6,IF(AND(OR(G$34=INDEX(T.Pikett.Bereich,2),G$34=INDEX(T.Pikett.Bereich,3)),G$11=6/8.4),10/24,0)) +IF(WEEKDAY(G$10,2)&lt;6,IF(AND(OR(G$34=INDEX(T.Pikett.Bereich,2),G$34=INDEX(T.Pikett.Bereich,3)),G$11=0.5),0.5,0)) +IF(AND(G$34=INDEX(T.Pikett.Bereich,4),G$11=6/8.4),0.75,0)+IF(AND(G$34=INDEX(T.Pikett.Bereich,4),G$11=1),16/24,0) +IF(AND(G$34=INDEX(T.Pikett.Bereich,4),G$11=0.5),20/24,0))))</f>
        <v>0</v>
      </c>
      <c r="H81" s="256" t="n">
        <f aca="true">IF(EB.Wochenarbeitszeit=50/24,"",IF(H$12=0,0,IF(OR(WEEKDAY(H$10,2)&gt;5,H$11=0),IF(NOT(H$34=INDEX(T.Pikett.Bereich,1)),1,0),IF(WEEKDAY(H$10,2)&lt;6,IF(AND(OR(H$34=INDEX(T.Pikett.Bereich,2),H$34=INDEX(T.Pikett.Bereich,3)),H$11=1),8/24,0))+IF(WEEKDAY(H$10,2)&lt;6,IF(AND(OR(H$34=INDEX(T.Pikett.Bereich,2),H$34=INDEX(T.Pikett.Bereich,3)),H$11=6/8.4),10/24,0)) +IF(WEEKDAY(H$10,2)&lt;6,IF(AND(OR(H$34=INDEX(T.Pikett.Bereich,2),H$34=INDEX(T.Pikett.Bereich,3)),H$11=0.5),0.5,0)) +IF(AND(H$34=INDEX(T.Pikett.Bereich,4),H$11=6/8.4),0.75,0)+IF(AND(H$34=INDEX(T.Pikett.Bereich,4),H$11=1),16/24,0) +IF(AND(H$34=INDEX(T.Pikett.Bereich,4),H$11=0.5),20/24,0))))</f>
        <v>0</v>
      </c>
      <c r="I81" s="256" t="n">
        <f aca="true">IF(EB.Wochenarbeitszeit=50/24,"",IF(I$12=0,0,IF(OR(WEEKDAY(I$10,2)&gt;5,I$11=0),IF(NOT(I$34=INDEX(T.Pikett.Bereich,1)),1,0),IF(WEEKDAY(I$10,2)&lt;6,IF(AND(OR(I$34=INDEX(T.Pikett.Bereich,2),I$34=INDEX(T.Pikett.Bereich,3)),I$11=1),8/24,0))+IF(WEEKDAY(I$10,2)&lt;6,IF(AND(OR(I$34=INDEX(T.Pikett.Bereich,2),I$34=INDEX(T.Pikett.Bereich,3)),I$11=6/8.4),10/24,0)) +IF(WEEKDAY(I$10,2)&lt;6,IF(AND(OR(I$34=INDEX(T.Pikett.Bereich,2),I$34=INDEX(T.Pikett.Bereich,3)),I$11=0.5),0.5,0)) +IF(AND(I$34=INDEX(T.Pikett.Bereich,4),I$11=6/8.4),0.75,0)+IF(AND(I$34=INDEX(T.Pikett.Bereich,4),I$11=1),16/24,0) +IF(AND(I$34=INDEX(T.Pikett.Bereich,4),I$11=0.5),20/24,0))))</f>
        <v>0</v>
      </c>
      <c r="J81" s="256" t="n">
        <f aca="true">IF(EB.Wochenarbeitszeit=50/24,"",IF(J$12=0,0,IF(OR(WEEKDAY(J$10,2)&gt;5,J$11=0),IF(NOT(J$34=INDEX(T.Pikett.Bereich,1)),1,0),IF(WEEKDAY(J$10,2)&lt;6,IF(AND(OR(J$34=INDEX(T.Pikett.Bereich,2),J$34=INDEX(T.Pikett.Bereich,3)),J$11=1),8/24,0))+IF(WEEKDAY(J$10,2)&lt;6,IF(AND(OR(J$34=INDEX(T.Pikett.Bereich,2),J$34=INDEX(T.Pikett.Bereich,3)),J$11=6/8.4),10/24,0)) +IF(WEEKDAY(J$10,2)&lt;6,IF(AND(OR(J$34=INDEX(T.Pikett.Bereich,2),J$34=INDEX(T.Pikett.Bereich,3)),J$11=0.5),0.5,0)) +IF(AND(J$34=INDEX(T.Pikett.Bereich,4),J$11=6/8.4),0.75,0)+IF(AND(J$34=INDEX(T.Pikett.Bereich,4),J$11=1),16/24,0) +IF(AND(J$34=INDEX(T.Pikett.Bereich,4),J$11=0.5),20/24,0))))</f>
        <v>0</v>
      </c>
      <c r="K81" s="256" t="n">
        <f aca="true">IF(EB.Wochenarbeitszeit=50/24,"",IF(K$12=0,0,IF(OR(WEEKDAY(K$10,2)&gt;5,K$11=0),IF(NOT(K$34=INDEX(T.Pikett.Bereich,1)),1,0),IF(WEEKDAY(K$10,2)&lt;6,IF(AND(OR(K$34=INDEX(T.Pikett.Bereich,2),K$34=INDEX(T.Pikett.Bereich,3)),K$11=1),8/24,0))+IF(WEEKDAY(K$10,2)&lt;6,IF(AND(OR(K$34=INDEX(T.Pikett.Bereich,2),K$34=INDEX(T.Pikett.Bereich,3)),K$11=6/8.4),10/24,0)) +IF(WEEKDAY(K$10,2)&lt;6,IF(AND(OR(K$34=INDEX(T.Pikett.Bereich,2),K$34=INDEX(T.Pikett.Bereich,3)),K$11=0.5),0.5,0)) +IF(AND(K$34=INDEX(T.Pikett.Bereich,4),K$11=6/8.4),0.75,0)+IF(AND(K$34=INDEX(T.Pikett.Bereich,4),K$11=1),16/24,0) +IF(AND(K$34=INDEX(T.Pikett.Bereich,4),K$11=0.5),20/24,0))))</f>
        <v>0</v>
      </c>
      <c r="L81" s="256" t="n">
        <f aca="true">IF(EB.Wochenarbeitszeit=50/24,"",IF(L$12=0,0,IF(OR(WEEKDAY(L$10,2)&gt;5,L$11=0),IF(NOT(L$34=INDEX(T.Pikett.Bereich,1)),1,0),IF(WEEKDAY(L$10,2)&lt;6,IF(AND(OR(L$34=INDEX(T.Pikett.Bereich,2),L$34=INDEX(T.Pikett.Bereich,3)),L$11=1),8/24,0))+IF(WEEKDAY(L$10,2)&lt;6,IF(AND(OR(L$34=INDEX(T.Pikett.Bereich,2),L$34=INDEX(T.Pikett.Bereich,3)),L$11=6/8.4),10/24,0)) +IF(WEEKDAY(L$10,2)&lt;6,IF(AND(OR(L$34=INDEX(T.Pikett.Bereich,2),L$34=INDEX(T.Pikett.Bereich,3)),L$11=0.5),0.5,0)) +IF(AND(L$34=INDEX(T.Pikett.Bereich,4),L$11=6/8.4),0.75,0)+IF(AND(L$34=INDEX(T.Pikett.Bereich,4),L$11=1),16/24,0) +IF(AND(L$34=INDEX(T.Pikett.Bereich,4),L$11=0.5),20/24,0))))</f>
        <v>0</v>
      </c>
      <c r="M81" s="256" t="n">
        <f aca="true">IF(EB.Wochenarbeitszeit=50/24,"",IF(M$12=0,0,IF(OR(WEEKDAY(M$10,2)&gt;5,M$11=0),IF(NOT(M$34=INDEX(T.Pikett.Bereich,1)),1,0),IF(WEEKDAY(M$10,2)&lt;6,IF(AND(OR(M$34=INDEX(T.Pikett.Bereich,2),M$34=INDEX(T.Pikett.Bereich,3)),M$11=1),8/24,0))+IF(WEEKDAY(M$10,2)&lt;6,IF(AND(OR(M$34=INDEX(T.Pikett.Bereich,2),M$34=INDEX(T.Pikett.Bereich,3)),M$11=6/8.4),10/24,0)) +IF(WEEKDAY(M$10,2)&lt;6,IF(AND(OR(M$34=INDEX(T.Pikett.Bereich,2),M$34=INDEX(T.Pikett.Bereich,3)),M$11=0.5),0.5,0)) +IF(AND(M$34=INDEX(T.Pikett.Bereich,4),M$11=6/8.4),0.75,0)+IF(AND(M$34=INDEX(T.Pikett.Bereich,4),M$11=1),16/24,0) +IF(AND(M$34=INDEX(T.Pikett.Bereich,4),M$11=0.5),20/24,0))))</f>
        <v>0</v>
      </c>
      <c r="N81" s="256" t="n">
        <f aca="true">IF(EB.Wochenarbeitszeit=50/24,"",IF(N$12=0,0,IF(OR(WEEKDAY(N$10,2)&gt;5,N$11=0),IF(NOT(N$34=INDEX(T.Pikett.Bereich,1)),1,0),IF(WEEKDAY(N$10,2)&lt;6,IF(AND(OR(N$34=INDEX(T.Pikett.Bereich,2),N$34=INDEX(T.Pikett.Bereich,3)),N$11=1),8/24,0))+IF(WEEKDAY(N$10,2)&lt;6,IF(AND(OR(N$34=INDEX(T.Pikett.Bereich,2),N$34=INDEX(T.Pikett.Bereich,3)),N$11=6/8.4),10/24,0)) +IF(WEEKDAY(N$10,2)&lt;6,IF(AND(OR(N$34=INDEX(T.Pikett.Bereich,2),N$34=INDEX(T.Pikett.Bereich,3)),N$11=0.5),0.5,0)) +IF(AND(N$34=INDEX(T.Pikett.Bereich,4),N$11=6/8.4),0.75,0)+IF(AND(N$34=INDEX(T.Pikett.Bereich,4),N$11=1),16/24,0) +IF(AND(N$34=INDEX(T.Pikett.Bereich,4),N$11=0.5),20/24,0))))</f>
        <v>0</v>
      </c>
      <c r="O81" s="256" t="n">
        <f aca="true">IF(EB.Wochenarbeitszeit=50/24,"",IF(O$12=0,0,IF(OR(WEEKDAY(O$10,2)&gt;5,O$11=0),IF(NOT(O$34=INDEX(T.Pikett.Bereich,1)),1,0),IF(WEEKDAY(O$10,2)&lt;6,IF(AND(OR(O$34=INDEX(T.Pikett.Bereich,2),O$34=INDEX(T.Pikett.Bereich,3)),O$11=1),8/24,0))+IF(WEEKDAY(O$10,2)&lt;6,IF(AND(OR(O$34=INDEX(T.Pikett.Bereich,2),O$34=INDEX(T.Pikett.Bereich,3)),O$11=6/8.4),10/24,0)) +IF(WEEKDAY(O$10,2)&lt;6,IF(AND(OR(O$34=INDEX(T.Pikett.Bereich,2),O$34=INDEX(T.Pikett.Bereich,3)),O$11=0.5),0.5,0)) +IF(AND(O$34=INDEX(T.Pikett.Bereich,4),O$11=6/8.4),0.75,0)+IF(AND(O$34=INDEX(T.Pikett.Bereich,4),O$11=1),16/24,0) +IF(AND(O$34=INDEX(T.Pikett.Bereich,4),O$11=0.5),20/24,0))))</f>
        <v>0</v>
      </c>
      <c r="P81" s="256" t="n">
        <f aca="true">IF(EB.Wochenarbeitszeit=50/24,"",IF(P$12=0,0,IF(OR(WEEKDAY(P$10,2)&gt;5,P$11=0),IF(NOT(P$34=INDEX(T.Pikett.Bereich,1)),1,0),IF(WEEKDAY(P$10,2)&lt;6,IF(AND(OR(P$34=INDEX(T.Pikett.Bereich,2),P$34=INDEX(T.Pikett.Bereich,3)),P$11=1),8/24,0))+IF(WEEKDAY(P$10,2)&lt;6,IF(AND(OR(P$34=INDEX(T.Pikett.Bereich,2),P$34=INDEX(T.Pikett.Bereich,3)),P$11=6/8.4),10/24,0)) +IF(WEEKDAY(P$10,2)&lt;6,IF(AND(OR(P$34=INDEX(T.Pikett.Bereich,2),P$34=INDEX(T.Pikett.Bereich,3)),P$11=0.5),0.5,0)) +IF(AND(P$34=INDEX(T.Pikett.Bereich,4),P$11=6/8.4),0.75,0)+IF(AND(P$34=INDEX(T.Pikett.Bereich,4),P$11=1),16/24,0) +IF(AND(P$34=INDEX(T.Pikett.Bereich,4),P$11=0.5),20/24,0))))</f>
        <v>0</v>
      </c>
      <c r="Q81" s="256" t="n">
        <f aca="true">IF(EB.Wochenarbeitszeit=50/24,"",IF(Q$12=0,0,IF(OR(WEEKDAY(Q$10,2)&gt;5,Q$11=0),IF(NOT(Q$34=INDEX(T.Pikett.Bereich,1)),1,0),IF(WEEKDAY(Q$10,2)&lt;6,IF(AND(OR(Q$34=INDEX(T.Pikett.Bereich,2),Q$34=INDEX(T.Pikett.Bereich,3)),Q$11=1),8/24,0))+IF(WEEKDAY(Q$10,2)&lt;6,IF(AND(OR(Q$34=INDEX(T.Pikett.Bereich,2),Q$34=INDEX(T.Pikett.Bereich,3)),Q$11=6/8.4),10/24,0)) +IF(WEEKDAY(Q$10,2)&lt;6,IF(AND(OR(Q$34=INDEX(T.Pikett.Bereich,2),Q$34=INDEX(T.Pikett.Bereich,3)),Q$11=0.5),0.5,0)) +IF(AND(Q$34=INDEX(T.Pikett.Bereich,4),Q$11=6/8.4),0.75,0)+IF(AND(Q$34=INDEX(T.Pikett.Bereich,4),Q$11=1),16/24,0) +IF(AND(Q$34=INDEX(T.Pikett.Bereich,4),Q$11=0.5),20/24,0))))</f>
        <v>0</v>
      </c>
      <c r="R81" s="256" t="n">
        <f aca="true">IF(EB.Wochenarbeitszeit=50/24,"",IF(R$12=0,0,IF(OR(WEEKDAY(R$10,2)&gt;5,R$11=0),IF(NOT(R$34=INDEX(T.Pikett.Bereich,1)),1,0),IF(WEEKDAY(R$10,2)&lt;6,IF(AND(OR(R$34=INDEX(T.Pikett.Bereich,2),R$34=INDEX(T.Pikett.Bereich,3)),R$11=1),8/24,0))+IF(WEEKDAY(R$10,2)&lt;6,IF(AND(OR(R$34=INDEX(T.Pikett.Bereich,2),R$34=INDEX(T.Pikett.Bereich,3)),R$11=6/8.4),10/24,0)) +IF(WEEKDAY(R$10,2)&lt;6,IF(AND(OR(R$34=INDEX(T.Pikett.Bereich,2),R$34=INDEX(T.Pikett.Bereich,3)),R$11=0.5),0.5,0)) +IF(AND(R$34=INDEX(T.Pikett.Bereich,4),R$11=6/8.4),0.75,0)+IF(AND(R$34=INDEX(T.Pikett.Bereich,4),R$11=1),16/24,0) +IF(AND(R$34=INDEX(T.Pikett.Bereich,4),R$11=0.5),20/24,0))))</f>
        <v>0</v>
      </c>
      <c r="S81" s="256" t="n">
        <f aca="true">IF(EB.Wochenarbeitszeit=50/24,"",IF(S$12=0,0,IF(OR(WEEKDAY(S$10,2)&gt;5,S$11=0),IF(NOT(S$34=INDEX(T.Pikett.Bereich,1)),1,0),IF(WEEKDAY(S$10,2)&lt;6,IF(AND(OR(S$34=INDEX(T.Pikett.Bereich,2),S$34=INDEX(T.Pikett.Bereich,3)),S$11=1),8/24,0))+IF(WEEKDAY(S$10,2)&lt;6,IF(AND(OR(S$34=INDEX(T.Pikett.Bereich,2),S$34=INDEX(T.Pikett.Bereich,3)),S$11=6/8.4),10/24,0)) +IF(WEEKDAY(S$10,2)&lt;6,IF(AND(OR(S$34=INDEX(T.Pikett.Bereich,2),S$34=INDEX(T.Pikett.Bereich,3)),S$11=0.5),0.5,0)) +IF(AND(S$34=INDEX(T.Pikett.Bereich,4),S$11=6/8.4),0.75,0)+IF(AND(S$34=INDEX(T.Pikett.Bereich,4),S$11=1),16/24,0) +IF(AND(S$34=INDEX(T.Pikett.Bereich,4),S$11=0.5),20/24,0))))</f>
        <v>0</v>
      </c>
      <c r="T81" s="256" t="n">
        <f aca="true">IF(EB.Wochenarbeitszeit=50/24,"",IF(T$12=0,0,IF(OR(WEEKDAY(T$10,2)&gt;5,T$11=0),IF(NOT(T$34=INDEX(T.Pikett.Bereich,1)),1,0),IF(WEEKDAY(T$10,2)&lt;6,IF(AND(OR(T$34=INDEX(T.Pikett.Bereich,2),T$34=INDEX(T.Pikett.Bereich,3)),T$11=1),8/24,0))+IF(WEEKDAY(T$10,2)&lt;6,IF(AND(OR(T$34=INDEX(T.Pikett.Bereich,2),T$34=INDEX(T.Pikett.Bereich,3)),T$11=6/8.4),10/24,0)) +IF(WEEKDAY(T$10,2)&lt;6,IF(AND(OR(T$34=INDEX(T.Pikett.Bereich,2),T$34=INDEX(T.Pikett.Bereich,3)),T$11=0.5),0.5,0)) +IF(AND(T$34=INDEX(T.Pikett.Bereich,4),T$11=6/8.4),0.75,0)+IF(AND(T$34=INDEX(T.Pikett.Bereich,4),T$11=1),16/24,0) +IF(AND(T$34=INDEX(T.Pikett.Bereich,4),T$11=0.5),20/24,0))))</f>
        <v>0</v>
      </c>
      <c r="U81" s="256" t="n">
        <f aca="true">IF(EB.Wochenarbeitszeit=50/24,"",IF(U$12=0,0,IF(OR(WEEKDAY(U$10,2)&gt;5,U$11=0),IF(NOT(U$34=INDEX(T.Pikett.Bereich,1)),1,0),IF(WEEKDAY(U$10,2)&lt;6,IF(AND(OR(U$34=INDEX(T.Pikett.Bereich,2),U$34=INDEX(T.Pikett.Bereich,3)),U$11=1),8/24,0))+IF(WEEKDAY(U$10,2)&lt;6,IF(AND(OR(U$34=INDEX(T.Pikett.Bereich,2),U$34=INDEX(T.Pikett.Bereich,3)),U$11=6/8.4),10/24,0)) +IF(WEEKDAY(U$10,2)&lt;6,IF(AND(OR(U$34=INDEX(T.Pikett.Bereich,2),U$34=INDEX(T.Pikett.Bereich,3)),U$11=0.5),0.5,0)) +IF(AND(U$34=INDEX(T.Pikett.Bereich,4),U$11=6/8.4),0.75,0)+IF(AND(U$34=INDEX(T.Pikett.Bereich,4),U$11=1),16/24,0) +IF(AND(U$34=INDEX(T.Pikett.Bereich,4),U$11=0.5),20/24,0))))</f>
        <v>0</v>
      </c>
      <c r="V81" s="256" t="n">
        <f aca="true">IF(EB.Wochenarbeitszeit=50/24,"",IF(V$12=0,0,IF(OR(WEEKDAY(V$10,2)&gt;5,V$11=0),IF(NOT(V$34=INDEX(T.Pikett.Bereich,1)),1,0),IF(WEEKDAY(V$10,2)&lt;6,IF(AND(OR(V$34=INDEX(T.Pikett.Bereich,2),V$34=INDEX(T.Pikett.Bereich,3)),V$11=1),8/24,0))+IF(WEEKDAY(V$10,2)&lt;6,IF(AND(OR(V$34=INDEX(T.Pikett.Bereich,2),V$34=INDEX(T.Pikett.Bereich,3)),V$11=6/8.4),10/24,0)) +IF(WEEKDAY(V$10,2)&lt;6,IF(AND(OR(V$34=INDEX(T.Pikett.Bereich,2),V$34=INDEX(T.Pikett.Bereich,3)),V$11=0.5),0.5,0)) +IF(AND(V$34=INDEX(T.Pikett.Bereich,4),V$11=6/8.4),0.75,0)+IF(AND(V$34=INDEX(T.Pikett.Bereich,4),V$11=1),16/24,0) +IF(AND(V$34=INDEX(T.Pikett.Bereich,4),V$11=0.5),20/24,0))))</f>
        <v>0</v>
      </c>
      <c r="W81" s="256" t="n">
        <f aca="true">IF(EB.Wochenarbeitszeit=50/24,"",IF(W$12=0,0,IF(OR(WEEKDAY(W$10,2)&gt;5,W$11=0),IF(NOT(W$34=INDEX(T.Pikett.Bereich,1)),1,0),IF(WEEKDAY(W$10,2)&lt;6,IF(AND(OR(W$34=INDEX(T.Pikett.Bereich,2),W$34=INDEX(T.Pikett.Bereich,3)),W$11=1),8/24,0))+IF(WEEKDAY(W$10,2)&lt;6,IF(AND(OR(W$34=INDEX(T.Pikett.Bereich,2),W$34=INDEX(T.Pikett.Bereich,3)),W$11=6/8.4),10/24,0)) +IF(WEEKDAY(W$10,2)&lt;6,IF(AND(OR(W$34=INDEX(T.Pikett.Bereich,2),W$34=INDEX(T.Pikett.Bereich,3)),W$11=0.5),0.5,0)) +IF(AND(W$34=INDEX(T.Pikett.Bereich,4),W$11=6/8.4),0.75,0)+IF(AND(W$34=INDEX(T.Pikett.Bereich,4),W$11=1),16/24,0) +IF(AND(W$34=INDEX(T.Pikett.Bereich,4),W$11=0.5),20/24,0))))</f>
        <v>0</v>
      </c>
      <c r="X81" s="256" t="n">
        <f aca="true">IF(EB.Wochenarbeitszeit=50/24,"",IF(X$12=0,0,IF(OR(WEEKDAY(X$10,2)&gt;5,X$11=0),IF(NOT(X$34=INDEX(T.Pikett.Bereich,1)),1,0),IF(WEEKDAY(X$10,2)&lt;6,IF(AND(OR(X$34=INDEX(T.Pikett.Bereich,2),X$34=INDEX(T.Pikett.Bereich,3)),X$11=1),8/24,0))+IF(WEEKDAY(X$10,2)&lt;6,IF(AND(OR(X$34=INDEX(T.Pikett.Bereich,2),X$34=INDEX(T.Pikett.Bereich,3)),X$11=6/8.4),10/24,0)) +IF(WEEKDAY(X$10,2)&lt;6,IF(AND(OR(X$34=INDEX(T.Pikett.Bereich,2),X$34=INDEX(T.Pikett.Bereich,3)),X$11=0.5),0.5,0)) +IF(AND(X$34=INDEX(T.Pikett.Bereich,4),X$11=6/8.4),0.75,0)+IF(AND(X$34=INDEX(T.Pikett.Bereich,4),X$11=1),16/24,0) +IF(AND(X$34=INDEX(T.Pikett.Bereich,4),X$11=0.5),20/24,0))))</f>
        <v>0</v>
      </c>
      <c r="Y81" s="256" t="n">
        <f aca="true">IF(EB.Wochenarbeitszeit=50/24,"",IF(Y$12=0,0,IF(OR(WEEKDAY(Y$10,2)&gt;5,Y$11=0),IF(NOT(Y$34=INDEX(T.Pikett.Bereich,1)),1,0),IF(WEEKDAY(Y$10,2)&lt;6,IF(AND(OR(Y$34=INDEX(T.Pikett.Bereich,2),Y$34=INDEX(T.Pikett.Bereich,3)),Y$11=1),8/24,0))+IF(WEEKDAY(Y$10,2)&lt;6,IF(AND(OR(Y$34=INDEX(T.Pikett.Bereich,2),Y$34=INDEX(T.Pikett.Bereich,3)),Y$11=6/8.4),10/24,0)) +IF(WEEKDAY(Y$10,2)&lt;6,IF(AND(OR(Y$34=INDEX(T.Pikett.Bereich,2),Y$34=INDEX(T.Pikett.Bereich,3)),Y$11=0.5),0.5,0)) +IF(AND(Y$34=INDEX(T.Pikett.Bereich,4),Y$11=6/8.4),0.75,0)+IF(AND(Y$34=INDEX(T.Pikett.Bereich,4),Y$11=1),16/24,0) +IF(AND(Y$34=INDEX(T.Pikett.Bereich,4),Y$11=0.5),20/24,0))))</f>
        <v>0</v>
      </c>
      <c r="Z81" s="256" t="n">
        <f aca="true">IF(EB.Wochenarbeitszeit=50/24,"",IF(Z$12=0,0,IF(OR(WEEKDAY(Z$10,2)&gt;5,Z$11=0),IF(NOT(Z$34=INDEX(T.Pikett.Bereich,1)),1,0),IF(WEEKDAY(Z$10,2)&lt;6,IF(AND(OR(Z$34=INDEX(T.Pikett.Bereich,2),Z$34=INDEX(T.Pikett.Bereich,3)),Z$11=1),8/24,0))+IF(WEEKDAY(Z$10,2)&lt;6,IF(AND(OR(Z$34=INDEX(T.Pikett.Bereich,2),Z$34=INDEX(T.Pikett.Bereich,3)),Z$11=6/8.4),10/24,0)) +IF(WEEKDAY(Z$10,2)&lt;6,IF(AND(OR(Z$34=INDEX(T.Pikett.Bereich,2),Z$34=INDEX(T.Pikett.Bereich,3)),Z$11=0.5),0.5,0)) +IF(AND(Z$34=INDEX(T.Pikett.Bereich,4),Z$11=6/8.4),0.75,0)+IF(AND(Z$34=INDEX(T.Pikett.Bereich,4),Z$11=1),16/24,0) +IF(AND(Z$34=INDEX(T.Pikett.Bereich,4),Z$11=0.5),20/24,0))))</f>
        <v>0</v>
      </c>
      <c r="AA81" s="256" t="n">
        <f aca="true">IF(EB.Wochenarbeitszeit=50/24,"",IF(AA$12=0,0,IF(OR(WEEKDAY(AA$10,2)&gt;5,AA$11=0),IF(NOT(AA$34=INDEX(T.Pikett.Bereich,1)),1,0),IF(WEEKDAY(AA$10,2)&lt;6,IF(AND(OR(AA$34=INDEX(T.Pikett.Bereich,2),AA$34=INDEX(T.Pikett.Bereich,3)),AA$11=1),8/24,0))+IF(WEEKDAY(AA$10,2)&lt;6,IF(AND(OR(AA$34=INDEX(T.Pikett.Bereich,2),AA$34=INDEX(T.Pikett.Bereich,3)),AA$11=6/8.4),10/24,0)) +IF(WEEKDAY(AA$10,2)&lt;6,IF(AND(OR(AA$34=INDEX(T.Pikett.Bereich,2),AA$34=INDEX(T.Pikett.Bereich,3)),AA$11=0.5),0.5,0)) +IF(AND(AA$34=INDEX(T.Pikett.Bereich,4),AA$11=6/8.4),0.75,0)+IF(AND(AA$34=INDEX(T.Pikett.Bereich,4),AA$11=1),16/24,0) +IF(AND(AA$34=INDEX(T.Pikett.Bereich,4),AA$11=0.5),20/24,0))))</f>
        <v>0</v>
      </c>
      <c r="AB81" s="256" t="n">
        <f aca="true">IF(EB.Wochenarbeitszeit=50/24,"",IF(AB$12=0,0,IF(OR(WEEKDAY(AB$10,2)&gt;5,AB$11=0),IF(NOT(AB$34=INDEX(T.Pikett.Bereich,1)),1,0),IF(WEEKDAY(AB$10,2)&lt;6,IF(AND(OR(AB$34=INDEX(T.Pikett.Bereich,2),AB$34=INDEX(T.Pikett.Bereich,3)),AB$11=1),8/24,0))+IF(WEEKDAY(AB$10,2)&lt;6,IF(AND(OR(AB$34=INDEX(T.Pikett.Bereich,2),AB$34=INDEX(T.Pikett.Bereich,3)),AB$11=6/8.4),10/24,0)) +IF(WEEKDAY(AB$10,2)&lt;6,IF(AND(OR(AB$34=INDEX(T.Pikett.Bereich,2),AB$34=INDEX(T.Pikett.Bereich,3)),AB$11=0.5),0.5,0)) +IF(AND(AB$34=INDEX(T.Pikett.Bereich,4),AB$11=6/8.4),0.75,0)+IF(AND(AB$34=INDEX(T.Pikett.Bereich,4),AB$11=1),16/24,0) +IF(AND(AB$34=INDEX(T.Pikett.Bereich,4),AB$11=0.5),20/24,0))))</f>
        <v>0</v>
      </c>
      <c r="AC81" s="256" t="n">
        <f aca="true">IF(EB.Wochenarbeitszeit=50/24,"",IF(AC$12=0,0,IF(OR(WEEKDAY(AC$10,2)&gt;5,AC$11=0),IF(NOT(AC$34=INDEX(T.Pikett.Bereich,1)),1,0),IF(WEEKDAY(AC$10,2)&lt;6,IF(AND(OR(AC$34=INDEX(T.Pikett.Bereich,2),AC$34=INDEX(T.Pikett.Bereich,3)),AC$11=1),8/24,0))+IF(WEEKDAY(AC$10,2)&lt;6,IF(AND(OR(AC$34=INDEX(T.Pikett.Bereich,2),AC$34=INDEX(T.Pikett.Bereich,3)),AC$11=6/8.4),10/24,0)) +IF(WEEKDAY(AC$10,2)&lt;6,IF(AND(OR(AC$34=INDEX(T.Pikett.Bereich,2),AC$34=INDEX(T.Pikett.Bereich,3)),AC$11=0.5),0.5,0)) +IF(AND(AC$34=INDEX(T.Pikett.Bereich,4),AC$11=6/8.4),0.75,0)+IF(AND(AC$34=INDEX(T.Pikett.Bereich,4),AC$11=1),16/24,0) +IF(AND(AC$34=INDEX(T.Pikett.Bereich,4),AC$11=0.5),20/24,0))))</f>
        <v>0</v>
      </c>
      <c r="AD81" s="256" t="n">
        <f aca="true">IF(EB.Wochenarbeitszeit=50/24,"",IF(AD$12=0,0,IF(OR(WEEKDAY(AD$10,2)&gt;5,AD$11=0),IF(NOT(AD$34=INDEX(T.Pikett.Bereich,1)),1,0),IF(WEEKDAY(AD$10,2)&lt;6,IF(AND(OR(AD$34=INDEX(T.Pikett.Bereich,2),AD$34=INDEX(T.Pikett.Bereich,3)),AD$11=1),8/24,0))+IF(WEEKDAY(AD$10,2)&lt;6,IF(AND(OR(AD$34=INDEX(T.Pikett.Bereich,2),AD$34=INDEX(T.Pikett.Bereich,3)),AD$11=6/8.4),10/24,0)) +IF(WEEKDAY(AD$10,2)&lt;6,IF(AND(OR(AD$34=INDEX(T.Pikett.Bereich,2),AD$34=INDEX(T.Pikett.Bereich,3)),AD$11=0.5),0.5,0)) +IF(AND(AD$34=INDEX(T.Pikett.Bereich,4),AD$11=6/8.4),0.75,0)+IF(AND(AD$34=INDEX(T.Pikett.Bereich,4),AD$11=1),16/24,0) +IF(AND(AD$34=INDEX(T.Pikett.Bereich,4),AD$11=0.5),20/24,0))))</f>
        <v>0</v>
      </c>
      <c r="AE81" s="256" t="n">
        <f aca="true">IF(EB.Wochenarbeitszeit=50/24,"",IF(AE$12=0,0,IF(OR(WEEKDAY(AE$10,2)&gt;5,AE$11=0),IF(NOT(AE$34=INDEX(T.Pikett.Bereich,1)),1,0),IF(WEEKDAY(AE$10,2)&lt;6,IF(AND(OR(AE$34=INDEX(T.Pikett.Bereich,2),AE$34=INDEX(T.Pikett.Bereich,3)),AE$11=1),8/24,0))+IF(WEEKDAY(AE$10,2)&lt;6,IF(AND(OR(AE$34=INDEX(T.Pikett.Bereich,2),AE$34=INDEX(T.Pikett.Bereich,3)),AE$11=6/8.4),10/24,0)) +IF(WEEKDAY(AE$10,2)&lt;6,IF(AND(OR(AE$34=INDEX(T.Pikett.Bereich,2),AE$34=INDEX(T.Pikett.Bereich,3)),AE$11=0.5),0.5,0)) +IF(AND(AE$34=INDEX(T.Pikett.Bereich,4),AE$11=6/8.4),0.75,0)+IF(AND(AE$34=INDEX(T.Pikett.Bereich,4),AE$11=1),16/24,0) +IF(AND(AE$34=INDEX(T.Pikett.Bereich,4),AE$11=0.5),20/24,0))))</f>
        <v>0</v>
      </c>
      <c r="AF81" s="256" t="n">
        <f aca="true">IF(EB.Wochenarbeitszeit=50/24,"",IF(AF$12=0,0,IF(OR(WEEKDAY(AF$10,2)&gt;5,AF$11=0),IF(NOT(AF$34=INDEX(T.Pikett.Bereich,1)),1,0),IF(WEEKDAY(AF$10,2)&lt;6,IF(AND(OR(AF$34=INDEX(T.Pikett.Bereich,2),AF$34=INDEX(T.Pikett.Bereich,3)),AF$11=1),8/24,0))+IF(WEEKDAY(AF$10,2)&lt;6,IF(AND(OR(AF$34=INDEX(T.Pikett.Bereich,2),AF$34=INDEX(T.Pikett.Bereich,3)),AF$11=6/8.4),10/24,0)) +IF(WEEKDAY(AF$10,2)&lt;6,IF(AND(OR(AF$34=INDEX(T.Pikett.Bereich,2),AF$34=INDEX(T.Pikett.Bereich,3)),AF$11=0.5),0.5,0)) +IF(AND(AF$34=INDEX(T.Pikett.Bereich,4),AF$11=6/8.4),0.75,0)+IF(AND(AF$34=INDEX(T.Pikett.Bereich,4),AF$11=1),16/24,0) +IF(AND(AF$34=INDEX(T.Pikett.Bereich,4),AF$11=0.5),20/24,0))))</f>
        <v>0</v>
      </c>
      <c r="AG81" s="168" t="str">
        <f aca="false">A81</f>
        <v>On-call duty</v>
      </c>
      <c r="AH81" s="250"/>
      <c r="AI81" s="207" t="n">
        <f aca="false">SUM(B81:AF81)</f>
        <v>0</v>
      </c>
      <c r="AJ81" s="33"/>
      <c r="AK81" s="192"/>
      <c r="AL81" s="216" t="n">
        <f aca="false">IF(EB.Anwendung&lt;&gt;"",IF(MONTH(Monat.Tag1)=1,0,IF(MONTH(Monat.Tag1)=2,January!Monat.BDUeVM,IF(MONTH(Monat.Tag1)=3,February!Monat.BDUeVM,IF(MONTH(Monat.Tag1)=4,Monat.BDUeVM,IF(MONTH(Monat.Tag1)=5,April!Monat.BDUeVM,IF(MONTH(Monat.Tag1)=6,May!Monat.BDUeVM,IF(MONTH(Monat.Tag1)=7,June!Monat.BDUeVM,IF(MONTH(Monat.Tag1)=8,July!Monat.BDUeVM,IF(MONTH(Monat.Tag1)=9,August!Monat.BDUeVM,IF(MONTH(Monat.Tag1)=10,September!Monat.BDUeVM,IF(MONTH(Monat.Tag1)=11,October!Monat.BDUeVM,IF(MONTH(Monat.Tag1)=12,November!Monat.BDUeVM,"")))))))))))),"")</f>
        <v>0</v>
      </c>
      <c r="AM81" s="172"/>
      <c r="AN81" s="217" t="n">
        <f aca="false">AI81+AL81</f>
        <v>0</v>
      </c>
      <c r="AO81" s="171"/>
      <c r="AP81" s="171"/>
      <c r="AQ81" s="39"/>
    </row>
    <row r="82" s="148" customFormat="true" ht="15" hidden="false" customHeight="true" outlineLevel="1" collapsed="false">
      <c r="A82" s="175" t="s">
        <v>165</v>
      </c>
      <c r="B82" s="256" t="str">
        <f aca="false">IF(B$12=0,"",IF(OR(WEEKDAY(B$10,2)&gt;5,B$11=0), IF(T.50_NoVetsuisse,B45, IF(T.50_Vetsuisse,IF(B23-B73=0,"",B23-B73), IF(T.ServiceCenterIrchel,B23, B60))),))</f>
        <v/>
      </c>
      <c r="C82" s="256" t="str">
        <f aca="false">IF(C$12=0,"",IF(OR(WEEKDAY(C$10,2)&gt;5,C$11=0), IF(T.50_NoVetsuisse,C45, IF(T.50_Vetsuisse,IF(C23-C73=0,"",C23-C73), IF(T.ServiceCenterIrchel,C23, C60))),))</f>
        <v/>
      </c>
      <c r="D82" s="257" t="str">
        <f aca="false">IF(D$12=0,"",IF(OR(WEEKDAY(D$10,2)&gt;5,D$11=0), IF(T.50_NoVetsuisse,D45, IF(T.50_Vetsuisse,IF(D23-D73=0,"",D23-D73), IF(T.ServiceCenterIrchel,D23, D60))),))</f>
        <v/>
      </c>
      <c r="E82" s="256" t="str">
        <f aca="false">IF(E$12=0,"",IF(OR(WEEKDAY(E$10,2)&gt;5,E$11=0), IF(T.50_NoVetsuisse,E45, IF(T.50_Vetsuisse,IF(E23-E73=0,"",E23-E73), IF(T.ServiceCenterIrchel,E23, E60))),))</f>
        <v/>
      </c>
      <c r="F82" s="257" t="str">
        <f aca="false">IF(F$12=0,"",IF(OR(WEEKDAY(F$10,2)&gt;5,F$11=0), IF(T.50_NoVetsuisse,F45, IF(T.50_Vetsuisse,IF(F23-F73=0,"",F23-F73), IF(T.ServiceCenterIrchel,F23, F60))),))</f>
        <v/>
      </c>
      <c r="G82" s="257" t="str">
        <f aca="false">IF(G$12=0,"",IF(OR(WEEKDAY(G$10,2)&gt;5,G$11=0), IF(T.50_NoVetsuisse,G45, IF(T.50_Vetsuisse,IF(G23-G73=0,"",G23-G73), IF(T.ServiceCenterIrchel,G23, G60))),))</f>
        <v/>
      </c>
      <c r="H82" s="257" t="str">
        <f aca="false">IF(H$12=0,"",IF(OR(WEEKDAY(H$10,2)&gt;5,H$11=0), IF(T.50_NoVetsuisse,H45, IF(T.50_Vetsuisse,IF(H23-H73=0,"",H23-H73), IF(T.ServiceCenterIrchel,H23, H60))),))</f>
        <v/>
      </c>
      <c r="I82" s="257" t="str">
        <f aca="false">IF(I$12=0,"",IF(OR(WEEKDAY(I$10,2)&gt;5,I$11=0), IF(T.50_NoVetsuisse,I45, IF(T.50_Vetsuisse,IF(I23-I73=0,"",I23-I73), IF(T.ServiceCenterIrchel,I23, I60))),))</f>
        <v/>
      </c>
      <c r="J82" s="256" t="str">
        <f aca="false">IF(J$12=0,"",IF(OR(WEEKDAY(J$10,2)&gt;5,J$11=0), IF(T.50_NoVetsuisse,J45, IF(T.50_Vetsuisse,IF(J23-J73=0,"",J23-J73), IF(T.ServiceCenterIrchel,J23, J60))),))</f>
        <v/>
      </c>
      <c r="K82" s="257" t="str">
        <f aca="false">IF(K$12=0,"",IF(OR(WEEKDAY(K$10,2)&gt;5,K$11=0), IF(T.50_NoVetsuisse,K45, IF(T.50_Vetsuisse,IF(K23-K73=0,"",K23-K73), IF(T.ServiceCenterIrchel,K23, K60))),))</f>
        <v/>
      </c>
      <c r="L82" s="256" t="str">
        <f aca="false">IF(L$12=0,"",IF(OR(WEEKDAY(L$10,2)&gt;5,L$11=0), IF(T.50_NoVetsuisse,L45, IF(T.50_Vetsuisse,IF(L23-L73=0,"",L23-L73), IF(T.ServiceCenterIrchel,L23, L60))),))</f>
        <v/>
      </c>
      <c r="M82" s="257" t="str">
        <f aca="false">IF(M$12=0,"",IF(OR(WEEKDAY(M$10,2)&gt;5,M$11=0), IF(T.50_NoVetsuisse,M45, IF(T.50_Vetsuisse,IF(M23-M73=0,"",M23-M73), IF(T.ServiceCenterIrchel,M23, M60))),))</f>
        <v/>
      </c>
      <c r="N82" s="257" t="str">
        <f aca="false">IF(N$12=0,"",IF(OR(WEEKDAY(N$10,2)&gt;5,N$11=0), IF(T.50_NoVetsuisse,N45, IF(T.50_Vetsuisse,IF(N23-N73=0,"",N23-N73), IF(T.ServiceCenterIrchel,N23, N60))),))</f>
        <v/>
      </c>
      <c r="O82" s="257" t="str">
        <f aca="false">IF(O$12=0,"",IF(OR(WEEKDAY(O$10,2)&gt;5,O$11=0), IF(T.50_NoVetsuisse,O45, IF(T.50_Vetsuisse,IF(O23-O73=0,"",O23-O73), IF(T.ServiceCenterIrchel,O23, O60))),))</f>
        <v/>
      </c>
      <c r="P82" s="257" t="str">
        <f aca="false">IF(P$12=0,"",IF(OR(WEEKDAY(P$10,2)&gt;5,P$11=0), IF(T.50_NoVetsuisse,P45, IF(T.50_Vetsuisse,IF(P23-P73=0,"",P23-P73), IF(T.ServiceCenterIrchel,P23, P60))),))</f>
        <v/>
      </c>
      <c r="Q82" s="256" t="str">
        <f aca="false">IF(Q$12=0,"",IF(OR(WEEKDAY(Q$10,2)&gt;5,Q$11=0), IF(T.50_NoVetsuisse,Q45, IF(T.50_Vetsuisse,IF(Q23-Q73=0,"",Q23-Q73), IF(T.ServiceCenterIrchel,Q23, Q60))),))</f>
        <v/>
      </c>
      <c r="R82" s="257" t="str">
        <f aca="false">IF(R$12=0,"",IF(OR(WEEKDAY(R$10,2)&gt;5,R$11=0), IF(T.50_NoVetsuisse,R45, IF(T.50_Vetsuisse,IF(R23-R73=0,"",R23-R73), IF(T.ServiceCenterIrchel,R23, R60))),))</f>
        <v/>
      </c>
      <c r="S82" s="256" t="str">
        <f aca="false">IF(S$12=0,"",IF(OR(WEEKDAY(S$10,2)&gt;5,S$11=0), IF(T.50_NoVetsuisse,S45, IF(T.50_Vetsuisse,IF(S23-S73=0,"",S23-S73), IF(T.ServiceCenterIrchel,S23, S60))),))</f>
        <v/>
      </c>
      <c r="T82" s="256" t="str">
        <f aca="false">IF(T$12=0,"",IF(OR(WEEKDAY(T$10,2)&gt;5,T$11=0), IF(T.50_NoVetsuisse,T45, IF(T.50_Vetsuisse,IF(T23-T73=0,"",T23-T73), IF(T.ServiceCenterIrchel,T23, T60))),))</f>
        <v/>
      </c>
      <c r="U82" s="257" t="str">
        <f aca="false">IF(U$12=0,"",IF(OR(WEEKDAY(U$10,2)&gt;5,U$11=0), IF(T.50_NoVetsuisse,U45, IF(T.50_Vetsuisse,IF(U23-U73=0,"",U23-U73), IF(T.ServiceCenterIrchel,U23, U60))),))</f>
        <v/>
      </c>
      <c r="V82" s="257" t="str">
        <f aca="false">IF(V$12=0,"",IF(OR(WEEKDAY(V$10,2)&gt;5,V$11=0), IF(T.50_NoVetsuisse,V45, IF(T.50_Vetsuisse,IF(V23-V73=0,"",V23-V73), IF(T.ServiceCenterIrchel,V23, V60))),))</f>
        <v/>
      </c>
      <c r="W82" s="257" t="str">
        <f aca="false">IF(W$12=0,"",IF(OR(WEEKDAY(W$10,2)&gt;5,W$11=0), IF(T.50_NoVetsuisse,W45, IF(T.50_Vetsuisse,IF(W23-W73=0,"",W23-W73), IF(T.ServiceCenterIrchel,W23, W60))),))</f>
        <v/>
      </c>
      <c r="X82" s="256" t="str">
        <f aca="false">IF(X$12=0,"",IF(OR(WEEKDAY(X$10,2)&gt;5,X$11=0), IF(T.50_NoVetsuisse,X45, IF(T.50_Vetsuisse,IF(X23-X73=0,"",X23-X73), IF(T.ServiceCenterIrchel,X23, X60))),))</f>
        <v/>
      </c>
      <c r="Y82" s="257" t="str">
        <f aca="false">IF(Y$12=0,"",IF(OR(WEEKDAY(Y$10,2)&gt;5,Y$11=0), IF(T.50_NoVetsuisse,Y45, IF(T.50_Vetsuisse,IF(Y23-Y73=0,"",Y23-Y73), IF(T.ServiceCenterIrchel,Y23, Y60))),))</f>
        <v/>
      </c>
      <c r="Z82" s="258" t="str">
        <f aca="false">IF(Z$12=0,"",IF(OR(WEEKDAY(Z$10,2)&gt;5,Z$11=0), IF(T.50_NoVetsuisse,Z45, IF(T.50_Vetsuisse,IF(Z23-Z73=0,"",Z23-Z73), IF(T.ServiceCenterIrchel,Z23, Z60))),))</f>
        <v/>
      </c>
      <c r="AA82" s="257" t="str">
        <f aca="false">IF(AA$12=0,"",IF(OR(WEEKDAY(AA$10,2)&gt;5,AA$11=0), IF(T.50_NoVetsuisse,AA45, IF(T.50_Vetsuisse,IF(AA23-AA73=0,"",AA23-AA73), IF(T.ServiceCenterIrchel,AA23, AA60))),))</f>
        <v/>
      </c>
      <c r="AB82" s="257" t="str">
        <f aca="false">IF(AB$12=0,"",IF(OR(WEEKDAY(AB$10,2)&gt;5,AB$11=0), IF(T.50_NoVetsuisse,AB45, IF(T.50_Vetsuisse,IF(AB23-AB73=0,"",AB23-AB73), IF(T.ServiceCenterIrchel,AB23, AB60))),))</f>
        <v/>
      </c>
      <c r="AC82" s="257" t="str">
        <f aca="false">IF(AC$12=0,"",IF(OR(WEEKDAY(AC$10,2)&gt;5,AC$11=0), IF(T.50_NoVetsuisse,AC45, IF(T.50_Vetsuisse,IF(AC23-AC73=0,"",AC23-AC73), IF(T.ServiceCenterIrchel,AC23, AC60))),))</f>
        <v/>
      </c>
      <c r="AD82" s="257" t="str">
        <f aca="false">IF(AD$12=0,"",IF(OR(WEEKDAY(AD$10,2)&gt;5,AD$11=0), IF(T.50_NoVetsuisse,AD45, IF(T.50_Vetsuisse,IF(AD23-AD73=0,"",AD23-AD73), IF(T.ServiceCenterIrchel,AD23, AD60))),))</f>
        <v/>
      </c>
      <c r="AE82" s="256" t="str">
        <f aca="false">IF(AE$12=0,"",IF(OR(WEEKDAY(AE$10,2)&gt;5,AE$11=0), IF(T.50_NoVetsuisse,AE45, IF(T.50_Vetsuisse,IF(AE23-AE73=0,"",AE23-AE73), IF(T.ServiceCenterIrchel,AE23, AE60))),))</f>
        <v/>
      </c>
      <c r="AF82" s="257" t="str">
        <f aca="false">IF(AF$12=0,"",IF(OR(WEEKDAY(AF$10,2)&gt;5,AF$11=0), IF(T.50_NoVetsuisse,AF45, IF(T.50_Vetsuisse,IF(AF23-AF73=0,"",AF23-AF73), IF(T.ServiceCenterIrchel,AF23, AF60))),))</f>
        <v/>
      </c>
      <c r="AG82" s="168" t="str">
        <f aca="false">A82</f>
        <v>Saturday/Sunday shift</v>
      </c>
      <c r="AH82" s="197"/>
      <c r="AI82" s="207" t="n">
        <f aca="false">SUM(B82:AF82)</f>
        <v>0</v>
      </c>
      <c r="AJ82" s="198" t="n">
        <f aca="false">IFERROR(SUMPRODUCT((B82:AF82&gt;0)*(B82:AF82&lt;&gt;"")),0)</f>
        <v>0</v>
      </c>
      <c r="AK82" s="192"/>
      <c r="AL82" s="216" t="n">
        <f aca="false">IF(EB.Anwendung&lt;&gt;"",IF(MONTH(Monat.Tag1)=1,0,IF(MONTH(Monat.Tag1)=2,January!Monat.SDUeVM,IF(MONTH(Monat.Tag1)=3,February!Monat.SDUeVM,IF(MONTH(Monat.Tag1)=4,Monat.SDUeVM,IF(MONTH(Monat.Tag1)=5,April!Monat.SDUeVM,IF(MONTH(Monat.Tag1)=6,May!Monat.SDUeVM,IF(MONTH(Monat.Tag1)=7,June!Monat.SDUeVM,IF(MONTH(Monat.Tag1)=8,July!Monat.SDUeVM,IF(MONTH(Monat.Tag1)=9,August!Monat.SDUeVM,IF(MONTH(Monat.Tag1)=10,September!Monat.SDUeVM,IF(MONTH(Monat.Tag1)=11,October!Monat.SDUeVM,IF(MONTH(Monat.Tag1)=12,November!Monat.SDUeVM,"")))))))))))),"")</f>
        <v>0</v>
      </c>
      <c r="AM82" s="172"/>
      <c r="AN82" s="217" t="n">
        <f aca="false">AI82+AL82</f>
        <v>0</v>
      </c>
      <c r="AO82" s="171"/>
      <c r="AP82" s="171"/>
      <c r="AQ82" s="39"/>
    </row>
    <row r="83" s="148" customFormat="true" ht="11.25" hidden="false" customHeight="true" outlineLevel="1" collapsed="false">
      <c r="A83" s="186"/>
      <c r="B83" s="194"/>
      <c r="C83" s="194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4"/>
      <c r="O83" s="194"/>
      <c r="P83" s="194"/>
      <c r="Q83" s="194"/>
      <c r="R83" s="194"/>
      <c r="S83" s="194"/>
      <c r="T83" s="194"/>
      <c r="U83" s="194"/>
      <c r="V83" s="194"/>
      <c r="W83" s="194"/>
      <c r="X83" s="194"/>
      <c r="Y83" s="194"/>
      <c r="Z83" s="194"/>
      <c r="AA83" s="194"/>
      <c r="AB83" s="194"/>
      <c r="AC83" s="194"/>
      <c r="AD83" s="194"/>
      <c r="AE83" s="194"/>
      <c r="AF83" s="195"/>
      <c r="AG83" s="168"/>
      <c r="AH83" s="197"/>
      <c r="AI83" s="192"/>
      <c r="AJ83" s="27"/>
      <c r="AK83" s="235"/>
      <c r="AL83" s="235"/>
      <c r="AM83" s="172"/>
      <c r="AN83" s="254"/>
      <c r="AO83" s="259"/>
      <c r="AP83" s="259"/>
      <c r="AQ83" s="39"/>
    </row>
    <row r="84" s="148" customFormat="true" ht="15" hidden="false" customHeight="true" outlineLevel="0" collapsed="false">
      <c r="A84" s="175" t="s">
        <v>166</v>
      </c>
      <c r="B84" s="176"/>
      <c r="C84" s="176"/>
      <c r="D84" s="176"/>
      <c r="E84" s="176"/>
      <c r="F84" s="176"/>
      <c r="G84" s="176"/>
      <c r="H84" s="176"/>
      <c r="I84" s="176"/>
      <c r="J84" s="176"/>
      <c r="K84" s="176"/>
      <c r="L84" s="176"/>
      <c r="M84" s="176"/>
      <c r="N84" s="176"/>
      <c r="O84" s="176"/>
      <c r="P84" s="176"/>
      <c r="Q84" s="176"/>
      <c r="R84" s="176"/>
      <c r="S84" s="176"/>
      <c r="T84" s="176"/>
      <c r="U84" s="176"/>
      <c r="V84" s="176"/>
      <c r="W84" s="176"/>
      <c r="X84" s="176"/>
      <c r="Y84" s="176"/>
      <c r="Z84" s="190"/>
      <c r="AA84" s="176"/>
      <c r="AB84" s="176"/>
      <c r="AC84" s="176"/>
      <c r="AD84" s="176"/>
      <c r="AE84" s="176"/>
      <c r="AF84" s="176"/>
      <c r="AG84" s="168" t="str">
        <f aca="false">A84</f>
        <v>Vacation</v>
      </c>
      <c r="AH84" s="184"/>
      <c r="AI84" s="207" t="n">
        <f aca="false">SUM(B84:AF84)</f>
        <v>0</v>
      </c>
      <c r="AJ84" s="33"/>
      <c r="AK84" s="216" t="n">
        <f aca="true">OFFSET(EB.MFAStd.Knoten,MONTH(Monat.Tag1),0,1,1)</f>
        <v>0</v>
      </c>
      <c r="AL84" s="216" t="n">
        <f aca="false">IF(EB.Anwendung&lt;&gt;"",IF(MONTH(Monat.Tag1)=1,EB.FerienBer,IF(MONTH(Monat.Tag1)=2,January!Monat.FerienUeVM,IF(MONTH(Monat.Tag1)=3,February!Monat.FerienUeVM,IF(MONTH(Monat.Tag1)=4,Monat.FerienUeVM,IF(MONTH(Monat.Tag1)=5,April!Monat.FerienUeVM,IF(MONTH(Monat.Tag1)=6,May!Monat.FerienUeVM,IF(MONTH(Monat.Tag1)=7,June!Monat.FerienUeVM,IF(MONTH(Monat.Tag1)=8,July!Monat.FerienUeVM,IF(MONTH(Monat.Tag1)=9,August!Monat.FerienUeVM,IF(MONTH(Monat.Tag1)=10,September!Monat.FerienUeVM,IF(MONTH(Monat.Tag1)=11,October!Monat.FerienUeVM,IF(MONTH(Monat.Tag1)=12,November!Monat.FerienUeVM,"")))))))))))),"")</f>
        <v>0</v>
      </c>
      <c r="AM84" s="172"/>
      <c r="AN84" s="217" t="n">
        <f aca="false">IF(AH85="+",(AK84+AL84-Monat.Ferien.Total+AI85),(AK84+AL84-Monat.Ferien.Total-AI85))</f>
        <v>0</v>
      </c>
      <c r="AO84" s="217" t="n">
        <f aca="true">SUM(Jahresabrechnung!AC12:AC13)-SUM(OFFSET(Jahresabrechnung!AC15,0,0,MONTH(Monat.Tag1),1))</f>
        <v>5.25</v>
      </c>
      <c r="AP84" s="217" t="n">
        <f aca="false">J.FerienUE.Total</f>
        <v>5.25</v>
      </c>
      <c r="AQ84" s="39"/>
    </row>
    <row r="85" s="148" customFormat="true" ht="15" hidden="false" customHeight="true" outlineLevel="0" collapsed="false">
      <c r="A85" s="186"/>
      <c r="B85" s="191"/>
      <c r="C85" s="191"/>
      <c r="D85" s="191"/>
      <c r="E85" s="191"/>
      <c r="F85" s="191"/>
      <c r="G85" s="191"/>
      <c r="H85" s="191"/>
      <c r="I85" s="191"/>
      <c r="J85" s="191"/>
      <c r="K85" s="191"/>
      <c r="L85" s="191"/>
      <c r="M85" s="191"/>
      <c r="N85" s="191"/>
      <c r="O85" s="191"/>
      <c r="P85" s="191"/>
      <c r="Q85" s="191"/>
      <c r="R85" s="191"/>
      <c r="S85" s="191"/>
      <c r="T85" s="191"/>
      <c r="U85" s="191"/>
      <c r="V85" s="191"/>
      <c r="W85" s="191"/>
      <c r="X85" s="191"/>
      <c r="Y85" s="191"/>
      <c r="Z85" s="191"/>
      <c r="AA85" s="191"/>
      <c r="AB85" s="191"/>
      <c r="AC85" s="191"/>
      <c r="AD85" s="191"/>
      <c r="AE85" s="191"/>
      <c r="AF85" s="192"/>
      <c r="AG85" s="175" t="s">
        <v>167</v>
      </c>
      <c r="AH85" s="244" t="s">
        <v>146</v>
      </c>
      <c r="AI85" s="260"/>
      <c r="AJ85" s="246"/>
      <c r="AK85" s="172"/>
      <c r="AL85" s="172"/>
      <c r="AM85" s="172"/>
      <c r="AN85" s="171"/>
      <c r="AO85" s="261"/>
      <c r="AP85" s="261"/>
      <c r="AQ85" s="39"/>
    </row>
    <row r="86" s="148" customFormat="true" ht="15" hidden="false" customHeight="true" outlineLevel="0" collapsed="false">
      <c r="A86" s="175" t="s">
        <v>168</v>
      </c>
      <c r="B86" s="176"/>
      <c r="C86" s="176"/>
      <c r="D86" s="176"/>
      <c r="E86" s="177"/>
      <c r="F86" s="176"/>
      <c r="G86" s="176"/>
      <c r="H86" s="176"/>
      <c r="I86" s="176"/>
      <c r="J86" s="177"/>
      <c r="K86" s="176"/>
      <c r="L86" s="177"/>
      <c r="M86" s="176"/>
      <c r="N86" s="176"/>
      <c r="O86" s="176"/>
      <c r="P86" s="176"/>
      <c r="Q86" s="177"/>
      <c r="R86" s="176"/>
      <c r="S86" s="177"/>
      <c r="T86" s="177"/>
      <c r="U86" s="176"/>
      <c r="V86" s="176"/>
      <c r="W86" s="176"/>
      <c r="X86" s="177"/>
      <c r="Y86" s="176"/>
      <c r="Z86" s="178"/>
      <c r="AA86" s="176"/>
      <c r="AB86" s="176"/>
      <c r="AC86" s="176"/>
      <c r="AD86" s="176"/>
      <c r="AE86" s="177"/>
      <c r="AF86" s="176"/>
      <c r="AG86" s="168" t="str">
        <f aca="false">A86</f>
        <v>Consultation</v>
      </c>
      <c r="AH86" s="184"/>
      <c r="AI86" s="207" t="n">
        <f aca="false">SUM(B86:AF86)</f>
        <v>0</v>
      </c>
      <c r="AJ86" s="33"/>
      <c r="AK86" s="235"/>
      <c r="AL86" s="216" t="n">
        <f aca="false">IF(EB.Anwendung&lt;&gt;"",IF(MONTH(Monat.Tag1)=1,0,IF(MONTH(Monat.Tag1)=2,January!Monat.ArztUeVM,IF(MONTH(Monat.Tag1)=3,February!Monat.ArztUeVM,IF(MONTH(Monat.Tag1)=4,Monat.ArztUeVM,IF(MONTH(Monat.Tag1)=5,April!Monat.ArztUeVM,IF(MONTH(Monat.Tag1)=6,May!Monat.ArztUeVM,IF(MONTH(Monat.Tag1)=7,June!Monat.ArztUeVM,IF(MONTH(Monat.Tag1)=8,July!Monat.ArztUeVM,IF(MONTH(Monat.Tag1)=9,August!Monat.ArztUeVM,IF(MONTH(Monat.Tag1)=10,September!Monat.ArztUeVM,IF(MONTH(Monat.Tag1)=11,October!Monat.ArztUeVM,IF(MONTH(Monat.Tag1)=12,November!Monat.ArztUeVM,"")))))))))))),"")</f>
        <v>0</v>
      </c>
      <c r="AM86" s="172"/>
      <c r="AN86" s="217" t="n">
        <f aca="false">AI86+AL86</f>
        <v>0</v>
      </c>
      <c r="AO86" s="171"/>
      <c r="AP86" s="171"/>
      <c r="AQ86" s="39"/>
    </row>
    <row r="87" s="148" customFormat="true" ht="15" hidden="false" customHeight="true" outlineLevel="0" collapsed="false">
      <c r="A87" s="175" t="s">
        <v>169</v>
      </c>
      <c r="B87" s="176"/>
      <c r="C87" s="176"/>
      <c r="D87" s="176"/>
      <c r="E87" s="177"/>
      <c r="F87" s="176"/>
      <c r="G87" s="176"/>
      <c r="H87" s="176"/>
      <c r="I87" s="176"/>
      <c r="J87" s="177"/>
      <c r="K87" s="176"/>
      <c r="L87" s="177"/>
      <c r="M87" s="176"/>
      <c r="N87" s="176"/>
      <c r="O87" s="176"/>
      <c r="P87" s="176"/>
      <c r="Q87" s="177"/>
      <c r="R87" s="176"/>
      <c r="S87" s="177"/>
      <c r="T87" s="177"/>
      <c r="U87" s="176"/>
      <c r="V87" s="176"/>
      <c r="W87" s="176"/>
      <c r="X87" s="177"/>
      <c r="Y87" s="176"/>
      <c r="Z87" s="178"/>
      <c r="AA87" s="176"/>
      <c r="AB87" s="176"/>
      <c r="AC87" s="176"/>
      <c r="AD87" s="176"/>
      <c r="AE87" s="177"/>
      <c r="AF87" s="176"/>
      <c r="AG87" s="168" t="str">
        <f aca="false">A87</f>
        <v>Illness</v>
      </c>
      <c r="AH87" s="184"/>
      <c r="AI87" s="207" t="n">
        <f aca="false">SUM(B87:AF87)</f>
        <v>0</v>
      </c>
      <c r="AJ87" s="33"/>
      <c r="AK87" s="235"/>
      <c r="AL87" s="216" t="n">
        <f aca="false">IF(EB.Anwendung&lt;&gt;"",IF(MONTH(Monat.Tag1)=1,0,IF(MONTH(Monat.Tag1)=2,January!Monat.KrankUeVM,IF(MONTH(Monat.Tag1)=3,February!Monat.KrankUeVM,IF(MONTH(Monat.Tag1)=4,Monat.KrankUeVM,IF(MONTH(Monat.Tag1)=5,April!Monat.KrankUeVM,IF(MONTH(Monat.Tag1)=6,May!Monat.KrankUeVM,IF(MONTH(Monat.Tag1)=7,June!Monat.KrankUeVM,IF(MONTH(Monat.Tag1)=8,July!Monat.KrankUeVM,IF(MONTH(Monat.Tag1)=9,August!Monat.KrankUeVM,IF(MONTH(Monat.Tag1)=10,September!Monat.KrankUeVM,IF(MONTH(Monat.Tag1)=11,October!Monat.KrankUeVM,IF(MONTH(Monat.Tag1)=12,November!Monat.KrankUeVM,"")))))))))))),"")</f>
        <v>0</v>
      </c>
      <c r="AM87" s="172"/>
      <c r="AN87" s="217" t="n">
        <f aca="false">AI87+AL87</f>
        <v>0</v>
      </c>
      <c r="AO87" s="171"/>
      <c r="AP87" s="171"/>
      <c r="AQ87" s="39"/>
    </row>
    <row r="88" s="148" customFormat="true" ht="15" hidden="false" customHeight="true" outlineLevel="0" collapsed="false">
      <c r="A88" s="175" t="s">
        <v>170</v>
      </c>
      <c r="B88" s="176"/>
      <c r="C88" s="176"/>
      <c r="D88" s="176"/>
      <c r="E88" s="177"/>
      <c r="F88" s="176"/>
      <c r="G88" s="176"/>
      <c r="H88" s="176"/>
      <c r="I88" s="176"/>
      <c r="J88" s="177"/>
      <c r="K88" s="176"/>
      <c r="L88" s="177"/>
      <c r="M88" s="176"/>
      <c r="N88" s="176"/>
      <c r="O88" s="176"/>
      <c r="P88" s="176"/>
      <c r="Q88" s="177"/>
      <c r="R88" s="176"/>
      <c r="S88" s="177"/>
      <c r="T88" s="177"/>
      <c r="U88" s="176"/>
      <c r="V88" s="176"/>
      <c r="W88" s="176"/>
      <c r="X88" s="177"/>
      <c r="Y88" s="176"/>
      <c r="Z88" s="178"/>
      <c r="AA88" s="176"/>
      <c r="AB88" s="176"/>
      <c r="AC88" s="176"/>
      <c r="AD88" s="176"/>
      <c r="AE88" s="177"/>
      <c r="AF88" s="176"/>
      <c r="AG88" s="168" t="str">
        <f aca="false">A88</f>
        <v>Work-related accident</v>
      </c>
      <c r="AH88" s="184"/>
      <c r="AI88" s="207" t="n">
        <f aca="false">SUM(B88:AF88)</f>
        <v>0</v>
      </c>
      <c r="AJ88" s="33"/>
      <c r="AK88" s="235"/>
      <c r="AL88" s="216" t="n">
        <f aca="false">IF(EB.Anwendung&lt;&gt;"",IF(MONTH(Monat.Tag1)=1,0,IF(MONTH(Monat.Tag1)=2,January!Monat.BUUeVM,IF(MONTH(Monat.Tag1)=3,February!Monat.BUUeVM,IF(MONTH(Monat.Tag1)=4,Monat.BUUeVM,IF(MONTH(Monat.Tag1)=5,April!Monat.BUUeVM,IF(MONTH(Monat.Tag1)=6,May!Monat.BUUeVM,IF(MONTH(Monat.Tag1)=7,June!Monat.BUUeVM,IF(MONTH(Monat.Tag1)=8,July!Monat.BUUeVM,IF(MONTH(Monat.Tag1)=9,August!Monat.BUUeVM,IF(MONTH(Monat.Tag1)=10,September!Monat.BUUeVM,IF(MONTH(Monat.Tag1)=11,October!Monat.BUUeVM,IF(MONTH(Monat.Tag1)=12,November!Monat.BUUeVM,"")))))))))))),"")</f>
        <v>0</v>
      </c>
      <c r="AM88" s="172"/>
      <c r="AN88" s="217" t="n">
        <f aca="false">AI88+AL88</f>
        <v>0</v>
      </c>
      <c r="AO88" s="171"/>
      <c r="AP88" s="171"/>
      <c r="AQ88" s="39"/>
    </row>
    <row r="89" s="148" customFormat="true" ht="15" hidden="false" customHeight="true" outlineLevel="0" collapsed="false">
      <c r="A89" s="175" t="s">
        <v>171</v>
      </c>
      <c r="B89" s="176"/>
      <c r="C89" s="176"/>
      <c r="D89" s="176"/>
      <c r="E89" s="177"/>
      <c r="F89" s="176"/>
      <c r="G89" s="176"/>
      <c r="H89" s="176"/>
      <c r="I89" s="176"/>
      <c r="J89" s="177"/>
      <c r="K89" s="176"/>
      <c r="L89" s="177"/>
      <c r="M89" s="176"/>
      <c r="N89" s="176"/>
      <c r="O89" s="176"/>
      <c r="P89" s="176"/>
      <c r="Q89" s="177"/>
      <c r="R89" s="176"/>
      <c r="S89" s="177"/>
      <c r="T89" s="177"/>
      <c r="U89" s="176"/>
      <c r="V89" s="176"/>
      <c r="W89" s="176"/>
      <c r="X89" s="177"/>
      <c r="Y89" s="176"/>
      <c r="Z89" s="178"/>
      <c r="AA89" s="176"/>
      <c r="AB89" s="176"/>
      <c r="AC89" s="176"/>
      <c r="AD89" s="176"/>
      <c r="AE89" s="177"/>
      <c r="AF89" s="176"/>
      <c r="AG89" s="168" t="str">
        <f aca="false">A89</f>
        <v>Non-work-related accident</v>
      </c>
      <c r="AH89" s="184"/>
      <c r="AI89" s="207" t="n">
        <f aca="false">SUM(B89:AF89)</f>
        <v>0</v>
      </c>
      <c r="AJ89" s="33"/>
      <c r="AK89" s="235"/>
      <c r="AL89" s="216" t="n">
        <f aca="false">IF(EB.Anwendung&lt;&gt;"",IF(MONTH(Monat.Tag1)=1,0,IF(MONTH(Monat.Tag1)=2,January!Monat.NBUUeVM,IF(MONTH(Monat.Tag1)=3,February!Monat.NBUUeVM,IF(MONTH(Monat.Tag1)=4,Monat.NBUUeVM,IF(MONTH(Monat.Tag1)=5,April!Monat.NBUUeVM,IF(MONTH(Monat.Tag1)=6,May!Monat.NBUUeVM,IF(MONTH(Monat.Tag1)=7,June!Monat.NBUUeVM,IF(MONTH(Monat.Tag1)=8,July!Monat.NBUUeVM,IF(MONTH(Monat.Tag1)=9,August!Monat.NBUUeVM,IF(MONTH(Monat.Tag1)=10,September!Monat.NBUUeVM,IF(MONTH(Monat.Tag1)=11,October!Monat.NBUUeVM,IF(MONTH(Monat.Tag1)=12,November!Monat.NBUUeVM,"")))))))))))),"")</f>
        <v>0</v>
      </c>
      <c r="AM89" s="172"/>
      <c r="AN89" s="217" t="n">
        <f aca="false">AI89+AL89</f>
        <v>0</v>
      </c>
      <c r="AO89" s="171"/>
      <c r="AP89" s="171"/>
      <c r="AQ89" s="39"/>
    </row>
    <row r="90" s="148" customFormat="true" ht="15" hidden="false" customHeight="true" outlineLevel="0" collapsed="false">
      <c r="A90" s="175" t="s">
        <v>172</v>
      </c>
      <c r="B90" s="176"/>
      <c r="C90" s="176"/>
      <c r="D90" s="176"/>
      <c r="E90" s="177"/>
      <c r="F90" s="176"/>
      <c r="G90" s="176"/>
      <c r="H90" s="176"/>
      <c r="I90" s="176"/>
      <c r="J90" s="177"/>
      <c r="K90" s="176"/>
      <c r="L90" s="177"/>
      <c r="M90" s="176"/>
      <c r="N90" s="176"/>
      <c r="O90" s="176"/>
      <c r="P90" s="176"/>
      <c r="Q90" s="177"/>
      <c r="R90" s="176"/>
      <c r="S90" s="177"/>
      <c r="T90" s="177"/>
      <c r="U90" s="176"/>
      <c r="V90" s="176"/>
      <c r="W90" s="176"/>
      <c r="X90" s="177"/>
      <c r="Y90" s="176"/>
      <c r="Z90" s="178"/>
      <c r="AA90" s="176"/>
      <c r="AB90" s="176"/>
      <c r="AC90" s="176"/>
      <c r="AD90" s="176"/>
      <c r="AE90" s="177"/>
      <c r="AF90" s="176"/>
      <c r="AG90" s="168" t="str">
        <f aca="false">A90</f>
        <v>Military/civilian service</v>
      </c>
      <c r="AH90" s="184"/>
      <c r="AI90" s="207" t="n">
        <f aca="false">SUM(B90:AF90)</f>
        <v>0</v>
      </c>
      <c r="AJ90" s="33"/>
      <c r="AK90" s="235"/>
      <c r="AL90" s="216" t="n">
        <f aca="false">IF(EB.Anwendung&lt;&gt;"",IF(MONTH(Monat.Tag1)=1,0,IF(MONTH(Monat.Tag1)=2,January!Monat.MZSUeVM,IF(MONTH(Monat.Tag1)=3,February!Monat.MZSUeVM,IF(MONTH(Monat.Tag1)=4,Monat.MZSUeVM,IF(MONTH(Monat.Tag1)=5,April!Monat.MZSUeVM,IF(MONTH(Monat.Tag1)=6,May!Monat.MZSUeVM,IF(MONTH(Monat.Tag1)=7,June!Monat.MZSUeVM,IF(MONTH(Monat.Tag1)=8,July!Monat.MZSUeVM,IF(MONTH(Monat.Tag1)=9,August!Monat.MZSUeVM,IF(MONTH(Monat.Tag1)=10,September!Monat.MZSUeVM,IF(MONTH(Monat.Tag1)=11,October!Monat.MZSUeVM,IF(MONTH(Monat.Tag1)=12,November!Monat.MZSUeVM,"")))))))))))),"")</f>
        <v>0</v>
      </c>
      <c r="AM90" s="172"/>
      <c r="AN90" s="217" t="n">
        <f aca="false">AI90+AL90</f>
        <v>0</v>
      </c>
      <c r="AO90" s="171"/>
      <c r="AP90" s="171"/>
      <c r="AQ90" s="39"/>
    </row>
    <row r="91" s="148" customFormat="true" ht="15" hidden="false" customHeight="true" outlineLevel="0" collapsed="false">
      <c r="A91" s="175" t="s">
        <v>173</v>
      </c>
      <c r="B91" s="176"/>
      <c r="C91" s="176"/>
      <c r="D91" s="176"/>
      <c r="E91" s="177"/>
      <c r="F91" s="176"/>
      <c r="G91" s="176"/>
      <c r="H91" s="176"/>
      <c r="I91" s="176"/>
      <c r="J91" s="177"/>
      <c r="K91" s="176"/>
      <c r="L91" s="177"/>
      <c r="M91" s="176"/>
      <c r="N91" s="176"/>
      <c r="O91" s="176"/>
      <c r="P91" s="176"/>
      <c r="Q91" s="177"/>
      <c r="R91" s="176"/>
      <c r="S91" s="177"/>
      <c r="T91" s="177"/>
      <c r="U91" s="176"/>
      <c r="V91" s="176"/>
      <c r="W91" s="176"/>
      <c r="X91" s="177"/>
      <c r="Y91" s="176"/>
      <c r="Z91" s="178"/>
      <c r="AA91" s="176"/>
      <c r="AB91" s="176"/>
      <c r="AC91" s="176"/>
      <c r="AD91" s="176"/>
      <c r="AE91" s="177"/>
      <c r="AF91" s="176"/>
      <c r="AG91" s="168" t="str">
        <f aca="false">A91</f>
        <v>Continuing education</v>
      </c>
      <c r="AH91" s="184"/>
      <c r="AI91" s="207" t="n">
        <f aca="false">SUM(B91:AF91)</f>
        <v>0</v>
      </c>
      <c r="AJ91" s="33"/>
      <c r="AK91" s="235"/>
      <c r="AL91" s="216" t="n">
        <f aca="false">IF(EB.Anwendung&lt;&gt;"",IF(MONTH(Monat.Tag1)=1,0,IF(MONTH(Monat.Tag1)=2,January!Monat.WBUeVM,IF(MONTH(Monat.Tag1)=3,February!Monat.WBUeVM,IF(MONTH(Monat.Tag1)=4,Monat.WBUeVM,IF(MONTH(Monat.Tag1)=5,April!Monat.WBUeVM,IF(MONTH(Monat.Tag1)=6,May!Monat.WBUeVM,IF(MONTH(Monat.Tag1)=7,June!Monat.WBUeVM,IF(MONTH(Monat.Tag1)=8,July!Monat.WBUeVM,IF(MONTH(Monat.Tag1)=9,August!Monat.WBUeVM,IF(MONTH(Monat.Tag1)=10,September!Monat.WBUeVM,IF(MONTH(Monat.Tag1)=11,October!Monat.WBUeVM,IF(MONTH(Monat.Tag1)=12,November!Monat.WBUeVM,"")))))))))))),"")</f>
        <v>0</v>
      </c>
      <c r="AM91" s="172"/>
      <c r="AN91" s="217" t="n">
        <f aca="false">AI91+AL91</f>
        <v>0</v>
      </c>
      <c r="AO91" s="171"/>
      <c r="AP91" s="171"/>
      <c r="AQ91" s="39"/>
    </row>
    <row r="92" s="148" customFormat="true" ht="15" hidden="false" customHeight="true" outlineLevel="0" collapsed="false">
      <c r="A92" s="175" t="s">
        <v>174</v>
      </c>
      <c r="B92" s="176"/>
      <c r="C92" s="176"/>
      <c r="D92" s="176"/>
      <c r="E92" s="177"/>
      <c r="F92" s="176"/>
      <c r="G92" s="176"/>
      <c r="H92" s="176"/>
      <c r="I92" s="176"/>
      <c r="J92" s="177"/>
      <c r="K92" s="176"/>
      <c r="L92" s="177"/>
      <c r="M92" s="176"/>
      <c r="N92" s="176"/>
      <c r="O92" s="176"/>
      <c r="P92" s="176"/>
      <c r="Q92" s="177"/>
      <c r="R92" s="176"/>
      <c r="S92" s="177"/>
      <c r="T92" s="177"/>
      <c r="U92" s="176"/>
      <c r="V92" s="176"/>
      <c r="W92" s="176"/>
      <c r="X92" s="177"/>
      <c r="Y92" s="176"/>
      <c r="Z92" s="178"/>
      <c r="AA92" s="176"/>
      <c r="AB92" s="176"/>
      <c r="AC92" s="176"/>
      <c r="AD92" s="176"/>
      <c r="AE92" s="177"/>
      <c r="AF92" s="176"/>
      <c r="AG92" s="168" t="str">
        <f aca="false">A92</f>
        <v>Paid leave</v>
      </c>
      <c r="AH92" s="184"/>
      <c r="AI92" s="207" t="n">
        <f aca="false">SUM(B92:AF92)</f>
        <v>0</v>
      </c>
      <c r="AJ92" s="33"/>
      <c r="AK92" s="235"/>
      <c r="AL92" s="216" t="n">
        <f aca="false">IF(EB.Anwendung&lt;&gt;"",IF(MONTH(Monat.Tag1)=1,0,IF(MONTH(Monat.Tag1)=2,January!Monat.BesUrlaubUeVM,IF(MONTH(Monat.Tag1)=3,February!Monat.BesUrlaubUeVM,IF(MONTH(Monat.Tag1)=4,Monat.BesUrlaubUeVM,IF(MONTH(Monat.Tag1)=5,April!Monat.BesUrlaubUeVM,IF(MONTH(Monat.Tag1)=6,May!Monat.BesUrlaubUeVM,IF(MONTH(Monat.Tag1)=7,June!Monat.BesUrlaubUeVM,IF(MONTH(Monat.Tag1)=8,July!Monat.BesUrlaubUeVM,IF(MONTH(Monat.Tag1)=9,August!Monat.BesUrlaubUeVM,IF(MONTH(Monat.Tag1)=10,September!Monat.BesUrlaubUeVM,IF(MONTH(Monat.Tag1)=11,October!Monat.BesUrlaubUeVM,IF(MONTH(Monat.Tag1)=12,November!Monat.BesUrlaubUeVM,"")))))))))))),"")</f>
        <v>0</v>
      </c>
      <c r="AM92" s="172"/>
      <c r="AN92" s="217" t="n">
        <f aca="false">AI92+AL92</f>
        <v>0</v>
      </c>
      <c r="AO92" s="171"/>
      <c r="AP92" s="171"/>
      <c r="AQ92" s="39"/>
    </row>
    <row r="93" s="148" customFormat="true" ht="15" hidden="false" customHeight="true" outlineLevel="0" collapsed="false">
      <c r="A93" s="175" t="s">
        <v>175</v>
      </c>
      <c r="B93" s="176"/>
      <c r="C93" s="176"/>
      <c r="D93" s="176"/>
      <c r="E93" s="177"/>
      <c r="F93" s="176"/>
      <c r="G93" s="176"/>
      <c r="H93" s="176"/>
      <c r="I93" s="176"/>
      <c r="J93" s="177"/>
      <c r="K93" s="176"/>
      <c r="L93" s="177"/>
      <c r="M93" s="176"/>
      <c r="N93" s="176"/>
      <c r="O93" s="176"/>
      <c r="P93" s="176"/>
      <c r="Q93" s="177"/>
      <c r="R93" s="176"/>
      <c r="S93" s="177"/>
      <c r="T93" s="177"/>
      <c r="U93" s="176"/>
      <c r="V93" s="176"/>
      <c r="W93" s="176"/>
      <c r="X93" s="177"/>
      <c r="Y93" s="176"/>
      <c r="Z93" s="178"/>
      <c r="AA93" s="176"/>
      <c r="AB93" s="176"/>
      <c r="AC93" s="176"/>
      <c r="AD93" s="176"/>
      <c r="AE93" s="177"/>
      <c r="AF93" s="176"/>
      <c r="AG93" s="168" t="str">
        <f aca="false">A93</f>
        <v>Unpaid leave</v>
      </c>
      <c r="AH93" s="184"/>
      <c r="AI93" s="207" t="n">
        <f aca="false">SUM(B93:AF93)</f>
        <v>0</v>
      </c>
      <c r="AJ93" s="33"/>
      <c r="AK93" s="235"/>
      <c r="AL93" s="216" t="n">
        <f aca="false">IF(EB.Anwendung&lt;&gt;"",IF(MONTH(Monat.Tag1)=1,0,IF(MONTH(Monat.Tag1)=2,January!Monat.UnbesUrlaubUeVM,IF(MONTH(Monat.Tag1)=3,February!Monat.UnbesUrlaubUeVM,IF(MONTH(Monat.Tag1)=4,Monat.UnbesUrlaubUeVM,IF(MONTH(Monat.Tag1)=5,April!Monat.UnbesUrlaubUeVM,IF(MONTH(Monat.Tag1)=6,May!Monat.UnbesUrlaubUeVM,IF(MONTH(Monat.Tag1)=7,June!Monat.UnbesUrlaubUeVM,IF(MONTH(Monat.Tag1)=8,July!Monat.UnbesUrlaubUeVM,IF(MONTH(Monat.Tag1)=9,August!Monat.UnbesUrlaubUeVM,IF(MONTH(Monat.Tag1)=10,September!Monat.UnbesUrlaubUeVM,IF(MONTH(Monat.Tag1)=11,October!Monat.UnbesUrlaubUeVM,IF(MONTH(Monat.Tag1)=12,November!Monat.UnbesUrlaubUeVM,"")))))))))))),"")</f>
        <v>0</v>
      </c>
      <c r="AM93" s="172"/>
      <c r="AN93" s="217" t="n">
        <f aca="false">AI93+AL93</f>
        <v>0</v>
      </c>
      <c r="AO93" s="171"/>
      <c r="AP93" s="171"/>
      <c r="AQ93" s="39"/>
    </row>
    <row r="94" s="148" customFormat="true" ht="15" hidden="true" customHeight="true" outlineLevel="1" collapsed="false">
      <c r="A94" s="175" t="s">
        <v>176</v>
      </c>
      <c r="B94" s="176"/>
      <c r="C94" s="176"/>
      <c r="D94" s="176"/>
      <c r="E94" s="177"/>
      <c r="F94" s="176"/>
      <c r="G94" s="176"/>
      <c r="H94" s="176"/>
      <c r="I94" s="176"/>
      <c r="J94" s="177"/>
      <c r="K94" s="176"/>
      <c r="L94" s="177"/>
      <c r="M94" s="176"/>
      <c r="N94" s="176"/>
      <c r="O94" s="176"/>
      <c r="P94" s="176"/>
      <c r="Q94" s="177"/>
      <c r="R94" s="176"/>
      <c r="S94" s="177"/>
      <c r="T94" s="177"/>
      <c r="U94" s="176"/>
      <c r="V94" s="176"/>
      <c r="W94" s="176"/>
      <c r="X94" s="177"/>
      <c r="Y94" s="176"/>
      <c r="Z94" s="178"/>
      <c r="AA94" s="176"/>
      <c r="AB94" s="176"/>
      <c r="AC94" s="176"/>
      <c r="AD94" s="176"/>
      <c r="AE94" s="177"/>
      <c r="AF94" s="176"/>
      <c r="AG94" s="168" t="str">
        <f aca="false">A94</f>
        <v>Secondary employment</v>
      </c>
      <c r="AH94" s="184"/>
      <c r="AI94" s="207" t="n">
        <f aca="false">SUM(B94:AF94)</f>
        <v>0</v>
      </c>
      <c r="AJ94" s="33"/>
      <c r="AK94" s="235"/>
      <c r="AL94" s="216" t="n">
        <f aca="false">IF(EB.Anwendung&lt;&gt;"",IF(MONTH(Monat.Tag1)=1,0,IF(MONTH(Monat.Tag1)=2,January!Monat.NBUeVM,IF(MONTH(Monat.Tag1)=3,February!Monat.NBUeVM,IF(MONTH(Monat.Tag1)=4,Monat.NBUeVM,IF(MONTH(Monat.Tag1)=5,April!Monat.NBUeVM,IF(MONTH(Monat.Tag1)=6,May!Monat.NBUeVM,IF(MONTH(Monat.Tag1)=7,June!Monat.NBUeVM,IF(MONTH(Monat.Tag1)=8,July!Monat.NBUeVM,IF(MONTH(Monat.Tag1)=9,August!Monat.NBUeVM,IF(MONTH(Monat.Tag1)=10,September!Monat.NBUeVM,IF(MONTH(Monat.Tag1)=11,October!Monat.NBUeVM,IF(MONTH(Monat.Tag1)=12,November!Monat.NBUeVM,"")))))))))))),"")</f>
        <v>0</v>
      </c>
      <c r="AM94" s="172"/>
      <c r="AN94" s="217" t="n">
        <f aca="false">AI94+AL94</f>
        <v>0</v>
      </c>
      <c r="AO94" s="171"/>
      <c r="AP94" s="171"/>
      <c r="AQ94" s="39"/>
    </row>
    <row r="95" s="148" customFormat="true" ht="15" hidden="false" customHeight="true" outlineLevel="0" collapsed="false">
      <c r="A95" s="175" t="s">
        <v>86</v>
      </c>
      <c r="B95" s="176"/>
      <c r="C95" s="176"/>
      <c r="D95" s="176"/>
      <c r="E95" s="177"/>
      <c r="F95" s="176"/>
      <c r="G95" s="176"/>
      <c r="H95" s="176"/>
      <c r="I95" s="176"/>
      <c r="J95" s="177"/>
      <c r="K95" s="176"/>
      <c r="L95" s="177"/>
      <c r="M95" s="176"/>
      <c r="N95" s="176"/>
      <c r="O95" s="176"/>
      <c r="P95" s="176"/>
      <c r="Q95" s="177"/>
      <c r="R95" s="176"/>
      <c r="S95" s="177"/>
      <c r="T95" s="177"/>
      <c r="U95" s="176"/>
      <c r="V95" s="176"/>
      <c r="W95" s="176"/>
      <c r="X95" s="177"/>
      <c r="Y95" s="176"/>
      <c r="Z95" s="178"/>
      <c r="AA95" s="176"/>
      <c r="AB95" s="176"/>
      <c r="AC95" s="176"/>
      <c r="AD95" s="176"/>
      <c r="AE95" s="177"/>
      <c r="AF95" s="176"/>
      <c r="AG95" s="168" t="str">
        <f aca="false">A95</f>
        <v>Seniority allowance</v>
      </c>
      <c r="AH95" s="184"/>
      <c r="AI95" s="207" t="n">
        <f aca="false">SUM(B95:AF95)</f>
        <v>0</v>
      </c>
      <c r="AJ95" s="33"/>
      <c r="AK95" s="235"/>
      <c r="AL95" s="216" t="n">
        <f aca="false">IF(EB.Anwendung&lt;&gt;"",IF(MONTH(Monat.Tag1)=1,EB.DAG,IF(MONTH(Monat.Tag1)=2,January!Monat.DAGUeVM,IF(MONTH(Monat.Tag1)=3,February!Monat.DAGUeVM,IF(MONTH(Monat.Tag1)=4,Monat.DAGUeVM,IF(MONTH(Monat.Tag1)=5,April!Monat.DAGUeVM,IF(MONTH(Monat.Tag1)=6,May!Monat.DAGUeVM,IF(MONTH(Monat.Tag1)=7,June!Monat.DAGUeVM,IF(MONTH(Monat.Tag1)=8,July!Monat.DAGUeVM,IF(MONTH(Monat.Tag1)=9,August!Monat.DAGUeVM,IF(MONTH(Monat.Tag1)=10,September!Monat.DAGUeVM,IF(MONTH(Monat.Tag1)=11,October!Monat.DAGUeVM,IF(MONTH(Monat.Tag1)=12,November!Monat.DAGUeVM,"")))))))))))),"")</f>
        <v>0</v>
      </c>
      <c r="AM95" s="172"/>
      <c r="AN95" s="217" t="n">
        <f aca="false">AL95-AI95</f>
        <v>0</v>
      </c>
      <c r="AO95" s="171"/>
      <c r="AP95" s="171"/>
      <c r="AQ95" s="39"/>
    </row>
    <row r="96" s="148" customFormat="true" ht="11.25" hidden="false" customHeight="true" outlineLevel="0" collapsed="false">
      <c r="A96" s="186"/>
      <c r="B96" s="191"/>
      <c r="C96" s="191"/>
      <c r="D96" s="191"/>
      <c r="E96" s="191"/>
      <c r="F96" s="191"/>
      <c r="G96" s="191"/>
      <c r="H96" s="191"/>
      <c r="I96" s="191"/>
      <c r="J96" s="191"/>
      <c r="K96" s="191"/>
      <c r="L96" s="191"/>
      <c r="M96" s="191"/>
      <c r="N96" s="191"/>
      <c r="O96" s="191"/>
      <c r="P96" s="191"/>
      <c r="Q96" s="191"/>
      <c r="R96" s="191"/>
      <c r="S96" s="191"/>
      <c r="T96" s="191"/>
      <c r="U96" s="191"/>
      <c r="V96" s="191"/>
      <c r="W96" s="191"/>
      <c r="X96" s="191"/>
      <c r="Y96" s="191"/>
      <c r="Z96" s="191"/>
      <c r="AA96" s="191"/>
      <c r="AB96" s="191"/>
      <c r="AC96" s="191"/>
      <c r="AD96" s="191"/>
      <c r="AE96" s="191"/>
      <c r="AF96" s="192"/>
      <c r="AG96" s="168"/>
      <c r="AH96" s="197"/>
      <c r="AI96" s="192"/>
      <c r="AJ96" s="27"/>
      <c r="AK96" s="235"/>
      <c r="AL96" s="235"/>
      <c r="AM96" s="172"/>
      <c r="AN96" s="254"/>
      <c r="AO96" s="179"/>
      <c r="AP96" s="179"/>
      <c r="AQ96" s="39"/>
    </row>
    <row r="97" s="148" customFormat="true" ht="15" hidden="false" customHeight="true" outlineLevel="0" collapsed="false">
      <c r="A97" s="181" t="str">
        <f aca="true">IF(ROW(A97)-ROW(INDEX(Monat.Projekte.Zeilen,1))+1&gt;EB.AnzProjekte,"",OFFSET(EB.Projekte.Knoten,ROW(A97)-ROW(INDEX(Monat.Projekte.Zeilen,1))+1,0,1,1))</f>
        <v/>
      </c>
      <c r="B97" s="176"/>
      <c r="C97" s="176"/>
      <c r="D97" s="176"/>
      <c r="E97" s="177"/>
      <c r="F97" s="176"/>
      <c r="G97" s="176"/>
      <c r="H97" s="176"/>
      <c r="I97" s="176"/>
      <c r="J97" s="177"/>
      <c r="K97" s="176"/>
      <c r="L97" s="177"/>
      <c r="M97" s="176"/>
      <c r="N97" s="176"/>
      <c r="O97" s="176"/>
      <c r="P97" s="176"/>
      <c r="Q97" s="177"/>
      <c r="R97" s="176"/>
      <c r="S97" s="177"/>
      <c r="T97" s="177"/>
      <c r="U97" s="176"/>
      <c r="V97" s="176"/>
      <c r="W97" s="176"/>
      <c r="X97" s="177"/>
      <c r="Y97" s="176"/>
      <c r="Z97" s="178"/>
      <c r="AA97" s="176"/>
      <c r="AB97" s="176"/>
      <c r="AC97" s="176"/>
      <c r="AD97" s="176"/>
      <c r="AE97" s="177"/>
      <c r="AF97" s="176"/>
      <c r="AG97" s="168" t="str">
        <f aca="false">A97</f>
        <v/>
      </c>
      <c r="AH97" s="202"/>
      <c r="AI97" s="262" t="n">
        <f aca="false">SUM(B97:AF97)</f>
        <v>0</v>
      </c>
      <c r="AJ97" s="33"/>
      <c r="AK97" s="192"/>
      <c r="AL97" s="216" t="n">
        <f aca="false">IF(EB.Anwendung&lt;&gt;"",IF(MONTH(Monat.Tag1)=1,0,IF(MONTH(Monat.Tag1)=2,January!Monat.P1UeVM,IF(MONTH(Monat.Tag1)=3,February!Monat.P1UeVM,IF(MONTH(Monat.Tag1)=4,Monat.P1UeVM,IF(MONTH(Monat.Tag1)=5,April!Monat.P1UeVM,IF(MONTH(Monat.Tag1)=6,May!Monat.P1UeVM,IF(MONTH(Monat.Tag1)=7,June!Monat.P1UeVM,IF(MONTH(Monat.Tag1)=8,July!Monat.P1UeVM,IF(MONTH(Monat.Tag1)=9,August!Monat.P1UeVM,IF(MONTH(Monat.Tag1)=10,September!Monat.P1UeVM,IF(MONTH(Monat.Tag1)=11,October!Monat.P1UeVM,IF(MONTH(Monat.Tag1)=12,November!Monat.P1UeVM,"")))))))))))),"")</f>
        <v>0</v>
      </c>
      <c r="AM97" s="172"/>
      <c r="AN97" s="217" t="n">
        <f aca="false">AI97+AL97</f>
        <v>0</v>
      </c>
      <c r="AO97" s="171"/>
      <c r="AP97" s="171"/>
      <c r="AQ97" s="39"/>
    </row>
    <row r="98" s="148" customFormat="true" ht="15" hidden="false" customHeight="true" outlineLevel="0" collapsed="false">
      <c r="A98" s="181" t="str">
        <f aca="true">IF(ROW(A98)-ROW(INDEX(Monat.Projekte.Zeilen,1))+1&gt;EB.AnzProjekte,"",OFFSET(EB.Projekte.Knoten,ROW(A98)-ROW(INDEX(Monat.Projekte.Zeilen,1))+1,0,1,1))</f>
        <v/>
      </c>
      <c r="B98" s="176"/>
      <c r="C98" s="176"/>
      <c r="D98" s="176"/>
      <c r="E98" s="177"/>
      <c r="F98" s="176"/>
      <c r="G98" s="176"/>
      <c r="H98" s="176"/>
      <c r="I98" s="176"/>
      <c r="J98" s="177"/>
      <c r="K98" s="176"/>
      <c r="L98" s="177"/>
      <c r="M98" s="176"/>
      <c r="N98" s="176"/>
      <c r="O98" s="176"/>
      <c r="P98" s="176"/>
      <c r="Q98" s="177"/>
      <c r="R98" s="176"/>
      <c r="S98" s="177"/>
      <c r="T98" s="177"/>
      <c r="U98" s="176"/>
      <c r="V98" s="176"/>
      <c r="W98" s="176"/>
      <c r="X98" s="177"/>
      <c r="Y98" s="176"/>
      <c r="Z98" s="178"/>
      <c r="AA98" s="176"/>
      <c r="AB98" s="176"/>
      <c r="AC98" s="176"/>
      <c r="AD98" s="176"/>
      <c r="AE98" s="177"/>
      <c r="AF98" s="176"/>
      <c r="AG98" s="168" t="str">
        <f aca="false">A98</f>
        <v/>
      </c>
      <c r="AH98" s="184"/>
      <c r="AI98" s="207" t="n">
        <f aca="false">SUM(B98:AF98)</f>
        <v>0</v>
      </c>
      <c r="AJ98" s="33"/>
      <c r="AK98" s="192"/>
      <c r="AL98" s="216" t="n">
        <f aca="false">IF(EB.Anwendung&lt;&gt;"",IF(MONTH(Monat.Tag1)=1,0,IF(MONTH(Monat.Tag1)=2,January!Monat.P2UeVM,IF(MONTH(Monat.Tag1)=3,February!Monat.P2UeVM,IF(MONTH(Monat.Tag1)=4,Monat.P2UeVM,IF(MONTH(Monat.Tag1)=5,April!Monat.P2UeVM,IF(MONTH(Monat.Tag1)=6,May!Monat.P2UeVM,IF(MONTH(Monat.Tag1)=7,June!Monat.P2UeVM,IF(MONTH(Monat.Tag1)=8,July!Monat.P2UeVM,IF(MONTH(Monat.Tag1)=9,August!Monat.P2UeVM,IF(MONTH(Monat.Tag1)=10,September!Monat.P2UeVM,IF(MONTH(Monat.Tag1)=11,October!Monat.P2UeVM,IF(MONTH(Monat.Tag1)=12,November!Monat.P2UeVM,"")))))))))))),"")</f>
        <v>0</v>
      </c>
      <c r="AM98" s="172"/>
      <c r="AN98" s="217" t="n">
        <f aca="false">AI98+AL98</f>
        <v>0</v>
      </c>
      <c r="AO98" s="171"/>
      <c r="AP98" s="171"/>
      <c r="AQ98" s="39"/>
    </row>
    <row r="99" s="148" customFormat="true" ht="15" hidden="false" customHeight="true" outlineLevel="0" collapsed="false">
      <c r="A99" s="181" t="str">
        <f aca="true">IF(ROW(A99)-ROW(INDEX(Monat.Projekte.Zeilen,1))+1&gt;EB.AnzProjekte,"",OFFSET(EB.Projekte.Knoten,ROW(A99)-ROW(INDEX(Monat.Projekte.Zeilen,1))+1,0,1,1))</f>
        <v/>
      </c>
      <c r="B99" s="176"/>
      <c r="C99" s="176"/>
      <c r="D99" s="176"/>
      <c r="E99" s="177"/>
      <c r="F99" s="176"/>
      <c r="G99" s="176"/>
      <c r="H99" s="176"/>
      <c r="I99" s="176"/>
      <c r="J99" s="177"/>
      <c r="K99" s="176"/>
      <c r="L99" s="177"/>
      <c r="M99" s="176"/>
      <c r="N99" s="176"/>
      <c r="O99" s="176"/>
      <c r="P99" s="176"/>
      <c r="Q99" s="177"/>
      <c r="R99" s="176"/>
      <c r="S99" s="177"/>
      <c r="T99" s="177"/>
      <c r="U99" s="176"/>
      <c r="V99" s="176"/>
      <c r="W99" s="176"/>
      <c r="X99" s="177"/>
      <c r="Y99" s="176"/>
      <c r="Z99" s="178"/>
      <c r="AA99" s="176"/>
      <c r="AB99" s="176"/>
      <c r="AC99" s="176"/>
      <c r="AD99" s="176"/>
      <c r="AE99" s="177"/>
      <c r="AF99" s="176"/>
      <c r="AG99" s="168" t="str">
        <f aca="false">A99</f>
        <v/>
      </c>
      <c r="AH99" s="263"/>
      <c r="AI99" s="207" t="n">
        <f aca="false">SUM(B99:AF99)</f>
        <v>0</v>
      </c>
      <c r="AJ99" s="33"/>
      <c r="AK99" s="192"/>
      <c r="AL99" s="216" t="n">
        <f aca="false">IF(EB.Anwendung&lt;&gt;"",IF(MONTH(Monat.Tag1)=1,0,IF(MONTH(Monat.Tag1)=2,January!Monat.P3UeVM,IF(MONTH(Monat.Tag1)=3,February!Monat.P3UeVM,IF(MONTH(Monat.Tag1)=4,Monat.P3UeVM,IF(MONTH(Monat.Tag1)=5,April!Monat.P3UeVM,IF(MONTH(Monat.Tag1)=6,May!Monat.P3UeVM,IF(MONTH(Monat.Tag1)=7,June!Monat.P3UeVM,IF(MONTH(Monat.Tag1)=8,July!Monat.P3UeVM,IF(MONTH(Monat.Tag1)=9,August!Monat.P3UeVM,IF(MONTH(Monat.Tag1)=10,September!Monat.P3UeVM,IF(MONTH(Monat.Tag1)=11,October!Monat.P3UeVM,IF(MONTH(Monat.Tag1)=12,November!Monat.P3UeVM,"")))))))))))),"")</f>
        <v>0</v>
      </c>
      <c r="AM99" s="172"/>
      <c r="AN99" s="217" t="n">
        <f aca="false">AI99+AL99</f>
        <v>0</v>
      </c>
      <c r="AO99" s="171"/>
      <c r="AP99" s="171"/>
      <c r="AQ99" s="39"/>
    </row>
    <row r="100" s="148" customFormat="true" ht="15" hidden="false" customHeight="true" outlineLevel="0" collapsed="false">
      <c r="A100" s="181" t="str">
        <f aca="true">IF(ROW(A100)-ROW(INDEX(Monat.Projekte.Zeilen,1))+1&gt;EB.AnzProjekte,"",OFFSET(EB.Projekte.Knoten,ROW(A100)-ROW(INDEX(Monat.Projekte.Zeilen,1))+1,0,1,1))</f>
        <v/>
      </c>
      <c r="B100" s="176"/>
      <c r="C100" s="176"/>
      <c r="D100" s="176"/>
      <c r="E100" s="177"/>
      <c r="F100" s="176"/>
      <c r="G100" s="176"/>
      <c r="H100" s="176"/>
      <c r="I100" s="176"/>
      <c r="J100" s="177"/>
      <c r="K100" s="176"/>
      <c r="L100" s="177"/>
      <c r="M100" s="176"/>
      <c r="N100" s="176"/>
      <c r="O100" s="176"/>
      <c r="P100" s="176"/>
      <c r="Q100" s="177"/>
      <c r="R100" s="176"/>
      <c r="S100" s="177"/>
      <c r="T100" s="177"/>
      <c r="U100" s="176"/>
      <c r="V100" s="176"/>
      <c r="W100" s="176"/>
      <c r="X100" s="177"/>
      <c r="Y100" s="176"/>
      <c r="Z100" s="178"/>
      <c r="AA100" s="176"/>
      <c r="AB100" s="176"/>
      <c r="AC100" s="176"/>
      <c r="AD100" s="176"/>
      <c r="AE100" s="177"/>
      <c r="AF100" s="176"/>
      <c r="AG100" s="168" t="str">
        <f aca="false">A100</f>
        <v/>
      </c>
      <c r="AH100" s="197"/>
      <c r="AI100" s="207" t="n">
        <f aca="false">SUM(B100:AF100)</f>
        <v>0</v>
      </c>
      <c r="AJ100" s="33"/>
      <c r="AK100" s="192"/>
      <c r="AL100" s="216" t="n">
        <f aca="false">IF(EB.Anwendung&lt;&gt;"",IF(MONTH(Monat.Tag1)=1,0,IF(MONTH(Monat.Tag1)=2,January!Monat.P4UeVM,IF(MONTH(Monat.Tag1)=3,February!Monat.P4UeVM,IF(MONTH(Monat.Tag1)=4,Monat.P4UeVM,IF(MONTH(Monat.Tag1)=5,April!Monat.P4UeVM,IF(MONTH(Monat.Tag1)=6,May!Monat.P4UeVM,IF(MONTH(Monat.Tag1)=7,June!Monat.P4UeVM,IF(MONTH(Monat.Tag1)=8,July!Monat.P4UeVM,IF(MONTH(Monat.Tag1)=9,August!Monat.P4UeVM,IF(MONTH(Monat.Tag1)=10,September!Monat.P4UeVM,IF(MONTH(Monat.Tag1)=11,October!Monat.P4UeVM,IF(MONTH(Monat.Tag1)=12,November!Monat.P4UeVM,"")))))))))))),"")</f>
        <v>0</v>
      </c>
      <c r="AM100" s="172"/>
      <c r="AN100" s="217" t="n">
        <f aca="false">AI100+AL100</f>
        <v>0</v>
      </c>
      <c r="AO100" s="171"/>
      <c r="AP100" s="171"/>
      <c r="AQ100" s="39"/>
    </row>
    <row r="101" s="148" customFormat="true" ht="15" hidden="false" customHeight="true" outlineLevel="0" collapsed="false">
      <c r="A101" s="181" t="str">
        <f aca="true">IF(ROW(A101)-ROW(INDEX(Monat.Projekte.Zeilen,1))+1&gt;EB.AnzProjekte,"",OFFSET(EB.Projekte.Knoten,ROW(A101)-ROW(INDEX(Monat.Projekte.Zeilen,1))+1,0,1,1))</f>
        <v/>
      </c>
      <c r="B101" s="176"/>
      <c r="C101" s="176"/>
      <c r="D101" s="176"/>
      <c r="E101" s="177"/>
      <c r="F101" s="176"/>
      <c r="G101" s="176"/>
      <c r="H101" s="176"/>
      <c r="I101" s="176"/>
      <c r="J101" s="177"/>
      <c r="K101" s="176"/>
      <c r="L101" s="177"/>
      <c r="M101" s="176"/>
      <c r="N101" s="176"/>
      <c r="O101" s="176"/>
      <c r="P101" s="176"/>
      <c r="Q101" s="177"/>
      <c r="R101" s="176"/>
      <c r="S101" s="177"/>
      <c r="T101" s="177"/>
      <c r="U101" s="176"/>
      <c r="V101" s="176"/>
      <c r="W101" s="176"/>
      <c r="X101" s="177"/>
      <c r="Y101" s="176"/>
      <c r="Z101" s="178"/>
      <c r="AA101" s="176"/>
      <c r="AB101" s="176"/>
      <c r="AC101" s="176"/>
      <c r="AD101" s="176"/>
      <c r="AE101" s="177"/>
      <c r="AF101" s="176"/>
      <c r="AG101" s="168" t="str">
        <f aca="false">A101</f>
        <v/>
      </c>
      <c r="AH101" s="184"/>
      <c r="AI101" s="207" t="n">
        <f aca="false">SUM(B101:AF101)</f>
        <v>0</v>
      </c>
      <c r="AJ101" s="33"/>
      <c r="AK101" s="192"/>
      <c r="AL101" s="216" t="n">
        <f aca="false">IF(EB.Anwendung&lt;&gt;"",IF(MONTH(Monat.Tag1)=1,0,IF(MONTH(Monat.Tag1)=2,January!Monat.P5UeVM,IF(MONTH(Monat.Tag1)=3,February!Monat.P5UeVM,IF(MONTH(Monat.Tag1)=4,Monat.P5UeVM,IF(MONTH(Monat.Tag1)=5,April!Monat.P5UeVM,IF(MONTH(Monat.Tag1)=6,May!Monat.P5UeVM,IF(MONTH(Monat.Tag1)=7,June!Monat.P5UeVM,IF(MONTH(Monat.Tag1)=8,July!Monat.P5UeVM,IF(MONTH(Monat.Tag1)=9,August!Monat.P5UeVM,IF(MONTH(Monat.Tag1)=10,September!Monat.P5UeVM,IF(MONTH(Monat.Tag1)=11,October!Monat.P5UeVM,IF(MONTH(Monat.Tag1)=12,November!Monat.P5UeVM,"")))))))))))),"")</f>
        <v>0</v>
      </c>
      <c r="AM101" s="172"/>
      <c r="AN101" s="217" t="n">
        <f aca="false">AI101+AL101</f>
        <v>0</v>
      </c>
      <c r="AO101" s="171"/>
      <c r="AP101" s="171"/>
      <c r="AQ101" s="39"/>
    </row>
    <row r="102" s="148" customFormat="true" ht="15" hidden="true" customHeight="true" outlineLevel="1" collapsed="false">
      <c r="A102" s="181" t="str">
        <f aca="true">IF(ROW(A102)-ROW(INDEX(Monat.Projekte.Zeilen,1))+1&gt;EB.AnzProjekte,"",OFFSET(EB.Projekte.Knoten,ROW(A102)-ROW(INDEX(Monat.Projekte.Zeilen,1))+1,0,1,1))</f>
        <v/>
      </c>
      <c r="B102" s="176"/>
      <c r="C102" s="176"/>
      <c r="D102" s="176"/>
      <c r="E102" s="177"/>
      <c r="F102" s="176"/>
      <c r="G102" s="176"/>
      <c r="H102" s="176"/>
      <c r="I102" s="176"/>
      <c r="J102" s="177"/>
      <c r="K102" s="176"/>
      <c r="L102" s="177"/>
      <c r="M102" s="176"/>
      <c r="N102" s="176"/>
      <c r="O102" s="176"/>
      <c r="P102" s="176"/>
      <c r="Q102" s="177"/>
      <c r="R102" s="176"/>
      <c r="S102" s="177"/>
      <c r="T102" s="177"/>
      <c r="U102" s="176"/>
      <c r="V102" s="176"/>
      <c r="W102" s="176"/>
      <c r="X102" s="177"/>
      <c r="Y102" s="176"/>
      <c r="Z102" s="178"/>
      <c r="AA102" s="176"/>
      <c r="AB102" s="176"/>
      <c r="AC102" s="176"/>
      <c r="AD102" s="176"/>
      <c r="AE102" s="177"/>
      <c r="AF102" s="176"/>
      <c r="AG102" s="168" t="str">
        <f aca="false">A102</f>
        <v/>
      </c>
      <c r="AH102" s="263"/>
      <c r="AI102" s="207" t="n">
        <f aca="false">SUM(B102:AF102)</f>
        <v>0</v>
      </c>
      <c r="AJ102" s="33"/>
      <c r="AK102" s="192"/>
      <c r="AL102" s="216" t="n">
        <f aca="false">IF(EB.Anwendung&lt;&gt;"",IF(MONTH(Monat.Tag1)=1,0,IF(MONTH(Monat.Tag1)=2,January!Monat.P6UeVM,IF(MONTH(Monat.Tag1)=3,February!Monat.P6UeVM,IF(MONTH(Monat.Tag1)=4,Monat.P6UeVM,IF(MONTH(Monat.Tag1)=5,April!Monat.P6UeVM,IF(MONTH(Monat.Tag1)=6,May!Monat.P6UeVM,IF(MONTH(Monat.Tag1)=7,June!Monat.P6UeVM,IF(MONTH(Monat.Tag1)=8,July!Monat.P6UeVM,IF(MONTH(Monat.Tag1)=9,August!Monat.P6UeVM,IF(MONTH(Monat.Tag1)=10,September!Monat.P6UeVM,IF(MONTH(Monat.Tag1)=11,October!Monat.P6UeVM,IF(MONTH(Monat.Tag1)=12,November!Monat.P6UeVM,"")))))))))))),"")</f>
        <v>0</v>
      </c>
      <c r="AM102" s="172"/>
      <c r="AN102" s="217" t="n">
        <f aca="false">AI102+AL102</f>
        <v>0</v>
      </c>
      <c r="AO102" s="171"/>
      <c r="AP102" s="171"/>
      <c r="AQ102" s="39"/>
    </row>
    <row r="103" s="148" customFormat="true" ht="15" hidden="true" customHeight="true" outlineLevel="1" collapsed="false">
      <c r="A103" s="181" t="str">
        <f aca="true">IF(ROW(A103)-ROW(INDEX(Monat.Projekte.Zeilen,1))+1&gt;EB.AnzProjekte,"",OFFSET(EB.Projekte.Knoten,ROW(A103)-ROW(INDEX(Monat.Projekte.Zeilen,1))+1,0,1,1))</f>
        <v/>
      </c>
      <c r="B103" s="176"/>
      <c r="C103" s="176"/>
      <c r="D103" s="176"/>
      <c r="E103" s="177"/>
      <c r="F103" s="176"/>
      <c r="G103" s="176"/>
      <c r="H103" s="176"/>
      <c r="I103" s="176"/>
      <c r="J103" s="177"/>
      <c r="K103" s="176"/>
      <c r="L103" s="177"/>
      <c r="M103" s="176"/>
      <c r="N103" s="176"/>
      <c r="O103" s="176"/>
      <c r="P103" s="176"/>
      <c r="Q103" s="177"/>
      <c r="R103" s="176"/>
      <c r="S103" s="177"/>
      <c r="T103" s="177"/>
      <c r="U103" s="176"/>
      <c r="V103" s="176"/>
      <c r="W103" s="176"/>
      <c r="X103" s="177"/>
      <c r="Y103" s="176"/>
      <c r="Z103" s="178"/>
      <c r="AA103" s="176"/>
      <c r="AB103" s="176"/>
      <c r="AC103" s="176"/>
      <c r="AD103" s="176"/>
      <c r="AE103" s="177"/>
      <c r="AF103" s="176"/>
      <c r="AG103" s="168" t="str">
        <f aca="false">A103</f>
        <v/>
      </c>
      <c r="AH103" s="197"/>
      <c r="AI103" s="207" t="n">
        <f aca="false">SUM(B103:AF103)</f>
        <v>0</v>
      </c>
      <c r="AJ103" s="33"/>
      <c r="AK103" s="192"/>
      <c r="AL103" s="216" t="n">
        <f aca="false">IF(EB.Anwendung&lt;&gt;"",IF(MONTH(Monat.Tag1)=1,0,IF(MONTH(Monat.Tag1)=2,January!Monat.P7UeVM,IF(MONTH(Monat.Tag1)=3,February!Monat.P7UeVM,IF(MONTH(Monat.Tag1)=4,Monat.P7UeVM,IF(MONTH(Monat.Tag1)=5,April!Monat.P7UeVM,IF(MONTH(Monat.Tag1)=6,May!Monat.P7UeVM,IF(MONTH(Monat.Tag1)=7,June!Monat.P7UeVM,IF(MONTH(Monat.Tag1)=8,July!Monat.P7UeVM,IF(MONTH(Monat.Tag1)=9,August!Monat.P7UeVM,IF(MONTH(Monat.Tag1)=10,September!Monat.P7UeVM,IF(MONTH(Monat.Tag1)=11,October!Monat.P7UeVM,IF(MONTH(Monat.Tag1)=12,November!Monat.P7UeVM,"")))))))))))),"")</f>
        <v>0</v>
      </c>
      <c r="AM103" s="172"/>
      <c r="AN103" s="217" t="n">
        <f aca="false">AI103+AL103</f>
        <v>0</v>
      </c>
      <c r="AO103" s="171"/>
      <c r="AP103" s="171"/>
      <c r="AQ103" s="39"/>
    </row>
    <row r="104" s="148" customFormat="true" ht="15" hidden="true" customHeight="true" outlineLevel="1" collapsed="false">
      <c r="A104" s="181" t="str">
        <f aca="true">IF(ROW(A104)-ROW(INDEX(Monat.Projekte.Zeilen,1))+1&gt;EB.AnzProjekte,"",OFFSET(EB.Projekte.Knoten,ROW(A104)-ROW(INDEX(Monat.Projekte.Zeilen,1))+1,0,1,1))</f>
        <v/>
      </c>
      <c r="B104" s="176"/>
      <c r="C104" s="176"/>
      <c r="D104" s="176"/>
      <c r="E104" s="177"/>
      <c r="F104" s="176"/>
      <c r="G104" s="176"/>
      <c r="H104" s="176"/>
      <c r="I104" s="176"/>
      <c r="J104" s="177"/>
      <c r="K104" s="176"/>
      <c r="L104" s="177"/>
      <c r="M104" s="176"/>
      <c r="N104" s="176"/>
      <c r="O104" s="176"/>
      <c r="P104" s="176"/>
      <c r="Q104" s="177"/>
      <c r="R104" s="176"/>
      <c r="S104" s="177"/>
      <c r="T104" s="177"/>
      <c r="U104" s="176"/>
      <c r="V104" s="176"/>
      <c r="W104" s="176"/>
      <c r="X104" s="177"/>
      <c r="Y104" s="176"/>
      <c r="Z104" s="178"/>
      <c r="AA104" s="176"/>
      <c r="AB104" s="176"/>
      <c r="AC104" s="176"/>
      <c r="AD104" s="176"/>
      <c r="AE104" s="177"/>
      <c r="AF104" s="176"/>
      <c r="AG104" s="168" t="str">
        <f aca="false">A104</f>
        <v/>
      </c>
      <c r="AH104" s="202"/>
      <c r="AI104" s="207" t="n">
        <f aca="false">SUM(B104:AF104)</f>
        <v>0</v>
      </c>
      <c r="AJ104" s="33"/>
      <c r="AK104" s="192"/>
      <c r="AL104" s="216" t="n">
        <f aca="false">IF(EB.Anwendung&lt;&gt;"",IF(MONTH(Monat.Tag1)=1,0,IF(MONTH(Monat.Tag1)=2,January!Monat.P8UeVM,IF(MONTH(Monat.Tag1)=3,February!Monat.P8UeVM,IF(MONTH(Monat.Tag1)=4,Monat.P8UeVM,IF(MONTH(Monat.Tag1)=5,April!Monat.P8UeVM,IF(MONTH(Monat.Tag1)=6,May!Monat.P8UeVM,IF(MONTH(Monat.Tag1)=7,June!Monat.P8UeVM,IF(MONTH(Monat.Tag1)=8,July!Monat.P8UeVM,IF(MONTH(Monat.Tag1)=9,August!Monat.P8UeVM,IF(MONTH(Monat.Tag1)=10,September!Monat.P8UeVM,IF(MONTH(Monat.Tag1)=11,October!Monat.P8UeVM,IF(MONTH(Monat.Tag1)=12,November!Monat.P8UeVM,"")))))))))))),"")</f>
        <v>0</v>
      </c>
      <c r="AM104" s="172"/>
      <c r="AN104" s="217" t="n">
        <f aca="false">AI104+AL104</f>
        <v>0</v>
      </c>
      <c r="AO104" s="171"/>
      <c r="AP104" s="171"/>
      <c r="AQ104" s="39"/>
    </row>
    <row r="105" s="148" customFormat="true" ht="15" hidden="true" customHeight="true" outlineLevel="1" collapsed="false">
      <c r="A105" s="181" t="str">
        <f aca="true">IF(ROW(A105)-ROW(INDEX(Monat.Projekte.Zeilen,1))+1&gt;EB.AnzProjekte,"",OFFSET(EB.Projekte.Knoten,ROW(A105)-ROW(INDEX(Monat.Projekte.Zeilen,1))+1,0,1,1))</f>
        <v/>
      </c>
      <c r="B105" s="176"/>
      <c r="C105" s="176"/>
      <c r="D105" s="176"/>
      <c r="E105" s="177"/>
      <c r="F105" s="176"/>
      <c r="G105" s="176"/>
      <c r="H105" s="176"/>
      <c r="I105" s="176"/>
      <c r="J105" s="177"/>
      <c r="K105" s="176"/>
      <c r="L105" s="177"/>
      <c r="M105" s="176"/>
      <c r="N105" s="176"/>
      <c r="O105" s="176"/>
      <c r="P105" s="176"/>
      <c r="Q105" s="177"/>
      <c r="R105" s="176"/>
      <c r="S105" s="177"/>
      <c r="T105" s="177"/>
      <c r="U105" s="176"/>
      <c r="V105" s="176"/>
      <c r="W105" s="176"/>
      <c r="X105" s="177"/>
      <c r="Y105" s="176"/>
      <c r="Z105" s="178"/>
      <c r="AA105" s="176"/>
      <c r="AB105" s="176"/>
      <c r="AC105" s="176"/>
      <c r="AD105" s="176"/>
      <c r="AE105" s="177"/>
      <c r="AF105" s="176"/>
      <c r="AG105" s="168" t="str">
        <f aca="false">A105</f>
        <v/>
      </c>
      <c r="AH105" s="184"/>
      <c r="AI105" s="207" t="n">
        <f aca="false">SUM(B105:AF105)</f>
        <v>0</v>
      </c>
      <c r="AJ105" s="33"/>
      <c r="AK105" s="192"/>
      <c r="AL105" s="216" t="n">
        <f aca="false">IF(EB.Anwendung&lt;&gt;"",IF(MONTH(Monat.Tag1)=1,0,IF(MONTH(Monat.Tag1)=2,January!Monat.P9UeVM,IF(MONTH(Monat.Tag1)=3,February!Monat.P9UeVM,IF(MONTH(Monat.Tag1)=4,Monat.P9UeVM,IF(MONTH(Monat.Tag1)=5,April!Monat.P9UeVM,IF(MONTH(Monat.Tag1)=6,May!Monat.P9UeVM,IF(MONTH(Monat.Tag1)=7,June!Monat.P9UeVM,IF(MONTH(Monat.Tag1)=8,July!Monat.P9UeVM,IF(MONTH(Monat.Tag1)=9,August!Monat.P9UeVM,IF(MONTH(Monat.Tag1)=10,September!Monat.P9UeVM,IF(MONTH(Monat.Tag1)=11,October!Monat.P9UeVM,IF(MONTH(Monat.Tag1)=12,November!Monat.P9UeVM,"")))))))))))),"")</f>
        <v>0</v>
      </c>
      <c r="AM105" s="172"/>
      <c r="AN105" s="217" t="n">
        <f aca="false">AI105+AL105</f>
        <v>0</v>
      </c>
      <c r="AO105" s="171"/>
      <c r="AP105" s="171"/>
      <c r="AQ105" s="39"/>
    </row>
    <row r="106" s="148" customFormat="true" ht="15" hidden="true" customHeight="true" outlineLevel="1" collapsed="false">
      <c r="A106" s="181" t="str">
        <f aca="true">IF(ROW(A106)-ROW(INDEX(Monat.Projekte.Zeilen,1))+1&gt;EB.AnzProjekte,"",OFFSET(EB.Projekte.Knoten,ROW(A106)-ROW(INDEX(Monat.Projekte.Zeilen,1))+1,0,1,1))</f>
        <v/>
      </c>
      <c r="B106" s="176"/>
      <c r="C106" s="176"/>
      <c r="D106" s="176"/>
      <c r="E106" s="177"/>
      <c r="F106" s="176"/>
      <c r="G106" s="176"/>
      <c r="H106" s="176"/>
      <c r="I106" s="176"/>
      <c r="J106" s="177"/>
      <c r="K106" s="176"/>
      <c r="L106" s="177"/>
      <c r="M106" s="176"/>
      <c r="N106" s="176"/>
      <c r="O106" s="176"/>
      <c r="P106" s="176"/>
      <c r="Q106" s="177"/>
      <c r="R106" s="176"/>
      <c r="S106" s="177"/>
      <c r="T106" s="177"/>
      <c r="U106" s="176"/>
      <c r="V106" s="176"/>
      <c r="W106" s="176"/>
      <c r="X106" s="177"/>
      <c r="Y106" s="176"/>
      <c r="Z106" s="178"/>
      <c r="AA106" s="176"/>
      <c r="AB106" s="176"/>
      <c r="AC106" s="176"/>
      <c r="AD106" s="176"/>
      <c r="AE106" s="177"/>
      <c r="AF106" s="176"/>
      <c r="AG106" s="168" t="str">
        <f aca="false">A106</f>
        <v/>
      </c>
      <c r="AH106" s="184"/>
      <c r="AI106" s="207" t="n">
        <f aca="false">SUM(B106:AF106)</f>
        <v>0</v>
      </c>
      <c r="AJ106" s="33"/>
      <c r="AK106" s="192"/>
      <c r="AL106" s="216" t="n">
        <f aca="false">IF(EB.Anwendung&lt;&gt;"",IF(MONTH(Monat.Tag1)=1,0,IF(MONTH(Monat.Tag1)=2,January!Monat.P10UeVM,IF(MONTH(Monat.Tag1)=3,February!Monat.P10UeVM,IF(MONTH(Monat.Tag1)=4,Monat.P10UeVM,IF(MONTH(Monat.Tag1)=5,April!Monat.P10UeVM,IF(MONTH(Monat.Tag1)=6,May!Monat.P10UeVM,IF(MONTH(Monat.Tag1)=7,June!Monat.P10UeVM,IF(MONTH(Monat.Tag1)=8,July!Monat.P10UeVM,IF(MONTH(Monat.Tag1)=9,August!Monat.P10UeVM,IF(MONTH(Monat.Tag1)=10,September!Monat.P10UeVM,IF(MONTH(Monat.Tag1)=11,October!Monat.P10UeVM,IF(MONTH(Monat.Tag1)=12,November!Monat.P10UeVM,"")))))))))))),"")</f>
        <v>0</v>
      </c>
      <c r="AM106" s="172"/>
      <c r="AN106" s="217" t="n">
        <f aca="false">AI106+AL106</f>
        <v>0</v>
      </c>
      <c r="AO106" s="171"/>
      <c r="AP106" s="171"/>
      <c r="AQ106" s="39"/>
    </row>
    <row r="107" s="148" customFormat="true" ht="15" hidden="true" customHeight="true" outlineLevel="1" collapsed="false">
      <c r="A107" s="181" t="str">
        <f aca="true">IF(ROW(A107)-ROW(INDEX(Monat.Projekte.Zeilen,1))+1&gt;EB.AnzProjekte,"",OFFSET(EB.Projekte.Knoten,ROW(A107)-ROW(INDEX(Monat.Projekte.Zeilen,1))+1,0,1,1))</f>
        <v/>
      </c>
      <c r="B107" s="176"/>
      <c r="C107" s="176"/>
      <c r="D107" s="176"/>
      <c r="E107" s="177"/>
      <c r="F107" s="176"/>
      <c r="G107" s="176"/>
      <c r="H107" s="176"/>
      <c r="I107" s="176"/>
      <c r="J107" s="177"/>
      <c r="K107" s="176"/>
      <c r="L107" s="177"/>
      <c r="M107" s="176"/>
      <c r="N107" s="176"/>
      <c r="O107" s="176"/>
      <c r="P107" s="176"/>
      <c r="Q107" s="177"/>
      <c r="R107" s="176"/>
      <c r="S107" s="177"/>
      <c r="T107" s="177"/>
      <c r="U107" s="176"/>
      <c r="V107" s="176"/>
      <c r="W107" s="176"/>
      <c r="X107" s="177"/>
      <c r="Y107" s="176"/>
      <c r="Z107" s="178"/>
      <c r="AA107" s="176"/>
      <c r="AB107" s="176"/>
      <c r="AC107" s="176"/>
      <c r="AD107" s="176"/>
      <c r="AE107" s="177"/>
      <c r="AF107" s="176"/>
      <c r="AG107" s="168" t="str">
        <f aca="false">A107</f>
        <v/>
      </c>
      <c r="AH107" s="202"/>
      <c r="AI107" s="207" t="n">
        <f aca="false">SUM(B107:AF107)</f>
        <v>0</v>
      </c>
      <c r="AJ107" s="33"/>
      <c r="AK107" s="192"/>
      <c r="AL107" s="216" t="n">
        <f aca="false">IF(EB.Anwendung&lt;&gt;"",IF(MONTH(Monat.Tag1)=1,0,IF(MONTH(Monat.Tag1)=2,January!Monat.P11UeVM,IF(MONTH(Monat.Tag1)=3,February!Monat.P11UeVM,IF(MONTH(Monat.Tag1)=4,Monat.P11UeVM,IF(MONTH(Monat.Tag1)=5,April!Monat.P11UeVM,IF(MONTH(Monat.Tag1)=6,May!Monat.P11UeVM,IF(MONTH(Monat.Tag1)=7,June!Monat.P11UeVM,IF(MONTH(Monat.Tag1)=8,July!Monat.P11UeVM,IF(MONTH(Monat.Tag1)=9,August!Monat.P11UeVM,IF(MONTH(Monat.Tag1)=10,September!Monat.P11UeVM,IF(MONTH(Monat.Tag1)=11,October!Monat.P11UeVM,IF(MONTH(Monat.Tag1)=12,November!Monat.P11UeVM,"")))))))))))),"")</f>
        <v>0</v>
      </c>
      <c r="AM107" s="172"/>
      <c r="AN107" s="217" t="n">
        <f aca="false">AI107+AL107</f>
        <v>0</v>
      </c>
      <c r="AO107" s="264"/>
      <c r="AP107" s="264"/>
      <c r="AQ107" s="39"/>
    </row>
    <row r="108" s="266" customFormat="true" ht="15" hidden="true" customHeight="true" outlineLevel="1" collapsed="false">
      <c r="A108" s="181" t="str">
        <f aca="true">IF(ROW(A108)-ROW(INDEX(Monat.Projekte.Zeilen,1))+1&gt;EB.AnzProjekte,"",OFFSET(EB.Projekte.Knoten,ROW(A108)-ROW(INDEX(Monat.Projekte.Zeilen,1))+1,0,1,1))</f>
        <v/>
      </c>
      <c r="B108" s="176"/>
      <c r="C108" s="176"/>
      <c r="D108" s="176"/>
      <c r="E108" s="177"/>
      <c r="F108" s="176"/>
      <c r="G108" s="176"/>
      <c r="H108" s="176"/>
      <c r="I108" s="176"/>
      <c r="J108" s="177"/>
      <c r="K108" s="176"/>
      <c r="L108" s="177"/>
      <c r="M108" s="176"/>
      <c r="N108" s="176"/>
      <c r="O108" s="176"/>
      <c r="P108" s="176"/>
      <c r="Q108" s="177"/>
      <c r="R108" s="176"/>
      <c r="S108" s="177"/>
      <c r="T108" s="177"/>
      <c r="U108" s="176"/>
      <c r="V108" s="176"/>
      <c r="W108" s="176"/>
      <c r="X108" s="177"/>
      <c r="Y108" s="176"/>
      <c r="Z108" s="178"/>
      <c r="AA108" s="176"/>
      <c r="AB108" s="176"/>
      <c r="AC108" s="176"/>
      <c r="AD108" s="176"/>
      <c r="AE108" s="177"/>
      <c r="AF108" s="176"/>
      <c r="AG108" s="168" t="str">
        <f aca="false">A108</f>
        <v/>
      </c>
      <c r="AH108" s="202"/>
      <c r="AI108" s="207" t="n">
        <f aca="false">SUM(B108:AF108)</f>
        <v>0</v>
      </c>
      <c r="AJ108" s="33"/>
      <c r="AK108" s="192"/>
      <c r="AL108" s="216" t="n">
        <f aca="false">IF(EB.Anwendung&lt;&gt;"",IF(MONTH(Monat.Tag1)=1,0,IF(MONTH(Monat.Tag1)=2,January!Monat.P12UeVM,IF(MONTH(Monat.Tag1)=3,February!Monat.P12UeVM,IF(MONTH(Monat.Tag1)=4,Monat.P12UeVM,IF(MONTH(Monat.Tag1)=5,April!Monat.P12UeVM,IF(MONTH(Monat.Tag1)=6,May!Monat.P12UeVM,IF(MONTH(Monat.Tag1)=7,June!Monat.P12UeVM,IF(MONTH(Monat.Tag1)=8,July!Monat.P12UeVM,IF(MONTH(Monat.Tag1)=9,August!Monat.P12UeVM,IF(MONTH(Monat.Tag1)=10,September!Monat.P12UeVM,IF(MONTH(Monat.Tag1)=11,October!Monat.P12UeVM,IF(MONTH(Monat.Tag1)=12,November!Monat.P12UeVM,"")))))))))))),"")</f>
        <v>0</v>
      </c>
      <c r="AM108" s="172"/>
      <c r="AN108" s="217" t="n">
        <f aca="false">AI108+AL108</f>
        <v>0</v>
      </c>
      <c r="AO108" s="264"/>
      <c r="AP108" s="264"/>
      <c r="AQ108" s="265"/>
    </row>
    <row r="109" s="266" customFormat="true" ht="15" hidden="true" customHeight="true" outlineLevel="1" collapsed="false">
      <c r="A109" s="181" t="str">
        <f aca="true">IF(ROW(A109)-ROW(INDEX(Monat.Projekte.Zeilen,1))+1&gt;EB.AnzProjekte,"",OFFSET(EB.Projekte.Knoten,ROW(A109)-ROW(INDEX(Monat.Projekte.Zeilen,1))+1,0,1,1))</f>
        <v/>
      </c>
      <c r="B109" s="176"/>
      <c r="C109" s="176"/>
      <c r="D109" s="176"/>
      <c r="E109" s="177"/>
      <c r="F109" s="176"/>
      <c r="G109" s="176"/>
      <c r="H109" s="176"/>
      <c r="I109" s="176"/>
      <c r="J109" s="177"/>
      <c r="K109" s="176"/>
      <c r="L109" s="177"/>
      <c r="M109" s="176"/>
      <c r="N109" s="176"/>
      <c r="O109" s="176"/>
      <c r="P109" s="176"/>
      <c r="Q109" s="177"/>
      <c r="R109" s="176"/>
      <c r="S109" s="177"/>
      <c r="T109" s="177"/>
      <c r="U109" s="176"/>
      <c r="V109" s="176"/>
      <c r="W109" s="176"/>
      <c r="X109" s="177"/>
      <c r="Y109" s="176"/>
      <c r="Z109" s="178"/>
      <c r="AA109" s="176"/>
      <c r="AB109" s="176"/>
      <c r="AC109" s="176"/>
      <c r="AD109" s="176"/>
      <c r="AE109" s="177"/>
      <c r="AF109" s="176"/>
      <c r="AG109" s="168" t="str">
        <f aca="false">A109</f>
        <v/>
      </c>
      <c r="AH109" s="184"/>
      <c r="AI109" s="207" t="n">
        <f aca="false">SUM(B109:AF109)</f>
        <v>0</v>
      </c>
      <c r="AJ109" s="33"/>
      <c r="AK109" s="192"/>
      <c r="AL109" s="216" t="n">
        <f aca="false">IF(EB.Anwendung&lt;&gt;"",IF(MONTH(Monat.Tag1)=1,0,IF(MONTH(Monat.Tag1)=2,January!Monat.P13UeVM,IF(MONTH(Monat.Tag1)=3,February!Monat.P13UeVM,IF(MONTH(Monat.Tag1)=4,Monat.P13UeVM,IF(MONTH(Monat.Tag1)=5,April!Monat.P13UeVM,IF(MONTH(Monat.Tag1)=6,May!Monat.P13UeVM,IF(MONTH(Monat.Tag1)=7,June!Monat.P13UeVM,IF(MONTH(Monat.Tag1)=8,July!Monat.P13UeVM,IF(MONTH(Monat.Tag1)=9,August!Monat.P13UeVM,IF(MONTH(Monat.Tag1)=10,September!Monat.P13UeVM,IF(MONTH(Monat.Tag1)=11,October!Monat.P13UeVM,IF(MONTH(Monat.Tag1)=12,November!Monat.P13UeVM,"")))))))))))),"")</f>
        <v>0</v>
      </c>
      <c r="AM109" s="172"/>
      <c r="AN109" s="217" t="n">
        <f aca="false">AI109+AL109</f>
        <v>0</v>
      </c>
      <c r="AO109" s="264"/>
      <c r="AP109" s="264"/>
      <c r="AQ109" s="265"/>
    </row>
    <row r="110" customFormat="false" ht="15" hidden="true" customHeight="true" outlineLevel="1" collapsed="false">
      <c r="A110" s="181" t="str">
        <f aca="true">IF(ROW(A110)-ROW(INDEX(Monat.Projekte.Zeilen,1))+1&gt;EB.AnzProjekte,"",OFFSET(EB.Projekte.Knoten,ROW(A110)-ROW(INDEX(Monat.Projekte.Zeilen,1))+1,0,1,1))</f>
        <v/>
      </c>
      <c r="B110" s="176"/>
      <c r="C110" s="176"/>
      <c r="D110" s="176"/>
      <c r="E110" s="177"/>
      <c r="F110" s="176"/>
      <c r="G110" s="176"/>
      <c r="H110" s="176"/>
      <c r="I110" s="176"/>
      <c r="J110" s="177"/>
      <c r="K110" s="176"/>
      <c r="L110" s="177"/>
      <c r="M110" s="176"/>
      <c r="N110" s="176"/>
      <c r="O110" s="176"/>
      <c r="P110" s="176"/>
      <c r="Q110" s="177"/>
      <c r="R110" s="176"/>
      <c r="S110" s="177"/>
      <c r="T110" s="177"/>
      <c r="U110" s="176"/>
      <c r="V110" s="176"/>
      <c r="W110" s="176"/>
      <c r="X110" s="177"/>
      <c r="Y110" s="176"/>
      <c r="Z110" s="178"/>
      <c r="AA110" s="176"/>
      <c r="AB110" s="176"/>
      <c r="AC110" s="176"/>
      <c r="AD110" s="176"/>
      <c r="AE110" s="177"/>
      <c r="AF110" s="176"/>
      <c r="AG110" s="168" t="str">
        <f aca="false">A110</f>
        <v/>
      </c>
      <c r="AH110" s="184"/>
      <c r="AI110" s="207" t="n">
        <f aca="false">SUM(B110:AF110)</f>
        <v>0</v>
      </c>
      <c r="AJ110" s="33"/>
      <c r="AK110" s="192"/>
      <c r="AL110" s="216" t="n">
        <f aca="false">IF(EB.Anwendung&lt;&gt;"",IF(MONTH(Monat.Tag1)=1,0,IF(MONTH(Monat.Tag1)=2,January!Monat.P14UeVM,IF(MONTH(Monat.Tag1)=3,February!Monat.P14UeVM,IF(MONTH(Monat.Tag1)=4,Monat.P14UeVM,IF(MONTH(Monat.Tag1)=5,April!Monat.P14UeVM,IF(MONTH(Monat.Tag1)=6,May!Monat.P14UeVM,IF(MONTH(Monat.Tag1)=7,June!Monat.P14UeVM,IF(MONTH(Monat.Tag1)=8,July!Monat.P14UeVM,IF(MONTH(Monat.Tag1)=9,August!Monat.P14UeVM,IF(MONTH(Monat.Tag1)=10,September!Monat.P14UeVM,IF(MONTH(Monat.Tag1)=11,October!Monat.P14UeVM,IF(MONTH(Monat.Tag1)=12,November!Monat.P14UeVM,"")))))))))))),"")</f>
        <v>0</v>
      </c>
      <c r="AM110" s="172"/>
      <c r="AN110" s="217" t="n">
        <f aca="false">AI110+AL110</f>
        <v>0</v>
      </c>
      <c r="AO110" s="264"/>
      <c r="AP110" s="264"/>
      <c r="AQ110" s="43"/>
    </row>
    <row r="111" customFormat="false" ht="15" hidden="true" customHeight="true" outlineLevel="1" collapsed="false">
      <c r="A111" s="181" t="str">
        <f aca="true">IF(ROW(A111)-ROW(INDEX(Monat.Projekte.Zeilen,1))+1&gt;EB.AnzProjekte,"",OFFSET(EB.Projekte.Knoten,ROW(A111)-ROW(INDEX(Monat.Projekte.Zeilen,1))+1,0,1,1))</f>
        <v/>
      </c>
      <c r="B111" s="176"/>
      <c r="C111" s="176"/>
      <c r="D111" s="176"/>
      <c r="E111" s="176"/>
      <c r="F111" s="176"/>
      <c r="G111" s="176"/>
      <c r="H111" s="176"/>
      <c r="I111" s="176"/>
      <c r="J111" s="176"/>
      <c r="K111" s="176"/>
      <c r="L111" s="176"/>
      <c r="M111" s="176"/>
      <c r="N111" s="176"/>
      <c r="O111" s="176"/>
      <c r="P111" s="176"/>
      <c r="Q111" s="176"/>
      <c r="R111" s="176"/>
      <c r="S111" s="176"/>
      <c r="T111" s="176"/>
      <c r="U111" s="176"/>
      <c r="V111" s="176"/>
      <c r="W111" s="176"/>
      <c r="X111" s="176"/>
      <c r="Y111" s="176"/>
      <c r="Z111" s="190"/>
      <c r="AA111" s="176"/>
      <c r="AB111" s="176"/>
      <c r="AC111" s="176"/>
      <c r="AD111" s="176"/>
      <c r="AE111" s="176"/>
      <c r="AF111" s="176"/>
      <c r="AG111" s="168" t="str">
        <f aca="false">A111</f>
        <v/>
      </c>
      <c r="AH111" s="184"/>
      <c r="AI111" s="207" t="n">
        <f aca="false">SUM(B111:AF111)</f>
        <v>0</v>
      </c>
      <c r="AJ111" s="33"/>
      <c r="AK111" s="192"/>
      <c r="AL111" s="216" t="n">
        <f aca="false">IF(EB.Anwendung&lt;&gt;"",IF(MONTH(Monat.Tag1)=1,0,IF(MONTH(Monat.Tag1)=2,January!Monat.P15UeVM,IF(MONTH(Monat.Tag1)=3,February!Monat.P15UeVM,IF(MONTH(Monat.Tag1)=4,Monat.P15UeVM,IF(MONTH(Monat.Tag1)=5,April!Monat.P15UeVM,IF(MONTH(Monat.Tag1)=6,May!Monat.P15UeVM,IF(MONTH(Monat.Tag1)=7,June!Monat.P15UeVM,IF(MONTH(Monat.Tag1)=8,July!Monat.P15UeVM,IF(MONTH(Monat.Tag1)=9,August!Monat.P15UeVM,IF(MONTH(Monat.Tag1)=10,September!Monat.P15UeVM,IF(MONTH(Monat.Tag1)=11,October!Monat.P15UeVM,IF(MONTH(Monat.Tag1)=12,November!Monat.P15UeVM,"")))))))))))),"")</f>
        <v>0</v>
      </c>
      <c r="AM111" s="172"/>
      <c r="AN111" s="217" t="n">
        <f aca="false">AI111+AL111</f>
        <v>0</v>
      </c>
      <c r="AO111" s="264"/>
      <c r="AP111" s="264"/>
      <c r="AQ111" s="43"/>
    </row>
    <row r="112" customFormat="false" ht="15" hidden="false" customHeight="true" outlineLevel="0" collapsed="false">
      <c r="A112" s="181" t="s">
        <v>177</v>
      </c>
      <c r="B112" s="205" t="n">
        <f aca="false">SUM(B97:B111)</f>
        <v>0</v>
      </c>
      <c r="C112" s="205" t="n">
        <f aca="false">SUM(C97:C111)</f>
        <v>0</v>
      </c>
      <c r="D112" s="205" t="n">
        <f aca="false">SUM(D97:D111)</f>
        <v>0</v>
      </c>
      <c r="E112" s="205" t="n">
        <f aca="false">SUM(E97:E111)</f>
        <v>0</v>
      </c>
      <c r="F112" s="205" t="n">
        <f aca="false">SUM(F97:F111)</f>
        <v>0</v>
      </c>
      <c r="G112" s="205" t="n">
        <f aca="false">SUM(G97:G111)</f>
        <v>0</v>
      </c>
      <c r="H112" s="205" t="n">
        <f aca="false">SUM(H97:H111)</f>
        <v>0</v>
      </c>
      <c r="I112" s="205" t="n">
        <f aca="false">SUM(I97:I111)</f>
        <v>0</v>
      </c>
      <c r="J112" s="205" t="n">
        <f aca="false">SUM(J97:J111)</f>
        <v>0</v>
      </c>
      <c r="K112" s="205" t="n">
        <f aca="false">SUM(K97:K111)</f>
        <v>0</v>
      </c>
      <c r="L112" s="205" t="n">
        <f aca="false">SUM(L97:L111)</f>
        <v>0</v>
      </c>
      <c r="M112" s="205" t="n">
        <f aca="false">SUM(M97:M111)</f>
        <v>0</v>
      </c>
      <c r="N112" s="205" t="n">
        <f aca="false">SUM(N97:N111)</f>
        <v>0</v>
      </c>
      <c r="O112" s="205" t="n">
        <f aca="false">SUM(O97:O111)</f>
        <v>0</v>
      </c>
      <c r="P112" s="205" t="n">
        <f aca="false">SUM(P97:P111)</f>
        <v>0</v>
      </c>
      <c r="Q112" s="205" t="n">
        <f aca="false">SUM(Q97:Q111)</f>
        <v>0</v>
      </c>
      <c r="R112" s="205" t="n">
        <f aca="false">SUM(R97:R111)</f>
        <v>0</v>
      </c>
      <c r="S112" s="205" t="n">
        <f aca="false">SUM(S97:S111)</f>
        <v>0</v>
      </c>
      <c r="T112" s="205" t="n">
        <f aca="false">SUM(T97:T111)</f>
        <v>0</v>
      </c>
      <c r="U112" s="205" t="n">
        <f aca="false">SUM(U97:U111)</f>
        <v>0</v>
      </c>
      <c r="V112" s="205" t="n">
        <f aca="false">SUM(V97:V111)</f>
        <v>0</v>
      </c>
      <c r="W112" s="205" t="n">
        <f aca="false">SUM(W97:W111)</f>
        <v>0</v>
      </c>
      <c r="X112" s="205" t="n">
        <f aca="false">SUM(X97:X111)</f>
        <v>0</v>
      </c>
      <c r="Y112" s="205" t="n">
        <f aca="false">SUM(Y97:Y111)</f>
        <v>0</v>
      </c>
      <c r="Z112" s="205" t="n">
        <f aca="false">SUM(Z97:Z111)</f>
        <v>0</v>
      </c>
      <c r="AA112" s="205" t="n">
        <f aca="false">SUM(AA97:AA111)</f>
        <v>0</v>
      </c>
      <c r="AB112" s="205" t="n">
        <f aca="false">SUM(AB97:AB111)</f>
        <v>0</v>
      </c>
      <c r="AC112" s="205" t="n">
        <f aca="false">SUM(AC97:AC111)</f>
        <v>0</v>
      </c>
      <c r="AD112" s="205" t="n">
        <f aca="false">SUM(AD97:AD111)</f>
        <v>0</v>
      </c>
      <c r="AE112" s="205" t="n">
        <f aca="false">SUM(AE97:AE111)</f>
        <v>0</v>
      </c>
      <c r="AF112" s="205" t="n">
        <f aca="false">SUM(AF97:AF111)</f>
        <v>0</v>
      </c>
      <c r="AG112" s="183" t="str">
        <f aca="false">A112</f>
        <v>Hours worked for projects</v>
      </c>
      <c r="AH112" s="184"/>
      <c r="AI112" s="207" t="n">
        <f aca="false">SUM(B112:AF112)</f>
        <v>0</v>
      </c>
      <c r="AJ112" s="33"/>
      <c r="AK112" s="192"/>
      <c r="AL112" s="216" t="n">
        <f aca="false">IF(EB.Anwendung&lt;&gt;"",IF(MONTH(Monat.Tag1)=1,0,IF(MONTH(Monat.Tag1)=2,January!Monat.PTotalUeVM,IF(MONTH(Monat.Tag1)=3,February!Monat.PTotalUeVM,IF(MONTH(Monat.Tag1)=4,Monat.PTotalUeVM,IF(MONTH(Monat.Tag1)=5,April!Monat.PTotalUeVM,IF(MONTH(Monat.Tag1)=6,May!Monat.PTotalUeVM,IF(MONTH(Monat.Tag1)=7,June!Monat.PTotalUeVM,IF(MONTH(Monat.Tag1)=8,July!Monat.PTotalUeVM,IF(MONTH(Monat.Tag1)=9,August!Monat.PTotalUeVM,IF(MONTH(Monat.Tag1)=10,September!Monat.PTotalUeVM,IF(MONTH(Monat.Tag1)=11,October!Monat.PTotalUeVM,IF(MONTH(Monat.Tag1)=12,November!Monat.PTotalUeVM,"")))))))))))),"")</f>
        <v>0</v>
      </c>
      <c r="AM112" s="172"/>
      <c r="AN112" s="217" t="n">
        <f aca="false">AI112+AL112</f>
        <v>0</v>
      </c>
      <c r="AO112" s="267"/>
      <c r="AP112" s="267"/>
      <c r="AQ112" s="43"/>
    </row>
    <row r="113" s="148" customFormat="true" ht="11.25" hidden="false" customHeight="true" outlineLevel="0" collapsed="false">
      <c r="A113" s="268"/>
      <c r="B113" s="194"/>
      <c r="C113" s="194"/>
      <c r="D113" s="194"/>
      <c r="E113" s="194"/>
      <c r="F113" s="194"/>
      <c r="G113" s="194"/>
      <c r="H113" s="194"/>
      <c r="I113" s="194"/>
      <c r="J113" s="194"/>
      <c r="K113" s="194"/>
      <c r="L113" s="194"/>
      <c r="M113" s="194"/>
      <c r="N113" s="194"/>
      <c r="O113" s="194"/>
      <c r="P113" s="194"/>
      <c r="Q113" s="194"/>
      <c r="R113" s="194"/>
      <c r="S113" s="194"/>
      <c r="T113" s="194"/>
      <c r="U113" s="194"/>
      <c r="V113" s="194"/>
      <c r="W113" s="194"/>
      <c r="X113" s="194"/>
      <c r="Y113" s="194"/>
      <c r="Z113" s="194"/>
      <c r="AA113" s="194"/>
      <c r="AB113" s="194"/>
      <c r="AC113" s="194"/>
      <c r="AD113" s="194"/>
      <c r="AE113" s="194"/>
      <c r="AF113" s="194"/>
      <c r="AG113" s="269"/>
      <c r="AH113" s="263"/>
      <c r="AI113" s="194"/>
      <c r="AJ113" s="16"/>
      <c r="AK113" s="194"/>
      <c r="AL113" s="194"/>
      <c r="AM113" s="194"/>
      <c r="AN113" s="50"/>
      <c r="AO113" s="194"/>
      <c r="AP113" s="194"/>
      <c r="AQ113" s="39"/>
    </row>
    <row r="114" s="148" customFormat="true" ht="15" hidden="true" customHeight="true" outlineLevel="1" collapsed="false">
      <c r="A114" s="181" t="s">
        <v>178</v>
      </c>
      <c r="B114" s="213" t="n">
        <f aca="false">ROUND((B23+B45+B91)-SUMPRODUCT((B97:B111)*(EB.Projektart.Bereich=6)),9)</f>
        <v>0</v>
      </c>
      <c r="C114" s="213" t="n">
        <f aca="false">ROUND((C23+C45+C91)-SUMPRODUCT((C97:C111)*(EB.Projektart.Bereich=6)),9)</f>
        <v>0</v>
      </c>
      <c r="D114" s="213" t="n">
        <f aca="false">ROUND((D23+D45+D91)-SUMPRODUCT((D97:D111)*(EB.Projektart.Bereich=6)),9)</f>
        <v>0</v>
      </c>
      <c r="E114" s="213" t="n">
        <f aca="false">ROUND((E23+E45+E91)-SUMPRODUCT((E97:E111)*(EB.Projektart.Bereich=6)),9)</f>
        <v>0</v>
      </c>
      <c r="F114" s="213" t="n">
        <f aca="false">ROUND((F23+F45+F91)-SUMPRODUCT((F97:F111)*(EB.Projektart.Bereich=6)),9)</f>
        <v>0</v>
      </c>
      <c r="G114" s="213" t="n">
        <f aca="false">ROUND((G23+G45+G91)-SUMPRODUCT((G97:G111)*(EB.Projektart.Bereich=6)),9)</f>
        <v>0</v>
      </c>
      <c r="H114" s="213" t="n">
        <f aca="false">ROUND((H23+H45+H91)-SUMPRODUCT((H97:H111)*(EB.Projektart.Bereich=6)),9)</f>
        <v>0</v>
      </c>
      <c r="I114" s="213" t="n">
        <f aca="false">ROUND((I23+I45+I91)-SUMPRODUCT((I97:I111)*(EB.Projektart.Bereich=6)),9)</f>
        <v>0</v>
      </c>
      <c r="J114" s="213" t="n">
        <f aca="false">ROUND((J23+J45+J91)-SUMPRODUCT((J97:J111)*(EB.Projektart.Bereich=6)),9)</f>
        <v>0</v>
      </c>
      <c r="K114" s="213" t="n">
        <f aca="false">ROUND((K23+K45+K91)-SUMPRODUCT((K97:K111)*(EB.Projektart.Bereich=6)),9)</f>
        <v>0</v>
      </c>
      <c r="L114" s="213" t="n">
        <f aca="false">ROUND((L23+L45+L91)-SUMPRODUCT((L97:L111)*(EB.Projektart.Bereich=6)),9)</f>
        <v>0</v>
      </c>
      <c r="M114" s="213" t="n">
        <f aca="false">ROUND((M23+M45+M91)-SUMPRODUCT((M97:M111)*(EB.Projektart.Bereich=6)),9)</f>
        <v>0</v>
      </c>
      <c r="N114" s="213" t="n">
        <f aca="false">ROUND((N23+N45+N91)-SUMPRODUCT((N97:N111)*(EB.Projektart.Bereich=6)),9)</f>
        <v>0</v>
      </c>
      <c r="O114" s="213" t="n">
        <f aca="false">ROUND((O23+O45+O91)-SUMPRODUCT((O97:O111)*(EB.Projektart.Bereich=6)),9)</f>
        <v>0</v>
      </c>
      <c r="P114" s="213" t="n">
        <f aca="false">ROUND((P23+P45+P91)-SUMPRODUCT((P97:P111)*(EB.Projektart.Bereich=6)),9)</f>
        <v>0</v>
      </c>
      <c r="Q114" s="213" t="n">
        <f aca="false">ROUND((Q23+Q45+Q91)-SUMPRODUCT((Q97:Q111)*(EB.Projektart.Bereich=6)),9)</f>
        <v>0</v>
      </c>
      <c r="R114" s="213" t="n">
        <f aca="false">ROUND((R23+R45+R91)-SUMPRODUCT((R97:R111)*(EB.Projektart.Bereich=6)),9)</f>
        <v>0</v>
      </c>
      <c r="S114" s="213" t="n">
        <f aca="false">ROUND((S23+S45+S91)-SUMPRODUCT((S97:S111)*(EB.Projektart.Bereich=6)),9)</f>
        <v>0</v>
      </c>
      <c r="T114" s="213" t="n">
        <f aca="false">ROUND((T23+T45+T91)-SUMPRODUCT((T97:T111)*(EB.Projektart.Bereich=6)),9)</f>
        <v>0</v>
      </c>
      <c r="U114" s="213" t="n">
        <f aca="false">ROUND((U23+U45+U91)-SUMPRODUCT((U97:U111)*(EB.Projektart.Bereich=6)),9)</f>
        <v>0</v>
      </c>
      <c r="V114" s="213" t="n">
        <f aca="false">ROUND((V23+V45+V91)-SUMPRODUCT((V97:V111)*(EB.Projektart.Bereich=6)),9)</f>
        <v>0</v>
      </c>
      <c r="W114" s="213" t="n">
        <f aca="false">ROUND((W23+W45+W91)-SUMPRODUCT((W97:W111)*(EB.Projektart.Bereich=6)),9)</f>
        <v>0</v>
      </c>
      <c r="X114" s="213" t="n">
        <f aca="false">ROUND((X23+X45+X91)-SUMPRODUCT((X97:X111)*(EB.Projektart.Bereich=6)),9)</f>
        <v>0</v>
      </c>
      <c r="Y114" s="213" t="n">
        <f aca="false">ROUND((Y23+Y45+Y91)-SUMPRODUCT((Y97:Y111)*(EB.Projektart.Bereich=6)),9)</f>
        <v>0</v>
      </c>
      <c r="Z114" s="213" t="n">
        <f aca="false">ROUND((Z23+Z45+Z91)-SUMPRODUCT((Z97:Z111)*(EB.Projektart.Bereich=6)),9)</f>
        <v>0</v>
      </c>
      <c r="AA114" s="213" t="n">
        <f aca="false">ROUND((AA23+AA45+AA91)-SUMPRODUCT((AA97:AA111)*(EB.Projektart.Bereich=6)),9)</f>
        <v>0</v>
      </c>
      <c r="AB114" s="213" t="n">
        <f aca="false">ROUND((AB23+AB45+AB91)-SUMPRODUCT((AB97:AB111)*(EB.Projektart.Bereich=6)),9)</f>
        <v>0</v>
      </c>
      <c r="AC114" s="213" t="n">
        <f aca="false">ROUND((AC23+AC45+AC91)-SUMPRODUCT((AC97:AC111)*(EB.Projektart.Bereich=6)),9)</f>
        <v>0</v>
      </c>
      <c r="AD114" s="213" t="n">
        <f aca="false">ROUND((AD23+AD45+AD91)-SUMPRODUCT((AD97:AD111)*(EB.Projektart.Bereich=6)),9)</f>
        <v>0</v>
      </c>
      <c r="AE114" s="213" t="n">
        <f aca="false">ROUND((AE23+AE45+AE91)-SUMPRODUCT((AE97:AE111)*(EB.Projektart.Bereich=6)),9)</f>
        <v>0</v>
      </c>
      <c r="AF114" s="213" t="n">
        <f aca="false">ROUND((AF23+AF45+AF91)-SUMPRODUCT((AF97:AF111)*(EB.Projektart.Bereich=6)),9)</f>
        <v>0</v>
      </c>
      <c r="AG114" s="183" t="str">
        <f aca="false">A114</f>
        <v>Difference WH-Project type 6</v>
      </c>
      <c r="AH114" s="197"/>
      <c r="AI114" s="207" t="n">
        <f aca="false">SUM(B114:AF114)</f>
        <v>0</v>
      </c>
      <c r="AJ114" s="33"/>
      <c r="AK114" s="235"/>
      <c r="AL114" s="216" t="n">
        <f aca="false">IF(EB.Anwendung&lt;&gt;"",IF(MONTH(Monat.Tag1)=1,0,IF(MONTH(Monat.Tag1)=2,January!Monat.PDiffUeVM,IF(MONTH(Monat.Tag1)=3,February!Monat.PDiffUeVM,IF(MONTH(Monat.Tag1)=4,Monat.PDiffUeVM,IF(MONTH(Monat.Tag1)=5,April!Monat.PDiffUeVM,IF(MONTH(Monat.Tag1)=6,May!Monat.PDiffUeVM,IF(MONTH(Monat.Tag1)=7,June!Monat.PDiffUeVM,IF(MONTH(Monat.Tag1)=8,July!Monat.PDiffUeVM,IF(MONTH(Monat.Tag1)=9,August!Monat.PDiffUeVM,IF(MONTH(Monat.Tag1)=10,September!Monat.PDiffUeVM,IF(MONTH(Monat.Tag1)=11,October!Monat.PDiffUeVM,IF(MONTH(Monat.Tag1)=12,November!Monat.PDiffUeVM,"")))))))))))),"")</f>
        <v>0</v>
      </c>
      <c r="AM114" s="235"/>
      <c r="AN114" s="217" t="n">
        <f aca="false">AI114+AL114</f>
        <v>0</v>
      </c>
      <c r="AO114" s="235"/>
      <c r="AP114" s="235"/>
      <c r="AQ114" s="39"/>
    </row>
    <row r="115" customFormat="false" ht="11.25" hidden="true" customHeight="true" outlineLevel="1" collapsed="false">
      <c r="A115" s="43"/>
      <c r="B115" s="270"/>
      <c r="C115" s="270"/>
      <c r="D115" s="270"/>
      <c r="E115" s="270"/>
      <c r="F115" s="270"/>
      <c r="G115" s="270"/>
      <c r="H115" s="270"/>
      <c r="I115" s="270"/>
      <c r="J115" s="271"/>
      <c r="K115" s="270"/>
      <c r="L115" s="270"/>
      <c r="M115" s="270"/>
      <c r="N115" s="270"/>
      <c r="O115" s="270"/>
      <c r="P115" s="270"/>
      <c r="Q115" s="270"/>
      <c r="R115" s="270"/>
      <c r="S115" s="270"/>
      <c r="T115" s="270"/>
      <c r="U115" s="270"/>
      <c r="V115" s="270"/>
      <c r="W115" s="270"/>
      <c r="X115" s="270"/>
      <c r="Y115" s="270"/>
      <c r="Z115" s="270"/>
      <c r="AA115" s="270"/>
      <c r="AB115" s="270"/>
      <c r="AC115" s="270"/>
      <c r="AD115" s="270"/>
      <c r="AE115" s="270"/>
      <c r="AF115" s="270"/>
      <c r="AG115" s="272"/>
      <c r="AH115" s="273"/>
      <c r="AI115" s="43"/>
      <c r="AJ115" s="43"/>
      <c r="AK115" s="43"/>
      <c r="AL115" s="43"/>
      <c r="AM115" s="43"/>
      <c r="AN115" s="274"/>
      <c r="AO115" s="43"/>
      <c r="AP115" s="43"/>
      <c r="AQ115" s="43"/>
    </row>
    <row r="116" customFormat="false" ht="11.25" hidden="false" customHeight="true" outlineLevel="0" collapsed="false">
      <c r="A116" s="43"/>
      <c r="B116" s="270"/>
      <c r="C116" s="270"/>
      <c r="D116" s="270"/>
      <c r="E116" s="270"/>
      <c r="F116" s="270"/>
      <c r="G116" s="270"/>
      <c r="H116" s="270"/>
      <c r="I116" s="270"/>
      <c r="J116" s="270"/>
      <c r="K116" s="270"/>
      <c r="L116" s="270"/>
      <c r="M116" s="270"/>
      <c r="N116" s="270"/>
      <c r="O116" s="270"/>
      <c r="P116" s="270"/>
      <c r="Q116" s="270"/>
      <c r="R116" s="270"/>
      <c r="S116" s="270"/>
      <c r="T116" s="270"/>
      <c r="U116" s="270"/>
      <c r="V116" s="270"/>
      <c r="W116" s="270"/>
      <c r="X116" s="270"/>
      <c r="Y116" s="270"/>
      <c r="Z116" s="270"/>
      <c r="AA116" s="270"/>
      <c r="AB116" s="270"/>
      <c r="AC116" s="270"/>
      <c r="AD116" s="270"/>
      <c r="AE116" s="270"/>
      <c r="AF116" s="270"/>
      <c r="AG116" s="272"/>
      <c r="AH116" s="273"/>
      <c r="AI116" s="43"/>
      <c r="AJ116" s="43"/>
      <c r="AK116" s="43"/>
      <c r="AL116" s="43"/>
      <c r="AM116" s="43"/>
      <c r="AN116" s="274"/>
      <c r="AO116" s="43"/>
      <c r="AP116" s="43"/>
      <c r="AQ116" s="43"/>
    </row>
    <row r="117" customFormat="false" ht="12" hidden="false" customHeight="true" outlineLevel="0" collapsed="false">
      <c r="A117" s="43"/>
      <c r="B117" s="275" t="s">
        <v>179</v>
      </c>
      <c r="C117" s="275"/>
      <c r="D117" s="275"/>
      <c r="E117" s="275"/>
      <c r="F117" s="275"/>
      <c r="G117" s="275"/>
      <c r="H117" s="275"/>
      <c r="I117" s="275"/>
      <c r="J117" s="275"/>
      <c r="K117" s="275"/>
      <c r="L117" s="275"/>
      <c r="M117" s="275"/>
      <c r="N117" s="275"/>
      <c r="O117" s="275"/>
      <c r="P117" s="275"/>
      <c r="Q117" s="275"/>
      <c r="R117" s="276"/>
      <c r="S117" s="276"/>
      <c r="T117" s="276"/>
      <c r="U117" s="276"/>
      <c r="V117" s="276"/>
      <c r="W117" s="276"/>
      <c r="X117" s="276"/>
      <c r="Y117" s="276"/>
      <c r="Z117" s="276"/>
      <c r="AA117" s="276"/>
      <c r="AB117" s="276"/>
      <c r="AC117" s="276"/>
      <c r="AD117" s="276"/>
      <c r="AE117" s="276"/>
      <c r="AF117" s="276"/>
      <c r="AG117" s="277"/>
      <c r="AH117" s="278"/>
      <c r="AI117" s="276"/>
      <c r="AJ117" s="276"/>
      <c r="AK117" s="276"/>
      <c r="AL117" s="276"/>
      <c r="AM117" s="276"/>
      <c r="AN117" s="279"/>
      <c r="AO117" s="265"/>
      <c r="AP117" s="265"/>
      <c r="AQ117" s="43"/>
    </row>
    <row r="118" customFormat="false" ht="11.25" hidden="false" customHeight="true" outlineLevel="0" collapsed="false">
      <c r="A118" s="280"/>
      <c r="B118" s="280"/>
      <c r="C118" s="280"/>
      <c r="D118" s="280"/>
      <c r="E118" s="280"/>
      <c r="F118" s="280"/>
      <c r="G118" s="280"/>
      <c r="H118" s="280"/>
      <c r="I118" s="280"/>
      <c r="J118" s="280"/>
      <c r="K118" s="280"/>
      <c r="L118" s="280"/>
      <c r="M118" s="276"/>
      <c r="N118" s="276"/>
      <c r="O118" s="276"/>
      <c r="P118" s="276"/>
      <c r="Q118" s="276"/>
      <c r="R118" s="276"/>
      <c r="S118" s="276"/>
      <c r="T118" s="276"/>
      <c r="U118" s="276"/>
      <c r="V118" s="276"/>
      <c r="W118" s="276"/>
      <c r="X118" s="276"/>
      <c r="Y118" s="276"/>
      <c r="Z118" s="276"/>
      <c r="AA118" s="276"/>
      <c r="AB118" s="276"/>
      <c r="AC118" s="276"/>
      <c r="AD118" s="276"/>
      <c r="AE118" s="276"/>
      <c r="AF118" s="276"/>
      <c r="AG118" s="276"/>
      <c r="AH118" s="276"/>
      <c r="AI118" s="276"/>
      <c r="AJ118" s="276"/>
      <c r="AK118" s="276"/>
      <c r="AL118" s="276"/>
      <c r="AM118" s="276"/>
      <c r="AN118" s="276"/>
      <c r="AO118" s="276"/>
      <c r="AP118" s="276"/>
      <c r="AQ118" s="43"/>
    </row>
    <row r="119" customFormat="false" ht="39" hidden="false" customHeight="true" outlineLevel="0" collapsed="false">
      <c r="A119" s="55" t="s">
        <v>180</v>
      </c>
      <c r="B119" s="281"/>
      <c r="C119" s="281"/>
      <c r="D119" s="281"/>
      <c r="E119" s="281"/>
      <c r="F119" s="281"/>
      <c r="G119" s="281"/>
      <c r="H119" s="281"/>
      <c r="I119" s="281"/>
      <c r="J119" s="281"/>
      <c r="K119" s="281"/>
      <c r="L119" s="281"/>
      <c r="M119" s="281"/>
      <c r="N119" s="281"/>
      <c r="O119" s="281"/>
      <c r="P119" s="281"/>
      <c r="Q119" s="281"/>
      <c r="R119" s="276"/>
      <c r="S119" s="276"/>
      <c r="T119" s="276"/>
      <c r="U119" s="276"/>
      <c r="V119" s="276"/>
      <c r="W119" s="276"/>
      <c r="X119" s="276"/>
      <c r="Y119" s="282"/>
      <c r="Z119" s="282"/>
      <c r="AA119" s="282"/>
      <c r="AB119" s="282"/>
      <c r="AC119" s="282"/>
      <c r="AD119" s="282"/>
      <c r="AE119" s="282"/>
      <c r="AF119" s="282"/>
      <c r="AG119" s="283"/>
      <c r="AH119" s="283"/>
      <c r="AI119" s="283"/>
      <c r="AJ119" s="283"/>
      <c r="AK119" s="265"/>
      <c r="AL119" s="265"/>
      <c r="AM119" s="265"/>
      <c r="AN119" s="284"/>
      <c r="AO119" s="265"/>
      <c r="AP119" s="265"/>
      <c r="AQ119" s="43"/>
    </row>
    <row r="120" customFormat="false" ht="12" hidden="false" customHeight="true" outlineLevel="0" collapsed="false">
      <c r="A120" s="285" t="s">
        <v>181</v>
      </c>
      <c r="B120" s="286"/>
      <c r="C120" s="286"/>
      <c r="D120" s="286"/>
      <c r="E120" s="286"/>
      <c r="F120" s="286"/>
      <c r="G120" s="286"/>
      <c r="H120" s="286"/>
      <c r="I120" s="286"/>
      <c r="J120" s="286"/>
      <c r="K120" s="286"/>
      <c r="L120" s="286"/>
      <c r="M120" s="286"/>
      <c r="N120" s="286"/>
      <c r="O120" s="286"/>
      <c r="P120" s="286"/>
      <c r="Q120" s="286"/>
      <c r="R120" s="276"/>
      <c r="S120" s="276"/>
      <c r="T120" s="287" t="s">
        <v>182</v>
      </c>
      <c r="U120" s="287"/>
      <c r="V120" s="287"/>
      <c r="W120" s="287"/>
      <c r="X120" s="287"/>
      <c r="Y120" s="282"/>
      <c r="Z120" s="282"/>
      <c r="AA120" s="282"/>
      <c r="AB120" s="282"/>
      <c r="AC120" s="282"/>
      <c r="AD120" s="282"/>
      <c r="AE120" s="282"/>
      <c r="AF120" s="282"/>
      <c r="AG120" s="283"/>
      <c r="AH120" s="283"/>
      <c r="AI120" s="283"/>
      <c r="AJ120" s="283"/>
      <c r="AK120" s="43"/>
      <c r="AL120" s="43"/>
      <c r="AM120" s="43"/>
      <c r="AN120" s="274"/>
      <c r="AO120" s="43"/>
      <c r="AP120" s="43"/>
      <c r="AQ120" s="43"/>
    </row>
    <row r="121" customFormat="false" ht="11.25" hidden="false" customHeight="true" outlineLevel="0" collapsed="false">
      <c r="A121" s="288"/>
      <c r="B121" s="289"/>
      <c r="C121" s="289"/>
      <c r="D121" s="289"/>
      <c r="E121" s="289"/>
      <c r="F121" s="289"/>
      <c r="G121" s="289"/>
      <c r="H121" s="289"/>
      <c r="I121" s="289"/>
      <c r="J121" s="289"/>
      <c r="K121" s="289"/>
      <c r="L121" s="289"/>
      <c r="M121" s="270"/>
      <c r="N121" s="270"/>
      <c r="O121" s="270"/>
      <c r="P121" s="270"/>
      <c r="Q121" s="270"/>
      <c r="R121" s="270"/>
      <c r="S121" s="276"/>
      <c r="T121" s="270"/>
      <c r="U121" s="270"/>
      <c r="V121" s="270"/>
      <c r="W121" s="270"/>
      <c r="X121" s="270"/>
      <c r="Y121" s="270"/>
      <c r="Z121" s="270"/>
      <c r="AA121" s="270"/>
      <c r="AB121" s="270"/>
      <c r="AC121" s="270"/>
      <c r="AD121" s="270"/>
      <c r="AE121" s="270"/>
      <c r="AF121" s="270"/>
      <c r="AG121" s="272"/>
      <c r="AH121" s="273"/>
      <c r="AI121" s="43"/>
      <c r="AJ121" s="43"/>
      <c r="AK121" s="43"/>
      <c r="AL121" s="43"/>
      <c r="AM121" s="43"/>
      <c r="AN121" s="274"/>
      <c r="AO121" s="43"/>
      <c r="AP121" s="43"/>
      <c r="AQ121" s="43"/>
    </row>
    <row r="122" customFormat="false" ht="12" hidden="false" customHeight="true" outlineLevel="0" collapsed="false">
      <c r="A122" s="43"/>
      <c r="B122" s="290" t="s">
        <v>183</v>
      </c>
      <c r="C122" s="290"/>
      <c r="D122" s="290"/>
      <c r="E122" s="290"/>
      <c r="F122" s="290"/>
      <c r="G122" s="290"/>
      <c r="H122" s="290"/>
      <c r="I122" s="290"/>
      <c r="J122" s="290"/>
      <c r="K122" s="290"/>
      <c r="L122" s="290"/>
      <c r="M122" s="290"/>
      <c r="N122" s="290"/>
      <c r="O122" s="290"/>
      <c r="P122" s="290"/>
      <c r="Q122" s="290"/>
      <c r="R122" s="270"/>
      <c r="S122" s="270"/>
      <c r="T122" s="270"/>
      <c r="U122" s="270"/>
      <c r="V122" s="270"/>
      <c r="W122" s="270"/>
      <c r="X122" s="270"/>
      <c r="Y122" s="270"/>
      <c r="Z122" s="270"/>
      <c r="AA122" s="270"/>
      <c r="AB122" s="270"/>
      <c r="AC122" s="270"/>
      <c r="AD122" s="270"/>
      <c r="AE122" s="270"/>
      <c r="AF122" s="270"/>
      <c r="AG122" s="272"/>
      <c r="AH122" s="273"/>
      <c r="AI122" s="43"/>
      <c r="AJ122" s="43"/>
      <c r="AK122" s="43"/>
      <c r="AL122" s="43"/>
      <c r="AM122" s="43"/>
      <c r="AN122" s="274"/>
      <c r="AO122" s="43"/>
      <c r="AP122" s="43"/>
      <c r="AQ122" s="43"/>
    </row>
    <row r="123" customFormat="false" ht="11.25" hidden="false" customHeight="true" outlineLevel="0" collapsed="false">
      <c r="A123" s="43"/>
      <c r="B123" s="270"/>
      <c r="C123" s="270"/>
      <c r="D123" s="270"/>
      <c r="E123" s="270"/>
      <c r="F123" s="270"/>
      <c r="G123" s="270"/>
      <c r="H123" s="270"/>
      <c r="I123" s="270"/>
      <c r="J123" s="270"/>
      <c r="K123" s="270"/>
      <c r="L123" s="270"/>
      <c r="M123" s="270"/>
      <c r="N123" s="270"/>
      <c r="O123" s="270"/>
      <c r="P123" s="270"/>
      <c r="Q123" s="270"/>
      <c r="R123" s="270"/>
      <c r="S123" s="270"/>
      <c r="T123" s="270"/>
      <c r="U123" s="270"/>
      <c r="V123" s="270"/>
      <c r="W123" s="270"/>
      <c r="X123" s="270"/>
      <c r="Y123" s="270"/>
      <c r="Z123" s="270"/>
      <c r="AA123" s="270"/>
      <c r="AB123" s="270"/>
      <c r="AC123" s="270"/>
      <c r="AD123" s="270"/>
      <c r="AE123" s="270"/>
      <c r="AF123" s="270"/>
      <c r="AG123" s="272"/>
      <c r="AH123" s="273"/>
      <c r="AI123" s="43"/>
      <c r="AJ123" s="43"/>
      <c r="AK123" s="43"/>
      <c r="AL123" s="43"/>
      <c r="AM123" s="43"/>
      <c r="AN123" s="274"/>
      <c r="AO123" s="43"/>
      <c r="AP123" s="43"/>
      <c r="AQ123" s="43"/>
    </row>
    <row r="124" customFormat="false" ht="11.25" hidden="false" customHeight="true" outlineLevel="0" collapsed="false">
      <c r="A124" s="276"/>
      <c r="B124" s="276"/>
      <c r="C124" s="276"/>
      <c r="D124" s="276"/>
      <c r="E124" s="276"/>
      <c r="F124" s="276"/>
      <c r="G124" s="276"/>
      <c r="H124" s="276"/>
      <c r="I124" s="276"/>
      <c r="J124" s="276"/>
      <c r="K124" s="276"/>
      <c r="L124" s="276"/>
      <c r="M124" s="276"/>
      <c r="N124" s="276"/>
      <c r="O124" s="276"/>
      <c r="P124" s="276"/>
      <c r="Q124" s="276"/>
      <c r="R124" s="276"/>
      <c r="S124" s="276"/>
      <c r="T124" s="276"/>
      <c r="U124" s="276"/>
      <c r="V124" s="276"/>
      <c r="W124" s="276"/>
      <c r="X124" s="276"/>
      <c r="Y124" s="276"/>
      <c r="Z124" s="276"/>
      <c r="AA124" s="276"/>
      <c r="AB124" s="276"/>
      <c r="AC124" s="276"/>
      <c r="AD124" s="276"/>
      <c r="AE124" s="276"/>
      <c r="AF124" s="276"/>
      <c r="AG124" s="276"/>
      <c r="AH124" s="276"/>
      <c r="AI124" s="276"/>
      <c r="AJ124" s="276"/>
      <c r="AK124" s="276"/>
      <c r="AL124" s="276"/>
      <c r="AM124" s="276"/>
      <c r="AN124" s="276"/>
      <c r="AO124" s="276"/>
      <c r="AP124" s="276"/>
      <c r="AQ124" s="43"/>
    </row>
  </sheetData>
  <sheetProtection sheet="true" objects="true" scenarios="true"/>
  <mergeCells count="25">
    <mergeCell ref="B1:L1"/>
    <mergeCell ref="AO1:AP1"/>
    <mergeCell ref="B2:E2"/>
    <mergeCell ref="F2:N2"/>
    <mergeCell ref="P2:U2"/>
    <mergeCell ref="B3:E3"/>
    <mergeCell ref="F3:N3"/>
    <mergeCell ref="P3:U3"/>
    <mergeCell ref="B4:E4"/>
    <mergeCell ref="F4:N4"/>
    <mergeCell ref="P4:U4"/>
    <mergeCell ref="B5:E5"/>
    <mergeCell ref="F5:N5"/>
    <mergeCell ref="B6:E6"/>
    <mergeCell ref="F6:N6"/>
    <mergeCell ref="B7:E7"/>
    <mergeCell ref="F7:N7"/>
    <mergeCell ref="AH10:AI10"/>
    <mergeCell ref="AO10:AP10"/>
    <mergeCell ref="B117:Q117"/>
    <mergeCell ref="B119:Q119"/>
    <mergeCell ref="Y119:AF120"/>
    <mergeCell ref="B120:Q120"/>
    <mergeCell ref="T120:X120"/>
    <mergeCell ref="B122:Q122"/>
  </mergeCells>
  <conditionalFormatting sqref="B114:AF114 AI114">
    <cfRule type="expression" priority="2" aboveAverage="0" equalAverage="0" bottom="0" percent="0" rank="0" text="" dxfId="0">
      <formula>ABS(B$114)&gt;=ROUND(1/24/60,9)</formula>
    </cfRule>
  </conditionalFormatting>
  <conditionalFormatting sqref="B13:AF22 B34:AF44 B25:AF30 B60:AF61 B67:AF67 B71:AF72 B84:AF84 B86:AF95 B97:AF111">
    <cfRule type="expression" priority="3" aboveAverage="0" equalAverage="0" bottom="0" percent="0" rank="0" text="" dxfId="1">
      <formula>WEEKDAY(B$10,2)&gt;5</formula>
    </cfRule>
    <cfRule type="expression" priority="4" aboveAverage="0" equalAverage="0" bottom="0" percent="0" rank="0" text="" dxfId="2">
      <formula>AND(NOT(ISERROR(MATCH(B$10,T.Feiertage.Bereich,0))),OFFSET(T.Feiertage.Bereich,MATCH(B$10,T.Feiertage.Bereich,0)-1,1,1,1)&gt;0)</formula>
    </cfRule>
    <cfRule type="expression" priority="5" aboveAverage="0" equalAverage="0" bottom="0" percent="0" rank="0" text="" dxfId="3">
      <formula>B$11=0</formula>
    </cfRule>
  </conditionalFormatting>
  <conditionalFormatting sqref="AN60:AO60">
    <cfRule type="expression" priority="6" aboveAverage="0" equalAverage="0" bottom="0" percent="0" rank="0" text="" dxfId="4">
      <formula>AND(T.50_Vetsuisse,AN60&gt;=T.GrenzeAngÜZ50_Vetsuisse)</formula>
    </cfRule>
    <cfRule type="expression" priority="7" aboveAverage="0" equalAverage="0" bottom="0" percent="0" rank="0" text="" dxfId="5">
      <formula>AND(T.50_Vetsuisse,AN60&gt;T.GrenzeAngÜZ50_Vetsuisse*T.AngÜZ50_Vetsuisse_orange)</formula>
    </cfRule>
  </conditionalFormatting>
  <conditionalFormatting sqref="B56:AF56">
    <cfRule type="expression" priority="8" aboveAverage="0" equalAverage="0" bottom="0" percent="0" rank="0" text="" dxfId="6">
      <formula>B$10&gt;TODAY()</formula>
    </cfRule>
    <cfRule type="expression" priority="9" aboveAverage="0" equalAverage="0" bottom="0" percent="0" rank="0" text="" dxfId="7">
      <formula>B$56&gt;99.99/24</formula>
    </cfRule>
    <cfRule type="expression" priority="10" aboveAverage="0" equalAverage="0" bottom="0" percent="0" rank="0" text="" dxfId="0">
      <formula>B$56&lt;99.99/24*-1</formula>
    </cfRule>
  </conditionalFormatting>
  <conditionalFormatting sqref="AO55:AP55">
    <cfRule type="cellIs" priority="11" operator="greaterThan" aboveAverage="0" equalAverage="0" bottom="0" percent="0" rank="0" text="" dxfId="1">
      <formula>1/24/60</formula>
    </cfRule>
    <cfRule type="expression" priority="12" aboveAverage="0" equalAverage="0" bottom="0" percent="0" rank="0" text="" dxfId="2">
      <formula>AND(AO55&lt;=1/24/60*-1,TODAY()&gt;=DATE(EB.Jahr,MONTH(12),DAY(31)))</formula>
    </cfRule>
  </conditionalFormatting>
  <conditionalFormatting sqref="B56:AF56 AI58">
    <cfRule type="expression" priority="13" aboveAverage="0" equalAverage="0" bottom="0" percent="0" rank="0" text="" dxfId="3">
      <formula>B$56&gt;1/24/60</formula>
    </cfRule>
    <cfRule type="expression" priority="14" aboveAverage="0" equalAverage="0" bottom="0" percent="0" rank="0" text="" dxfId="4">
      <formula>AND(B$56&lt;=1/24/60*-1,B$56)</formula>
    </cfRule>
  </conditionalFormatting>
  <conditionalFormatting sqref="B14:AF22 B36:AF44 B26:AF30">
    <cfRule type="expression" priority="15" aboveAverage="0" equalAverage="0" bottom="0" percent="0" rank="0" text="" dxfId="5">
      <formula>AND(B14&lt;B13,B14&lt;&gt;"")</formula>
    </cfRule>
  </conditionalFormatting>
  <conditionalFormatting sqref="B72:AF73">
    <cfRule type="expression" priority="16" aboveAverage="0" equalAverage="0" bottom="0" percent="0" rank="0" text="" dxfId="6">
      <formula>AND(T.50_Vetsuisse,OR(AND(B$72&lt;&gt;INDEX(T.JaNein.Bereich,1,1),B$72&lt;&gt;INDEX(T.JaNein.Bereich,2,1),B$73&lt;&gt;0,MOD(IFERROR(MATCH(1,B$13:B$22,0),1),2)=0),AND(B$72=INDEX(T.JaNein.Bereich,1,1),OR(B$73=0,MOD(IFERROR(MATCH(1,B$13:B$22,0),1),2)&lt;&gt;0))))</formula>
    </cfRule>
  </conditionalFormatting>
  <conditionalFormatting sqref="P4:U4">
    <cfRule type="expression" priority="17" aboveAverage="0" equalAverage="0" bottom="0" percent="0" rank="0" text="" dxfId="7">
      <formula>$P$4&lt;&gt;""</formula>
    </cfRule>
  </conditionalFormatting>
  <conditionalFormatting sqref="V4">
    <cfRule type="expression" priority="18" aboveAverage="0" equalAverage="0" bottom="0" percent="0" rank="0" text="" dxfId="8">
      <formula>$V$4&lt;&gt;""</formula>
    </cfRule>
  </conditionalFormatting>
  <conditionalFormatting sqref="AP60">
    <cfRule type="expression" priority="19" aboveAverage="0" equalAverage="0" bottom="0" percent="0" rank="0" text="" dxfId="9">
      <formula>AND(T.50_Vetsuisse,AP60&gt;=T.GrenzeAngÜZ50_Vetsuisse)</formula>
    </cfRule>
    <cfRule type="expression" priority="20" aboveAverage="0" equalAverage="0" bottom="0" percent="0" rank="0" text="" dxfId="10">
      <formula>AND(T.50_Vetsuisse,AP60&gt;T.GrenzeAngÜZ50_Vetsuisse*T.AngÜZ50_Vetsuisse_orange)</formula>
    </cfRule>
  </conditionalFormatting>
  <conditionalFormatting sqref="AJ72:AJ73">
    <cfRule type="expression" priority="21" aboveAverage="0" equalAverage="0" bottom="0" percent="0" rank="0" text="" dxfId="11">
      <formula>AND(T.50_Vetsuisse,$AJ$72&lt;&gt;$AJ$73)</formula>
    </cfRule>
    <cfRule type="expression" priority="22" aboveAverage="0" equalAverage="0" bottom="0" percent="0" rank="0" text="" dxfId="12">
      <formula>$AJ$72&gt;$AJ$73</formula>
    </cfRule>
  </conditionalFormatting>
  <dataValidations count="2">
    <dataValidation allowBlank="true" error="Please choose a value from the drop-down list." errorTitle="Start pl. night shift" operator="between" showDropDown="false" showErrorMessage="true" showInputMessage="true" sqref="B72:AF72" type="list">
      <formula1>T.JaNein.Bereich</formula1>
      <formula2>0</formula2>
    </dataValidation>
    <dataValidation allowBlank="true" error="Bitte wählen Sie einen Wert aus der Liste." errorTitle="Pikett Bereitschaft" operator="between" showDropDown="false" showErrorMessage="true" showInputMessage="true" sqref="B34:AF34" type="list">
      <formula1>T.Pikett.Bereich</formula1>
      <formula2>0</formula2>
    </dataValidation>
  </dataValidations>
  <printOptions headings="false" gridLines="false" gridLinesSet="true" horizontalCentered="true" verticalCentered="false"/>
  <pageMargins left="0.196527777777778" right="0.196527777777778" top="0.39375" bottom="0.393055555555556" header="0.511805555555555" footer="0.196527777777778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&amp;L&amp;"Arial,Regular"&amp;11Monatsabrechnung &amp;A&amp;C&amp;"Arial,Regular"&amp;11&amp;D&amp;R&amp;"Arial,Regular"&amp;11&amp;P /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P124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" ySplit="10" topLeftCell="B11" activePane="bottomRight" state="frozen"/>
      <selection pane="topLeft" activeCell="A1" activeCellId="0" sqref="A1"/>
      <selection pane="topRight" activeCell="B1" activeCellId="0" sqref="B1"/>
      <selection pane="bottomLeft" activeCell="A11" activeCellId="0" sqref="A11"/>
      <selection pane="bottomRight" activeCell="Z5" activeCellId="0" sqref="Z5"/>
    </sheetView>
  </sheetViews>
  <sheetFormatPr defaultRowHeight="13" zeroHeight="false" outlineLevelRow="1" outlineLevelCol="1"/>
  <cols>
    <col collapsed="false" customWidth="true" hidden="false" outlineLevel="0" max="1" min="1" style="132" width="24.5"/>
    <col collapsed="false" customWidth="true" hidden="false" outlineLevel="0" max="31" min="2" style="132" width="5.66"/>
    <col collapsed="false" customWidth="true" hidden="false" outlineLevel="0" max="32" min="32" style="133" width="24.5"/>
    <col collapsed="false" customWidth="true" hidden="false" outlineLevel="0" max="33" min="33" style="134" width="2.17"/>
    <col collapsed="false" customWidth="true" hidden="false" outlineLevel="0" max="35" min="34" style="132" width="8.17"/>
    <col collapsed="false" customWidth="true" hidden="true" outlineLevel="1" max="36" min="36" style="132" width="15.83"/>
    <col collapsed="false" customWidth="true" hidden="true" outlineLevel="1" max="38" min="37" style="132" width="14.33"/>
    <col collapsed="false" customWidth="true" hidden="false" outlineLevel="0" max="39" min="39" style="135" width="9.5"/>
    <col collapsed="false" customWidth="true" hidden="false" outlineLevel="0" max="41" min="40" style="132" width="8.17"/>
    <col collapsed="false" customWidth="true" hidden="false" outlineLevel="0" max="42" min="42" style="132" width="3.66"/>
    <col collapsed="false" customWidth="true" hidden="false" outlineLevel="0" max="1025" min="43" style="0" width="10.66"/>
  </cols>
  <sheetData>
    <row r="1" s="142" customFormat="true" ht="22.5" hidden="false" customHeight="true" outlineLevel="0" collapsed="false">
      <c r="A1" s="136" t="str">
        <f aca="false">INDEX(EB.Monate.Bereich,MONTH(Monat.Tag1)) &amp; " " &amp; EB.Jahr</f>
        <v>April 2018</v>
      </c>
      <c r="B1" s="137" t="str">
        <f aca="false">Eingabeblatt!B1</f>
        <v>Employee Time Sheet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6"/>
      <c r="N1" s="6"/>
      <c r="O1" s="6"/>
      <c r="P1" s="6"/>
      <c r="Q1" s="6"/>
      <c r="R1" s="138"/>
      <c r="S1" s="6"/>
      <c r="T1" s="6"/>
      <c r="U1" s="6"/>
      <c r="V1" s="139"/>
      <c r="W1" s="139"/>
      <c r="X1" s="6"/>
      <c r="Y1" s="138"/>
      <c r="Z1" s="6"/>
      <c r="AA1" s="6"/>
      <c r="AB1" s="6"/>
      <c r="AC1" s="6"/>
      <c r="AD1" s="6"/>
      <c r="AE1" s="6"/>
      <c r="AF1" s="140"/>
      <c r="AG1" s="141"/>
      <c r="AH1" s="6"/>
      <c r="AI1" s="6"/>
      <c r="AJ1" s="6"/>
      <c r="AK1" s="6"/>
      <c r="AL1" s="6"/>
      <c r="AM1" s="7"/>
      <c r="AN1" s="7" t="str">
        <f aca="false">EB.Version</f>
        <v>Version 01.18</v>
      </c>
      <c r="AO1" s="7"/>
      <c r="AP1" s="8" t="str">
        <f aca="false">EB.Sprache</f>
        <v>EN</v>
      </c>
    </row>
    <row r="2" s="148" customFormat="true" ht="15" hidden="false" customHeight="true" outlineLevel="0" collapsed="false">
      <c r="A2" s="55"/>
      <c r="B2" s="11" t="str">
        <f aca="false">Eingabeblatt!A3</f>
        <v>Name</v>
      </c>
      <c r="C2" s="11"/>
      <c r="D2" s="11"/>
      <c r="E2" s="11"/>
      <c r="F2" s="143" t="str">
        <f aca="false">IF(EB.Name="","?",EB.Name)</f>
        <v>Christopher Gwilliams</v>
      </c>
      <c r="G2" s="143"/>
      <c r="H2" s="143"/>
      <c r="I2" s="143"/>
      <c r="J2" s="143"/>
      <c r="K2" s="143"/>
      <c r="L2" s="143"/>
      <c r="M2" s="143"/>
      <c r="N2" s="143"/>
      <c r="O2" s="144"/>
      <c r="P2" s="11" t="str">
        <f aca="false">Eingabeblatt!J7</f>
        <v>Employment Level (FTE) in %</v>
      </c>
      <c r="Q2" s="11"/>
      <c r="R2" s="11"/>
      <c r="S2" s="11"/>
      <c r="T2" s="11"/>
      <c r="U2" s="11"/>
      <c r="V2" s="58" t="n">
        <f aca="false">IF(INDEX(EB.EffBG.Bereich,MONTH(Monat.Tag1))="","-     ",INDEX(EB.EffBG.Bereich,MONTH(Monat.Tag1)))</f>
        <v>100</v>
      </c>
      <c r="W2" s="145"/>
      <c r="X2" s="145"/>
      <c r="Y2" s="16"/>
      <c r="Z2" s="39"/>
      <c r="AA2" s="39"/>
      <c r="AB2" s="39"/>
      <c r="AC2" s="39"/>
      <c r="AD2" s="39"/>
      <c r="AE2" s="39"/>
      <c r="AF2" s="13"/>
      <c r="AG2" s="146"/>
      <c r="AH2" s="39"/>
      <c r="AI2" s="39"/>
      <c r="AJ2" s="39"/>
      <c r="AK2" s="39"/>
      <c r="AL2" s="39"/>
      <c r="AM2" s="147"/>
      <c r="AN2" s="39"/>
      <c r="AO2" s="39"/>
      <c r="AP2" s="39"/>
    </row>
    <row r="3" s="148" customFormat="true" ht="15" hidden="false" customHeight="true" outlineLevel="0" collapsed="false">
      <c r="A3" s="149"/>
      <c r="B3" s="11" t="str">
        <f aca="false">Eingabeblatt!H2</f>
        <v>Function</v>
      </c>
      <c r="C3" s="11"/>
      <c r="D3" s="11"/>
      <c r="E3" s="11"/>
      <c r="F3" s="150" t="str">
        <f aca="false">EB.Funktion</f>
        <v>Description of Function</v>
      </c>
      <c r="G3" s="150"/>
      <c r="H3" s="150"/>
      <c r="I3" s="150"/>
      <c r="J3" s="150"/>
      <c r="K3" s="150"/>
      <c r="L3" s="150"/>
      <c r="M3" s="150"/>
      <c r="N3" s="150"/>
      <c r="O3" s="13"/>
      <c r="P3" s="11" t="str">
        <f aca="false">Eingabeblatt!J12</f>
        <v>ø Hours per day at FTE</v>
      </c>
      <c r="Q3" s="11"/>
      <c r="R3" s="11"/>
      <c r="S3" s="11"/>
      <c r="T3" s="11"/>
      <c r="U3" s="11"/>
      <c r="V3" s="151" t="n">
        <f aca="false">IF(INDEX(EB.DurchSollTAZStd.Bereich,MONTH(Monat.Tag1))="","-     ",INDEX(EB.DurchSollTAZStd.Bereich,MONTH(Monat.Tag1)))</f>
        <v>0.35</v>
      </c>
      <c r="W3" s="152"/>
      <c r="X3" s="152"/>
      <c r="Y3" s="39"/>
      <c r="Z3" s="39"/>
      <c r="AA3" s="39"/>
      <c r="AB3" s="39"/>
      <c r="AC3" s="39"/>
      <c r="AD3" s="39"/>
      <c r="AE3" s="39"/>
      <c r="AF3" s="13"/>
      <c r="AG3" s="146"/>
      <c r="AH3" s="39"/>
      <c r="AI3" s="39"/>
      <c r="AJ3" s="39"/>
      <c r="AK3" s="39"/>
      <c r="AL3" s="39"/>
      <c r="AM3" s="147"/>
      <c r="AN3" s="39"/>
      <c r="AO3" s="39"/>
      <c r="AP3" s="39"/>
    </row>
    <row r="4" s="148" customFormat="true" ht="15" hidden="false" customHeight="true" outlineLevel="0" collapsed="false">
      <c r="A4" s="149"/>
      <c r="B4" s="11" t="str">
        <f aca="false">Eingabeblatt!H3</f>
        <v>Institute/Department</v>
      </c>
      <c r="C4" s="11"/>
      <c r="D4" s="11"/>
      <c r="E4" s="11"/>
      <c r="F4" s="150" t="str">
        <f aca="false">EB.Institut</f>
        <v>Institute/Department Name</v>
      </c>
      <c r="G4" s="150"/>
      <c r="H4" s="150"/>
      <c r="I4" s="150"/>
      <c r="J4" s="150"/>
      <c r="K4" s="150"/>
      <c r="L4" s="150"/>
      <c r="M4" s="150"/>
      <c r="N4" s="150"/>
      <c r="O4" s="13"/>
      <c r="P4" s="47" t="str">
        <f aca="true">IF(EB.ÜZZSBerechtigt=INDEX(T.JaNein.Bereich,1,1),IF(AND(OR(AND(EB.LKgr16=INDEX(T.JaNein.Bereich,1,1),EB.LKgr16ab&gt;EOMONTH(Monat.Tag1,0)),EB.LKgr16&lt;&gt;INDEX(T.JaNein.Bereich,1,1)),Monat.AZSoll.Total&gt;0),Eingabeblatt!J6,""),"")</f>
        <v/>
      </c>
      <c r="Q4" s="47"/>
      <c r="R4" s="47"/>
      <c r="S4" s="47"/>
      <c r="T4" s="47"/>
      <c r="U4" s="47"/>
      <c r="V4" s="153" t="str">
        <f aca="false">IF(P4&lt;&gt;"",EB.ÜZZSBerechtigt,"")</f>
        <v/>
      </c>
      <c r="W4" s="39"/>
      <c r="X4" s="39"/>
      <c r="Y4" s="39"/>
      <c r="Z4" s="39"/>
      <c r="AA4" s="39"/>
      <c r="AB4" s="39"/>
      <c r="AC4" s="39"/>
      <c r="AD4" s="39"/>
      <c r="AE4" s="39"/>
      <c r="AF4" s="13"/>
      <c r="AG4" s="146"/>
      <c r="AH4" s="39"/>
      <c r="AI4" s="39"/>
      <c r="AJ4" s="39"/>
      <c r="AK4" s="39"/>
      <c r="AL4" s="39"/>
      <c r="AM4" s="147"/>
      <c r="AN4" s="39"/>
      <c r="AO4" s="39"/>
      <c r="AP4" s="39"/>
    </row>
    <row r="5" s="148" customFormat="true" ht="15" hidden="false" customHeight="true" outlineLevel="0" collapsed="false">
      <c r="A5" s="149"/>
      <c r="B5" s="11" t="str">
        <f aca="false">Eingabeblatt!A5</f>
        <v>Employee Number</v>
      </c>
      <c r="C5" s="11"/>
      <c r="D5" s="11"/>
      <c r="E5" s="11"/>
      <c r="F5" s="150" t="str">
        <f aca="false">IF(EB.Personalnummer="","?",EB.Personalnummer)</f>
        <v>?</v>
      </c>
      <c r="G5" s="150"/>
      <c r="H5" s="150"/>
      <c r="I5" s="150"/>
      <c r="J5" s="150"/>
      <c r="K5" s="150"/>
      <c r="L5" s="150"/>
      <c r="M5" s="150"/>
      <c r="N5" s="150"/>
      <c r="O5" s="13"/>
      <c r="P5" s="19" t="str">
        <f aca="false">Eingabeblatt!A38</f>
        <v>Standard working hours</v>
      </c>
      <c r="Q5" s="13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13"/>
      <c r="AG5" s="146"/>
      <c r="AH5" s="39"/>
      <c r="AI5" s="39"/>
      <c r="AJ5" s="39"/>
      <c r="AK5" s="39"/>
      <c r="AL5" s="39"/>
      <c r="AM5" s="147"/>
      <c r="AN5" s="39"/>
      <c r="AO5" s="39"/>
      <c r="AP5" s="39"/>
    </row>
    <row r="6" s="148" customFormat="true" ht="15" hidden="false" customHeight="true" outlineLevel="0" collapsed="false">
      <c r="A6" s="149"/>
      <c r="B6" s="11" t="str">
        <f aca="false">Eingabeblatt!H4</f>
        <v>Faculty</v>
      </c>
      <c r="C6" s="11"/>
      <c r="D6" s="11"/>
      <c r="E6" s="11"/>
      <c r="F6" s="150" t="str">
        <f aca="false">EB.Fakultaet</f>
        <v>Select Faculty</v>
      </c>
      <c r="G6" s="150"/>
      <c r="H6" s="150"/>
      <c r="I6" s="150"/>
      <c r="J6" s="150"/>
      <c r="K6" s="150"/>
      <c r="L6" s="150"/>
      <c r="M6" s="150"/>
      <c r="N6" s="150"/>
      <c r="O6" s="13"/>
      <c r="P6" s="154" t="str">
        <f aca="false">LEFT(INDEX(EB.RAZ_Wochentage.Bereich,1),2)</f>
        <v>Mo</v>
      </c>
      <c r="Q6" s="154" t="str">
        <f aca="false">LEFT(INDEX(EB.RAZ_Wochentage.Bereich,2),2)</f>
        <v>Tu</v>
      </c>
      <c r="R6" s="154" t="str">
        <f aca="false">LEFT(INDEX(EB.RAZ_Wochentage.Bereich,3),2)</f>
        <v>We</v>
      </c>
      <c r="S6" s="154" t="str">
        <f aca="false">LEFT(INDEX(EB.RAZ_Wochentage.Bereich,4),2)</f>
        <v>Th</v>
      </c>
      <c r="T6" s="154" t="str">
        <f aca="false">LEFT(INDEX(EB.RAZ_Wochentage.Bereich,5),2)</f>
        <v>Fr</v>
      </c>
      <c r="U6" s="154" t="str">
        <f aca="false">LEFT(INDEX(EB.RAZ_Wochentage.Bereich,6),2)</f>
        <v>Sa</v>
      </c>
      <c r="V6" s="154" t="str">
        <f aca="false">LEFT(INDEX(EB.RAZ_Wochentage.Bereich,7),2)</f>
        <v>Su</v>
      </c>
      <c r="W6" s="39"/>
      <c r="X6" s="39"/>
      <c r="Y6" s="39"/>
      <c r="Z6" s="39"/>
      <c r="AA6" s="39"/>
      <c r="AB6" s="39"/>
      <c r="AC6" s="39"/>
      <c r="AD6" s="39"/>
      <c r="AE6" s="39"/>
      <c r="AF6" s="13"/>
      <c r="AG6" s="146"/>
      <c r="AH6" s="39"/>
      <c r="AI6" s="39"/>
      <c r="AJ6" s="39"/>
      <c r="AK6" s="39"/>
      <c r="AL6" s="39"/>
      <c r="AM6" s="147"/>
      <c r="AN6" s="39"/>
      <c r="AO6" s="39"/>
      <c r="AP6" s="39"/>
    </row>
    <row r="7" s="148" customFormat="true" ht="15" hidden="false" customHeight="true" outlineLevel="0" collapsed="false">
      <c r="A7" s="149"/>
      <c r="B7" s="11" t="str">
        <f aca="false">Eingabeblatt!H5</f>
        <v>Employee Category</v>
      </c>
      <c r="C7" s="11"/>
      <c r="D7" s="11"/>
      <c r="E7" s="11"/>
      <c r="F7" s="150" t="str">
        <f aca="false">EB.Personalkategorie</f>
        <v>Select Employee Category</v>
      </c>
      <c r="G7" s="150"/>
      <c r="H7" s="150"/>
      <c r="I7" s="150"/>
      <c r="J7" s="150"/>
      <c r="K7" s="150"/>
      <c r="L7" s="150"/>
      <c r="M7" s="150"/>
      <c r="N7" s="150"/>
      <c r="O7" s="13"/>
      <c r="P7" s="155" t="n">
        <f aca="false">IF(EB.Anwendung&lt;&gt;"",IF(MONTH(Monat.Tag1)=1,INDEX(EB.RAZ1_7.Bereich,1),INDEX(IF(MONTH(Monat.Tag1)=2,January!Monat.RAZ1_7.Bereich,IF(MONTH(Monat.Tag1)=3,February!Monat.RAZ1_7.Bereich,IF(MONTH(Monat.Tag1)=4,March!Monat.RAZ1_7.Bereich,IF(MONTH(Monat.Tag1)=5,Monat.RAZ1_7.Bereich,IF(MONTH(Monat.Tag1)=6,May!Monat.RAZ1_7.Bereich,IF(MONTH(Monat.Tag1)=7,June!Monat.RAZ1_7.Bereich,IF(MONTH(Monat.Tag1)=8,July!Monat.RAZ1_7.Bereich,IF(MONTH(Monat.Tag1)=9,August!Monat.RAZ1_7.Bereich,IF(MONTH(Monat.Tag1)=10,September!Monat.RAZ1_7.Bereich,IF(MONTH(Monat.Tag1)=11,October!Monat.RAZ1_7.Bereich,IF(MONTH(Monat.Tag1)=12,November!Monat.RAZ1_7.Bereich,""))))))))))),1)),"")</f>
        <v>0.35</v>
      </c>
      <c r="Q7" s="155" t="n">
        <f aca="false">IF(EB.Anwendung&lt;&gt;"",IF(MONTH(Monat.Tag1)=1,INDEX(EB.RAZ1_7.Bereich,2),INDEX(IF(MONTH(Monat.Tag1)=2,January!Monat.RAZ1_7.Bereich,IF(MONTH(Monat.Tag1)=3,February!Monat.RAZ1_7.Bereich,IF(MONTH(Monat.Tag1)=4,March!Monat.RAZ1_7.Bereich,IF(MONTH(Monat.Tag1)=5,Monat.RAZ1_7.Bereich,IF(MONTH(Monat.Tag1)=6,May!Monat.RAZ1_7.Bereich,IF(MONTH(Monat.Tag1)=7,June!Monat.RAZ1_7.Bereich,IF(MONTH(Monat.Tag1)=8,July!Monat.RAZ1_7.Bereich,IF(MONTH(Monat.Tag1)=9,August!Monat.RAZ1_7.Bereich,IF(MONTH(Monat.Tag1)=10,September!Monat.RAZ1_7.Bereich,IF(MONTH(Monat.Tag1)=11,October!Monat.RAZ1_7.Bereich,IF(MONTH(Monat.Tag1)=12,November!Monat.RAZ1_7.Bereich,""))))))))))),2)),"")</f>
        <v>0.35</v>
      </c>
      <c r="R7" s="155" t="n">
        <f aca="false">IF(EB.Anwendung&lt;&gt;"",IF(MONTH(Monat.Tag1)=1,INDEX(EB.RAZ1_7.Bereich,3),INDEX(IF(MONTH(Monat.Tag1)=2,January!Monat.RAZ1_7.Bereich,IF(MONTH(Monat.Tag1)=3,February!Monat.RAZ1_7.Bereich,IF(MONTH(Monat.Tag1)=4,March!Monat.RAZ1_7.Bereich,IF(MONTH(Monat.Tag1)=5,Monat.RAZ1_7.Bereich,IF(MONTH(Monat.Tag1)=6,May!Monat.RAZ1_7.Bereich,IF(MONTH(Monat.Tag1)=7,June!Monat.RAZ1_7.Bereich,IF(MONTH(Monat.Tag1)=8,July!Monat.RAZ1_7.Bereich,IF(MONTH(Monat.Tag1)=9,August!Monat.RAZ1_7.Bereich,IF(MONTH(Monat.Tag1)=10,September!Monat.RAZ1_7.Bereich,IF(MONTH(Monat.Tag1)=11,October!Monat.RAZ1_7.Bereich,IF(MONTH(Monat.Tag1)=12,November!Monat.RAZ1_7.Bereich,""))))))))))),3)),"")</f>
        <v>0.35</v>
      </c>
      <c r="S7" s="155" t="n">
        <f aca="false">IF(EB.Anwendung&lt;&gt;"",IF(MONTH(Monat.Tag1)=1,INDEX(EB.RAZ1_7.Bereich,4),INDEX(IF(MONTH(Monat.Tag1)=2,January!Monat.RAZ1_7.Bereich,IF(MONTH(Monat.Tag1)=3,February!Monat.RAZ1_7.Bereich,IF(MONTH(Monat.Tag1)=4,March!Monat.RAZ1_7.Bereich,IF(MONTH(Monat.Tag1)=5,Monat.RAZ1_7.Bereich,IF(MONTH(Monat.Tag1)=6,May!Monat.RAZ1_7.Bereich,IF(MONTH(Monat.Tag1)=7,June!Monat.RAZ1_7.Bereich,IF(MONTH(Monat.Tag1)=8,July!Monat.RAZ1_7.Bereich,IF(MONTH(Monat.Tag1)=9,August!Monat.RAZ1_7.Bereich,IF(MONTH(Monat.Tag1)=10,September!Monat.RAZ1_7.Bereich,IF(MONTH(Monat.Tag1)=11,October!Monat.RAZ1_7.Bereich,IF(MONTH(Monat.Tag1)=12,November!Monat.RAZ1_7.Bereich,""))))))))))),4)),"")</f>
        <v>0.35</v>
      </c>
      <c r="T7" s="155" t="n">
        <f aca="false">IF(EB.Anwendung&lt;&gt;"",IF(MONTH(Monat.Tag1)=1,INDEX(EB.RAZ1_7.Bereich,5),INDEX(IF(MONTH(Monat.Tag1)=2,January!Monat.RAZ1_7.Bereich,IF(MONTH(Monat.Tag1)=3,February!Monat.RAZ1_7.Bereich,IF(MONTH(Monat.Tag1)=4,March!Monat.RAZ1_7.Bereich,IF(MONTH(Monat.Tag1)=5,Monat.RAZ1_7.Bereich,IF(MONTH(Monat.Tag1)=6,May!Monat.RAZ1_7.Bereich,IF(MONTH(Monat.Tag1)=7,June!Monat.RAZ1_7.Bereich,IF(MONTH(Monat.Tag1)=8,July!Monat.RAZ1_7.Bereich,IF(MONTH(Monat.Tag1)=9,August!Monat.RAZ1_7.Bereich,IF(MONTH(Monat.Tag1)=10,September!Monat.RAZ1_7.Bereich,IF(MONTH(Monat.Tag1)=11,October!Monat.RAZ1_7.Bereich,IF(MONTH(Monat.Tag1)=12,November!Monat.RAZ1_7.Bereich,""))))))))))),5)),"")</f>
        <v>0.35</v>
      </c>
      <c r="U7" s="155" t="n">
        <f aca="false">IF(EB.Anwendung&lt;&gt;"",IF(MONTH(Monat.Tag1)=1,INDEX(EB.RAZ1_7.Bereich,6),INDEX(IF(MONTH(Monat.Tag1)=2,January!Monat.RAZ1_7.Bereich,IF(MONTH(Monat.Tag1)=3,February!Monat.RAZ1_7.Bereich,IF(MONTH(Monat.Tag1)=4,March!Monat.RAZ1_7.Bereich,IF(MONTH(Monat.Tag1)=5,Monat.RAZ1_7.Bereich,IF(MONTH(Monat.Tag1)=6,May!Monat.RAZ1_7.Bereich,IF(MONTH(Monat.Tag1)=7,June!Monat.RAZ1_7.Bereich,IF(MONTH(Monat.Tag1)=8,July!Monat.RAZ1_7.Bereich,IF(MONTH(Monat.Tag1)=9,August!Monat.RAZ1_7.Bereich,IF(MONTH(Monat.Tag1)=10,September!Monat.RAZ1_7.Bereich,IF(MONTH(Monat.Tag1)=11,October!Monat.RAZ1_7.Bereich,IF(MONTH(Monat.Tag1)=12,November!Monat.RAZ1_7.Bereich,""))))))))))),6)),"")</f>
        <v>0</v>
      </c>
      <c r="V7" s="155" t="n">
        <f aca="false">IF(EB.Anwendung&lt;&gt;"",IF(MONTH(Monat.Tag1)=1,INDEX(EB.RAZ1_7.Bereich,7),INDEX(IF(MONTH(Monat.Tag1)=2,January!Monat.RAZ1_7.Bereich,IF(MONTH(Monat.Tag1)=3,February!Monat.RAZ1_7.Bereich,IF(MONTH(Monat.Tag1)=4,March!Monat.RAZ1_7.Bereich,IF(MONTH(Monat.Tag1)=5,Monat.RAZ1_7.Bereich,IF(MONTH(Monat.Tag1)=6,May!Monat.RAZ1_7.Bereich,IF(MONTH(Monat.Tag1)=7,June!Monat.RAZ1_7.Bereich,IF(MONTH(Monat.Tag1)=8,July!Monat.RAZ1_7.Bereich,IF(MONTH(Monat.Tag1)=9,August!Monat.RAZ1_7.Bereich,IF(MONTH(Monat.Tag1)=10,September!Monat.RAZ1_7.Bereich,IF(MONTH(Monat.Tag1)=11,October!Monat.RAZ1_7.Bereich,IF(MONTH(Monat.Tag1)=12,November!Monat.RAZ1_7.Bereich,""))))))))))),7)),"")</f>
        <v>0</v>
      </c>
      <c r="W7" s="39"/>
      <c r="X7" s="39"/>
      <c r="Y7" s="39"/>
      <c r="Z7" s="39"/>
      <c r="AA7" s="39"/>
      <c r="AB7" s="39"/>
      <c r="AC7" s="39"/>
      <c r="AD7" s="39"/>
      <c r="AE7" s="39"/>
      <c r="AF7" s="13"/>
      <c r="AG7" s="146"/>
      <c r="AH7" s="39"/>
      <c r="AI7" s="39"/>
      <c r="AJ7" s="39"/>
      <c r="AK7" s="39"/>
      <c r="AL7" s="39"/>
      <c r="AM7" s="147"/>
      <c r="AN7" s="39"/>
      <c r="AO7" s="39"/>
      <c r="AP7" s="39"/>
    </row>
    <row r="8" s="148" customFormat="true" ht="11.25" hidden="false" customHeight="true" outlineLevel="0" collapsed="false">
      <c r="A8" s="55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13"/>
      <c r="AG8" s="146"/>
      <c r="AH8" s="39"/>
      <c r="AI8" s="39"/>
      <c r="AJ8" s="39"/>
      <c r="AK8" s="39"/>
      <c r="AL8" s="39"/>
      <c r="AM8" s="147"/>
      <c r="AN8" s="39"/>
      <c r="AO8" s="39"/>
      <c r="AP8" s="39"/>
    </row>
    <row r="9" s="148" customFormat="true" ht="15" hidden="false" customHeight="true" outlineLevel="0" collapsed="false">
      <c r="A9" s="55"/>
      <c r="B9" s="156" t="str">
        <f aca="false">INDEX(Monat.Wochentage.Bereich,1,WEEKDAY(B10,2))</f>
        <v>Su</v>
      </c>
      <c r="C9" s="156" t="str">
        <f aca="false">INDEX(Monat.Wochentage.Bereich,1,WEEKDAY(C10,2))</f>
        <v>Mo</v>
      </c>
      <c r="D9" s="156" t="str">
        <f aca="false">INDEX(Monat.Wochentage.Bereich,1,WEEKDAY(D10,2))</f>
        <v>Tu</v>
      </c>
      <c r="E9" s="156" t="str">
        <f aca="false">INDEX(Monat.Wochentage.Bereich,1,WEEKDAY(E10,2))</f>
        <v>We</v>
      </c>
      <c r="F9" s="156" t="str">
        <f aca="false">INDEX(Monat.Wochentage.Bereich,1,WEEKDAY(F10,2))</f>
        <v>Th</v>
      </c>
      <c r="G9" s="156" t="str">
        <f aca="false">INDEX(Monat.Wochentage.Bereich,1,WEEKDAY(G10,2))</f>
        <v>Fr</v>
      </c>
      <c r="H9" s="156" t="str">
        <f aca="false">INDEX(Monat.Wochentage.Bereich,1,WEEKDAY(H10,2))</f>
        <v>Sa</v>
      </c>
      <c r="I9" s="156" t="str">
        <f aca="false">INDEX(Monat.Wochentage.Bereich,1,WEEKDAY(I10,2))</f>
        <v>Su</v>
      </c>
      <c r="J9" s="156" t="str">
        <f aca="false">INDEX(Monat.Wochentage.Bereich,1,WEEKDAY(J10,2))</f>
        <v>Mo</v>
      </c>
      <c r="K9" s="156" t="str">
        <f aca="false">INDEX(Monat.Wochentage.Bereich,1,WEEKDAY(K10,2))</f>
        <v>Tu</v>
      </c>
      <c r="L9" s="156" t="str">
        <f aca="false">INDEX(Monat.Wochentage.Bereich,1,WEEKDAY(L10,2))</f>
        <v>We</v>
      </c>
      <c r="M9" s="156" t="str">
        <f aca="false">INDEX(Monat.Wochentage.Bereich,1,WEEKDAY(M10,2))</f>
        <v>Th</v>
      </c>
      <c r="N9" s="156" t="str">
        <f aca="false">INDEX(Monat.Wochentage.Bereich,1,WEEKDAY(N10,2))</f>
        <v>Fr</v>
      </c>
      <c r="O9" s="156" t="str">
        <f aca="false">INDEX(Monat.Wochentage.Bereich,1,WEEKDAY(O10,2))</f>
        <v>Sa</v>
      </c>
      <c r="P9" s="156" t="str">
        <f aca="false">INDEX(Monat.Wochentage.Bereich,1,WEEKDAY(P10,2))</f>
        <v>Su</v>
      </c>
      <c r="Q9" s="156" t="str">
        <f aca="false">INDEX(Monat.Wochentage.Bereich,1,WEEKDAY(Q10,2))</f>
        <v>Mo</v>
      </c>
      <c r="R9" s="156" t="str">
        <f aca="false">INDEX(Monat.Wochentage.Bereich,1,WEEKDAY(R10,2))</f>
        <v>Tu</v>
      </c>
      <c r="S9" s="156" t="str">
        <f aca="false">INDEX(Monat.Wochentage.Bereich,1,WEEKDAY(S10,2))</f>
        <v>We</v>
      </c>
      <c r="T9" s="156" t="str">
        <f aca="false">INDEX(Monat.Wochentage.Bereich,1,WEEKDAY(T10,2))</f>
        <v>Th</v>
      </c>
      <c r="U9" s="156" t="str">
        <f aca="false">INDEX(Monat.Wochentage.Bereich,1,WEEKDAY(U10,2))</f>
        <v>Fr</v>
      </c>
      <c r="V9" s="156" t="str">
        <f aca="false">INDEX(Monat.Wochentage.Bereich,1,WEEKDAY(V10,2))</f>
        <v>Sa</v>
      </c>
      <c r="W9" s="156" t="str">
        <f aca="false">INDEX(Monat.Wochentage.Bereich,1,WEEKDAY(W10,2))</f>
        <v>Su</v>
      </c>
      <c r="X9" s="156" t="str">
        <f aca="false">INDEX(Monat.Wochentage.Bereich,1,WEEKDAY(X10,2))</f>
        <v>Mo</v>
      </c>
      <c r="Y9" s="156" t="str">
        <f aca="false">INDEX(Monat.Wochentage.Bereich,1,WEEKDAY(Y10,2))</f>
        <v>Tu</v>
      </c>
      <c r="Z9" s="156" t="str">
        <f aca="false">INDEX(Monat.Wochentage.Bereich,1,WEEKDAY(Z10,2))</f>
        <v>We</v>
      </c>
      <c r="AA9" s="156" t="str">
        <f aca="false">INDEX(Monat.Wochentage.Bereich,1,WEEKDAY(AA10,2))</f>
        <v>Th</v>
      </c>
      <c r="AB9" s="156" t="str">
        <f aca="false">INDEX(Monat.Wochentage.Bereich,1,WEEKDAY(AB10,2))</f>
        <v>Fr</v>
      </c>
      <c r="AC9" s="156" t="str">
        <f aca="false">INDEX(Monat.Wochentage.Bereich,1,WEEKDAY(AC10,2))</f>
        <v>Sa</v>
      </c>
      <c r="AD9" s="156" t="str">
        <f aca="false">INDEX(Monat.Wochentage.Bereich,1,WEEKDAY(AD10,2))</f>
        <v>Su</v>
      </c>
      <c r="AE9" s="156" t="str">
        <f aca="false">INDEX(Monat.Wochentage.Bereich,1,WEEKDAY(AE10,2))</f>
        <v>Mo</v>
      </c>
      <c r="AF9" s="13"/>
      <c r="AG9" s="146"/>
      <c r="AH9" s="39"/>
      <c r="AI9" s="39"/>
      <c r="AJ9" s="39"/>
      <c r="AK9" s="39"/>
      <c r="AL9" s="39"/>
      <c r="AM9" s="147"/>
      <c r="AN9" s="39"/>
      <c r="AO9" s="39"/>
      <c r="AP9" s="39"/>
    </row>
    <row r="10" s="164" customFormat="true" ht="39" hidden="false" customHeight="false" outlineLevel="0" collapsed="false">
      <c r="A10" s="157" t="s">
        <v>121</v>
      </c>
      <c r="B10" s="158" t="n">
        <v>41729</v>
      </c>
      <c r="C10" s="158" t="n">
        <f aca="false">B10+1</f>
        <v>41730</v>
      </c>
      <c r="D10" s="158" t="n">
        <f aca="false">C10+1</f>
        <v>41731</v>
      </c>
      <c r="E10" s="158" t="n">
        <f aca="false">D10+1</f>
        <v>41732</v>
      </c>
      <c r="F10" s="158" t="n">
        <f aca="false">E10+1</f>
        <v>41733</v>
      </c>
      <c r="G10" s="158" t="n">
        <f aca="false">F10+1</f>
        <v>41734</v>
      </c>
      <c r="H10" s="158" t="n">
        <f aca="false">G10+1</f>
        <v>41735</v>
      </c>
      <c r="I10" s="158" t="n">
        <f aca="false">H10+1</f>
        <v>41736</v>
      </c>
      <c r="J10" s="158" t="n">
        <f aca="false">I10+1</f>
        <v>41737</v>
      </c>
      <c r="K10" s="158" t="n">
        <f aca="false">J10+1</f>
        <v>41738</v>
      </c>
      <c r="L10" s="158" t="n">
        <f aca="false">K10+1</f>
        <v>41739</v>
      </c>
      <c r="M10" s="158" t="n">
        <f aca="false">L10+1</f>
        <v>41740</v>
      </c>
      <c r="N10" s="158" t="n">
        <f aca="false">M10+1</f>
        <v>41741</v>
      </c>
      <c r="O10" s="158" t="n">
        <f aca="false">N10+1</f>
        <v>41742</v>
      </c>
      <c r="P10" s="158" t="n">
        <f aca="false">O10+1</f>
        <v>41743</v>
      </c>
      <c r="Q10" s="158" t="n">
        <f aca="false">P10+1</f>
        <v>41744</v>
      </c>
      <c r="R10" s="158" t="n">
        <f aca="false">Q10+1</f>
        <v>41745</v>
      </c>
      <c r="S10" s="158" t="n">
        <f aca="false">R10+1</f>
        <v>41746</v>
      </c>
      <c r="T10" s="158" t="n">
        <f aca="false">S10+1</f>
        <v>41747</v>
      </c>
      <c r="U10" s="158" t="n">
        <f aca="false">T10+1</f>
        <v>41748</v>
      </c>
      <c r="V10" s="158" t="n">
        <f aca="false">U10+1</f>
        <v>41749</v>
      </c>
      <c r="W10" s="158" t="n">
        <f aca="false">V10+1</f>
        <v>41750</v>
      </c>
      <c r="X10" s="158" t="n">
        <f aca="false">W10+1</f>
        <v>41751</v>
      </c>
      <c r="Y10" s="158" t="n">
        <f aca="false">X10+1</f>
        <v>41752</v>
      </c>
      <c r="Z10" s="158" t="n">
        <f aca="false">Y10+1</f>
        <v>41753</v>
      </c>
      <c r="AA10" s="158" t="n">
        <f aca="false">Z10+1</f>
        <v>41754</v>
      </c>
      <c r="AB10" s="158" t="n">
        <f aca="false">AA10+1</f>
        <v>41755</v>
      </c>
      <c r="AC10" s="158" t="n">
        <f aca="false">AB10+1</f>
        <v>41756</v>
      </c>
      <c r="AD10" s="158" t="n">
        <f aca="false">AC10+1</f>
        <v>41757</v>
      </c>
      <c r="AE10" s="158" t="n">
        <f aca="false">AD10+1</f>
        <v>41758</v>
      </c>
      <c r="AF10" s="159" t="str">
        <f aca="false">A10</f>
        <v>Day</v>
      </c>
      <c r="AG10" s="160" t="str">
        <f aca="false">"Total " &amp; INDEX(EB.Monate.Bereich,MONTH(Monat.Tag1))</f>
        <v>Total April</v>
      </c>
      <c r="AH10" s="160"/>
      <c r="AI10" s="160" t="s">
        <v>122</v>
      </c>
      <c r="AJ10" s="161" t="s">
        <v>123</v>
      </c>
      <c r="AK10" s="161" t="s">
        <v>124</v>
      </c>
      <c r="AL10" s="161" t="s">
        <v>125</v>
      </c>
      <c r="AM10" s="162" t="s">
        <v>68</v>
      </c>
      <c r="AN10" s="156" t="str">
        <f aca="true">IF(EB.Sprache="DE","Jahressaldo per" &amp; CHAR(10) &amp; "    ME       " &amp; IFERROR(TEXT(TODAY(),"[$-0007]"&amp;"TT.MM.JJ"),TEXT(TODAY(),"[$-0007]"&amp;"DD.MM.YY")), "Yearly balance by" &amp; CHAR(10) &amp; "   eom      " &amp; IFERROR(TEXT(TODAY(),"[$-0809]"&amp;"DD.MM.YY"),TEXT(TODAY(),"[$-0809]"&amp;"TT.MM.JJ")))</f>
        <v>Yearly balance by
   eom      22.05.18</v>
      </c>
      <c r="AO10" s="156"/>
      <c r="AP10" s="163"/>
    </row>
    <row r="11" s="164" customFormat="true" ht="12" hidden="true" customHeight="true" outlineLevel="0" collapsed="false">
      <c r="A11" s="157" t="s">
        <v>126</v>
      </c>
      <c r="B11" s="165" t="n">
        <f aca="true">IFERROR(OFFSET(T.Feiertage.Bereich,MATCH(B$10,T.Feiertage.Bereich,0)-1,1,1,1),1)</f>
        <v>1</v>
      </c>
      <c r="C11" s="165" t="n">
        <f aca="true">IFERROR(OFFSET(T.Feiertage.Bereich,MATCH(C$10,T.Feiertage.Bereich,0)-1,1,1,1),1)</f>
        <v>0</v>
      </c>
      <c r="D11" s="165" t="n">
        <f aca="true">IFERROR(OFFSET(T.Feiertage.Bereich,MATCH(D$10,T.Feiertage.Bereich,0)-1,1,1,1),1)</f>
        <v>1</v>
      </c>
      <c r="E11" s="166" t="n">
        <f aca="true">IFERROR(OFFSET(T.Feiertage.Bereich,MATCH(E$10,T.Feiertage.Bereich,0)-1,1,1,1),1)</f>
        <v>1</v>
      </c>
      <c r="F11" s="165" t="n">
        <f aca="true">IFERROR(OFFSET(T.Feiertage.Bereich,MATCH(F$10,T.Feiertage.Bereich,0)-1,1,1,1),1)</f>
        <v>1</v>
      </c>
      <c r="G11" s="165" t="n">
        <f aca="true">IFERROR(OFFSET(T.Feiertage.Bereich,MATCH(G$10,T.Feiertage.Bereich,0)-1,1,1,1),1)</f>
        <v>1</v>
      </c>
      <c r="H11" s="165" t="n">
        <f aca="true">IFERROR(OFFSET(T.Feiertage.Bereich,MATCH(H$10,T.Feiertage.Bereich,0)-1,1,1,1),1)</f>
        <v>1</v>
      </c>
      <c r="I11" s="165" t="n">
        <f aca="true">IFERROR(OFFSET(T.Feiertage.Bereich,MATCH(I$10,T.Feiertage.Bereich,0)-1,1,1,1),1)</f>
        <v>1</v>
      </c>
      <c r="J11" s="166" t="n">
        <f aca="true">IFERROR(OFFSET(T.Feiertage.Bereich,MATCH(J$10,T.Feiertage.Bereich,0)-1,1,1,1),1)</f>
        <v>1</v>
      </c>
      <c r="K11" s="165" t="n">
        <f aca="true">IFERROR(OFFSET(T.Feiertage.Bereich,MATCH(K$10,T.Feiertage.Bereich,0)-1,1,1,1),1)</f>
        <v>1</v>
      </c>
      <c r="L11" s="166" t="n">
        <f aca="true">IFERROR(OFFSET(T.Feiertage.Bereich,MATCH(L$10,T.Feiertage.Bereich,0)-1,1,1,1),1)</f>
        <v>1</v>
      </c>
      <c r="M11" s="165" t="n">
        <f aca="true">IFERROR(OFFSET(T.Feiertage.Bereich,MATCH(M$10,T.Feiertage.Bereich,0)-1,1,1,1),1)</f>
        <v>1</v>
      </c>
      <c r="N11" s="165" t="n">
        <f aca="true">IFERROR(OFFSET(T.Feiertage.Bereich,MATCH(N$10,T.Feiertage.Bereich,0)-1,1,1,1),1)</f>
        <v>1</v>
      </c>
      <c r="O11" s="165" t="n">
        <f aca="true">IFERROR(OFFSET(T.Feiertage.Bereich,MATCH(O$10,T.Feiertage.Bereich,0)-1,1,1,1),1)</f>
        <v>1</v>
      </c>
      <c r="P11" s="165" t="n">
        <f aca="true">IFERROR(OFFSET(T.Feiertage.Bereich,MATCH(P$10,T.Feiertage.Bereich,0)-1,1,1,1),1)</f>
        <v>1</v>
      </c>
      <c r="Q11" s="166" t="n">
        <f aca="true">IFERROR(OFFSET(T.Feiertage.Bereich,MATCH(Q$10,T.Feiertage.Bereich,0)-1,1,1,1),1)</f>
        <v>0.5</v>
      </c>
      <c r="R11" s="165" t="n">
        <f aca="true">IFERROR(OFFSET(T.Feiertage.Bereich,MATCH(R$10,T.Feiertage.Bereich,0)-1,1,1,1),1)</f>
        <v>1</v>
      </c>
      <c r="S11" s="166" t="n">
        <f aca="true">IFERROR(OFFSET(T.Feiertage.Bereich,MATCH(S$10,T.Feiertage.Bereich,0)-1,1,1,1),1)</f>
        <v>1</v>
      </c>
      <c r="T11" s="166" t="n">
        <f aca="true">IFERROR(OFFSET(T.Feiertage.Bereich,MATCH(T$10,T.Feiertage.Bereich,0)-1,1,1,1),1)</f>
        <v>1</v>
      </c>
      <c r="U11" s="165" t="n">
        <f aca="true">IFERROR(OFFSET(T.Feiertage.Bereich,MATCH(U$10,T.Feiertage.Bereich,0)-1,1,1,1),1)</f>
        <v>1</v>
      </c>
      <c r="V11" s="165" t="n">
        <f aca="true">IFERROR(OFFSET(T.Feiertage.Bereich,MATCH(V$10,T.Feiertage.Bereich,0)-1,1,1,1),1)</f>
        <v>1</v>
      </c>
      <c r="W11" s="165" t="n">
        <f aca="true">IFERROR(OFFSET(T.Feiertage.Bereich,MATCH(W$10,T.Feiertage.Bereich,0)-1,1,1,1),1)</f>
        <v>1</v>
      </c>
      <c r="X11" s="166" t="n">
        <f aca="true">IFERROR(OFFSET(T.Feiertage.Bereich,MATCH(X$10,T.Feiertage.Bereich,0)-1,1,1,1),1)</f>
        <v>1</v>
      </c>
      <c r="Y11" s="165" t="n">
        <f aca="true">IFERROR(OFFSET(T.Feiertage.Bereich,MATCH(Y$10,T.Feiertage.Bereich,0)-1,1,1,1),1)</f>
        <v>1</v>
      </c>
      <c r="Z11" s="167" t="n">
        <f aca="true">IFERROR(OFFSET(T.Feiertage.Bereich,MATCH(Z$10,T.Feiertage.Bereich,0)-1,1,1,1),1)</f>
        <v>1</v>
      </c>
      <c r="AA11" s="165" t="n">
        <f aca="true">IFERROR(OFFSET(T.Feiertage.Bereich,MATCH(AA$10,T.Feiertage.Bereich,0)-1,1,1,1),1)</f>
        <v>1</v>
      </c>
      <c r="AB11" s="165" t="n">
        <f aca="true">IFERROR(OFFSET(T.Feiertage.Bereich,MATCH(AB$10,T.Feiertage.Bereich,0)-1,1,1,1),1)</f>
        <v>1</v>
      </c>
      <c r="AC11" s="165" t="n">
        <f aca="true">IFERROR(OFFSET(T.Feiertage.Bereich,MATCH(AC$10,T.Feiertage.Bereich,0)-1,1,1,1),1)</f>
        <v>1</v>
      </c>
      <c r="AD11" s="165" t="n">
        <f aca="true">IFERROR(OFFSET(T.Feiertage.Bereich,MATCH(AD$10,T.Feiertage.Bereich,0)-1,1,1,1),1)</f>
        <v>1</v>
      </c>
      <c r="AE11" s="166" t="n">
        <f aca="true">IFERROR(OFFSET(T.Feiertage.Bereich,MATCH(AE$10,T.Feiertage.Bereich,0)-1,1,1,1),1)</f>
        <v>1</v>
      </c>
      <c r="AF11" s="168"/>
      <c r="AG11" s="146"/>
      <c r="AH11" s="169"/>
      <c r="AI11" s="170"/>
      <c r="AJ11" s="171"/>
      <c r="AK11" s="172"/>
      <c r="AL11" s="172"/>
      <c r="AM11" s="171"/>
      <c r="AN11" s="172"/>
      <c r="AO11" s="172"/>
      <c r="AP11" s="163"/>
    </row>
    <row r="12" s="164" customFormat="true" ht="12" hidden="true" customHeight="true" outlineLevel="0" collapsed="false">
      <c r="A12" s="157" t="s">
        <v>127</v>
      </c>
      <c r="B12" s="173" t="n">
        <f aca="false">IF(OR(AND(ISNUMBER(EB.UJEintritt),EB.UJEintritt&gt;=B$10+1),AND(ISNUMBER(EB.UJAustritt),EB.UJAustritt&lt;=B$10-1)),0,1)</f>
        <v>1</v>
      </c>
      <c r="C12" s="173" t="n">
        <f aca="false">IF(OR(AND(ISNUMBER(EB.UJEintritt),EB.UJEintritt&gt;=C$10+1),AND(ISNUMBER(EB.UJAustritt),EB.UJAustritt&lt;=C$10-1)),0,1)</f>
        <v>1</v>
      </c>
      <c r="D12" s="173" t="n">
        <f aca="false">IF(OR(AND(ISNUMBER(EB.UJEintritt),EB.UJEintritt&gt;=D$10+1),AND(ISNUMBER(EB.UJAustritt),EB.UJAustritt&lt;=D$10-1)),0,1)</f>
        <v>1</v>
      </c>
      <c r="E12" s="156" t="n">
        <f aca="false">IF(OR(AND(ISNUMBER(EB.UJEintritt),EB.UJEintritt&gt;=E$10+1),AND(ISNUMBER(EB.UJAustritt),EB.UJAustritt&lt;=E$10-1)),0,1)</f>
        <v>1</v>
      </c>
      <c r="F12" s="173" t="n">
        <f aca="false">IF(OR(AND(ISNUMBER(EB.UJEintritt),EB.UJEintritt&gt;=F$10+1),AND(ISNUMBER(EB.UJAustritt),EB.UJAustritt&lt;=F$10-1)),0,1)</f>
        <v>1</v>
      </c>
      <c r="G12" s="173" t="n">
        <f aca="false">IF(OR(AND(ISNUMBER(EB.UJEintritt),EB.UJEintritt&gt;=G$10+1),AND(ISNUMBER(EB.UJAustritt),EB.UJAustritt&lt;=G$10-1)),0,1)</f>
        <v>1</v>
      </c>
      <c r="H12" s="173" t="n">
        <f aca="false">IF(OR(AND(ISNUMBER(EB.UJEintritt),EB.UJEintritt&gt;=H$10+1),AND(ISNUMBER(EB.UJAustritt),EB.UJAustritt&lt;=H$10-1)),0,1)</f>
        <v>1</v>
      </c>
      <c r="I12" s="173" t="n">
        <f aca="false">IF(OR(AND(ISNUMBER(EB.UJEintritt),EB.UJEintritt&gt;=I$10+1),AND(ISNUMBER(EB.UJAustritt),EB.UJAustritt&lt;=I$10-1)),0,1)</f>
        <v>1</v>
      </c>
      <c r="J12" s="156" t="n">
        <f aca="false">IF(OR(AND(ISNUMBER(EB.UJEintritt),EB.UJEintritt&gt;=J$10+1),AND(ISNUMBER(EB.UJAustritt),EB.UJAustritt&lt;=J$10-1)),0,1)</f>
        <v>1</v>
      </c>
      <c r="K12" s="173" t="n">
        <f aca="false">IF(OR(AND(ISNUMBER(EB.UJEintritt),EB.UJEintritt&gt;=K$10+1),AND(ISNUMBER(EB.UJAustritt),EB.UJAustritt&lt;=K$10-1)),0,1)</f>
        <v>1</v>
      </c>
      <c r="L12" s="156" t="n">
        <f aca="false">IF(OR(AND(ISNUMBER(EB.UJEintritt),EB.UJEintritt&gt;=L$10+1),AND(ISNUMBER(EB.UJAustritt),EB.UJAustritt&lt;=L$10-1)),0,1)</f>
        <v>1</v>
      </c>
      <c r="M12" s="173" t="n">
        <f aca="false">IF(OR(AND(ISNUMBER(EB.UJEintritt),EB.UJEintritt&gt;=M$10+1),AND(ISNUMBER(EB.UJAustritt),EB.UJAustritt&lt;=M$10-1)),0,1)</f>
        <v>1</v>
      </c>
      <c r="N12" s="173" t="n">
        <f aca="false">IF(OR(AND(ISNUMBER(EB.UJEintritt),EB.UJEintritt&gt;=N$10+1),AND(ISNUMBER(EB.UJAustritt),EB.UJAustritt&lt;=N$10-1)),0,1)</f>
        <v>1</v>
      </c>
      <c r="O12" s="173" t="n">
        <f aca="false">IF(OR(AND(ISNUMBER(EB.UJEintritt),EB.UJEintritt&gt;=O$10+1),AND(ISNUMBER(EB.UJAustritt),EB.UJAustritt&lt;=O$10-1)),0,1)</f>
        <v>1</v>
      </c>
      <c r="P12" s="173" t="n">
        <f aca="false">IF(OR(AND(ISNUMBER(EB.UJEintritt),EB.UJEintritt&gt;=P$10+1),AND(ISNUMBER(EB.UJAustritt),EB.UJAustritt&lt;=P$10-1)),0,1)</f>
        <v>1</v>
      </c>
      <c r="Q12" s="156" t="n">
        <f aca="false">IF(OR(AND(ISNUMBER(EB.UJEintritt),EB.UJEintritt&gt;=Q$10+1),AND(ISNUMBER(EB.UJAustritt),EB.UJAustritt&lt;=Q$10-1)),0,1)</f>
        <v>1</v>
      </c>
      <c r="R12" s="173" t="n">
        <f aca="false">IF(OR(AND(ISNUMBER(EB.UJEintritt),EB.UJEintritt&gt;=R$10+1),AND(ISNUMBER(EB.UJAustritt),EB.UJAustritt&lt;=R$10-1)),0,1)</f>
        <v>1</v>
      </c>
      <c r="S12" s="156" t="n">
        <f aca="false">IF(OR(AND(ISNUMBER(EB.UJEintritt),EB.UJEintritt&gt;=S$10+1),AND(ISNUMBER(EB.UJAustritt),EB.UJAustritt&lt;=S$10-1)),0,1)</f>
        <v>1</v>
      </c>
      <c r="T12" s="156" t="n">
        <f aca="false">IF(OR(AND(ISNUMBER(EB.UJEintritt),EB.UJEintritt&gt;=T$10+1),AND(ISNUMBER(EB.UJAustritt),EB.UJAustritt&lt;=T$10-1)),0,1)</f>
        <v>1</v>
      </c>
      <c r="U12" s="173" t="n">
        <f aca="false">IF(OR(AND(ISNUMBER(EB.UJEintritt),EB.UJEintritt&gt;=U$10+1),AND(ISNUMBER(EB.UJAustritt),EB.UJAustritt&lt;=U$10-1)),0,1)</f>
        <v>1</v>
      </c>
      <c r="V12" s="173" t="n">
        <f aca="false">IF(OR(AND(ISNUMBER(EB.UJEintritt),EB.UJEintritt&gt;=V$10+1),AND(ISNUMBER(EB.UJAustritt),EB.UJAustritt&lt;=V$10-1)),0,1)</f>
        <v>1</v>
      </c>
      <c r="W12" s="173" t="n">
        <f aca="false">IF(OR(AND(ISNUMBER(EB.UJEintritt),EB.UJEintritt&gt;=W$10+1),AND(ISNUMBER(EB.UJAustritt),EB.UJAustritt&lt;=W$10-1)),0,1)</f>
        <v>1</v>
      </c>
      <c r="X12" s="156" t="n">
        <f aca="false">IF(OR(AND(ISNUMBER(EB.UJEintritt),EB.UJEintritt&gt;=X$10+1),AND(ISNUMBER(EB.UJAustritt),EB.UJAustritt&lt;=X$10-1)),0,1)</f>
        <v>1</v>
      </c>
      <c r="Y12" s="173" t="n">
        <f aca="false">IF(OR(AND(ISNUMBER(EB.UJEintritt),EB.UJEintritt&gt;=Y$10+1),AND(ISNUMBER(EB.UJAustritt),EB.UJAustritt&lt;=Y$10-1)),0,1)</f>
        <v>1</v>
      </c>
      <c r="Z12" s="174" t="n">
        <f aca="false">IF(OR(AND(ISNUMBER(EB.UJEintritt),EB.UJEintritt&gt;=Z$10+1),AND(ISNUMBER(EB.UJAustritt),EB.UJAustritt&lt;=Z$10-1)),0,1)</f>
        <v>1</v>
      </c>
      <c r="AA12" s="173" t="n">
        <f aca="false">IF(OR(AND(ISNUMBER(EB.UJEintritt),EB.UJEintritt&gt;=AA$10+1),AND(ISNUMBER(EB.UJAustritt),EB.UJAustritt&lt;=AA$10-1)),0,1)</f>
        <v>1</v>
      </c>
      <c r="AB12" s="173" t="n">
        <f aca="false">IF(OR(AND(ISNUMBER(EB.UJEintritt),EB.UJEintritt&gt;=AB$10+1),AND(ISNUMBER(EB.UJAustritt),EB.UJAustritt&lt;=AB$10-1)),0,1)</f>
        <v>1</v>
      </c>
      <c r="AC12" s="173" t="n">
        <f aca="false">IF(OR(AND(ISNUMBER(EB.UJEintritt),EB.UJEintritt&gt;=AC$10+1),AND(ISNUMBER(EB.UJAustritt),EB.UJAustritt&lt;=AC$10-1)),0,1)</f>
        <v>1</v>
      </c>
      <c r="AD12" s="173" t="n">
        <f aca="false">IF(OR(AND(ISNUMBER(EB.UJEintritt),EB.UJEintritt&gt;=AD$10+1),AND(ISNUMBER(EB.UJAustritt),EB.UJAustritt&lt;=AD$10-1)),0,1)</f>
        <v>1</v>
      </c>
      <c r="AE12" s="156" t="n">
        <f aca="false">IF(OR(AND(ISNUMBER(EB.UJEintritt),EB.UJEintritt&gt;=AE$10+1),AND(ISNUMBER(EB.UJAustritt),EB.UJAustritt&lt;=AE$10-1)),0,1)</f>
        <v>1</v>
      </c>
      <c r="AF12" s="168"/>
      <c r="AG12" s="146"/>
      <c r="AH12" s="169"/>
      <c r="AI12" s="170"/>
      <c r="AJ12" s="171"/>
      <c r="AK12" s="172"/>
      <c r="AL12" s="172"/>
      <c r="AM12" s="171"/>
      <c r="AN12" s="172"/>
      <c r="AO12" s="172"/>
      <c r="AP12" s="163"/>
    </row>
    <row r="13" s="148" customFormat="true" ht="15" hidden="false" customHeight="true" outlineLevel="0" collapsed="false">
      <c r="A13" s="175" t="s">
        <v>128</v>
      </c>
      <c r="B13" s="176"/>
      <c r="C13" s="176" t="n">
        <v>0</v>
      </c>
      <c r="D13" s="176" t="n">
        <v>0.375</v>
      </c>
      <c r="E13" s="176" t="n">
        <v>0.333333333333333</v>
      </c>
      <c r="F13" s="176" t="n">
        <v>0.375</v>
      </c>
      <c r="G13" s="176" t="n">
        <v>0.333333333333333</v>
      </c>
      <c r="H13" s="176"/>
      <c r="I13" s="176"/>
      <c r="J13" s="177" t="n">
        <v>0.333333333333333</v>
      </c>
      <c r="K13" s="176" t="n">
        <v>0.333333333333333</v>
      </c>
      <c r="L13" s="177" t="n">
        <v>0.3125</v>
      </c>
      <c r="M13" s="176" t="n">
        <v>0.333333333333333</v>
      </c>
      <c r="N13" s="176" t="n">
        <v>0.333333333333333</v>
      </c>
      <c r="O13" s="176"/>
      <c r="P13" s="176"/>
      <c r="Q13" s="177" t="n">
        <v>0.333333333333333</v>
      </c>
      <c r="R13" s="176" t="n">
        <v>0.3125</v>
      </c>
      <c r="S13" s="177" t="n">
        <v>0.333333333333333</v>
      </c>
      <c r="T13" s="177" t="n">
        <v>0.3125</v>
      </c>
      <c r="U13" s="176" t="n">
        <v>0</v>
      </c>
      <c r="V13" s="176"/>
      <c r="W13" s="176"/>
      <c r="X13" s="177" t="n">
        <v>0</v>
      </c>
      <c r="Y13" s="176" t="n">
        <v>0.291666666666667</v>
      </c>
      <c r="Z13" s="178" t="n">
        <v>0.291666666666667</v>
      </c>
      <c r="AA13" s="176" t="n">
        <v>0.291666666666667</v>
      </c>
      <c r="AB13" s="176" t="n">
        <v>0.3125</v>
      </c>
      <c r="AC13" s="176"/>
      <c r="AD13" s="176"/>
      <c r="AE13" s="177" t="n">
        <v>0.3125</v>
      </c>
      <c r="AF13" s="168" t="str">
        <f aca="false">A13</f>
        <v>in</v>
      </c>
      <c r="AG13" s="146"/>
      <c r="AH13" s="169"/>
      <c r="AI13" s="170"/>
      <c r="AJ13" s="171"/>
      <c r="AK13" s="172"/>
      <c r="AL13" s="172"/>
      <c r="AM13" s="171"/>
      <c r="AN13" s="172"/>
      <c r="AO13" s="172"/>
      <c r="AP13" s="39"/>
    </row>
    <row r="14" s="148" customFormat="true" ht="15" hidden="false" customHeight="true" outlineLevel="0" collapsed="false">
      <c r="A14" s="175" t="s">
        <v>129</v>
      </c>
      <c r="B14" s="176"/>
      <c r="C14" s="176" t="n">
        <v>0</v>
      </c>
      <c r="D14" s="176" t="n">
        <v>0.708333333333333</v>
      </c>
      <c r="E14" s="176" t="n">
        <v>0.708333333333333</v>
      </c>
      <c r="F14" s="176" t="n">
        <v>0.708333333333333</v>
      </c>
      <c r="G14" s="176" t="n">
        <v>0.75</v>
      </c>
      <c r="H14" s="176"/>
      <c r="I14" s="176"/>
      <c r="J14" s="177" t="n">
        <v>0.708333333333333</v>
      </c>
      <c r="K14" s="176" t="n">
        <v>0.6875</v>
      </c>
      <c r="L14" s="177" t="n">
        <v>0.708333333333333</v>
      </c>
      <c r="M14" s="176" t="n">
        <v>0.708333333333333</v>
      </c>
      <c r="N14" s="176" t="n">
        <v>0.708333333333333</v>
      </c>
      <c r="O14" s="176"/>
      <c r="P14" s="176"/>
      <c r="Q14" s="177" t="n">
        <v>0.5</v>
      </c>
      <c r="R14" s="176" t="n">
        <v>0.708333333333333</v>
      </c>
      <c r="S14" s="177" t="n">
        <v>0.6875</v>
      </c>
      <c r="T14" s="177" t="n">
        <v>0.708333333333333</v>
      </c>
      <c r="U14" s="176" t="n">
        <v>0</v>
      </c>
      <c r="V14" s="176"/>
      <c r="W14" s="176"/>
      <c r="X14" s="177" t="n">
        <v>0</v>
      </c>
      <c r="Y14" s="176" t="n">
        <v>0.729166666666667</v>
      </c>
      <c r="Z14" s="178" t="n">
        <v>0.708333333333333</v>
      </c>
      <c r="AA14" s="176" t="n">
        <v>0.666666666666667</v>
      </c>
      <c r="AB14" s="176" t="n">
        <v>0.75</v>
      </c>
      <c r="AC14" s="176"/>
      <c r="AD14" s="176"/>
      <c r="AE14" s="177" t="n">
        <v>0.75</v>
      </c>
      <c r="AF14" s="168" t="str">
        <f aca="false">A14</f>
        <v>out</v>
      </c>
      <c r="AG14" s="146"/>
      <c r="AH14" s="169"/>
      <c r="AI14" s="170"/>
      <c r="AJ14" s="171"/>
      <c r="AK14" s="172"/>
      <c r="AL14" s="172"/>
      <c r="AM14" s="171"/>
      <c r="AN14" s="172"/>
      <c r="AO14" s="172"/>
      <c r="AP14" s="39"/>
    </row>
    <row r="15" s="148" customFormat="true" ht="15" hidden="false" customHeight="true" outlineLevel="0" collapsed="false">
      <c r="A15" s="175" t="s">
        <v>128</v>
      </c>
      <c r="B15" s="176"/>
      <c r="C15" s="176"/>
      <c r="D15" s="176"/>
      <c r="E15" s="177"/>
      <c r="F15" s="176"/>
      <c r="G15" s="176"/>
      <c r="H15" s="176"/>
      <c r="I15" s="176"/>
      <c r="J15" s="177"/>
      <c r="K15" s="176"/>
      <c r="L15" s="177"/>
      <c r="M15" s="176"/>
      <c r="N15" s="176"/>
      <c r="O15" s="176"/>
      <c r="P15" s="176"/>
      <c r="Q15" s="177"/>
      <c r="R15" s="176"/>
      <c r="S15" s="177"/>
      <c r="T15" s="177"/>
      <c r="U15" s="176"/>
      <c r="V15" s="176"/>
      <c r="W15" s="176"/>
      <c r="X15" s="177"/>
      <c r="Y15" s="176"/>
      <c r="Z15" s="178"/>
      <c r="AA15" s="176"/>
      <c r="AB15" s="176"/>
      <c r="AC15" s="176"/>
      <c r="AD15" s="176"/>
      <c r="AE15" s="177"/>
      <c r="AF15" s="168" t="str">
        <f aca="false">A15</f>
        <v>in</v>
      </c>
      <c r="AG15" s="146"/>
      <c r="AH15" s="169"/>
      <c r="AI15" s="170"/>
      <c r="AJ15" s="171"/>
      <c r="AK15" s="172"/>
      <c r="AL15" s="172"/>
      <c r="AM15" s="171"/>
      <c r="AN15" s="172"/>
      <c r="AO15" s="172"/>
      <c r="AP15" s="39"/>
    </row>
    <row r="16" s="148" customFormat="true" ht="15" hidden="false" customHeight="true" outlineLevel="0" collapsed="false">
      <c r="A16" s="175" t="s">
        <v>129</v>
      </c>
      <c r="B16" s="176"/>
      <c r="C16" s="176"/>
      <c r="D16" s="176"/>
      <c r="E16" s="177"/>
      <c r="F16" s="176"/>
      <c r="G16" s="176"/>
      <c r="H16" s="176"/>
      <c r="I16" s="176"/>
      <c r="J16" s="177"/>
      <c r="K16" s="176"/>
      <c r="L16" s="177"/>
      <c r="M16" s="176"/>
      <c r="N16" s="176"/>
      <c r="O16" s="176"/>
      <c r="P16" s="176"/>
      <c r="Q16" s="177"/>
      <c r="R16" s="176"/>
      <c r="S16" s="177"/>
      <c r="T16" s="177"/>
      <c r="U16" s="176"/>
      <c r="V16" s="176"/>
      <c r="W16" s="176"/>
      <c r="X16" s="177"/>
      <c r="Y16" s="176"/>
      <c r="Z16" s="178"/>
      <c r="AA16" s="176"/>
      <c r="AB16" s="176"/>
      <c r="AC16" s="176"/>
      <c r="AD16" s="176"/>
      <c r="AE16" s="177"/>
      <c r="AF16" s="168" t="str">
        <f aca="false">A16</f>
        <v>out</v>
      </c>
      <c r="AG16" s="146"/>
      <c r="AH16" s="179"/>
      <c r="AI16" s="180"/>
      <c r="AJ16" s="172"/>
      <c r="AK16" s="172"/>
      <c r="AL16" s="172"/>
      <c r="AM16" s="171"/>
      <c r="AN16" s="172"/>
      <c r="AO16" s="172"/>
      <c r="AP16" s="39"/>
    </row>
    <row r="17" s="148" customFormat="true" ht="15" hidden="false" customHeight="true" outlineLevel="0" collapsed="false">
      <c r="A17" s="175" t="s">
        <v>128</v>
      </c>
      <c r="B17" s="176"/>
      <c r="C17" s="176"/>
      <c r="D17" s="176"/>
      <c r="E17" s="177"/>
      <c r="F17" s="176"/>
      <c r="G17" s="176"/>
      <c r="H17" s="176"/>
      <c r="I17" s="176"/>
      <c r="J17" s="177"/>
      <c r="K17" s="176"/>
      <c r="L17" s="177"/>
      <c r="M17" s="176"/>
      <c r="N17" s="176"/>
      <c r="O17" s="176"/>
      <c r="P17" s="176"/>
      <c r="Q17" s="177"/>
      <c r="R17" s="176"/>
      <c r="S17" s="177"/>
      <c r="T17" s="177"/>
      <c r="U17" s="176"/>
      <c r="V17" s="176"/>
      <c r="W17" s="176"/>
      <c r="X17" s="177"/>
      <c r="Y17" s="176"/>
      <c r="Z17" s="178"/>
      <c r="AA17" s="176"/>
      <c r="AB17" s="176"/>
      <c r="AC17" s="176"/>
      <c r="AD17" s="176"/>
      <c r="AE17" s="177"/>
      <c r="AF17" s="168" t="str">
        <f aca="false">A17</f>
        <v>in</v>
      </c>
      <c r="AG17" s="146"/>
      <c r="AH17" s="179"/>
      <c r="AI17" s="180"/>
      <c r="AJ17" s="172"/>
      <c r="AK17" s="172"/>
      <c r="AL17" s="172"/>
      <c r="AM17" s="171"/>
      <c r="AN17" s="172"/>
      <c r="AO17" s="172"/>
      <c r="AP17" s="39"/>
    </row>
    <row r="18" s="148" customFormat="true" ht="15" hidden="false" customHeight="true" outlineLevel="0" collapsed="false">
      <c r="A18" s="175" t="s">
        <v>129</v>
      </c>
      <c r="B18" s="176"/>
      <c r="C18" s="176"/>
      <c r="D18" s="176"/>
      <c r="E18" s="177"/>
      <c r="F18" s="176"/>
      <c r="G18" s="176"/>
      <c r="H18" s="176"/>
      <c r="I18" s="176"/>
      <c r="J18" s="177"/>
      <c r="K18" s="176"/>
      <c r="L18" s="177"/>
      <c r="M18" s="176"/>
      <c r="N18" s="176"/>
      <c r="O18" s="176"/>
      <c r="P18" s="176"/>
      <c r="Q18" s="177"/>
      <c r="R18" s="176"/>
      <c r="S18" s="177"/>
      <c r="T18" s="177"/>
      <c r="U18" s="176"/>
      <c r="V18" s="176"/>
      <c r="W18" s="176"/>
      <c r="X18" s="177"/>
      <c r="Y18" s="176"/>
      <c r="Z18" s="178"/>
      <c r="AA18" s="176"/>
      <c r="AB18" s="176"/>
      <c r="AC18" s="176"/>
      <c r="AD18" s="176"/>
      <c r="AE18" s="177"/>
      <c r="AF18" s="168" t="str">
        <f aca="false">A18</f>
        <v>out</v>
      </c>
      <c r="AG18" s="146"/>
      <c r="AH18" s="179"/>
      <c r="AI18" s="180"/>
      <c r="AJ18" s="172"/>
      <c r="AK18" s="172"/>
      <c r="AL18" s="172"/>
      <c r="AM18" s="171"/>
      <c r="AN18" s="172"/>
      <c r="AO18" s="172"/>
      <c r="AP18" s="39"/>
    </row>
    <row r="19" s="148" customFormat="true" ht="15" hidden="true" customHeight="true" outlineLevel="1" collapsed="false">
      <c r="A19" s="175" t="s">
        <v>128</v>
      </c>
      <c r="B19" s="176"/>
      <c r="C19" s="176"/>
      <c r="D19" s="176"/>
      <c r="E19" s="177"/>
      <c r="F19" s="176"/>
      <c r="G19" s="176"/>
      <c r="H19" s="176"/>
      <c r="I19" s="176"/>
      <c r="J19" s="177"/>
      <c r="K19" s="176"/>
      <c r="L19" s="177"/>
      <c r="M19" s="176"/>
      <c r="N19" s="176"/>
      <c r="O19" s="176"/>
      <c r="P19" s="176"/>
      <c r="Q19" s="177"/>
      <c r="R19" s="176"/>
      <c r="S19" s="177"/>
      <c r="T19" s="177"/>
      <c r="U19" s="176"/>
      <c r="V19" s="176"/>
      <c r="W19" s="176"/>
      <c r="X19" s="177"/>
      <c r="Y19" s="176"/>
      <c r="Z19" s="178"/>
      <c r="AA19" s="176"/>
      <c r="AB19" s="176"/>
      <c r="AC19" s="176"/>
      <c r="AD19" s="176"/>
      <c r="AE19" s="177"/>
      <c r="AF19" s="168" t="str">
        <f aca="false">A19</f>
        <v>in</v>
      </c>
      <c r="AG19" s="146"/>
      <c r="AH19" s="179"/>
      <c r="AI19" s="180"/>
      <c r="AJ19" s="172"/>
      <c r="AK19" s="172"/>
      <c r="AL19" s="172"/>
      <c r="AM19" s="171"/>
      <c r="AN19" s="172"/>
      <c r="AO19" s="172"/>
      <c r="AP19" s="39"/>
    </row>
    <row r="20" s="148" customFormat="true" ht="15" hidden="true" customHeight="true" outlineLevel="1" collapsed="false">
      <c r="A20" s="175" t="s">
        <v>129</v>
      </c>
      <c r="B20" s="176"/>
      <c r="C20" s="176"/>
      <c r="D20" s="176"/>
      <c r="E20" s="177"/>
      <c r="F20" s="176"/>
      <c r="G20" s="176"/>
      <c r="H20" s="176"/>
      <c r="I20" s="176"/>
      <c r="J20" s="177"/>
      <c r="K20" s="176"/>
      <c r="L20" s="177"/>
      <c r="M20" s="176"/>
      <c r="N20" s="176"/>
      <c r="O20" s="176"/>
      <c r="P20" s="176"/>
      <c r="Q20" s="177"/>
      <c r="R20" s="176"/>
      <c r="S20" s="177"/>
      <c r="T20" s="177"/>
      <c r="U20" s="176"/>
      <c r="V20" s="176"/>
      <c r="W20" s="176"/>
      <c r="X20" s="177"/>
      <c r="Y20" s="176"/>
      <c r="Z20" s="178"/>
      <c r="AA20" s="176"/>
      <c r="AB20" s="176"/>
      <c r="AC20" s="176"/>
      <c r="AD20" s="176"/>
      <c r="AE20" s="177"/>
      <c r="AF20" s="168" t="str">
        <f aca="false">A20</f>
        <v>out</v>
      </c>
      <c r="AG20" s="146"/>
      <c r="AH20" s="179"/>
      <c r="AI20" s="180"/>
      <c r="AJ20" s="172"/>
      <c r="AK20" s="172"/>
      <c r="AL20" s="172"/>
      <c r="AM20" s="171"/>
      <c r="AN20" s="172"/>
      <c r="AO20" s="172"/>
      <c r="AP20" s="39"/>
    </row>
    <row r="21" s="148" customFormat="true" ht="15" hidden="true" customHeight="true" outlineLevel="1" collapsed="false">
      <c r="A21" s="175" t="s">
        <v>128</v>
      </c>
      <c r="B21" s="176"/>
      <c r="C21" s="176"/>
      <c r="D21" s="176"/>
      <c r="E21" s="177"/>
      <c r="F21" s="176"/>
      <c r="G21" s="176"/>
      <c r="H21" s="176"/>
      <c r="I21" s="176"/>
      <c r="J21" s="177"/>
      <c r="K21" s="176"/>
      <c r="L21" s="177"/>
      <c r="M21" s="176"/>
      <c r="N21" s="176"/>
      <c r="O21" s="176"/>
      <c r="P21" s="176"/>
      <c r="Q21" s="177"/>
      <c r="R21" s="176"/>
      <c r="S21" s="177"/>
      <c r="T21" s="177"/>
      <c r="U21" s="176"/>
      <c r="V21" s="176"/>
      <c r="W21" s="176"/>
      <c r="X21" s="177"/>
      <c r="Y21" s="176"/>
      <c r="Z21" s="178"/>
      <c r="AA21" s="176"/>
      <c r="AB21" s="176"/>
      <c r="AC21" s="176"/>
      <c r="AD21" s="176"/>
      <c r="AE21" s="177"/>
      <c r="AF21" s="168" t="str">
        <f aca="false">A21</f>
        <v>in</v>
      </c>
      <c r="AG21" s="146"/>
      <c r="AH21" s="179"/>
      <c r="AI21" s="180"/>
      <c r="AJ21" s="172"/>
      <c r="AK21" s="172"/>
      <c r="AL21" s="172"/>
      <c r="AM21" s="171"/>
      <c r="AN21" s="172"/>
      <c r="AO21" s="172"/>
      <c r="AP21" s="39"/>
    </row>
    <row r="22" s="148" customFormat="true" ht="15" hidden="true" customHeight="true" outlineLevel="1" collapsed="false">
      <c r="A22" s="175" t="s">
        <v>129</v>
      </c>
      <c r="B22" s="176"/>
      <c r="C22" s="176"/>
      <c r="D22" s="176"/>
      <c r="E22" s="177"/>
      <c r="F22" s="176"/>
      <c r="G22" s="176"/>
      <c r="H22" s="176"/>
      <c r="I22" s="176"/>
      <c r="J22" s="177"/>
      <c r="K22" s="176"/>
      <c r="L22" s="177"/>
      <c r="M22" s="176"/>
      <c r="N22" s="176"/>
      <c r="O22" s="176"/>
      <c r="P22" s="176"/>
      <c r="Q22" s="177"/>
      <c r="R22" s="176"/>
      <c r="S22" s="177"/>
      <c r="T22" s="177"/>
      <c r="U22" s="176"/>
      <c r="V22" s="176"/>
      <c r="W22" s="176"/>
      <c r="X22" s="177"/>
      <c r="Y22" s="176"/>
      <c r="Z22" s="178"/>
      <c r="AA22" s="176"/>
      <c r="AB22" s="176"/>
      <c r="AC22" s="176"/>
      <c r="AD22" s="176"/>
      <c r="AE22" s="177"/>
      <c r="AF22" s="168" t="str">
        <f aca="false">A22</f>
        <v>out</v>
      </c>
      <c r="AG22" s="146"/>
      <c r="AH22" s="179"/>
      <c r="AI22" s="180"/>
      <c r="AJ22" s="172"/>
      <c r="AK22" s="172"/>
      <c r="AL22" s="172"/>
      <c r="AM22" s="171"/>
      <c r="AN22" s="172"/>
      <c r="AO22" s="172"/>
      <c r="AP22" s="39"/>
    </row>
    <row r="23" s="148" customFormat="true" ht="15" hidden="false" customHeight="true" outlineLevel="0" collapsed="false">
      <c r="A23" s="181" t="s">
        <v>130</v>
      </c>
      <c r="B23" s="182" t="n">
        <f aca="false">ROUND((B14-B13)+(B16-B15)+(B18-B17)+(B20-B19)+(B22-B21),9)</f>
        <v>0</v>
      </c>
      <c r="C23" s="182" t="n">
        <f aca="false">ROUND((C14-C13)+(C16-C15)+(C18-C17)+(C20-C19)+(C22-C21),9)</f>
        <v>0</v>
      </c>
      <c r="D23" s="182" t="n">
        <f aca="false">ROUND((D14-D13)+(D16-D15)+(D18-D17)+(D20-D19)+(D22-D21),9)</f>
        <v>0.333333333</v>
      </c>
      <c r="E23" s="182" t="n">
        <f aca="false">ROUND((E14-E13)+(E16-E15)+(E18-E17)+(E20-E19)+(E22-E21),9)</f>
        <v>0.375</v>
      </c>
      <c r="F23" s="182" t="n">
        <f aca="false">ROUND((F14-F13)+(F16-F15)+(F18-F17)+(F20-F19)+(F22-F21),9)</f>
        <v>0.333333333</v>
      </c>
      <c r="G23" s="182" t="n">
        <f aca="false">ROUND((G14-G13)+(G16-G15)+(G18-G17)+(G20-G19)+(G22-G21),9)</f>
        <v>0.416666667</v>
      </c>
      <c r="H23" s="182" t="n">
        <f aca="false">ROUND((H14-H13)+(H16-H15)+(H18-H17)+(H20-H19)+(H22-H21),9)</f>
        <v>0</v>
      </c>
      <c r="I23" s="182" t="n">
        <f aca="false">ROUND((I14-I13)+(I16-I15)+(I18-I17)+(I20-I19)+(I22-I21),9)</f>
        <v>0</v>
      </c>
      <c r="J23" s="182" t="n">
        <f aca="false">ROUND((J14-J13)+(J16-J15)+(J18-J17)+(J20-J19)+(J22-J21),9)</f>
        <v>0.375</v>
      </c>
      <c r="K23" s="182" t="n">
        <f aca="false">ROUND((K14-K13)+(K16-K15)+(K18-K17)+(K20-K19)+(K22-K21),9)</f>
        <v>0.354166667</v>
      </c>
      <c r="L23" s="182" t="n">
        <f aca="false">ROUND((L14-L13)+(L16-L15)+(L18-L17)+(L20-L19)+(L22-L21),9)</f>
        <v>0.395833333</v>
      </c>
      <c r="M23" s="182" t="n">
        <f aca="false">ROUND((M14-M13)+(M16-M15)+(M18-M17)+(M20-M19)+(M22-M21),9)</f>
        <v>0.375</v>
      </c>
      <c r="N23" s="182" t="n">
        <f aca="false">ROUND((N14-N13)+(N16-N15)+(N18-N17)+(N20-N19)+(N22-N21),9)</f>
        <v>0.375</v>
      </c>
      <c r="O23" s="182" t="n">
        <f aca="false">ROUND((O14-O13)+(O16-O15)+(O18-O17)+(O20-O19)+(O22-O21),9)</f>
        <v>0</v>
      </c>
      <c r="P23" s="182" t="n">
        <f aca="false">ROUND((P14-P13)+(P16-P15)+(P18-P17)+(P20-P19)+(P22-P21),9)</f>
        <v>0</v>
      </c>
      <c r="Q23" s="182" t="n">
        <f aca="false">ROUND((Q14-Q13)+(Q16-Q15)+(Q18-Q17)+(Q20-Q19)+(Q22-Q21),9)</f>
        <v>0.166666667</v>
      </c>
      <c r="R23" s="182" t="n">
        <f aca="false">ROUND((R14-R13)+(R16-R15)+(R18-R17)+(R20-R19)+(R22-R21),9)</f>
        <v>0.395833333</v>
      </c>
      <c r="S23" s="182" t="n">
        <f aca="false">ROUND((S14-S13)+(S16-S15)+(S18-S17)+(S20-S19)+(S22-S21),9)</f>
        <v>0.354166667</v>
      </c>
      <c r="T23" s="182" t="n">
        <f aca="false">ROUND((T14-T13)+(T16-T15)+(T18-T17)+(T20-T19)+(T22-T21),9)</f>
        <v>0.395833333</v>
      </c>
      <c r="U23" s="182" t="n">
        <f aca="false">ROUND((U14-U13)+(U16-U15)+(U18-U17)+(U20-U19)+(U22-U21),9)</f>
        <v>0</v>
      </c>
      <c r="V23" s="182" t="n">
        <f aca="false">ROUND((V14-V13)+(V16-V15)+(V18-V17)+(V20-V19)+(V22-V21),9)</f>
        <v>0</v>
      </c>
      <c r="W23" s="182" t="n">
        <f aca="false">ROUND((W14-W13)+(W16-W15)+(W18-W17)+(W20-W19)+(W22-W21),9)</f>
        <v>0</v>
      </c>
      <c r="X23" s="182" t="n">
        <f aca="false">ROUND((X14-X13)+(X16-X15)+(X18-X17)+(X20-X19)+(X22-X21),9)</f>
        <v>0</v>
      </c>
      <c r="Y23" s="182" t="n">
        <f aca="false">ROUND((Y14-Y13)+(Y16-Y15)+(Y18-Y17)+(Y20-Y19)+(Y22-Y21),9)</f>
        <v>0.4375</v>
      </c>
      <c r="Z23" s="182" t="n">
        <f aca="false">ROUND((Z14-Z13)+(Z16-Z15)+(Z18-Z17)+(Z20-Z19)+(Z22-Z21),9)</f>
        <v>0.416666667</v>
      </c>
      <c r="AA23" s="182" t="n">
        <f aca="false">ROUND((AA14-AA13)+(AA16-AA15)+(AA18-AA17)+(AA20-AA19)+(AA22-AA21),9)</f>
        <v>0.375</v>
      </c>
      <c r="AB23" s="182" t="n">
        <f aca="false">ROUND((AB14-AB13)+(AB16-AB15)+(AB18-AB17)+(AB20-AB19)+(AB22-AB21),9)</f>
        <v>0.4375</v>
      </c>
      <c r="AC23" s="182" t="n">
        <f aca="false">ROUND((AC14-AC13)+(AC16-AC15)+(AC18-AC17)+(AC20-AC19)+(AC22-AC21),9)</f>
        <v>0</v>
      </c>
      <c r="AD23" s="182" t="n">
        <f aca="false">ROUND((AD14-AD13)+(AD16-AD15)+(AD18-AD17)+(AD20-AD19)+(AD22-AD21),9)</f>
        <v>0</v>
      </c>
      <c r="AE23" s="182" t="n">
        <f aca="false">ROUND((AE14-AE13)+(AE16-AE15)+(AE18-AE17)+(AE20-AE19)+(AE22-AE21),9)</f>
        <v>0.4375</v>
      </c>
      <c r="AF23" s="183" t="str">
        <f aca="false">A23</f>
        <v>Total in/out</v>
      </c>
      <c r="AG23" s="184"/>
      <c r="AH23" s="185" t="n">
        <f aca="false">SUM(B23:AE23)</f>
        <v>6.75</v>
      </c>
      <c r="AI23" s="180"/>
      <c r="AJ23" s="172"/>
      <c r="AK23" s="172"/>
      <c r="AL23" s="172"/>
      <c r="AM23" s="171"/>
      <c r="AN23" s="172"/>
      <c r="AO23" s="172"/>
      <c r="AP23" s="39"/>
    </row>
    <row r="24" s="148" customFormat="true" ht="3.75" hidden="true" customHeight="true" outlineLevel="1" collapsed="false">
      <c r="A24" s="186"/>
      <c r="B24" s="187"/>
      <c r="C24" s="187"/>
      <c r="D24" s="187"/>
      <c r="E24" s="187"/>
      <c r="F24" s="187"/>
      <c r="G24" s="187"/>
      <c r="H24" s="187"/>
      <c r="I24" s="187"/>
      <c r="J24" s="187"/>
      <c r="K24" s="187"/>
      <c r="L24" s="187"/>
      <c r="M24" s="187"/>
      <c r="N24" s="187"/>
      <c r="O24" s="187"/>
      <c r="P24" s="187"/>
      <c r="Q24" s="187"/>
      <c r="R24" s="187"/>
      <c r="S24" s="187"/>
      <c r="T24" s="187"/>
      <c r="U24" s="187"/>
      <c r="V24" s="187"/>
      <c r="W24" s="187"/>
      <c r="X24" s="187"/>
      <c r="Y24" s="187"/>
      <c r="Z24" s="187"/>
      <c r="AA24" s="187"/>
      <c r="AB24" s="187"/>
      <c r="AC24" s="187"/>
      <c r="AD24" s="187"/>
      <c r="AE24" s="187"/>
      <c r="AF24" s="168"/>
      <c r="AG24" s="146"/>
      <c r="AH24" s="179"/>
      <c r="AI24" s="180"/>
      <c r="AJ24" s="172"/>
      <c r="AK24" s="172"/>
      <c r="AL24" s="172"/>
      <c r="AM24" s="171"/>
      <c r="AN24" s="172"/>
      <c r="AO24" s="172"/>
      <c r="AP24" s="39"/>
    </row>
    <row r="25" s="148" customFormat="true" ht="15" hidden="true" customHeight="true" outlineLevel="1" collapsed="false">
      <c r="A25" s="175" t="s">
        <v>131</v>
      </c>
      <c r="B25" s="176"/>
      <c r="C25" s="176"/>
      <c r="D25" s="176"/>
      <c r="E25" s="189"/>
      <c r="F25" s="176"/>
      <c r="G25" s="176"/>
      <c r="H25" s="176"/>
      <c r="I25" s="176"/>
      <c r="J25" s="176"/>
      <c r="K25" s="176"/>
      <c r="L25" s="176"/>
      <c r="M25" s="176"/>
      <c r="N25" s="176"/>
      <c r="O25" s="176"/>
      <c r="P25" s="176"/>
      <c r="Q25" s="176"/>
      <c r="R25" s="176"/>
      <c r="S25" s="176"/>
      <c r="T25" s="176"/>
      <c r="U25" s="176"/>
      <c r="V25" s="176"/>
      <c r="W25" s="176"/>
      <c r="X25" s="176"/>
      <c r="Y25" s="176"/>
      <c r="Z25" s="190"/>
      <c r="AA25" s="176"/>
      <c r="AB25" s="176"/>
      <c r="AC25" s="176"/>
      <c r="AD25" s="176"/>
      <c r="AE25" s="176"/>
      <c r="AF25" s="168" t="str">
        <f aca="false">A25</f>
        <v>paid break in</v>
      </c>
      <c r="AG25" s="146"/>
      <c r="AH25" s="179"/>
      <c r="AI25" s="180"/>
      <c r="AJ25" s="172"/>
      <c r="AK25" s="172"/>
      <c r="AL25" s="172"/>
      <c r="AM25" s="171"/>
      <c r="AN25" s="172"/>
      <c r="AO25" s="172"/>
      <c r="AP25" s="39"/>
    </row>
    <row r="26" s="148" customFormat="true" ht="15" hidden="true" customHeight="true" outlineLevel="1" collapsed="false">
      <c r="A26" s="175" t="s">
        <v>132</v>
      </c>
      <c r="B26" s="176"/>
      <c r="C26" s="176"/>
      <c r="D26" s="176"/>
      <c r="E26" s="176"/>
      <c r="F26" s="176"/>
      <c r="G26" s="176"/>
      <c r="H26" s="176"/>
      <c r="I26" s="176"/>
      <c r="J26" s="176"/>
      <c r="K26" s="176"/>
      <c r="L26" s="176"/>
      <c r="M26" s="176"/>
      <c r="N26" s="176"/>
      <c r="O26" s="176"/>
      <c r="P26" s="176"/>
      <c r="Q26" s="176"/>
      <c r="R26" s="176"/>
      <c r="S26" s="176"/>
      <c r="T26" s="176"/>
      <c r="U26" s="176"/>
      <c r="V26" s="176"/>
      <c r="W26" s="176"/>
      <c r="X26" s="176"/>
      <c r="Y26" s="176"/>
      <c r="Z26" s="190"/>
      <c r="AA26" s="176"/>
      <c r="AB26" s="176"/>
      <c r="AC26" s="176"/>
      <c r="AD26" s="176"/>
      <c r="AE26" s="176"/>
      <c r="AF26" s="168" t="str">
        <f aca="false">A26</f>
        <v>paid break out</v>
      </c>
      <c r="AG26" s="146"/>
      <c r="AH26" s="179"/>
      <c r="AI26" s="180"/>
      <c r="AJ26" s="172"/>
      <c r="AK26" s="172"/>
      <c r="AL26" s="172"/>
      <c r="AM26" s="171"/>
      <c r="AN26" s="172"/>
      <c r="AO26" s="172"/>
      <c r="AP26" s="39"/>
    </row>
    <row r="27" s="148" customFormat="true" ht="15" hidden="true" customHeight="true" outlineLevel="1" collapsed="false">
      <c r="A27" s="175" t="s">
        <v>131</v>
      </c>
      <c r="B27" s="176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90"/>
      <c r="AA27" s="176"/>
      <c r="AB27" s="176"/>
      <c r="AC27" s="176"/>
      <c r="AD27" s="176"/>
      <c r="AE27" s="176"/>
      <c r="AF27" s="168" t="str">
        <f aca="false">A27</f>
        <v>paid break in</v>
      </c>
      <c r="AG27" s="146"/>
      <c r="AH27" s="179"/>
      <c r="AI27" s="180"/>
      <c r="AJ27" s="172"/>
      <c r="AK27" s="172"/>
      <c r="AL27" s="172"/>
      <c r="AM27" s="171"/>
      <c r="AN27" s="172"/>
      <c r="AO27" s="172"/>
      <c r="AP27" s="39"/>
    </row>
    <row r="28" s="148" customFormat="true" ht="15" hidden="true" customHeight="true" outlineLevel="1" collapsed="false">
      <c r="A28" s="175" t="s">
        <v>132</v>
      </c>
      <c r="B28" s="176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90"/>
      <c r="AA28" s="176"/>
      <c r="AB28" s="176"/>
      <c r="AC28" s="176"/>
      <c r="AD28" s="176"/>
      <c r="AE28" s="176"/>
      <c r="AF28" s="168" t="str">
        <f aca="false">A28</f>
        <v>paid break out</v>
      </c>
      <c r="AG28" s="146"/>
      <c r="AH28" s="179"/>
      <c r="AI28" s="180"/>
      <c r="AJ28" s="172"/>
      <c r="AK28" s="172"/>
      <c r="AL28" s="172"/>
      <c r="AM28" s="171"/>
      <c r="AN28" s="172"/>
      <c r="AO28" s="172"/>
      <c r="AP28" s="39"/>
    </row>
    <row r="29" s="148" customFormat="true" ht="15" hidden="true" customHeight="true" outlineLevel="1" collapsed="false">
      <c r="A29" s="175" t="s">
        <v>131</v>
      </c>
      <c r="B29" s="176"/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90"/>
      <c r="AA29" s="176"/>
      <c r="AB29" s="176"/>
      <c r="AC29" s="176"/>
      <c r="AD29" s="176"/>
      <c r="AE29" s="176"/>
      <c r="AF29" s="168" t="str">
        <f aca="false">A29</f>
        <v>paid break in</v>
      </c>
      <c r="AG29" s="146"/>
      <c r="AH29" s="179"/>
      <c r="AI29" s="180"/>
      <c r="AJ29" s="172"/>
      <c r="AK29" s="172"/>
      <c r="AL29" s="172"/>
      <c r="AM29" s="171"/>
      <c r="AN29" s="172"/>
      <c r="AO29" s="172"/>
      <c r="AP29" s="39"/>
    </row>
    <row r="30" s="148" customFormat="true" ht="15" hidden="true" customHeight="true" outlineLevel="1" collapsed="false">
      <c r="A30" s="175" t="s">
        <v>132</v>
      </c>
      <c r="B30" s="176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90"/>
      <c r="AA30" s="176"/>
      <c r="AB30" s="176"/>
      <c r="AC30" s="176"/>
      <c r="AD30" s="176"/>
      <c r="AE30" s="176"/>
      <c r="AF30" s="168" t="str">
        <f aca="false">A30</f>
        <v>paid break out</v>
      </c>
      <c r="AG30" s="146"/>
      <c r="AH30" s="179"/>
      <c r="AI30" s="180"/>
      <c r="AJ30" s="172"/>
      <c r="AK30" s="172"/>
      <c r="AL30" s="172"/>
      <c r="AM30" s="171"/>
      <c r="AN30" s="172"/>
      <c r="AO30" s="172"/>
      <c r="AP30" s="39"/>
    </row>
    <row r="31" s="148" customFormat="true" ht="3.75" hidden="true" customHeight="true" outlineLevel="1" collapsed="false">
      <c r="A31" s="186"/>
      <c r="B31" s="191"/>
      <c r="C31" s="191"/>
      <c r="D31" s="191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  <c r="AA31" s="191"/>
      <c r="AB31" s="191"/>
      <c r="AC31" s="191"/>
      <c r="AD31" s="191"/>
      <c r="AE31" s="191"/>
      <c r="AF31" s="168"/>
      <c r="AG31" s="146"/>
      <c r="AH31" s="179"/>
      <c r="AI31" s="180"/>
      <c r="AJ31" s="172"/>
      <c r="AK31" s="172"/>
      <c r="AL31" s="172"/>
      <c r="AM31" s="171"/>
      <c r="AN31" s="172"/>
      <c r="AO31" s="172"/>
      <c r="AP31" s="39"/>
    </row>
    <row r="32" s="148" customFormat="true" ht="15" hidden="true" customHeight="true" outlineLevel="1" collapsed="false">
      <c r="A32" s="181" t="s">
        <v>133</v>
      </c>
      <c r="B32" s="193" t="n">
        <f aca="false">ROUND(IF(MAX(0,B15-B14)&lt;1/24/60*180,MAX(0,B15-B14),0)+IF(MAX(0,B17-B16)&lt;1/24/60*180,MAX(0,B17-B16),0)+IF(MAX(0,B19-B18)&lt;1/24/60*180,MAX(0,B19-B18),0)+IF(MAX(0,B21-B20)&lt;1/24/60*180,MAX(0,B21-B20))+MAX(0,B26-B25)+MAX(0,B28-B27)+MAX(0,B30-B29),9)</f>
        <v>0</v>
      </c>
      <c r="C32" s="193" t="n">
        <f aca="false">ROUND(IF(MAX(0,C15-C14)&lt;1/24/60*180,MAX(0,C15-C14),0)+IF(MAX(0,C17-C16)&lt;1/24/60*180,MAX(0,C17-C16),0)+IF(MAX(0,C19-C18)&lt;1/24/60*180,MAX(0,C19-C18),0)+IF(MAX(0,C21-C20)&lt;1/24/60*180,MAX(0,C21-C20))+MAX(0,C26-C25)+MAX(0,C28-C27)+MAX(0,C30-C29),9)</f>
        <v>0</v>
      </c>
      <c r="D32" s="193" t="n">
        <f aca="false">ROUND(IF(MAX(0,D15-D14)&lt;1/24/60*180,MAX(0,D15-D14),0)+IF(MAX(0,D17-D16)&lt;1/24/60*180,MAX(0,D17-D16),0)+IF(MAX(0,D19-D18)&lt;1/24/60*180,MAX(0,D19-D18),0)+IF(MAX(0,D21-D20)&lt;1/24/60*180,MAX(0,D21-D20))+MAX(0,D26-D25)+MAX(0,D28-D27)+MAX(0,D30-D29),9)</f>
        <v>0</v>
      </c>
      <c r="E32" s="193" t="n">
        <f aca="false">ROUND(IF(MAX(0,E15-E14)&lt;1/24/60*180,MAX(0,E15-E14),0)+IF(MAX(0,E17-E16)&lt;1/24/60*180,MAX(0,E17-E16),0)+IF(MAX(0,E19-E18)&lt;1/24/60*180,MAX(0,E19-E18),0)+IF(MAX(0,E21-E20)&lt;1/24/60*180,MAX(0,E21-E20))+MAX(0,E26-E25)+MAX(0,E28-E27)+MAX(0,E30-E29),9)</f>
        <v>0</v>
      </c>
      <c r="F32" s="193" t="n">
        <f aca="false">ROUND(IF(MAX(0,F15-F14)&lt;1/24/60*180,MAX(0,F15-F14),0)+IF(MAX(0,F17-F16)&lt;1/24/60*180,MAX(0,F17-F16),0)+IF(MAX(0,F19-F18)&lt;1/24/60*180,MAX(0,F19-F18),0)+IF(MAX(0,F21-F20)&lt;1/24/60*180,MAX(0,F21-F20))+MAX(0,F26-F25)+MAX(0,F28-F27)+MAX(0,F30-F29),9)</f>
        <v>0</v>
      </c>
      <c r="G32" s="193" t="n">
        <f aca="false">ROUND(IF(MAX(0,G15-G14)&lt;1/24/60*180,MAX(0,G15-G14),0)+IF(MAX(0,G17-G16)&lt;1/24/60*180,MAX(0,G17-G16),0)+IF(MAX(0,G19-G18)&lt;1/24/60*180,MAX(0,G19-G18),0)+IF(MAX(0,G21-G20)&lt;1/24/60*180,MAX(0,G21-G20))+MAX(0,G26-G25)+MAX(0,G28-G27)+MAX(0,G30-G29),9)</f>
        <v>0</v>
      </c>
      <c r="H32" s="193" t="n">
        <f aca="false">ROUND(IF(MAX(0,H15-H14)&lt;1/24/60*180,MAX(0,H15-H14),0)+IF(MAX(0,H17-H16)&lt;1/24/60*180,MAX(0,H17-H16),0)+IF(MAX(0,H19-H18)&lt;1/24/60*180,MAX(0,H19-H18),0)+IF(MAX(0,H21-H20)&lt;1/24/60*180,MAX(0,H21-H20))+MAX(0,H26-H25)+MAX(0,H28-H27)+MAX(0,H30-H29),9)</f>
        <v>0</v>
      </c>
      <c r="I32" s="193" t="n">
        <f aca="false">ROUND(IF(MAX(0,I15-I14)&lt;1/24/60*180,MAX(0,I15-I14),0)+IF(MAX(0,I17-I16)&lt;1/24/60*180,MAX(0,I17-I16),0)+IF(MAX(0,I19-I18)&lt;1/24/60*180,MAX(0,I19-I18),0)+IF(MAX(0,I21-I20)&lt;1/24/60*180,MAX(0,I21-I20))+MAX(0,I26-I25)+MAX(0,I28-I27)+MAX(0,I30-I29),9)</f>
        <v>0</v>
      </c>
      <c r="J32" s="193" t="n">
        <f aca="false">ROUND(IF(MAX(0,J15-J14)&lt;1/24/60*180,MAX(0,J15-J14),0)+IF(MAX(0,J17-J16)&lt;1/24/60*180,MAX(0,J17-J16),0)+IF(MAX(0,J19-J18)&lt;1/24/60*180,MAX(0,J19-J18),0)+IF(MAX(0,J21-J20)&lt;1/24/60*180,MAX(0,J21-J20))+MAX(0,J26-J25)+MAX(0,J28-J27)+MAX(0,J30-J29),9)</f>
        <v>0</v>
      </c>
      <c r="K32" s="193" t="n">
        <f aca="false">ROUND(IF(MAX(0,K15-K14)&lt;1/24/60*180,MAX(0,K15-K14),0)+IF(MAX(0,K17-K16)&lt;1/24/60*180,MAX(0,K17-K16),0)+IF(MAX(0,K19-K18)&lt;1/24/60*180,MAX(0,K19-K18),0)+IF(MAX(0,K21-K20)&lt;1/24/60*180,MAX(0,K21-K20))+MAX(0,K26-K25)+MAX(0,K28-K27)+MAX(0,K30-K29),9)</f>
        <v>0</v>
      </c>
      <c r="L32" s="193" t="n">
        <f aca="false">ROUND(IF(MAX(0,L15-L14)&lt;1/24/60*180,MAX(0,L15-L14),0)+IF(MAX(0,L17-L16)&lt;1/24/60*180,MAX(0,L17-L16),0)+IF(MAX(0,L19-L18)&lt;1/24/60*180,MAX(0,L19-L18),0)+IF(MAX(0,L21-L20)&lt;1/24/60*180,MAX(0,L21-L20))+MAX(0,L26-L25)+MAX(0,L28-L27)+MAX(0,L30-L29),9)</f>
        <v>0</v>
      </c>
      <c r="M32" s="193" t="n">
        <f aca="false">ROUND(IF(MAX(0,M15-M14)&lt;1/24/60*180,MAX(0,M15-M14),0)+IF(MAX(0,M17-M16)&lt;1/24/60*180,MAX(0,M17-M16),0)+IF(MAX(0,M19-M18)&lt;1/24/60*180,MAX(0,M19-M18),0)+IF(MAX(0,M21-M20)&lt;1/24/60*180,MAX(0,M21-M20))+MAX(0,M26-M25)+MAX(0,M28-M27)+MAX(0,M30-M29),9)</f>
        <v>0</v>
      </c>
      <c r="N32" s="193" t="n">
        <f aca="false">ROUND(IF(MAX(0,N15-N14)&lt;1/24/60*180,MAX(0,N15-N14),0)+IF(MAX(0,N17-N16)&lt;1/24/60*180,MAX(0,N17-N16),0)+IF(MAX(0,N19-N18)&lt;1/24/60*180,MAX(0,N19-N18),0)+IF(MAX(0,N21-N20)&lt;1/24/60*180,MAX(0,N21-N20))+MAX(0,N26-N25)+MAX(0,N28-N27)+MAX(0,N30-N29),9)</f>
        <v>0</v>
      </c>
      <c r="O32" s="193" t="n">
        <f aca="false">ROUND(IF(MAX(0,O15-O14)&lt;1/24/60*180,MAX(0,O15-O14),0)+IF(MAX(0,O17-O16)&lt;1/24/60*180,MAX(0,O17-O16),0)+IF(MAX(0,O19-O18)&lt;1/24/60*180,MAX(0,O19-O18),0)+IF(MAX(0,O21-O20)&lt;1/24/60*180,MAX(0,O21-O20))+MAX(0,O26-O25)+MAX(0,O28-O27)+MAX(0,O30-O29),9)</f>
        <v>0</v>
      </c>
      <c r="P32" s="193" t="n">
        <f aca="false">ROUND(IF(MAX(0,P15-P14)&lt;1/24/60*180,MAX(0,P15-P14),0)+IF(MAX(0,P17-P16)&lt;1/24/60*180,MAX(0,P17-P16),0)+IF(MAX(0,P19-P18)&lt;1/24/60*180,MAX(0,P19-P18),0)+IF(MAX(0,P21-P20)&lt;1/24/60*180,MAX(0,P21-P20))+MAX(0,P26-P25)+MAX(0,P28-P27)+MAX(0,P30-P29),9)</f>
        <v>0</v>
      </c>
      <c r="Q32" s="193" t="n">
        <f aca="false">ROUND(IF(MAX(0,Q15-Q14)&lt;1/24/60*180,MAX(0,Q15-Q14),0)+IF(MAX(0,Q17-Q16)&lt;1/24/60*180,MAX(0,Q17-Q16),0)+IF(MAX(0,Q19-Q18)&lt;1/24/60*180,MAX(0,Q19-Q18),0)+IF(MAX(0,Q21-Q20)&lt;1/24/60*180,MAX(0,Q21-Q20))+MAX(0,Q26-Q25)+MAX(0,Q28-Q27)+MAX(0,Q30-Q29),9)</f>
        <v>0</v>
      </c>
      <c r="R32" s="193" t="n">
        <f aca="false">ROUND(IF(MAX(0,R15-R14)&lt;1/24/60*180,MAX(0,R15-R14),0)+IF(MAX(0,R17-R16)&lt;1/24/60*180,MAX(0,R17-R16),0)+IF(MAX(0,R19-R18)&lt;1/24/60*180,MAX(0,R19-R18),0)+IF(MAX(0,R21-R20)&lt;1/24/60*180,MAX(0,R21-R20))+MAX(0,R26-R25)+MAX(0,R28-R27)+MAX(0,R30-R29),9)</f>
        <v>0</v>
      </c>
      <c r="S32" s="193" t="n">
        <f aca="false">ROUND(IF(MAX(0,S15-S14)&lt;1/24/60*180,MAX(0,S15-S14),0)+IF(MAX(0,S17-S16)&lt;1/24/60*180,MAX(0,S17-S16),0)+IF(MAX(0,S19-S18)&lt;1/24/60*180,MAX(0,S19-S18),0)+IF(MAX(0,S21-S20)&lt;1/24/60*180,MAX(0,S21-S20))+MAX(0,S26-S25)+MAX(0,S28-S27)+MAX(0,S30-S29),9)</f>
        <v>0</v>
      </c>
      <c r="T32" s="193" t="n">
        <f aca="false">ROUND(IF(MAX(0,T15-T14)&lt;1/24/60*180,MAX(0,T15-T14),0)+IF(MAX(0,T17-T16)&lt;1/24/60*180,MAX(0,T17-T16),0)+IF(MAX(0,T19-T18)&lt;1/24/60*180,MAX(0,T19-T18),0)+IF(MAX(0,T21-T20)&lt;1/24/60*180,MAX(0,T21-T20))+MAX(0,T26-T25)+MAX(0,T28-T27)+MAX(0,T30-T29),9)</f>
        <v>0</v>
      </c>
      <c r="U32" s="193" t="n">
        <f aca="false">ROUND(IF(MAX(0,U15-U14)&lt;1/24/60*180,MAX(0,U15-U14),0)+IF(MAX(0,U17-U16)&lt;1/24/60*180,MAX(0,U17-U16),0)+IF(MAX(0,U19-U18)&lt;1/24/60*180,MAX(0,U19-U18),0)+IF(MAX(0,U21-U20)&lt;1/24/60*180,MAX(0,U21-U20))+MAX(0,U26-U25)+MAX(0,U28-U27)+MAX(0,U30-U29),9)</f>
        <v>0</v>
      </c>
      <c r="V32" s="193" t="n">
        <f aca="false">ROUND(IF(MAX(0,V15-V14)&lt;1/24/60*180,MAX(0,V15-V14),0)+IF(MAX(0,V17-V16)&lt;1/24/60*180,MAX(0,V17-V16),0)+IF(MAX(0,V19-V18)&lt;1/24/60*180,MAX(0,V19-V18),0)+IF(MAX(0,V21-V20)&lt;1/24/60*180,MAX(0,V21-V20))+MAX(0,V26-V25)+MAX(0,V28-V27)+MAX(0,V30-V29),9)</f>
        <v>0</v>
      </c>
      <c r="W32" s="193" t="n">
        <f aca="false">ROUND(IF(MAX(0,W15-W14)&lt;1/24/60*180,MAX(0,W15-W14),0)+IF(MAX(0,W17-W16)&lt;1/24/60*180,MAX(0,W17-W16),0)+IF(MAX(0,W19-W18)&lt;1/24/60*180,MAX(0,W19-W18),0)+IF(MAX(0,W21-W20)&lt;1/24/60*180,MAX(0,W21-W20))+MAX(0,W26-W25)+MAX(0,W28-W27)+MAX(0,W30-W29),9)</f>
        <v>0</v>
      </c>
      <c r="X32" s="193" t="n">
        <f aca="false">ROUND(IF(MAX(0,X15-X14)&lt;1/24/60*180,MAX(0,X15-X14),0)+IF(MAX(0,X17-X16)&lt;1/24/60*180,MAX(0,X17-X16),0)+IF(MAX(0,X19-X18)&lt;1/24/60*180,MAX(0,X19-X18),0)+IF(MAX(0,X21-X20)&lt;1/24/60*180,MAX(0,X21-X20))+MAX(0,X26-X25)+MAX(0,X28-X27)+MAX(0,X30-X29),9)</f>
        <v>0</v>
      </c>
      <c r="Y32" s="193" t="n">
        <f aca="false">ROUND(IF(MAX(0,Y15-Y14)&lt;1/24/60*180,MAX(0,Y15-Y14),0)+IF(MAX(0,Y17-Y16)&lt;1/24/60*180,MAX(0,Y17-Y16),0)+IF(MAX(0,Y19-Y18)&lt;1/24/60*180,MAX(0,Y19-Y18),0)+IF(MAX(0,Y21-Y20)&lt;1/24/60*180,MAX(0,Y21-Y20))+MAX(0,Y26-Y25)+MAX(0,Y28-Y27)+MAX(0,Y30-Y29),9)</f>
        <v>0</v>
      </c>
      <c r="Z32" s="193" t="n">
        <f aca="false">ROUND(IF(MAX(0,Z15-Z14)&lt;1/24/60*180,MAX(0,Z15-Z14),0)+IF(MAX(0,Z17-Z16)&lt;1/24/60*180,MAX(0,Z17-Z16),0)+IF(MAX(0,Z19-Z18)&lt;1/24/60*180,MAX(0,Z19-Z18),0)+IF(MAX(0,Z21-Z20)&lt;1/24/60*180,MAX(0,Z21-Z20))+MAX(0,Z26-Z25)+MAX(0,Z28-Z27)+MAX(0,Z30-Z29),9)</f>
        <v>0</v>
      </c>
      <c r="AA32" s="193" t="n">
        <f aca="false">ROUND(IF(MAX(0,AA15-AA14)&lt;1/24/60*180,MAX(0,AA15-AA14),0)+IF(MAX(0,AA17-AA16)&lt;1/24/60*180,MAX(0,AA17-AA16),0)+IF(MAX(0,AA19-AA18)&lt;1/24/60*180,MAX(0,AA19-AA18),0)+IF(MAX(0,AA21-AA20)&lt;1/24/60*180,MAX(0,AA21-AA20))+MAX(0,AA26-AA25)+MAX(0,AA28-AA27)+MAX(0,AA30-AA29),9)</f>
        <v>0</v>
      </c>
      <c r="AB32" s="193" t="n">
        <f aca="false">ROUND(IF(MAX(0,AB15-AB14)&lt;1/24/60*180,MAX(0,AB15-AB14),0)+IF(MAX(0,AB17-AB16)&lt;1/24/60*180,MAX(0,AB17-AB16),0)+IF(MAX(0,AB19-AB18)&lt;1/24/60*180,MAX(0,AB19-AB18),0)+IF(MAX(0,AB21-AB20)&lt;1/24/60*180,MAX(0,AB21-AB20))+MAX(0,AB26-AB25)+MAX(0,AB28-AB27)+MAX(0,AB30-AB29),9)</f>
        <v>0</v>
      </c>
      <c r="AC32" s="193" t="n">
        <f aca="false">ROUND(IF(MAX(0,AC15-AC14)&lt;1/24/60*180,MAX(0,AC15-AC14),0)+IF(MAX(0,AC17-AC16)&lt;1/24/60*180,MAX(0,AC17-AC16),0)+IF(MAX(0,AC19-AC18)&lt;1/24/60*180,MAX(0,AC19-AC18),0)+IF(MAX(0,AC21-AC20)&lt;1/24/60*180,MAX(0,AC21-AC20))+MAX(0,AC26-AC25)+MAX(0,AC28-AC27)+MAX(0,AC30-AC29),9)</f>
        <v>0</v>
      </c>
      <c r="AD32" s="193" t="n">
        <f aca="false">ROUND(IF(MAX(0,AD15-AD14)&lt;1/24/60*180,MAX(0,AD15-AD14),0)+IF(MAX(0,AD17-AD16)&lt;1/24/60*180,MAX(0,AD17-AD16),0)+IF(MAX(0,AD19-AD18)&lt;1/24/60*180,MAX(0,AD19-AD18),0)+IF(MAX(0,AD21-AD20)&lt;1/24/60*180,MAX(0,AD21-AD20))+MAX(0,AD26-AD25)+MAX(0,AD28-AD27)+MAX(0,AD30-AD29),9)</f>
        <v>0</v>
      </c>
      <c r="AE32" s="193" t="n">
        <f aca="false">ROUND(IF(MAX(0,AE15-AE14)&lt;1/24/60*180,MAX(0,AE15-AE14),0)+IF(MAX(0,AE17-AE16)&lt;1/24/60*180,MAX(0,AE17-AE16),0)+IF(MAX(0,AE19-AE18)&lt;1/24/60*180,MAX(0,AE19-AE18),0)+IF(MAX(0,AE21-AE20)&lt;1/24/60*180,MAX(0,AE21-AE20))+MAX(0,AE26-AE25)+MAX(0,AE28-AE27)+MAX(0,AE30-AE29),9)</f>
        <v>0</v>
      </c>
      <c r="AF32" s="183" t="str">
        <f aca="false">A32</f>
        <v>Total breaks (in out/paid)</v>
      </c>
      <c r="AG32" s="184"/>
      <c r="AH32" s="185" t="n">
        <f aca="false">SUM(B32:AE32)</f>
        <v>0</v>
      </c>
      <c r="AI32" s="180"/>
      <c r="AJ32" s="172"/>
      <c r="AK32" s="172"/>
      <c r="AL32" s="172"/>
      <c r="AM32" s="171"/>
      <c r="AN32" s="172"/>
      <c r="AO32" s="172"/>
      <c r="AP32" s="39"/>
    </row>
    <row r="33" s="148" customFormat="true" ht="3.75" hidden="false" customHeight="true" outlineLevel="0" collapsed="false">
      <c r="A33" s="186"/>
      <c r="B33" s="194"/>
      <c r="C33" s="194"/>
      <c r="D33" s="194"/>
      <c r="E33" s="194"/>
      <c r="F33" s="194"/>
      <c r="G33" s="194"/>
      <c r="H33" s="194"/>
      <c r="I33" s="194"/>
      <c r="J33" s="194"/>
      <c r="K33" s="194"/>
      <c r="L33" s="194"/>
      <c r="M33" s="194"/>
      <c r="N33" s="194"/>
      <c r="O33" s="194"/>
      <c r="P33" s="194"/>
      <c r="Q33" s="194"/>
      <c r="R33" s="194"/>
      <c r="S33" s="194"/>
      <c r="T33" s="194"/>
      <c r="U33" s="194"/>
      <c r="V33" s="194"/>
      <c r="W33" s="194"/>
      <c r="X33" s="194"/>
      <c r="Y33" s="194"/>
      <c r="Z33" s="194"/>
      <c r="AA33" s="194"/>
      <c r="AB33" s="194"/>
      <c r="AC33" s="194"/>
      <c r="AD33" s="194"/>
      <c r="AE33" s="194"/>
      <c r="AF33" s="168"/>
      <c r="AG33" s="146"/>
      <c r="AH33" s="179"/>
      <c r="AI33" s="180"/>
      <c r="AJ33" s="172"/>
      <c r="AK33" s="172"/>
      <c r="AL33" s="172"/>
      <c r="AM33" s="171"/>
      <c r="AN33" s="172"/>
      <c r="AO33" s="172"/>
      <c r="AP33" s="39"/>
    </row>
    <row r="34" s="148" customFormat="true" ht="15" hidden="false" customHeight="true" outlineLevel="1" collapsed="false">
      <c r="A34" s="175" t="s">
        <v>134</v>
      </c>
      <c r="B34" s="196" t="str">
        <f aca="true">IF(EB.Anwendung&lt;&gt;"",IF(EB.Wochenarbeitszeit=50/24,INDEX(T.Pikett.Bereich,1),IF(DAY(B$10)=1,IF(MONTH(Monat.Tag1)=1,INDEX(T.Pikett.Bereich,1),IF(MONTH(Monat.Tag1)=2,January!Monat.Pikett,IF(MONTH(Monat.Tag1)=3,February!Monat.Pikett,IF(MONTH(Monat.Tag1)=4,March!Monat.Pikett,IF(MONTH(Monat.Tag1)=5,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A34="B",INDEX(T.Pikett.Bereich,4),IF(A34="E",INDEX(T.Pikett.Bereich,1),A34)))),"")</f>
        <v>No</v>
      </c>
      <c r="C34" s="196" t="str">
        <f aca="true">IF(EB.Anwendung&lt;&gt;"",IF(EB.Wochenarbeitszeit=50/24,INDEX(T.Pikett.Bereich,1),IF(DAY(C$10)=1,IF(MONTH(Monat.Tag1)=1,INDEX(T.Pikett.Bereich,1),IF(MONTH(Monat.Tag1)=2,January!Monat.Pikett,IF(MONTH(Monat.Tag1)=3,February!Monat.Pikett,IF(MONTH(Monat.Tag1)=4,March!Monat.Pikett,IF(MONTH(Monat.Tag1)=5,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B34="B",INDEX(T.Pikett.Bereich,4),IF(B34="E",INDEX(T.Pikett.Bereich,1),B34)))),"")</f>
        <v>No</v>
      </c>
      <c r="D34" s="196" t="str">
        <f aca="true">IF(EB.Anwendung&lt;&gt;"",IF(EB.Wochenarbeitszeit=50/24,INDEX(T.Pikett.Bereich,1),IF(DAY(D$10)=1,IF(MONTH(Monat.Tag1)=1,INDEX(T.Pikett.Bereich,1),IF(MONTH(Monat.Tag1)=2,January!Monat.Pikett,IF(MONTH(Monat.Tag1)=3,February!Monat.Pikett,IF(MONTH(Monat.Tag1)=4,March!Monat.Pikett,IF(MONTH(Monat.Tag1)=5,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C34="B",INDEX(T.Pikett.Bereich,4),IF(C34="E",INDEX(T.Pikett.Bereich,1),C34)))),"")</f>
        <v>No</v>
      </c>
      <c r="E34" s="196" t="str">
        <f aca="true">IF(EB.Anwendung&lt;&gt;"",IF(EB.Wochenarbeitszeit=50/24,INDEX(T.Pikett.Bereich,1),IF(DAY(E$10)=1,IF(MONTH(Monat.Tag1)=1,INDEX(T.Pikett.Bereich,1),IF(MONTH(Monat.Tag1)=2,January!Monat.Pikett,IF(MONTH(Monat.Tag1)=3,February!Monat.Pikett,IF(MONTH(Monat.Tag1)=4,March!Monat.Pikett,IF(MONTH(Monat.Tag1)=5,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D34="B",INDEX(T.Pikett.Bereich,4),IF(D34="E",INDEX(T.Pikett.Bereich,1),D34)))),"")</f>
        <v>No</v>
      </c>
      <c r="F34" s="196" t="str">
        <f aca="true">IF(EB.Anwendung&lt;&gt;"",IF(EB.Wochenarbeitszeit=50/24,INDEX(T.Pikett.Bereich,1),IF(DAY(F$10)=1,IF(MONTH(Monat.Tag1)=1,INDEX(T.Pikett.Bereich,1),IF(MONTH(Monat.Tag1)=2,January!Monat.Pikett,IF(MONTH(Monat.Tag1)=3,February!Monat.Pikett,IF(MONTH(Monat.Tag1)=4,March!Monat.Pikett,IF(MONTH(Monat.Tag1)=5,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E34="B",INDEX(T.Pikett.Bereich,4),IF(E34="E",INDEX(T.Pikett.Bereich,1),E34)))),"")</f>
        <v>No</v>
      </c>
      <c r="G34" s="196" t="str">
        <f aca="true">IF(EB.Anwendung&lt;&gt;"",IF(EB.Wochenarbeitszeit=50/24,INDEX(T.Pikett.Bereich,1),IF(DAY(G$10)=1,IF(MONTH(Monat.Tag1)=1,INDEX(T.Pikett.Bereich,1),IF(MONTH(Monat.Tag1)=2,January!Monat.Pikett,IF(MONTH(Monat.Tag1)=3,February!Monat.Pikett,IF(MONTH(Monat.Tag1)=4,March!Monat.Pikett,IF(MONTH(Monat.Tag1)=5,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F34="B",INDEX(T.Pikett.Bereich,4),IF(F34="E",INDEX(T.Pikett.Bereich,1),F34)))),"")</f>
        <v>No</v>
      </c>
      <c r="H34" s="196" t="str">
        <f aca="true">IF(EB.Anwendung&lt;&gt;"",IF(EB.Wochenarbeitszeit=50/24,INDEX(T.Pikett.Bereich,1),IF(DAY(H$10)=1,IF(MONTH(Monat.Tag1)=1,INDEX(T.Pikett.Bereich,1),IF(MONTH(Monat.Tag1)=2,January!Monat.Pikett,IF(MONTH(Monat.Tag1)=3,February!Monat.Pikett,IF(MONTH(Monat.Tag1)=4,March!Monat.Pikett,IF(MONTH(Monat.Tag1)=5,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G34="B",INDEX(T.Pikett.Bereich,4),IF(G34="E",INDEX(T.Pikett.Bereich,1),G34)))),"")</f>
        <v>No</v>
      </c>
      <c r="I34" s="196" t="str">
        <f aca="true">IF(EB.Anwendung&lt;&gt;"",IF(EB.Wochenarbeitszeit=50/24,INDEX(T.Pikett.Bereich,1),IF(DAY(I$10)=1,IF(MONTH(Monat.Tag1)=1,INDEX(T.Pikett.Bereich,1),IF(MONTH(Monat.Tag1)=2,January!Monat.Pikett,IF(MONTH(Monat.Tag1)=3,February!Monat.Pikett,IF(MONTH(Monat.Tag1)=4,March!Monat.Pikett,IF(MONTH(Monat.Tag1)=5,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H34="B",INDEX(T.Pikett.Bereich,4),IF(H34="E",INDEX(T.Pikett.Bereich,1),H34)))),"")</f>
        <v>No</v>
      </c>
      <c r="J34" s="196" t="str">
        <f aca="true">IF(EB.Anwendung&lt;&gt;"",IF(EB.Wochenarbeitszeit=50/24,INDEX(T.Pikett.Bereich,1),IF(DAY(J$10)=1,IF(MONTH(Monat.Tag1)=1,INDEX(T.Pikett.Bereich,1),IF(MONTH(Monat.Tag1)=2,January!Monat.Pikett,IF(MONTH(Monat.Tag1)=3,February!Monat.Pikett,IF(MONTH(Monat.Tag1)=4,March!Monat.Pikett,IF(MONTH(Monat.Tag1)=5,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I34="B",INDEX(T.Pikett.Bereich,4),IF(I34="E",INDEX(T.Pikett.Bereich,1),I34)))),"")</f>
        <v>No</v>
      </c>
      <c r="K34" s="196" t="str">
        <f aca="true">IF(EB.Anwendung&lt;&gt;"",IF(EB.Wochenarbeitszeit=50/24,INDEX(T.Pikett.Bereich,1),IF(DAY(K$10)=1,IF(MONTH(Monat.Tag1)=1,INDEX(T.Pikett.Bereich,1),IF(MONTH(Monat.Tag1)=2,January!Monat.Pikett,IF(MONTH(Monat.Tag1)=3,February!Monat.Pikett,IF(MONTH(Monat.Tag1)=4,March!Monat.Pikett,IF(MONTH(Monat.Tag1)=5,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J34="B",INDEX(T.Pikett.Bereich,4),IF(J34="E",INDEX(T.Pikett.Bereich,1),J34)))),"")</f>
        <v>No</v>
      </c>
      <c r="L34" s="196" t="str">
        <f aca="true">IF(EB.Anwendung&lt;&gt;"",IF(EB.Wochenarbeitszeit=50/24,INDEX(T.Pikett.Bereich,1),IF(DAY(L$10)=1,IF(MONTH(Monat.Tag1)=1,INDEX(T.Pikett.Bereich,1),IF(MONTH(Monat.Tag1)=2,January!Monat.Pikett,IF(MONTH(Monat.Tag1)=3,February!Monat.Pikett,IF(MONTH(Monat.Tag1)=4,March!Monat.Pikett,IF(MONTH(Monat.Tag1)=5,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K34="B",INDEX(T.Pikett.Bereich,4),IF(K34="E",INDEX(T.Pikett.Bereich,1),K34)))),"")</f>
        <v>No</v>
      </c>
      <c r="M34" s="196" t="str">
        <f aca="true">IF(EB.Anwendung&lt;&gt;"",IF(EB.Wochenarbeitszeit=50/24,INDEX(T.Pikett.Bereich,1),IF(DAY(M$10)=1,IF(MONTH(Monat.Tag1)=1,INDEX(T.Pikett.Bereich,1),IF(MONTH(Monat.Tag1)=2,January!Monat.Pikett,IF(MONTH(Monat.Tag1)=3,February!Monat.Pikett,IF(MONTH(Monat.Tag1)=4,March!Monat.Pikett,IF(MONTH(Monat.Tag1)=5,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L34="B",INDEX(T.Pikett.Bereich,4),IF(L34="E",INDEX(T.Pikett.Bereich,1),L34)))),"")</f>
        <v>No</v>
      </c>
      <c r="N34" s="196" t="str">
        <f aca="true">IF(EB.Anwendung&lt;&gt;"",IF(EB.Wochenarbeitszeit=50/24,INDEX(T.Pikett.Bereich,1),IF(DAY(N$10)=1,IF(MONTH(Monat.Tag1)=1,INDEX(T.Pikett.Bereich,1),IF(MONTH(Monat.Tag1)=2,January!Monat.Pikett,IF(MONTH(Monat.Tag1)=3,February!Monat.Pikett,IF(MONTH(Monat.Tag1)=4,March!Monat.Pikett,IF(MONTH(Monat.Tag1)=5,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M34="B",INDEX(T.Pikett.Bereich,4),IF(M34="E",INDEX(T.Pikett.Bereich,1),M34)))),"")</f>
        <v>No</v>
      </c>
      <c r="O34" s="196" t="str">
        <f aca="true">IF(EB.Anwendung&lt;&gt;"",IF(EB.Wochenarbeitszeit=50/24,INDEX(T.Pikett.Bereich,1),IF(DAY(O$10)=1,IF(MONTH(Monat.Tag1)=1,INDEX(T.Pikett.Bereich,1),IF(MONTH(Monat.Tag1)=2,January!Monat.Pikett,IF(MONTH(Monat.Tag1)=3,February!Monat.Pikett,IF(MONTH(Monat.Tag1)=4,March!Monat.Pikett,IF(MONTH(Monat.Tag1)=5,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N34="B",INDEX(T.Pikett.Bereich,4),IF(N34="E",INDEX(T.Pikett.Bereich,1),N34)))),"")</f>
        <v>No</v>
      </c>
      <c r="P34" s="196" t="str">
        <f aca="true">IF(EB.Anwendung&lt;&gt;"",IF(EB.Wochenarbeitszeit=50/24,INDEX(T.Pikett.Bereich,1),IF(DAY(P$10)=1,IF(MONTH(Monat.Tag1)=1,INDEX(T.Pikett.Bereich,1),IF(MONTH(Monat.Tag1)=2,January!Monat.Pikett,IF(MONTH(Monat.Tag1)=3,February!Monat.Pikett,IF(MONTH(Monat.Tag1)=4,March!Monat.Pikett,IF(MONTH(Monat.Tag1)=5,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O34="B",INDEX(T.Pikett.Bereich,4),IF(O34="E",INDEX(T.Pikett.Bereich,1),O34)))),"")</f>
        <v>No</v>
      </c>
      <c r="Q34" s="196" t="str">
        <f aca="true">IF(EB.Anwendung&lt;&gt;"",IF(EB.Wochenarbeitszeit=50/24,INDEX(T.Pikett.Bereich,1),IF(DAY(Q$10)=1,IF(MONTH(Monat.Tag1)=1,INDEX(T.Pikett.Bereich,1),IF(MONTH(Monat.Tag1)=2,January!Monat.Pikett,IF(MONTH(Monat.Tag1)=3,February!Monat.Pikett,IF(MONTH(Monat.Tag1)=4,March!Monat.Pikett,IF(MONTH(Monat.Tag1)=5,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P34="B",INDEX(T.Pikett.Bereich,4),IF(P34="E",INDEX(T.Pikett.Bereich,1),P34)))),"")</f>
        <v>No</v>
      </c>
      <c r="R34" s="196" t="str">
        <f aca="true">IF(EB.Anwendung&lt;&gt;"",IF(EB.Wochenarbeitszeit=50/24,INDEX(T.Pikett.Bereich,1),IF(DAY(R$10)=1,IF(MONTH(Monat.Tag1)=1,INDEX(T.Pikett.Bereich,1),IF(MONTH(Monat.Tag1)=2,January!Monat.Pikett,IF(MONTH(Monat.Tag1)=3,February!Monat.Pikett,IF(MONTH(Monat.Tag1)=4,March!Monat.Pikett,IF(MONTH(Monat.Tag1)=5,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Q34="B",INDEX(T.Pikett.Bereich,4),IF(Q34="E",INDEX(T.Pikett.Bereich,1),Q34)))),"")</f>
        <v>No</v>
      </c>
      <c r="S34" s="196" t="str">
        <f aca="true">IF(EB.Anwendung&lt;&gt;"",IF(EB.Wochenarbeitszeit=50/24,INDEX(T.Pikett.Bereich,1),IF(DAY(S$10)=1,IF(MONTH(Monat.Tag1)=1,INDEX(T.Pikett.Bereich,1),IF(MONTH(Monat.Tag1)=2,January!Monat.Pikett,IF(MONTH(Monat.Tag1)=3,February!Monat.Pikett,IF(MONTH(Monat.Tag1)=4,March!Monat.Pikett,IF(MONTH(Monat.Tag1)=5,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R34="B",INDEX(T.Pikett.Bereich,4),IF(R34="E",INDEX(T.Pikett.Bereich,1),R34)))),"")</f>
        <v>No</v>
      </c>
      <c r="T34" s="196" t="str">
        <f aca="true">IF(EB.Anwendung&lt;&gt;"",IF(EB.Wochenarbeitszeit=50/24,INDEX(T.Pikett.Bereich,1),IF(DAY(T$10)=1,IF(MONTH(Monat.Tag1)=1,INDEX(T.Pikett.Bereich,1),IF(MONTH(Monat.Tag1)=2,January!Monat.Pikett,IF(MONTH(Monat.Tag1)=3,February!Monat.Pikett,IF(MONTH(Monat.Tag1)=4,March!Monat.Pikett,IF(MONTH(Monat.Tag1)=5,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S34="B",INDEX(T.Pikett.Bereich,4),IF(S34="E",INDEX(T.Pikett.Bereich,1),S34)))),"")</f>
        <v>No</v>
      </c>
      <c r="U34" s="196" t="str">
        <f aca="true">IF(EB.Anwendung&lt;&gt;"",IF(EB.Wochenarbeitszeit=50/24,INDEX(T.Pikett.Bereich,1),IF(DAY(U$10)=1,IF(MONTH(Monat.Tag1)=1,INDEX(T.Pikett.Bereich,1),IF(MONTH(Monat.Tag1)=2,January!Monat.Pikett,IF(MONTH(Monat.Tag1)=3,February!Monat.Pikett,IF(MONTH(Monat.Tag1)=4,March!Monat.Pikett,IF(MONTH(Monat.Tag1)=5,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T34="B",INDEX(T.Pikett.Bereich,4),IF(T34="E",INDEX(T.Pikett.Bereich,1),T34)))),"")</f>
        <v>No</v>
      </c>
      <c r="V34" s="196" t="str">
        <f aca="true">IF(EB.Anwendung&lt;&gt;"",IF(EB.Wochenarbeitszeit=50/24,INDEX(T.Pikett.Bereich,1),IF(DAY(V$10)=1,IF(MONTH(Monat.Tag1)=1,INDEX(T.Pikett.Bereich,1),IF(MONTH(Monat.Tag1)=2,January!Monat.Pikett,IF(MONTH(Monat.Tag1)=3,February!Monat.Pikett,IF(MONTH(Monat.Tag1)=4,March!Monat.Pikett,IF(MONTH(Monat.Tag1)=5,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U34="B",INDEX(T.Pikett.Bereich,4),IF(U34="E",INDEX(T.Pikett.Bereich,1),U34)))),"")</f>
        <v>No</v>
      </c>
      <c r="W34" s="196" t="str">
        <f aca="true">IF(EB.Anwendung&lt;&gt;"",IF(EB.Wochenarbeitszeit=50/24,INDEX(T.Pikett.Bereich,1),IF(DAY(W$10)=1,IF(MONTH(Monat.Tag1)=1,INDEX(T.Pikett.Bereich,1),IF(MONTH(Monat.Tag1)=2,January!Monat.Pikett,IF(MONTH(Monat.Tag1)=3,February!Monat.Pikett,IF(MONTH(Monat.Tag1)=4,March!Monat.Pikett,IF(MONTH(Monat.Tag1)=5,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V34="B",INDEX(T.Pikett.Bereich,4),IF(V34="E",INDEX(T.Pikett.Bereich,1),V34)))),"")</f>
        <v>No</v>
      </c>
      <c r="X34" s="196" t="str">
        <f aca="true">IF(EB.Anwendung&lt;&gt;"",IF(EB.Wochenarbeitszeit=50/24,INDEX(T.Pikett.Bereich,1),IF(DAY(X$10)=1,IF(MONTH(Monat.Tag1)=1,INDEX(T.Pikett.Bereich,1),IF(MONTH(Monat.Tag1)=2,January!Monat.Pikett,IF(MONTH(Monat.Tag1)=3,February!Monat.Pikett,IF(MONTH(Monat.Tag1)=4,March!Monat.Pikett,IF(MONTH(Monat.Tag1)=5,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W34="B",INDEX(T.Pikett.Bereich,4),IF(W34="E",INDEX(T.Pikett.Bereich,1),W34)))),"")</f>
        <v>No</v>
      </c>
      <c r="Y34" s="196" t="str">
        <f aca="true">IF(EB.Anwendung&lt;&gt;"",IF(EB.Wochenarbeitszeit=50/24,INDEX(T.Pikett.Bereich,1),IF(DAY(Y$10)=1,IF(MONTH(Monat.Tag1)=1,INDEX(T.Pikett.Bereich,1),IF(MONTH(Monat.Tag1)=2,January!Monat.Pikett,IF(MONTH(Monat.Tag1)=3,February!Monat.Pikett,IF(MONTH(Monat.Tag1)=4,March!Monat.Pikett,IF(MONTH(Monat.Tag1)=5,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X34="B",INDEX(T.Pikett.Bereich,4),IF(X34="E",INDEX(T.Pikett.Bereich,1),X34)))),"")</f>
        <v>No</v>
      </c>
      <c r="Z34" s="196" t="str">
        <f aca="true">IF(EB.Anwendung&lt;&gt;"",IF(EB.Wochenarbeitszeit=50/24,INDEX(T.Pikett.Bereich,1),IF(DAY(Z$10)=1,IF(MONTH(Monat.Tag1)=1,INDEX(T.Pikett.Bereich,1),IF(MONTH(Monat.Tag1)=2,January!Monat.Pikett,IF(MONTH(Monat.Tag1)=3,February!Monat.Pikett,IF(MONTH(Monat.Tag1)=4,March!Monat.Pikett,IF(MONTH(Monat.Tag1)=5,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Y34="B",INDEX(T.Pikett.Bereich,4),IF(Y34="E",INDEX(T.Pikett.Bereich,1),Y34)))),"")</f>
        <v>No</v>
      </c>
      <c r="AA34" s="196" t="str">
        <f aca="true">IF(EB.Anwendung&lt;&gt;"",IF(EB.Wochenarbeitszeit=50/24,INDEX(T.Pikett.Bereich,1),IF(DAY(AA$10)=1,IF(MONTH(Monat.Tag1)=1,INDEX(T.Pikett.Bereich,1),IF(MONTH(Monat.Tag1)=2,January!Monat.Pikett,IF(MONTH(Monat.Tag1)=3,February!Monat.Pikett,IF(MONTH(Monat.Tag1)=4,March!Monat.Pikett,IF(MONTH(Monat.Tag1)=5,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Z34="B",INDEX(T.Pikett.Bereich,4),IF(Z34="E",INDEX(T.Pikett.Bereich,1),Z34)))),"")</f>
        <v>No</v>
      </c>
      <c r="AB34" s="196" t="str">
        <f aca="true">IF(EB.Anwendung&lt;&gt;"",IF(EB.Wochenarbeitszeit=50/24,INDEX(T.Pikett.Bereich,1),IF(DAY(AB$10)=1,IF(MONTH(Monat.Tag1)=1,INDEX(T.Pikett.Bereich,1),IF(MONTH(Monat.Tag1)=2,January!Monat.Pikett,IF(MONTH(Monat.Tag1)=3,February!Monat.Pikett,IF(MONTH(Monat.Tag1)=4,March!Monat.Pikett,IF(MONTH(Monat.Tag1)=5,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AA34="B",INDEX(T.Pikett.Bereich,4),IF(AA34="E",INDEX(T.Pikett.Bereich,1),AA34)))),"")</f>
        <v>No</v>
      </c>
      <c r="AC34" s="196" t="str">
        <f aca="true">IF(EB.Anwendung&lt;&gt;"",IF(EB.Wochenarbeitszeit=50/24,INDEX(T.Pikett.Bereich,1),IF(DAY(AC$10)=1,IF(MONTH(Monat.Tag1)=1,INDEX(T.Pikett.Bereich,1),IF(MONTH(Monat.Tag1)=2,January!Monat.Pikett,IF(MONTH(Monat.Tag1)=3,February!Monat.Pikett,IF(MONTH(Monat.Tag1)=4,March!Monat.Pikett,IF(MONTH(Monat.Tag1)=5,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AB34="B",INDEX(T.Pikett.Bereich,4),IF(AB34="E",INDEX(T.Pikett.Bereich,1),AB34)))),"")</f>
        <v>No</v>
      </c>
      <c r="AD34" s="196" t="str">
        <f aca="true">IF(EB.Anwendung&lt;&gt;"",IF(EB.Wochenarbeitszeit=50/24,INDEX(T.Pikett.Bereich,1),IF(DAY(AD$10)=1,IF(MONTH(Monat.Tag1)=1,INDEX(T.Pikett.Bereich,1),IF(MONTH(Monat.Tag1)=2,January!Monat.Pikett,IF(MONTH(Monat.Tag1)=3,February!Monat.Pikett,IF(MONTH(Monat.Tag1)=4,March!Monat.Pikett,IF(MONTH(Monat.Tag1)=5,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AC34="B",INDEX(T.Pikett.Bereich,4),IF(AC34="E",INDEX(T.Pikett.Bereich,1),AC34)))),"")</f>
        <v>No</v>
      </c>
      <c r="AE34" s="196" t="str">
        <f aca="true">IF(EB.Anwendung&lt;&gt;"",IF(EB.Wochenarbeitszeit=50/24,INDEX(T.Pikett.Bereich,1),IF(DAY(AE$10)=1,IF(MONTH(Monat.Tag1)=1,INDEX(T.Pikett.Bereich,1),IF(MONTH(Monat.Tag1)=2,January!Monat.Pikett,IF(MONTH(Monat.Tag1)=3,February!Monat.Pikett,IF(MONTH(Monat.Tag1)=4,March!Monat.Pikett,IF(MONTH(Monat.Tag1)=5,Monat.Pikett,IF(MONTH(Monat.Tag1)=6,May!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AD34="B",INDEX(T.Pikett.Bereich,4),IF(AD34="E",INDEX(T.Pikett.Bereich,1),AD34)))),"")</f>
        <v>No</v>
      </c>
      <c r="AF34" s="183" t="str">
        <f aca="true">IF(OFFSET(B34,0,DAY(EOMONTH(Monat.Tag1,0))-1,1,1)="B",INDEX(T.Pikett.Bereich,4),IF(OFFSET(B34,0,DAY(EOMONTH(Monat.Tag1,0))-1,1,1)="E",INDEX(T.Pikett.Bereich,1),OFFSET(B34,0,DAY(EOMONTH(Monat.Tag1,0))-1,1,1)))</f>
        <v>No</v>
      </c>
      <c r="AG34" s="197"/>
      <c r="AH34" s="192"/>
      <c r="AI34" s="198" t="str">
        <f aca="true">IF(T.50_Vetsuisse,IFERROR(SUMPRODUCT((B34:AE34=INDEX(T.Pikett.Bereich,4))*((B49:AE49)&lt;1/24*5)),0) &amp; " / " &amp; IFERROR(SUMPRODUCT((B34:AE34=INDEX(T.Pikett.Bereich,4))*((B49:AE49)&gt;=1/24*5)),0) &amp; " / " &amp; IFERROR(SUMPRODUCT((B34:AE34=INDEX(T.Pikett.Bereich,4))*((B49:AE49)&lt;1/24*5)),0) + IFERROR(SUMPRODUCT((B34:AE34=INDEX(T.Pikett.Bereich,4))*((B49:AE49)&gt;=1/24*5)),0), IFERROR(SUMPRODUCT((B34:AE34=INDEX(T.Pikett.Bereich,4))*(WEEKDAY(B10:AE10,2)&lt;6)*(B11:AE11&lt;&gt;0)),0) &amp; " / " &amp; IFERROR(SUMPRODUCT((B34:AE34=INDEX(T.Pikett.Bereich,4))*(WEEKDAY(B10:AE10,2)&gt;5)*(B11:AE11&lt;&gt;0))+SUMPRODUCT((B34:AE34=INDEX(T.Pikett.Bereich,4))*(B11:AE11=0)),0) &amp; " / " &amp; IFERROR(SUMPRODUCT((B34:AE34=INDEX(T.Pikett.Bereich,4))*(WEEKDAY(B10:AE10,2)&lt;6)*(B11:AE11&lt;&gt;0)),0) + IFERROR(SUMPRODUCT((B34:AE34=INDEX(T.Pikett.Bereich,4))*(WEEKDAY(B10:AE10,2)&gt;5)*(B11:AE11&lt;&gt;0))+SUMPRODUCT((B34:AE34=INDEX(T.Pikett.Bereich,4))*(B11:AE11=0)),0))</f>
        <v>0 / 0 / 0</v>
      </c>
      <c r="AJ34" s="172"/>
      <c r="AK34" s="172"/>
      <c r="AL34" s="172"/>
      <c r="AM34" s="171"/>
      <c r="AN34" s="172"/>
      <c r="AO34" s="172"/>
      <c r="AP34" s="39"/>
    </row>
    <row r="35" s="148" customFormat="true" ht="15" hidden="false" customHeight="true" outlineLevel="1" collapsed="false">
      <c r="A35" s="175" t="s">
        <v>128</v>
      </c>
      <c r="B35" s="176"/>
      <c r="C35" s="176"/>
      <c r="D35" s="176"/>
      <c r="E35" s="177"/>
      <c r="F35" s="176"/>
      <c r="G35" s="176"/>
      <c r="H35" s="176"/>
      <c r="I35" s="176"/>
      <c r="J35" s="177"/>
      <c r="K35" s="176"/>
      <c r="L35" s="177"/>
      <c r="M35" s="176"/>
      <c r="N35" s="176"/>
      <c r="O35" s="176"/>
      <c r="P35" s="176"/>
      <c r="Q35" s="177"/>
      <c r="R35" s="176"/>
      <c r="S35" s="177"/>
      <c r="T35" s="177"/>
      <c r="U35" s="176"/>
      <c r="V35" s="176"/>
      <c r="W35" s="176"/>
      <c r="X35" s="177"/>
      <c r="Y35" s="176"/>
      <c r="Z35" s="178"/>
      <c r="AA35" s="176"/>
      <c r="AB35" s="176"/>
      <c r="AC35" s="176"/>
      <c r="AD35" s="176"/>
      <c r="AE35" s="177"/>
      <c r="AF35" s="168" t="str">
        <f aca="false">A35</f>
        <v>in</v>
      </c>
      <c r="AG35" s="146"/>
      <c r="AH35" s="179"/>
      <c r="AI35" s="180"/>
      <c r="AJ35" s="172"/>
      <c r="AK35" s="172"/>
      <c r="AL35" s="172"/>
      <c r="AM35" s="171"/>
      <c r="AN35" s="172"/>
      <c r="AO35" s="172"/>
      <c r="AP35" s="39"/>
    </row>
    <row r="36" s="148" customFormat="true" ht="15" hidden="false" customHeight="true" outlineLevel="1" collapsed="false">
      <c r="A36" s="175" t="s">
        <v>129</v>
      </c>
      <c r="B36" s="176"/>
      <c r="C36" s="176"/>
      <c r="D36" s="176"/>
      <c r="E36" s="177"/>
      <c r="F36" s="176"/>
      <c r="G36" s="176"/>
      <c r="H36" s="176"/>
      <c r="I36" s="176"/>
      <c r="J36" s="177"/>
      <c r="K36" s="176"/>
      <c r="L36" s="177"/>
      <c r="M36" s="176"/>
      <c r="N36" s="176"/>
      <c r="O36" s="176"/>
      <c r="P36" s="176"/>
      <c r="Q36" s="177"/>
      <c r="R36" s="176"/>
      <c r="S36" s="177"/>
      <c r="T36" s="177"/>
      <c r="U36" s="176"/>
      <c r="V36" s="176"/>
      <c r="W36" s="176"/>
      <c r="X36" s="177"/>
      <c r="Y36" s="176"/>
      <c r="Z36" s="178"/>
      <c r="AA36" s="176"/>
      <c r="AB36" s="176"/>
      <c r="AC36" s="176"/>
      <c r="AD36" s="176"/>
      <c r="AE36" s="177"/>
      <c r="AF36" s="168" t="str">
        <f aca="false">A36</f>
        <v>out</v>
      </c>
      <c r="AG36" s="146"/>
      <c r="AH36" s="179"/>
      <c r="AI36" s="180"/>
      <c r="AJ36" s="172"/>
      <c r="AK36" s="172"/>
      <c r="AL36" s="172"/>
      <c r="AM36" s="171"/>
      <c r="AN36" s="172"/>
      <c r="AO36" s="172"/>
      <c r="AP36" s="39"/>
    </row>
    <row r="37" s="148" customFormat="true" ht="15" hidden="false" customHeight="true" outlineLevel="1" collapsed="false">
      <c r="A37" s="175" t="s">
        <v>128</v>
      </c>
      <c r="B37" s="176"/>
      <c r="C37" s="176"/>
      <c r="D37" s="176"/>
      <c r="E37" s="177"/>
      <c r="F37" s="176"/>
      <c r="G37" s="176"/>
      <c r="H37" s="176"/>
      <c r="I37" s="176"/>
      <c r="J37" s="177"/>
      <c r="K37" s="176"/>
      <c r="L37" s="177"/>
      <c r="M37" s="176"/>
      <c r="N37" s="176"/>
      <c r="O37" s="176"/>
      <c r="P37" s="176"/>
      <c r="Q37" s="177"/>
      <c r="R37" s="176"/>
      <c r="S37" s="177"/>
      <c r="T37" s="177"/>
      <c r="U37" s="176"/>
      <c r="V37" s="176"/>
      <c r="W37" s="176"/>
      <c r="X37" s="177"/>
      <c r="Y37" s="176"/>
      <c r="Z37" s="178"/>
      <c r="AA37" s="176"/>
      <c r="AB37" s="176"/>
      <c r="AC37" s="176"/>
      <c r="AD37" s="176"/>
      <c r="AE37" s="177"/>
      <c r="AF37" s="168" t="str">
        <f aca="false">A37</f>
        <v>in</v>
      </c>
      <c r="AG37" s="146"/>
      <c r="AH37" s="179"/>
      <c r="AI37" s="180"/>
      <c r="AJ37" s="172"/>
      <c r="AK37" s="172"/>
      <c r="AL37" s="172"/>
      <c r="AM37" s="171"/>
      <c r="AN37" s="172"/>
      <c r="AO37" s="172"/>
      <c r="AP37" s="39"/>
    </row>
    <row r="38" s="148" customFormat="true" ht="15" hidden="false" customHeight="true" outlineLevel="1" collapsed="false">
      <c r="A38" s="175" t="s">
        <v>129</v>
      </c>
      <c r="B38" s="176"/>
      <c r="C38" s="176"/>
      <c r="D38" s="176"/>
      <c r="E38" s="177"/>
      <c r="F38" s="176"/>
      <c r="G38" s="176"/>
      <c r="H38" s="176"/>
      <c r="I38" s="176"/>
      <c r="J38" s="177"/>
      <c r="K38" s="176"/>
      <c r="L38" s="177"/>
      <c r="M38" s="176"/>
      <c r="N38" s="176"/>
      <c r="O38" s="176"/>
      <c r="P38" s="176"/>
      <c r="Q38" s="177"/>
      <c r="R38" s="176"/>
      <c r="S38" s="177"/>
      <c r="T38" s="177"/>
      <c r="U38" s="176"/>
      <c r="V38" s="176"/>
      <c r="W38" s="176"/>
      <c r="X38" s="177"/>
      <c r="Y38" s="176"/>
      <c r="Z38" s="178"/>
      <c r="AA38" s="176"/>
      <c r="AB38" s="176"/>
      <c r="AC38" s="176"/>
      <c r="AD38" s="176"/>
      <c r="AE38" s="177"/>
      <c r="AF38" s="168" t="str">
        <f aca="false">A38</f>
        <v>out</v>
      </c>
      <c r="AG38" s="146"/>
      <c r="AH38" s="179"/>
      <c r="AI38" s="180"/>
      <c r="AJ38" s="172"/>
      <c r="AK38" s="172"/>
      <c r="AL38" s="172"/>
      <c r="AM38" s="171"/>
      <c r="AN38" s="172"/>
      <c r="AO38" s="172"/>
      <c r="AP38" s="39"/>
    </row>
    <row r="39" s="148" customFormat="true" ht="15" hidden="false" customHeight="true" outlineLevel="1" collapsed="false">
      <c r="A39" s="175" t="s">
        <v>128</v>
      </c>
      <c r="B39" s="176"/>
      <c r="C39" s="176"/>
      <c r="D39" s="176"/>
      <c r="E39" s="177"/>
      <c r="F39" s="176"/>
      <c r="G39" s="176"/>
      <c r="H39" s="176"/>
      <c r="I39" s="176"/>
      <c r="J39" s="177"/>
      <c r="K39" s="176"/>
      <c r="L39" s="177"/>
      <c r="M39" s="176"/>
      <c r="N39" s="176"/>
      <c r="O39" s="176"/>
      <c r="P39" s="176"/>
      <c r="Q39" s="177"/>
      <c r="R39" s="176"/>
      <c r="S39" s="177"/>
      <c r="T39" s="177"/>
      <c r="U39" s="176"/>
      <c r="V39" s="176"/>
      <c r="W39" s="176"/>
      <c r="X39" s="177"/>
      <c r="Y39" s="176"/>
      <c r="Z39" s="178"/>
      <c r="AA39" s="176"/>
      <c r="AB39" s="176"/>
      <c r="AC39" s="176"/>
      <c r="AD39" s="176"/>
      <c r="AE39" s="177"/>
      <c r="AF39" s="168" t="str">
        <f aca="false">A39</f>
        <v>in</v>
      </c>
      <c r="AG39" s="146"/>
      <c r="AH39" s="179"/>
      <c r="AI39" s="180"/>
      <c r="AJ39" s="172"/>
      <c r="AK39" s="172"/>
      <c r="AL39" s="172"/>
      <c r="AM39" s="171"/>
      <c r="AN39" s="172"/>
      <c r="AO39" s="172"/>
      <c r="AP39" s="39"/>
    </row>
    <row r="40" s="148" customFormat="true" ht="15" hidden="false" customHeight="true" outlineLevel="1" collapsed="false">
      <c r="A40" s="175" t="s">
        <v>129</v>
      </c>
      <c r="B40" s="176"/>
      <c r="C40" s="176"/>
      <c r="D40" s="176"/>
      <c r="E40" s="177"/>
      <c r="F40" s="176"/>
      <c r="G40" s="176"/>
      <c r="H40" s="176"/>
      <c r="I40" s="176"/>
      <c r="J40" s="177"/>
      <c r="K40" s="176"/>
      <c r="L40" s="177"/>
      <c r="M40" s="176"/>
      <c r="N40" s="176"/>
      <c r="O40" s="176"/>
      <c r="P40" s="176"/>
      <c r="Q40" s="177"/>
      <c r="R40" s="176"/>
      <c r="S40" s="177"/>
      <c r="T40" s="177"/>
      <c r="U40" s="176"/>
      <c r="V40" s="176"/>
      <c r="W40" s="176"/>
      <c r="X40" s="177"/>
      <c r="Y40" s="176"/>
      <c r="Z40" s="178"/>
      <c r="AA40" s="176"/>
      <c r="AB40" s="176"/>
      <c r="AC40" s="176"/>
      <c r="AD40" s="176"/>
      <c r="AE40" s="177"/>
      <c r="AF40" s="168" t="str">
        <f aca="false">A40</f>
        <v>out</v>
      </c>
      <c r="AG40" s="146"/>
      <c r="AH40" s="179"/>
      <c r="AI40" s="180"/>
      <c r="AJ40" s="172"/>
      <c r="AK40" s="172"/>
      <c r="AL40" s="172"/>
      <c r="AM40" s="171"/>
      <c r="AN40" s="172"/>
      <c r="AO40" s="172"/>
      <c r="AP40" s="39"/>
    </row>
    <row r="41" s="148" customFormat="true" ht="15" hidden="true" customHeight="true" outlineLevel="1" collapsed="false">
      <c r="A41" s="175" t="s">
        <v>128</v>
      </c>
      <c r="B41" s="176"/>
      <c r="C41" s="176"/>
      <c r="D41" s="176"/>
      <c r="E41" s="177"/>
      <c r="F41" s="176"/>
      <c r="G41" s="176"/>
      <c r="H41" s="176"/>
      <c r="I41" s="176"/>
      <c r="J41" s="177"/>
      <c r="K41" s="176"/>
      <c r="L41" s="177"/>
      <c r="M41" s="176"/>
      <c r="N41" s="176"/>
      <c r="O41" s="176"/>
      <c r="P41" s="176"/>
      <c r="Q41" s="177"/>
      <c r="R41" s="176"/>
      <c r="S41" s="177"/>
      <c r="T41" s="177"/>
      <c r="U41" s="176"/>
      <c r="V41" s="176"/>
      <c r="W41" s="176"/>
      <c r="X41" s="177"/>
      <c r="Y41" s="176"/>
      <c r="Z41" s="178"/>
      <c r="AA41" s="176"/>
      <c r="AB41" s="176"/>
      <c r="AC41" s="176"/>
      <c r="AD41" s="176"/>
      <c r="AE41" s="177"/>
      <c r="AF41" s="168" t="str">
        <f aca="false">A41</f>
        <v>in</v>
      </c>
      <c r="AG41" s="146"/>
      <c r="AH41" s="179"/>
      <c r="AI41" s="180"/>
      <c r="AJ41" s="172"/>
      <c r="AK41" s="172"/>
      <c r="AL41" s="172"/>
      <c r="AM41" s="171"/>
      <c r="AN41" s="172"/>
      <c r="AO41" s="172"/>
      <c r="AP41" s="39"/>
    </row>
    <row r="42" s="148" customFormat="true" ht="15" hidden="true" customHeight="true" outlineLevel="1" collapsed="false">
      <c r="A42" s="175" t="s">
        <v>129</v>
      </c>
      <c r="B42" s="176"/>
      <c r="C42" s="176"/>
      <c r="D42" s="176"/>
      <c r="E42" s="177"/>
      <c r="F42" s="176"/>
      <c r="G42" s="176"/>
      <c r="H42" s="176"/>
      <c r="I42" s="176"/>
      <c r="J42" s="177"/>
      <c r="K42" s="176"/>
      <c r="L42" s="177"/>
      <c r="M42" s="176"/>
      <c r="N42" s="176"/>
      <c r="O42" s="176"/>
      <c r="P42" s="176"/>
      <c r="Q42" s="177"/>
      <c r="R42" s="176"/>
      <c r="S42" s="177"/>
      <c r="T42" s="177"/>
      <c r="U42" s="176"/>
      <c r="V42" s="176"/>
      <c r="W42" s="176"/>
      <c r="X42" s="177"/>
      <c r="Y42" s="176"/>
      <c r="Z42" s="178"/>
      <c r="AA42" s="176"/>
      <c r="AB42" s="176"/>
      <c r="AC42" s="176"/>
      <c r="AD42" s="176"/>
      <c r="AE42" s="177"/>
      <c r="AF42" s="168" t="str">
        <f aca="false">A42</f>
        <v>out</v>
      </c>
      <c r="AG42" s="146"/>
      <c r="AH42" s="179"/>
      <c r="AI42" s="180"/>
      <c r="AJ42" s="172"/>
      <c r="AK42" s="172"/>
      <c r="AL42" s="172"/>
      <c r="AM42" s="171"/>
      <c r="AN42" s="172"/>
      <c r="AO42" s="172"/>
      <c r="AP42" s="39"/>
    </row>
    <row r="43" s="148" customFormat="true" ht="15" hidden="true" customHeight="true" outlineLevel="1" collapsed="false">
      <c r="A43" s="175" t="s">
        <v>128</v>
      </c>
      <c r="B43" s="176"/>
      <c r="C43" s="176"/>
      <c r="D43" s="176"/>
      <c r="E43" s="177"/>
      <c r="F43" s="176"/>
      <c r="G43" s="176"/>
      <c r="H43" s="176"/>
      <c r="I43" s="176"/>
      <c r="J43" s="177"/>
      <c r="K43" s="176"/>
      <c r="L43" s="177"/>
      <c r="M43" s="176"/>
      <c r="N43" s="176"/>
      <c r="O43" s="176"/>
      <c r="P43" s="176"/>
      <c r="Q43" s="177"/>
      <c r="R43" s="176"/>
      <c r="S43" s="177"/>
      <c r="T43" s="177"/>
      <c r="U43" s="176"/>
      <c r="V43" s="176"/>
      <c r="W43" s="176"/>
      <c r="X43" s="177"/>
      <c r="Y43" s="176"/>
      <c r="Z43" s="178"/>
      <c r="AA43" s="176"/>
      <c r="AB43" s="176"/>
      <c r="AC43" s="176"/>
      <c r="AD43" s="176"/>
      <c r="AE43" s="177"/>
      <c r="AF43" s="168" t="str">
        <f aca="false">A43</f>
        <v>in</v>
      </c>
      <c r="AG43" s="146"/>
      <c r="AH43" s="179"/>
      <c r="AI43" s="180"/>
      <c r="AJ43" s="172"/>
      <c r="AK43" s="172"/>
      <c r="AL43" s="172"/>
      <c r="AM43" s="171"/>
      <c r="AN43" s="172"/>
      <c r="AO43" s="172"/>
      <c r="AP43" s="39"/>
    </row>
    <row r="44" s="148" customFormat="true" ht="15" hidden="true" customHeight="true" outlineLevel="1" collapsed="false">
      <c r="A44" s="175" t="s">
        <v>129</v>
      </c>
      <c r="B44" s="176"/>
      <c r="C44" s="176"/>
      <c r="D44" s="176"/>
      <c r="E44" s="177"/>
      <c r="F44" s="176"/>
      <c r="G44" s="176"/>
      <c r="H44" s="176"/>
      <c r="I44" s="176"/>
      <c r="J44" s="177"/>
      <c r="K44" s="176"/>
      <c r="L44" s="177"/>
      <c r="M44" s="176"/>
      <c r="N44" s="176"/>
      <c r="O44" s="176"/>
      <c r="P44" s="176"/>
      <c r="Q44" s="177"/>
      <c r="R44" s="176"/>
      <c r="S44" s="177"/>
      <c r="T44" s="177"/>
      <c r="U44" s="176"/>
      <c r="V44" s="176"/>
      <c r="W44" s="176"/>
      <c r="X44" s="177"/>
      <c r="Y44" s="176"/>
      <c r="Z44" s="178"/>
      <c r="AA44" s="176"/>
      <c r="AB44" s="176"/>
      <c r="AC44" s="176"/>
      <c r="AD44" s="176"/>
      <c r="AE44" s="177"/>
      <c r="AF44" s="168" t="str">
        <f aca="false">A44</f>
        <v>out</v>
      </c>
      <c r="AG44" s="146"/>
      <c r="AH44" s="179"/>
      <c r="AI44" s="180"/>
      <c r="AJ44" s="172"/>
      <c r="AK44" s="172"/>
      <c r="AL44" s="172"/>
      <c r="AM44" s="171"/>
      <c r="AN44" s="172"/>
      <c r="AO44" s="172"/>
      <c r="AP44" s="39"/>
    </row>
    <row r="45" s="148" customFormat="true" ht="15" hidden="false" customHeight="true" outlineLevel="1" collapsed="false">
      <c r="A45" s="181" t="s">
        <v>135</v>
      </c>
      <c r="B45" s="182" t="n">
        <f aca="false">ROUND((B36-B35)+(B38-B37)+(B40-B39)+(B42-B41)+(B44-B43),9)</f>
        <v>0</v>
      </c>
      <c r="C45" s="182" t="n">
        <f aca="false">ROUND((C36-C35)+(C38-C37)+(C40-C39)+(C42-C41)+(C44-C43),9)</f>
        <v>0</v>
      </c>
      <c r="D45" s="182" t="n">
        <f aca="false">ROUND((D36-D35)+(D38-D37)+(D40-D39)+(D42-D41)+(D44-D43),9)</f>
        <v>0</v>
      </c>
      <c r="E45" s="182" t="n">
        <f aca="false">ROUND((E36-E35)+(E38-E37)+(E40-E39)+(E42-E41)+(E44-E43),9)</f>
        <v>0</v>
      </c>
      <c r="F45" s="182" t="n">
        <f aca="false">ROUND((F36-F35)+(F38-F37)+(F40-F39)+(F42-F41)+(F44-F43),9)</f>
        <v>0</v>
      </c>
      <c r="G45" s="182" t="n">
        <f aca="false">ROUND((G36-G35)+(G38-G37)+(G40-G39)+(G42-G41)+(G44-G43),9)</f>
        <v>0</v>
      </c>
      <c r="H45" s="182" t="n">
        <f aca="false">ROUND((H36-H35)+(H38-H37)+(H40-H39)+(H42-H41)+(H44-H43),9)</f>
        <v>0</v>
      </c>
      <c r="I45" s="182" t="n">
        <f aca="false">ROUND((I36-I35)+(I38-I37)+(I40-I39)+(I42-I41)+(I44-I43),9)</f>
        <v>0</v>
      </c>
      <c r="J45" s="182" t="n">
        <f aca="false">ROUND((J36-J35)+(J38-J37)+(J40-J39)+(J42-J41)+(J44-J43),9)</f>
        <v>0</v>
      </c>
      <c r="K45" s="182" t="n">
        <f aca="false">ROUND((K36-K35)+(K38-K37)+(K40-K39)+(K42-K41)+(K44-K43),9)</f>
        <v>0</v>
      </c>
      <c r="L45" s="182" t="n">
        <f aca="false">ROUND((L36-L35)+(L38-L37)+(L40-L39)+(L42-L41)+(L44-L43),9)</f>
        <v>0</v>
      </c>
      <c r="M45" s="182" t="n">
        <f aca="false">ROUND((M36-M35)+(M38-M37)+(M40-M39)+(M42-M41)+(M44-M43),9)</f>
        <v>0</v>
      </c>
      <c r="N45" s="182" t="n">
        <f aca="false">ROUND((N36-N35)+(N38-N37)+(N40-N39)+(N42-N41)+(N44-N43),9)</f>
        <v>0</v>
      </c>
      <c r="O45" s="182" t="n">
        <f aca="false">ROUND((O36-O35)+(O38-O37)+(O40-O39)+(O42-O41)+(O44-O43),9)</f>
        <v>0</v>
      </c>
      <c r="P45" s="182" t="n">
        <f aca="false">ROUND((P36-P35)+(P38-P37)+(P40-P39)+(P42-P41)+(P44-P43),9)</f>
        <v>0</v>
      </c>
      <c r="Q45" s="182" t="n">
        <f aca="false">ROUND((Q36-Q35)+(Q38-Q37)+(Q40-Q39)+(Q42-Q41)+(Q44-Q43),9)</f>
        <v>0</v>
      </c>
      <c r="R45" s="182" t="n">
        <f aca="false">ROUND((R36-R35)+(R38-R37)+(R40-R39)+(R42-R41)+(R44-R43),9)</f>
        <v>0</v>
      </c>
      <c r="S45" s="182" t="n">
        <f aca="false">ROUND((S36-S35)+(S38-S37)+(S40-S39)+(S42-S41)+(S44-S43),9)</f>
        <v>0</v>
      </c>
      <c r="T45" s="182" t="n">
        <f aca="false">ROUND((T36-T35)+(T38-T37)+(T40-T39)+(T42-T41)+(T44-T43),9)</f>
        <v>0</v>
      </c>
      <c r="U45" s="182" t="n">
        <f aca="false">ROUND((U36-U35)+(U38-U37)+(U40-U39)+(U42-U41)+(U44-U43),9)</f>
        <v>0</v>
      </c>
      <c r="V45" s="182" t="n">
        <f aca="false">ROUND((V36-V35)+(V38-V37)+(V40-V39)+(V42-V41)+(V44-V43),9)</f>
        <v>0</v>
      </c>
      <c r="W45" s="182" t="n">
        <f aca="false">ROUND((W36-W35)+(W38-W37)+(W40-W39)+(W42-W41)+(W44-W43),9)</f>
        <v>0</v>
      </c>
      <c r="X45" s="182" t="n">
        <f aca="false">ROUND((X36-X35)+(X38-X37)+(X40-X39)+(X42-X41)+(X44-X43),9)</f>
        <v>0</v>
      </c>
      <c r="Y45" s="182" t="n">
        <f aca="false">ROUND((Y36-Y35)+(Y38-Y37)+(Y40-Y39)+(Y42-Y41)+(Y44-Y43),9)</f>
        <v>0</v>
      </c>
      <c r="Z45" s="182" t="n">
        <f aca="false">ROUND((Z36-Z35)+(Z38-Z37)+(Z40-Z39)+(Z42-Z41)+(Z44-Z43),9)</f>
        <v>0</v>
      </c>
      <c r="AA45" s="182" t="n">
        <f aca="false">ROUND((AA36-AA35)+(AA38-AA37)+(AA40-AA39)+(AA42-AA41)+(AA44-AA43),9)</f>
        <v>0</v>
      </c>
      <c r="AB45" s="182" t="n">
        <f aca="false">ROUND((AB36-AB35)+(AB38-AB37)+(AB40-AB39)+(AB42-AB41)+(AB44-AB43),9)</f>
        <v>0</v>
      </c>
      <c r="AC45" s="182" t="n">
        <f aca="false">ROUND((AC36-AC35)+(AC38-AC37)+(AC40-AC39)+(AC42-AC41)+(AC44-AC43),9)</f>
        <v>0</v>
      </c>
      <c r="AD45" s="182" t="n">
        <f aca="false">ROUND((AD36-AD35)+(AD38-AD37)+(AD40-AD39)+(AD42-AD41)+(AD44-AD43),9)</f>
        <v>0</v>
      </c>
      <c r="AE45" s="182" t="n">
        <f aca="false">ROUND((AE36-AE35)+(AE38-AE37)+(AE40-AE39)+(AE42-AE41)+(AE44-AE43),9)</f>
        <v>0</v>
      </c>
      <c r="AF45" s="183" t="str">
        <f aca="false">A45</f>
        <v>Total on call standby in/out</v>
      </c>
      <c r="AG45" s="184"/>
      <c r="AH45" s="185" t="n">
        <f aca="false">SUM(B45:AE45)</f>
        <v>0</v>
      </c>
      <c r="AI45" s="180"/>
      <c r="AJ45" s="172"/>
      <c r="AK45" s="172"/>
      <c r="AL45" s="172"/>
      <c r="AM45" s="171"/>
      <c r="AN45" s="172"/>
      <c r="AO45" s="172"/>
      <c r="AP45" s="39"/>
    </row>
    <row r="46" s="148" customFormat="true" ht="3.75" hidden="false" customHeight="true" outlineLevel="0" collapsed="false">
      <c r="A46" s="186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168"/>
      <c r="AG46" s="146"/>
      <c r="AH46" s="179"/>
      <c r="AI46" s="180"/>
      <c r="AJ46" s="172"/>
      <c r="AK46" s="172"/>
      <c r="AL46" s="172"/>
      <c r="AM46" s="171"/>
      <c r="AN46" s="172"/>
      <c r="AO46" s="172"/>
      <c r="AP46" s="39"/>
    </row>
    <row r="47" s="148" customFormat="true" ht="16.5" hidden="true" customHeight="true" outlineLevel="1" collapsed="false">
      <c r="A47" s="181" t="s">
        <v>136</v>
      </c>
      <c r="B47" s="182" t="n">
        <f aca="false">IF(B45&gt;0,ROUND(B45- IF(B35&lt;T.PikettVetsuissebis,MIN(T.PikettVetsuissebis-B35,B36-B35)+IF(B37&lt;T.PikettVetsuissebis,MIN(T.PikettVetsuissebis-B37,B38-B37)+IF(B39&lt;T.PikettVetsuissebis,MIN(T.PikettVetsuissebis-B39,B40-B39)+IF(B41&lt;T.PikettVetsuissebis,MIN(T.PikettVetsuissebis-B41,B42-B41)+IF(B43&lt;T.PikettVetsuissebis,MIN(T.PikettVetsuissebis-B43,B44-B43),0),0),0),0),0),9),0)</f>
        <v>0</v>
      </c>
      <c r="C47" s="182" t="n">
        <f aca="false">IF(C45&gt;0,ROUND(C45- IF(C35&lt;T.PikettVetsuissebis,MIN(T.PikettVetsuissebis-C35,C36-C35)+IF(C37&lt;T.PikettVetsuissebis,MIN(T.PikettVetsuissebis-C37,C38-C37)+IF(C39&lt;T.PikettVetsuissebis,MIN(T.PikettVetsuissebis-C39,C40-C39)+IF(C41&lt;T.PikettVetsuissebis,MIN(T.PikettVetsuissebis-C41,C42-C41)+IF(C43&lt;T.PikettVetsuissebis,MIN(T.PikettVetsuissebis-C43,C44-C43),0),0),0),0),0),9),0)</f>
        <v>0</v>
      </c>
      <c r="D47" s="182" t="n">
        <f aca="false">IF(D45&gt;0,ROUND(D45- IF(D35&lt;T.PikettVetsuissebis,MIN(T.PikettVetsuissebis-D35,D36-D35)+IF(D37&lt;T.PikettVetsuissebis,MIN(T.PikettVetsuissebis-D37,D38-D37)+IF(D39&lt;T.PikettVetsuissebis,MIN(T.PikettVetsuissebis-D39,D40-D39)+IF(D41&lt;T.PikettVetsuissebis,MIN(T.PikettVetsuissebis-D41,D42-D41)+IF(D43&lt;T.PikettVetsuissebis,MIN(T.PikettVetsuissebis-D43,D44-D43),0),0),0),0),0),9),0)</f>
        <v>0</v>
      </c>
      <c r="E47" s="182" t="n">
        <f aca="false">IF(E45&gt;0,ROUND(E45- IF(E35&lt;T.PikettVetsuissebis,MIN(T.PikettVetsuissebis-E35,E36-E35)+IF(E37&lt;T.PikettVetsuissebis,MIN(T.PikettVetsuissebis-E37,E38-E37)+IF(E39&lt;T.PikettVetsuissebis,MIN(T.PikettVetsuissebis-E39,E40-E39)+IF(E41&lt;T.PikettVetsuissebis,MIN(T.PikettVetsuissebis-E41,E42-E41)+IF(E43&lt;T.PikettVetsuissebis,MIN(T.PikettVetsuissebis-E43,E44-E43),0),0),0),0),0),9),0)</f>
        <v>0</v>
      </c>
      <c r="F47" s="182" t="n">
        <f aca="false">IF(F45&gt;0,ROUND(F45- IF(F35&lt;T.PikettVetsuissebis,MIN(T.PikettVetsuissebis-F35,F36-F35)+IF(F37&lt;T.PikettVetsuissebis,MIN(T.PikettVetsuissebis-F37,F38-F37)+IF(F39&lt;T.PikettVetsuissebis,MIN(T.PikettVetsuissebis-F39,F40-F39)+IF(F41&lt;T.PikettVetsuissebis,MIN(T.PikettVetsuissebis-F41,F42-F41)+IF(F43&lt;T.PikettVetsuissebis,MIN(T.PikettVetsuissebis-F43,F44-F43),0),0),0),0),0),9),0)</f>
        <v>0</v>
      </c>
      <c r="G47" s="182" t="n">
        <f aca="false">IF(G45&gt;0,ROUND(G45- IF(G35&lt;T.PikettVetsuissebis,MIN(T.PikettVetsuissebis-G35,G36-G35)+IF(G37&lt;T.PikettVetsuissebis,MIN(T.PikettVetsuissebis-G37,G38-G37)+IF(G39&lt;T.PikettVetsuissebis,MIN(T.PikettVetsuissebis-G39,G40-G39)+IF(G41&lt;T.PikettVetsuissebis,MIN(T.PikettVetsuissebis-G41,G42-G41)+IF(G43&lt;T.PikettVetsuissebis,MIN(T.PikettVetsuissebis-G43,G44-G43),0),0),0),0),0),9),0)</f>
        <v>0</v>
      </c>
      <c r="H47" s="182" t="n">
        <f aca="false">IF(H45&gt;0,ROUND(H45- IF(H35&lt;T.PikettVetsuissebis,MIN(T.PikettVetsuissebis-H35,H36-H35)+IF(H37&lt;T.PikettVetsuissebis,MIN(T.PikettVetsuissebis-H37,H38-H37)+IF(H39&lt;T.PikettVetsuissebis,MIN(T.PikettVetsuissebis-H39,H40-H39)+IF(H41&lt;T.PikettVetsuissebis,MIN(T.PikettVetsuissebis-H41,H42-H41)+IF(H43&lt;T.PikettVetsuissebis,MIN(T.PikettVetsuissebis-H43,H44-H43),0),0),0),0),0),9),0)</f>
        <v>0</v>
      </c>
      <c r="I47" s="182" t="n">
        <f aca="false">IF(I45&gt;0,ROUND(I45- IF(I35&lt;T.PikettVetsuissebis,MIN(T.PikettVetsuissebis-I35,I36-I35)+IF(I37&lt;T.PikettVetsuissebis,MIN(T.PikettVetsuissebis-I37,I38-I37)+IF(I39&lt;T.PikettVetsuissebis,MIN(T.PikettVetsuissebis-I39,I40-I39)+IF(I41&lt;T.PikettVetsuissebis,MIN(T.PikettVetsuissebis-I41,I42-I41)+IF(I43&lt;T.PikettVetsuissebis,MIN(T.PikettVetsuissebis-I43,I44-I43),0),0),0),0),0),9),0)</f>
        <v>0</v>
      </c>
      <c r="J47" s="182" t="n">
        <f aca="false">IF(J45&gt;0,ROUND(J45- IF(J35&lt;T.PikettVetsuissebis,MIN(T.PikettVetsuissebis-J35,J36-J35)+IF(J37&lt;T.PikettVetsuissebis,MIN(T.PikettVetsuissebis-J37,J38-J37)+IF(J39&lt;T.PikettVetsuissebis,MIN(T.PikettVetsuissebis-J39,J40-J39)+IF(J41&lt;T.PikettVetsuissebis,MIN(T.PikettVetsuissebis-J41,J42-J41)+IF(J43&lt;T.PikettVetsuissebis,MIN(T.PikettVetsuissebis-J43,J44-J43),0),0),0),0),0),9),0)</f>
        <v>0</v>
      </c>
      <c r="K47" s="182" t="n">
        <f aca="false">IF(K45&gt;0,ROUND(K45- IF(K35&lt;T.PikettVetsuissebis,MIN(T.PikettVetsuissebis-K35,K36-K35)+IF(K37&lt;T.PikettVetsuissebis,MIN(T.PikettVetsuissebis-K37,K38-K37)+IF(K39&lt;T.PikettVetsuissebis,MIN(T.PikettVetsuissebis-K39,K40-K39)+IF(K41&lt;T.PikettVetsuissebis,MIN(T.PikettVetsuissebis-K41,K42-K41)+IF(K43&lt;T.PikettVetsuissebis,MIN(T.PikettVetsuissebis-K43,K44-K43),0),0),0),0),0),9),0)</f>
        <v>0</v>
      </c>
      <c r="L47" s="182" t="n">
        <f aca="false">IF(L45&gt;0,ROUND(L45- IF(L35&lt;T.PikettVetsuissebis,MIN(T.PikettVetsuissebis-L35,L36-L35)+IF(L37&lt;T.PikettVetsuissebis,MIN(T.PikettVetsuissebis-L37,L38-L37)+IF(L39&lt;T.PikettVetsuissebis,MIN(T.PikettVetsuissebis-L39,L40-L39)+IF(L41&lt;T.PikettVetsuissebis,MIN(T.PikettVetsuissebis-L41,L42-L41)+IF(L43&lt;T.PikettVetsuissebis,MIN(T.PikettVetsuissebis-L43,L44-L43),0),0),0),0),0),9),0)</f>
        <v>0</v>
      </c>
      <c r="M47" s="182" t="n">
        <f aca="false">IF(M45&gt;0,ROUND(M45- IF(M35&lt;T.PikettVetsuissebis,MIN(T.PikettVetsuissebis-M35,M36-M35)+IF(M37&lt;T.PikettVetsuissebis,MIN(T.PikettVetsuissebis-M37,M38-M37)+IF(M39&lt;T.PikettVetsuissebis,MIN(T.PikettVetsuissebis-M39,M40-M39)+IF(M41&lt;T.PikettVetsuissebis,MIN(T.PikettVetsuissebis-M41,M42-M41)+IF(M43&lt;T.PikettVetsuissebis,MIN(T.PikettVetsuissebis-M43,M44-M43),0),0),0),0),0),9),0)</f>
        <v>0</v>
      </c>
      <c r="N47" s="182" t="n">
        <f aca="false">IF(N45&gt;0,ROUND(N45- IF(N35&lt;T.PikettVetsuissebis,MIN(T.PikettVetsuissebis-N35,N36-N35)+IF(N37&lt;T.PikettVetsuissebis,MIN(T.PikettVetsuissebis-N37,N38-N37)+IF(N39&lt;T.PikettVetsuissebis,MIN(T.PikettVetsuissebis-N39,N40-N39)+IF(N41&lt;T.PikettVetsuissebis,MIN(T.PikettVetsuissebis-N41,N42-N41)+IF(N43&lt;T.PikettVetsuissebis,MIN(T.PikettVetsuissebis-N43,N44-N43),0),0),0),0),0),9),0)</f>
        <v>0</v>
      </c>
      <c r="O47" s="182" t="n">
        <f aca="false">IF(O45&gt;0,ROUND(O45- IF(O35&lt;T.PikettVetsuissebis,MIN(T.PikettVetsuissebis-O35,O36-O35)+IF(O37&lt;T.PikettVetsuissebis,MIN(T.PikettVetsuissebis-O37,O38-O37)+IF(O39&lt;T.PikettVetsuissebis,MIN(T.PikettVetsuissebis-O39,O40-O39)+IF(O41&lt;T.PikettVetsuissebis,MIN(T.PikettVetsuissebis-O41,O42-O41)+IF(O43&lt;T.PikettVetsuissebis,MIN(T.PikettVetsuissebis-O43,O44-O43),0),0),0),0),0),9),0)</f>
        <v>0</v>
      </c>
      <c r="P47" s="182" t="n">
        <f aca="false">IF(P45&gt;0,ROUND(P45- IF(P35&lt;T.PikettVetsuissebis,MIN(T.PikettVetsuissebis-P35,P36-P35)+IF(P37&lt;T.PikettVetsuissebis,MIN(T.PikettVetsuissebis-P37,P38-P37)+IF(P39&lt;T.PikettVetsuissebis,MIN(T.PikettVetsuissebis-P39,P40-P39)+IF(P41&lt;T.PikettVetsuissebis,MIN(T.PikettVetsuissebis-P41,P42-P41)+IF(P43&lt;T.PikettVetsuissebis,MIN(T.PikettVetsuissebis-P43,P44-P43),0),0),0),0),0),9),0)</f>
        <v>0</v>
      </c>
      <c r="Q47" s="182" t="n">
        <f aca="false">IF(Q45&gt;0,ROUND(Q45- IF(Q35&lt;T.PikettVetsuissebis,MIN(T.PikettVetsuissebis-Q35,Q36-Q35)+IF(Q37&lt;T.PikettVetsuissebis,MIN(T.PikettVetsuissebis-Q37,Q38-Q37)+IF(Q39&lt;T.PikettVetsuissebis,MIN(T.PikettVetsuissebis-Q39,Q40-Q39)+IF(Q41&lt;T.PikettVetsuissebis,MIN(T.PikettVetsuissebis-Q41,Q42-Q41)+IF(Q43&lt;T.PikettVetsuissebis,MIN(T.PikettVetsuissebis-Q43,Q44-Q43),0),0),0),0),0),9),0)</f>
        <v>0</v>
      </c>
      <c r="R47" s="182" t="n">
        <f aca="false">IF(R45&gt;0,ROUND(R45- IF(R35&lt;T.PikettVetsuissebis,MIN(T.PikettVetsuissebis-R35,R36-R35)+IF(R37&lt;T.PikettVetsuissebis,MIN(T.PikettVetsuissebis-R37,R38-R37)+IF(R39&lt;T.PikettVetsuissebis,MIN(T.PikettVetsuissebis-R39,R40-R39)+IF(R41&lt;T.PikettVetsuissebis,MIN(T.PikettVetsuissebis-R41,R42-R41)+IF(R43&lt;T.PikettVetsuissebis,MIN(T.PikettVetsuissebis-R43,R44-R43),0),0),0),0),0),9),0)</f>
        <v>0</v>
      </c>
      <c r="S47" s="182" t="n">
        <f aca="false">IF(S45&gt;0,ROUND(S45- IF(S35&lt;T.PikettVetsuissebis,MIN(T.PikettVetsuissebis-S35,S36-S35)+IF(S37&lt;T.PikettVetsuissebis,MIN(T.PikettVetsuissebis-S37,S38-S37)+IF(S39&lt;T.PikettVetsuissebis,MIN(T.PikettVetsuissebis-S39,S40-S39)+IF(S41&lt;T.PikettVetsuissebis,MIN(T.PikettVetsuissebis-S41,S42-S41)+IF(S43&lt;T.PikettVetsuissebis,MIN(T.PikettVetsuissebis-S43,S44-S43),0),0),0),0),0),9),0)</f>
        <v>0</v>
      </c>
      <c r="T47" s="182" t="n">
        <f aca="false">IF(T45&gt;0,ROUND(T45- IF(T35&lt;T.PikettVetsuissebis,MIN(T.PikettVetsuissebis-T35,T36-T35)+IF(T37&lt;T.PikettVetsuissebis,MIN(T.PikettVetsuissebis-T37,T38-T37)+IF(T39&lt;T.PikettVetsuissebis,MIN(T.PikettVetsuissebis-T39,T40-T39)+IF(T41&lt;T.PikettVetsuissebis,MIN(T.PikettVetsuissebis-T41,T42-T41)+IF(T43&lt;T.PikettVetsuissebis,MIN(T.PikettVetsuissebis-T43,T44-T43),0),0),0),0),0),9),0)</f>
        <v>0</v>
      </c>
      <c r="U47" s="182" t="n">
        <f aca="false">IF(U45&gt;0,ROUND(U45- IF(U35&lt;T.PikettVetsuissebis,MIN(T.PikettVetsuissebis-U35,U36-U35)+IF(U37&lt;T.PikettVetsuissebis,MIN(T.PikettVetsuissebis-U37,U38-U37)+IF(U39&lt;T.PikettVetsuissebis,MIN(T.PikettVetsuissebis-U39,U40-U39)+IF(U41&lt;T.PikettVetsuissebis,MIN(T.PikettVetsuissebis-U41,U42-U41)+IF(U43&lt;T.PikettVetsuissebis,MIN(T.PikettVetsuissebis-U43,U44-U43),0),0),0),0),0),9),0)</f>
        <v>0</v>
      </c>
      <c r="V47" s="182" t="n">
        <f aca="false">IF(V45&gt;0,ROUND(V45- IF(V35&lt;T.PikettVetsuissebis,MIN(T.PikettVetsuissebis-V35,V36-V35)+IF(V37&lt;T.PikettVetsuissebis,MIN(T.PikettVetsuissebis-V37,V38-V37)+IF(V39&lt;T.PikettVetsuissebis,MIN(T.PikettVetsuissebis-V39,V40-V39)+IF(V41&lt;T.PikettVetsuissebis,MIN(T.PikettVetsuissebis-V41,V42-V41)+IF(V43&lt;T.PikettVetsuissebis,MIN(T.PikettVetsuissebis-V43,V44-V43),0),0),0),0),0),9),0)</f>
        <v>0</v>
      </c>
      <c r="W47" s="182" t="n">
        <f aca="false">IF(W45&gt;0,ROUND(W45- IF(W35&lt;T.PikettVetsuissebis,MIN(T.PikettVetsuissebis-W35,W36-W35)+IF(W37&lt;T.PikettVetsuissebis,MIN(T.PikettVetsuissebis-W37,W38-W37)+IF(W39&lt;T.PikettVetsuissebis,MIN(T.PikettVetsuissebis-W39,W40-W39)+IF(W41&lt;T.PikettVetsuissebis,MIN(T.PikettVetsuissebis-W41,W42-W41)+IF(W43&lt;T.PikettVetsuissebis,MIN(T.PikettVetsuissebis-W43,W44-W43),0),0),0),0),0),9),0)</f>
        <v>0</v>
      </c>
      <c r="X47" s="182" t="n">
        <f aca="false">IF(X45&gt;0,ROUND(X45- IF(X35&lt;T.PikettVetsuissebis,MIN(T.PikettVetsuissebis-X35,X36-X35)+IF(X37&lt;T.PikettVetsuissebis,MIN(T.PikettVetsuissebis-X37,X38-X37)+IF(X39&lt;T.PikettVetsuissebis,MIN(T.PikettVetsuissebis-X39,X40-X39)+IF(X41&lt;T.PikettVetsuissebis,MIN(T.PikettVetsuissebis-X41,X42-X41)+IF(X43&lt;T.PikettVetsuissebis,MIN(T.PikettVetsuissebis-X43,X44-X43),0),0),0),0),0),9),0)</f>
        <v>0</v>
      </c>
      <c r="Y47" s="182" t="n">
        <f aca="false">IF(Y45&gt;0,ROUND(Y45- IF(Y35&lt;T.PikettVetsuissebis,MIN(T.PikettVetsuissebis-Y35,Y36-Y35)+IF(Y37&lt;T.PikettVetsuissebis,MIN(T.PikettVetsuissebis-Y37,Y38-Y37)+IF(Y39&lt;T.PikettVetsuissebis,MIN(T.PikettVetsuissebis-Y39,Y40-Y39)+IF(Y41&lt;T.PikettVetsuissebis,MIN(T.PikettVetsuissebis-Y41,Y42-Y41)+IF(Y43&lt;T.PikettVetsuissebis,MIN(T.PikettVetsuissebis-Y43,Y44-Y43),0),0),0),0),0),9),0)</f>
        <v>0</v>
      </c>
      <c r="Z47" s="182" t="n">
        <f aca="false">IF(Z45&gt;0,ROUND(Z45- IF(Z35&lt;T.PikettVetsuissebis,MIN(T.PikettVetsuissebis-Z35,Z36-Z35)+IF(Z37&lt;T.PikettVetsuissebis,MIN(T.PikettVetsuissebis-Z37,Z38-Z37)+IF(Z39&lt;T.PikettVetsuissebis,MIN(T.PikettVetsuissebis-Z39,Z40-Z39)+IF(Z41&lt;T.PikettVetsuissebis,MIN(T.PikettVetsuissebis-Z41,Z42-Z41)+IF(Z43&lt;T.PikettVetsuissebis,MIN(T.PikettVetsuissebis-Z43,Z44-Z43),0),0),0),0),0),9),0)</f>
        <v>0</v>
      </c>
      <c r="AA47" s="182" t="n">
        <f aca="false">IF(AA45&gt;0,ROUND(AA45- IF(AA35&lt;T.PikettVetsuissebis,MIN(T.PikettVetsuissebis-AA35,AA36-AA35)+IF(AA37&lt;T.PikettVetsuissebis,MIN(T.PikettVetsuissebis-AA37,AA38-AA37)+IF(AA39&lt;T.PikettVetsuissebis,MIN(T.PikettVetsuissebis-AA39,AA40-AA39)+IF(AA41&lt;T.PikettVetsuissebis,MIN(T.PikettVetsuissebis-AA41,AA42-AA41)+IF(AA43&lt;T.PikettVetsuissebis,MIN(T.PikettVetsuissebis-AA43,AA44-AA43),0),0),0),0),0),9),0)</f>
        <v>0</v>
      </c>
      <c r="AB47" s="182" t="n">
        <f aca="false">IF(AB45&gt;0,ROUND(AB45- IF(AB35&lt;T.PikettVetsuissebis,MIN(T.PikettVetsuissebis-AB35,AB36-AB35)+IF(AB37&lt;T.PikettVetsuissebis,MIN(T.PikettVetsuissebis-AB37,AB38-AB37)+IF(AB39&lt;T.PikettVetsuissebis,MIN(T.PikettVetsuissebis-AB39,AB40-AB39)+IF(AB41&lt;T.PikettVetsuissebis,MIN(T.PikettVetsuissebis-AB41,AB42-AB41)+IF(AB43&lt;T.PikettVetsuissebis,MIN(T.PikettVetsuissebis-AB43,AB44-AB43),0),0),0),0),0),9),0)</f>
        <v>0</v>
      </c>
      <c r="AC47" s="182" t="n">
        <f aca="false">IF(AC45&gt;0,ROUND(AC45- IF(AC35&lt;T.PikettVetsuissebis,MIN(T.PikettVetsuissebis-AC35,AC36-AC35)+IF(AC37&lt;T.PikettVetsuissebis,MIN(T.PikettVetsuissebis-AC37,AC38-AC37)+IF(AC39&lt;T.PikettVetsuissebis,MIN(T.PikettVetsuissebis-AC39,AC40-AC39)+IF(AC41&lt;T.PikettVetsuissebis,MIN(T.PikettVetsuissebis-AC41,AC42-AC41)+IF(AC43&lt;T.PikettVetsuissebis,MIN(T.PikettVetsuissebis-AC43,AC44-AC43),0),0),0),0),0),9),0)</f>
        <v>0</v>
      </c>
      <c r="AD47" s="182" t="n">
        <f aca="false">IF(AD45&gt;0,ROUND(AD45- IF(AD35&lt;T.PikettVetsuissebis,MIN(T.PikettVetsuissebis-AD35,AD36-AD35)+IF(AD37&lt;T.PikettVetsuissebis,MIN(T.PikettVetsuissebis-AD37,AD38-AD37)+IF(AD39&lt;T.PikettVetsuissebis,MIN(T.PikettVetsuissebis-AD39,AD40-AD39)+IF(AD41&lt;T.PikettVetsuissebis,MIN(T.PikettVetsuissebis-AD41,AD42-AD41)+IF(AD43&lt;T.PikettVetsuissebis,MIN(T.PikettVetsuissebis-AD43,AD44-AD43),0),0),0),0),0),9),0)</f>
        <v>0</v>
      </c>
      <c r="AE47" s="182" t="n">
        <f aca="false">IF(AE45&gt;0,ROUND(AE45- IF(AE35&lt;T.PikettVetsuissebis,MIN(T.PikettVetsuissebis-AE35,AE36-AE35)+IF(AE37&lt;T.PikettVetsuissebis,MIN(T.PikettVetsuissebis-AE37,AE38-AE37)+IF(AE39&lt;T.PikettVetsuissebis,MIN(T.PikettVetsuissebis-AE39,AE40-AE39)+IF(AE41&lt;T.PikettVetsuissebis,MIN(T.PikettVetsuissebis-AE41,AE42-AE41)+IF(AE43&lt;T.PikettVetsuissebis,MIN(T.PikettVetsuissebis-AE43,AE44-AE43),0),0),0),0),0),9),0)</f>
        <v>0</v>
      </c>
      <c r="AF47" s="183" t="str">
        <f aca="false">A47</f>
        <v>Total on call hours today</v>
      </c>
      <c r="AG47" s="146"/>
      <c r="AH47" s="179"/>
      <c r="AI47" s="180"/>
      <c r="AJ47" s="172"/>
      <c r="AK47" s="172"/>
      <c r="AL47" s="172"/>
      <c r="AM47" s="171"/>
      <c r="AN47" s="172"/>
      <c r="AO47" s="172"/>
      <c r="AP47" s="39"/>
    </row>
    <row r="48" s="148" customFormat="true" ht="16.5" hidden="true" customHeight="true" outlineLevel="1" collapsed="false">
      <c r="A48" s="181" t="s">
        <v>137</v>
      </c>
      <c r="B48" s="193" t="n">
        <f aca="false">B45-B47</f>
        <v>0</v>
      </c>
      <c r="C48" s="193" t="n">
        <f aca="false">C45-C47</f>
        <v>0</v>
      </c>
      <c r="D48" s="193" t="n">
        <f aca="false">D45-D47</f>
        <v>0</v>
      </c>
      <c r="E48" s="193" t="n">
        <f aca="false">E45-E47</f>
        <v>0</v>
      </c>
      <c r="F48" s="193" t="n">
        <f aca="false">F45-F47</f>
        <v>0</v>
      </c>
      <c r="G48" s="193" t="n">
        <f aca="false">G45-G47</f>
        <v>0</v>
      </c>
      <c r="H48" s="193" t="n">
        <f aca="false">H45-H47</f>
        <v>0</v>
      </c>
      <c r="I48" s="193" t="n">
        <f aca="false">I45-I47</f>
        <v>0</v>
      </c>
      <c r="J48" s="193" t="n">
        <f aca="false">J45-J47</f>
        <v>0</v>
      </c>
      <c r="K48" s="193" t="n">
        <f aca="false">K45-K47</f>
        <v>0</v>
      </c>
      <c r="L48" s="193" t="n">
        <f aca="false">L45-L47</f>
        <v>0</v>
      </c>
      <c r="M48" s="193" t="n">
        <f aca="false">M45-M47</f>
        <v>0</v>
      </c>
      <c r="N48" s="193" t="n">
        <f aca="false">N45-N47</f>
        <v>0</v>
      </c>
      <c r="O48" s="193" t="n">
        <f aca="false">O45-O47</f>
        <v>0</v>
      </c>
      <c r="P48" s="193" t="n">
        <f aca="false">P45-P47</f>
        <v>0</v>
      </c>
      <c r="Q48" s="193" t="n">
        <f aca="false">Q45-Q47</f>
        <v>0</v>
      </c>
      <c r="R48" s="193" t="n">
        <f aca="false">R45-R47</f>
        <v>0</v>
      </c>
      <c r="S48" s="193" t="n">
        <f aca="false">S45-S47</f>
        <v>0</v>
      </c>
      <c r="T48" s="193" t="n">
        <f aca="false">T45-T47</f>
        <v>0</v>
      </c>
      <c r="U48" s="193" t="n">
        <f aca="false">U45-U47</f>
        <v>0</v>
      </c>
      <c r="V48" s="193" t="n">
        <f aca="false">V45-V47</f>
        <v>0</v>
      </c>
      <c r="W48" s="193" t="n">
        <f aca="false">W45-W47</f>
        <v>0</v>
      </c>
      <c r="X48" s="193" t="n">
        <f aca="false">X45-X47</f>
        <v>0</v>
      </c>
      <c r="Y48" s="193" t="n">
        <f aca="false">Y45-Y47</f>
        <v>0</v>
      </c>
      <c r="Z48" s="193" t="n">
        <f aca="false">Z45-Z47</f>
        <v>0</v>
      </c>
      <c r="AA48" s="193" t="n">
        <f aca="false">AA45-AA47</f>
        <v>0</v>
      </c>
      <c r="AB48" s="193" t="n">
        <f aca="false">AB45-AB47</f>
        <v>0</v>
      </c>
      <c r="AC48" s="193" t="n">
        <f aca="false">AC45-AC47</f>
        <v>0</v>
      </c>
      <c r="AD48" s="193" t="n">
        <f aca="false">AD45-AD47</f>
        <v>0</v>
      </c>
      <c r="AE48" s="193" t="n">
        <f aca="false">AE45-AE47</f>
        <v>0</v>
      </c>
      <c r="AF48" s="183" t="str">
        <f aca="false">A48</f>
        <v>Total on call hours yesterday</v>
      </c>
      <c r="AG48" s="146"/>
      <c r="AH48" s="179"/>
      <c r="AI48" s="180"/>
      <c r="AJ48" s="172"/>
      <c r="AK48" s="172"/>
      <c r="AL48" s="199" t="n">
        <f aca="false">IF(EB.Anwendung&lt;&gt;"",IF(MONTH(Monat.Tag1)=12,0,IF(MONTH(Monat.Tag1)=1,February!Monat.PikettgesternTag1,IF(MONTH(Monat.Tag1)=2,March!Monat.PikettgesternTag1,IF(MONTH(Monat.Tag1)=3,Monat.PikettgesternTag1,IF(MONTH(Monat.Tag1)=4,May!Monat.PikettgesternTag1,IF(MONTH(Monat.Tag1)=5,June!Monat.PikettgesternTag1,IF(MONTH(Monat.Tag1)=6,July!Monat.PikettgesternTag1,IF(MONTH(Monat.Tag1)=7,August!Monat.PikettgesternTag1,IF(MONTH(Monat.Tag1)=8,September!Monat.PikettgesternTag1,IF(MONTH(Monat.Tag1)=9,October!Monat.PikettgesternTag1,IF(MONTH(Monat.Tag1)=10,November!Monat.PikettgesternTag1,IF(MONTH(Monat.Tag1)=11,December!Monat.PikettgesternTag1,"")))))))))))),"")</f>
        <v>0</v>
      </c>
      <c r="AM48" s="171"/>
      <c r="AN48" s="172"/>
      <c r="AO48" s="172"/>
      <c r="AP48" s="39"/>
    </row>
    <row r="49" s="148" customFormat="true" ht="16.5" hidden="true" customHeight="true" outlineLevel="1" collapsed="false">
      <c r="A49" s="181" t="s">
        <v>138</v>
      </c>
      <c r="B49" s="182" t="n">
        <f aca="false">B47+IF(B$10=EOMONTH(B$10,0),$AL48,C48)</f>
        <v>0</v>
      </c>
      <c r="C49" s="182" t="n">
        <f aca="false">C47+IF(C$10=EOMONTH(C$10,0),$AL48,D48)</f>
        <v>0</v>
      </c>
      <c r="D49" s="182" t="n">
        <f aca="false">D47+IF(D$10=EOMONTH(D$10,0),$AL48,E48)</f>
        <v>0</v>
      </c>
      <c r="E49" s="182" t="n">
        <f aca="false">E47+IF(E$10=EOMONTH(E$10,0),$AL48,F48)</f>
        <v>0</v>
      </c>
      <c r="F49" s="182" t="n">
        <f aca="false">F47+IF(F$10=EOMONTH(F$10,0),$AL48,G48)</f>
        <v>0</v>
      </c>
      <c r="G49" s="182" t="n">
        <f aca="false">G47+IF(G$10=EOMONTH(G$10,0),$AL48,H48)</f>
        <v>0</v>
      </c>
      <c r="H49" s="182" t="n">
        <f aca="false">H47+IF(H$10=EOMONTH(H$10,0),$AL48,I48)</f>
        <v>0</v>
      </c>
      <c r="I49" s="182" t="n">
        <f aca="false">I47+IF(I$10=EOMONTH(I$10,0),$AL48,J48)</f>
        <v>0</v>
      </c>
      <c r="J49" s="182" t="n">
        <f aca="false">J47+IF(J$10=EOMONTH(J$10,0),$AL48,K48)</f>
        <v>0</v>
      </c>
      <c r="K49" s="182" t="n">
        <f aca="false">K47+IF(K$10=EOMONTH(K$10,0),$AL48,L48)</f>
        <v>0</v>
      </c>
      <c r="L49" s="182" t="n">
        <f aca="false">L47+IF(L$10=EOMONTH(L$10,0),$AL48,M48)</f>
        <v>0</v>
      </c>
      <c r="M49" s="182" t="n">
        <f aca="false">M47+IF(M$10=EOMONTH(M$10,0),$AL48,N48)</f>
        <v>0</v>
      </c>
      <c r="N49" s="182" t="n">
        <f aca="false">N47+IF(N$10=EOMONTH(N$10,0),$AL48,O48)</f>
        <v>0</v>
      </c>
      <c r="O49" s="182" t="n">
        <f aca="false">O47+IF(O$10=EOMONTH(O$10,0),$AL48,P48)</f>
        <v>0</v>
      </c>
      <c r="P49" s="182" t="n">
        <f aca="false">P47+IF(P$10=EOMONTH(P$10,0),$AL48,Q48)</f>
        <v>0</v>
      </c>
      <c r="Q49" s="182" t="n">
        <f aca="false">Q47+IF(Q$10=EOMONTH(Q$10,0),$AL48,R48)</f>
        <v>0</v>
      </c>
      <c r="R49" s="182" t="n">
        <f aca="false">R47+IF(R$10=EOMONTH(R$10,0),$AL48,S48)</f>
        <v>0</v>
      </c>
      <c r="S49" s="182" t="n">
        <f aca="false">S47+IF(S$10=EOMONTH(S$10,0),$AL48,T48)</f>
        <v>0</v>
      </c>
      <c r="T49" s="182" t="n">
        <f aca="false">T47+IF(T$10=EOMONTH(T$10,0),$AL48,U48)</f>
        <v>0</v>
      </c>
      <c r="U49" s="182" t="n">
        <f aca="false">U47+IF(U$10=EOMONTH(U$10,0),$AL48,V48)</f>
        <v>0</v>
      </c>
      <c r="V49" s="182" t="n">
        <f aca="false">V47+IF(V$10=EOMONTH(V$10,0),$AL48,W48)</f>
        <v>0</v>
      </c>
      <c r="W49" s="182" t="n">
        <f aca="false">W47+IF(W$10=EOMONTH(W$10,0),$AL48,X48)</f>
        <v>0</v>
      </c>
      <c r="X49" s="182" t="n">
        <f aca="false">X47+IF(X$10=EOMONTH(X$10,0),$AL48,Y48)</f>
        <v>0</v>
      </c>
      <c r="Y49" s="182" t="n">
        <f aca="false">Y47+IF(Y$10=EOMONTH(Y$10,0),$AL48,Z48)</f>
        <v>0</v>
      </c>
      <c r="Z49" s="182" t="n">
        <f aca="false">Z47+IF(Z$10=EOMONTH(Z$10,0),$AL48,AA48)</f>
        <v>0</v>
      </c>
      <c r="AA49" s="182" t="n">
        <f aca="false">AA47+IF(AA$10=EOMONTH(AA$10,0),$AL48,AB48)</f>
        <v>0</v>
      </c>
      <c r="AB49" s="182" t="n">
        <f aca="false">AB47+IF(AB$10=EOMONTH(AB$10,0),$AL48,AC48)</f>
        <v>0</v>
      </c>
      <c r="AC49" s="182" t="n">
        <f aca="false">AC47+IF(AC$10=EOMONTH(AC$10,0),$AL48,AD48)</f>
        <v>0</v>
      </c>
      <c r="AD49" s="182" t="n">
        <f aca="false">AD47+IF(AD$10=EOMONTH(AD$10,0),$AL48,AE48)</f>
        <v>0</v>
      </c>
      <c r="AE49" s="182" t="n">
        <f aca="false">AE47+IF(AE$10=EOMONTH(AE$10,0),$AL48,#REF!)</f>
        <v>0</v>
      </c>
      <c r="AF49" s="183" t="str">
        <f aca="false">A49</f>
        <v>Total on call standby hours</v>
      </c>
      <c r="AG49" s="184"/>
      <c r="AH49" s="185" t="n">
        <f aca="false">SUM(B49:AE49)</f>
        <v>0</v>
      </c>
      <c r="AI49" s="180"/>
      <c r="AJ49" s="172"/>
      <c r="AK49" s="172"/>
      <c r="AL49" s="172"/>
      <c r="AM49" s="171"/>
      <c r="AN49" s="172"/>
      <c r="AO49" s="172"/>
      <c r="AP49" s="39"/>
    </row>
    <row r="50" s="148" customFormat="true" ht="3.75" hidden="false" customHeight="true" outlineLevel="0" collapsed="false">
      <c r="A50" s="200"/>
      <c r="B50" s="187"/>
      <c r="C50" s="187"/>
      <c r="D50" s="187"/>
      <c r="E50" s="187"/>
      <c r="F50" s="187"/>
      <c r="G50" s="187"/>
      <c r="H50" s="187"/>
      <c r="I50" s="187"/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87"/>
      <c r="U50" s="187"/>
      <c r="V50" s="187"/>
      <c r="W50" s="187"/>
      <c r="X50" s="187"/>
      <c r="Y50" s="187"/>
      <c r="Z50" s="187"/>
      <c r="AA50" s="187"/>
      <c r="AB50" s="187"/>
      <c r="AC50" s="187"/>
      <c r="AD50" s="187"/>
      <c r="AE50" s="187"/>
      <c r="AF50" s="201"/>
      <c r="AG50" s="202"/>
      <c r="AH50" s="188"/>
      <c r="AI50" s="180"/>
      <c r="AJ50" s="172"/>
      <c r="AK50" s="172"/>
      <c r="AL50" s="172"/>
      <c r="AM50" s="171"/>
      <c r="AN50" s="172"/>
      <c r="AO50" s="172"/>
      <c r="AP50" s="39"/>
    </row>
    <row r="51" s="148" customFormat="true" ht="15" hidden="false" customHeight="true" outlineLevel="0" collapsed="false">
      <c r="A51" s="181" t="s">
        <v>139</v>
      </c>
      <c r="B51" s="203" t="n">
        <f aca="false">ROUND(B23+B45+B84+SUM(B86:B95)+IF(T.50_Vetsuisse,B71,0),9)</f>
        <v>0</v>
      </c>
      <c r="C51" s="203" t="n">
        <f aca="false">ROUND(C23+C45+C84+SUM(C86:C95)+IF(T.50_Vetsuisse,C71,0),9)</f>
        <v>0</v>
      </c>
      <c r="D51" s="203" t="n">
        <f aca="false">ROUND(D23+D45+D84+SUM(D86:D95)+IF(T.50_Vetsuisse,D71,0),9)</f>
        <v>0.333333333</v>
      </c>
      <c r="E51" s="204" t="n">
        <f aca="false">ROUND(E23+E45+E84+SUM(E86:E95)+IF(T.50_Vetsuisse,E71,0),9)</f>
        <v>0.375</v>
      </c>
      <c r="F51" s="203" t="n">
        <f aca="false">ROUND(F23+F45+F84+SUM(F86:F95)+IF(T.50_Vetsuisse,F71,0),9)</f>
        <v>0.333333333</v>
      </c>
      <c r="G51" s="203" t="n">
        <f aca="false">ROUND(G23+G45+G84+SUM(G86:G95)+IF(T.50_Vetsuisse,G71,0),9)</f>
        <v>0.416666667</v>
      </c>
      <c r="H51" s="203" t="n">
        <f aca="false">ROUND(H23+H45+H84+SUM(H86:H95)+IF(T.50_Vetsuisse,H71,0),9)</f>
        <v>0</v>
      </c>
      <c r="I51" s="203" t="n">
        <f aca="false">ROUND(I23+I45+I84+SUM(I86:I95)+IF(T.50_Vetsuisse,I71,0),9)</f>
        <v>0</v>
      </c>
      <c r="J51" s="205" t="n">
        <f aca="false">ROUND(J23+J45+J84+SUM(J86:J95)+IF(T.50_Vetsuisse,J71,0),9)</f>
        <v>0.375</v>
      </c>
      <c r="K51" s="203" t="n">
        <f aca="false">ROUND(K23+K45+K84+SUM(K86:K95)+IF(T.50_Vetsuisse,K71,0),9)</f>
        <v>0.354166667</v>
      </c>
      <c r="L51" s="205" t="n">
        <f aca="false">ROUND(L23+L45+L84+SUM(L86:L95)+IF(T.50_Vetsuisse,L71,0),9)</f>
        <v>0.395833333</v>
      </c>
      <c r="M51" s="203" t="n">
        <f aca="false">ROUND(M23+M45+M84+SUM(M86:M95)+IF(T.50_Vetsuisse,M71,0),9)</f>
        <v>0.375</v>
      </c>
      <c r="N51" s="203" t="n">
        <f aca="false">ROUND(N23+N45+N84+SUM(N86:N95)+IF(T.50_Vetsuisse,N71,0),9)</f>
        <v>0.375</v>
      </c>
      <c r="O51" s="203" t="n">
        <f aca="false">ROUND(O23+O45+O84+SUM(O86:O95)+IF(T.50_Vetsuisse,O71,0),9)</f>
        <v>0</v>
      </c>
      <c r="P51" s="203" t="n">
        <f aca="false">ROUND(P23+P45+P84+SUM(P86:P95)+IF(T.50_Vetsuisse,P71,0),9)</f>
        <v>0</v>
      </c>
      <c r="Q51" s="205" t="n">
        <f aca="false">ROUND(Q23+Q45+Q84+SUM(Q86:Q95)+IF(T.50_Vetsuisse,Q71,0),9)</f>
        <v>0.166666667</v>
      </c>
      <c r="R51" s="203" t="n">
        <f aca="false">ROUND(R23+R45+R84+SUM(R86:R95)+IF(T.50_Vetsuisse,R71,0),9)</f>
        <v>0.395833333</v>
      </c>
      <c r="S51" s="205" t="n">
        <f aca="false">ROUND(S23+S45+S84+SUM(S86:S95)+IF(T.50_Vetsuisse,S71,0),9)</f>
        <v>0.354166667</v>
      </c>
      <c r="T51" s="205" t="n">
        <f aca="false">ROUND(T23+T45+T84+SUM(T86:T95)+IF(T.50_Vetsuisse,T71,0),9)</f>
        <v>0.395833333</v>
      </c>
      <c r="U51" s="203" t="n">
        <f aca="false">ROUND(U23+U45+U84+SUM(U86:U95)+IF(T.50_Vetsuisse,U71,0),9)</f>
        <v>0</v>
      </c>
      <c r="V51" s="203" t="n">
        <f aca="false">ROUND(V23+V45+V84+SUM(V86:V95)+IF(T.50_Vetsuisse,V71,0),9)</f>
        <v>0</v>
      </c>
      <c r="W51" s="203" t="n">
        <f aca="false">ROUND(W23+W45+W84+SUM(W86:W95)+IF(T.50_Vetsuisse,W71,0),9)</f>
        <v>0</v>
      </c>
      <c r="X51" s="205" t="n">
        <f aca="false">ROUND(X23+X45+X84+SUM(X86:X95)+IF(T.50_Vetsuisse,X71,0),9)</f>
        <v>0</v>
      </c>
      <c r="Y51" s="203" t="n">
        <f aca="false">ROUND(Y23+Y45+Y84+SUM(Y86:Y95)+IF(T.50_Vetsuisse,Y71,0),9)</f>
        <v>0.4375</v>
      </c>
      <c r="Z51" s="206" t="n">
        <f aca="false">ROUND(Z23+Z45+Z84+SUM(Z86:Z95)+IF(T.50_Vetsuisse,Z71,0),9)</f>
        <v>0.416666667</v>
      </c>
      <c r="AA51" s="203" t="n">
        <f aca="false">ROUND(AA23+AA45+AA84+SUM(AA86:AA95)+IF(T.50_Vetsuisse,AA71,0),9)</f>
        <v>0.375</v>
      </c>
      <c r="AB51" s="203" t="n">
        <f aca="false">ROUND(AB23+AB45+AB84+SUM(AB86:AB95)+IF(T.50_Vetsuisse,AB71,0),9)</f>
        <v>0.4375</v>
      </c>
      <c r="AC51" s="203" t="n">
        <f aca="false">ROUND(AC23+AC45+AC84+SUM(AC86:AC95)+IF(T.50_Vetsuisse,AC71,0),9)</f>
        <v>0</v>
      </c>
      <c r="AD51" s="203" t="n">
        <f aca="false">ROUND(AD23+AD45+AD84+SUM(AD86:AD95)+IF(T.50_Vetsuisse,AD71,0),9)</f>
        <v>0</v>
      </c>
      <c r="AE51" s="205" t="n">
        <f aca="false">ROUND(AE23+AE45+AE84+SUM(AE86:AE95)+IF(T.50_Vetsuisse,AE71,0),9)</f>
        <v>0.4375</v>
      </c>
      <c r="AF51" s="183" t="str">
        <f aca="false">A51</f>
        <v>Actual hours worked</v>
      </c>
      <c r="AG51" s="184"/>
      <c r="AH51" s="207" t="n">
        <f aca="false">SUM(B51:AE51)</f>
        <v>6.75</v>
      </c>
      <c r="AI51" s="180"/>
      <c r="AJ51" s="172"/>
      <c r="AK51" s="172"/>
      <c r="AL51" s="172"/>
      <c r="AM51" s="208" t="n">
        <f aca="true">IF(WEEKDAY(EOMONTH(Monat.Tag1,0),2)=7,0,MAX(0,SUM(OFFSET(B51,0,DAY(EOMONTH(Monat.Tag1,0))-WEEKDAY(EOMONTH(Monat.Tag1,0),2),1,WEEKDAY(EOMONTH(Monat.Tag1,0),2)))))</f>
        <v>0.4375</v>
      </c>
      <c r="AN51" s="172"/>
      <c r="AO51" s="172"/>
      <c r="AP51" s="39"/>
    </row>
    <row r="52" s="148" customFormat="true" ht="15" hidden="false" customHeight="true" outlineLevel="1" collapsed="false">
      <c r="A52" s="175" t="s">
        <v>140</v>
      </c>
      <c r="B52" s="209" t="n">
        <f aca="false">IF(B$12=0,0,ROUND(INDEX(Monat.RAZ1_7.Bereich,WEEKDAY(B$10,2))*B$11,9))</f>
        <v>0</v>
      </c>
      <c r="C52" s="209" t="n">
        <f aca="false">IF(C$12=0,0,ROUND(INDEX(Monat.RAZ1_7.Bereich,WEEKDAY(C$10,2))*C$11,9))</f>
        <v>0</v>
      </c>
      <c r="D52" s="210" t="n">
        <f aca="false">IF(D$12=0,0,ROUND(INDEX(Monat.RAZ1_7.Bereich,WEEKDAY(D$10,2))*D$11,9))</f>
        <v>0.35</v>
      </c>
      <c r="E52" s="209" t="n">
        <f aca="false">IF(E$12=0,0,ROUND(INDEX(Monat.RAZ1_7.Bereich,WEEKDAY(E$10,2))*E$11,9))</f>
        <v>0.35</v>
      </c>
      <c r="F52" s="210" t="n">
        <f aca="false">IF(F$12=0,0,ROUND(INDEX(Monat.RAZ1_7.Bereich,WEEKDAY(F$10,2))*F$11,9))</f>
        <v>0.35</v>
      </c>
      <c r="G52" s="210" t="n">
        <f aca="false">IF(G$12=0,0,ROUND(INDEX(Monat.RAZ1_7.Bereich,WEEKDAY(G$10,2))*G$11,9))</f>
        <v>0.35</v>
      </c>
      <c r="H52" s="210" t="n">
        <f aca="false">IF(H$12=0,0,ROUND(INDEX(Monat.RAZ1_7.Bereich,WEEKDAY(H$10,2))*H$11,9))</f>
        <v>0</v>
      </c>
      <c r="I52" s="210" t="n">
        <f aca="false">IF(I$12=0,0,ROUND(INDEX(Monat.RAZ1_7.Bereich,WEEKDAY(I$10,2))*I$11,9))</f>
        <v>0</v>
      </c>
      <c r="J52" s="209" t="n">
        <f aca="false">IF(J$12=0,0,ROUND(INDEX(Monat.RAZ1_7.Bereich,WEEKDAY(J$10,2))*J$11,9))</f>
        <v>0.35</v>
      </c>
      <c r="K52" s="210" t="n">
        <f aca="false">IF(K$12=0,0,ROUND(INDEX(Monat.RAZ1_7.Bereich,WEEKDAY(K$10,2))*K$11,9))</f>
        <v>0.35</v>
      </c>
      <c r="L52" s="209" t="n">
        <f aca="false">IF(L$12=0,0,ROUND(INDEX(Monat.RAZ1_7.Bereich,WEEKDAY(L$10,2))*L$11,9))</f>
        <v>0.35</v>
      </c>
      <c r="M52" s="210" t="n">
        <f aca="false">IF(M$12=0,0,ROUND(INDEX(Monat.RAZ1_7.Bereich,WEEKDAY(M$10,2))*M$11,9))</f>
        <v>0.35</v>
      </c>
      <c r="N52" s="210" t="n">
        <f aca="false">IF(N$12=0,0,ROUND(INDEX(Monat.RAZ1_7.Bereich,WEEKDAY(N$10,2))*N$11,9))</f>
        <v>0.35</v>
      </c>
      <c r="O52" s="210" t="n">
        <f aca="false">IF(O$12=0,0,ROUND(INDEX(Monat.RAZ1_7.Bereich,WEEKDAY(O$10,2))*O$11,9))</f>
        <v>0</v>
      </c>
      <c r="P52" s="210" t="n">
        <f aca="false">IF(P$12=0,0,ROUND(INDEX(Monat.RAZ1_7.Bereich,WEEKDAY(P$10,2))*P$11,9))</f>
        <v>0</v>
      </c>
      <c r="Q52" s="209" t="n">
        <f aca="false">IF(Q$12=0,0,ROUND(INDEX(Monat.RAZ1_7.Bereich,WEEKDAY(Q$10,2))*Q$11,9))</f>
        <v>0.175</v>
      </c>
      <c r="R52" s="210" t="n">
        <f aca="false">IF(R$12=0,0,ROUND(INDEX(Monat.RAZ1_7.Bereich,WEEKDAY(R$10,2))*R$11,9))</f>
        <v>0.35</v>
      </c>
      <c r="S52" s="209" t="n">
        <f aca="false">IF(S$12=0,0,ROUND(INDEX(Monat.RAZ1_7.Bereich,WEEKDAY(S$10,2))*S$11,9))</f>
        <v>0.35</v>
      </c>
      <c r="T52" s="209" t="n">
        <f aca="false">IF(T$12=0,0,ROUND(INDEX(Monat.RAZ1_7.Bereich,WEEKDAY(T$10,2))*T$11,9))</f>
        <v>0.35</v>
      </c>
      <c r="U52" s="210" t="n">
        <f aca="false">IF(U$12=0,0,ROUND(INDEX(Monat.RAZ1_7.Bereich,WEEKDAY(U$10,2))*U$11,9))</f>
        <v>0.35</v>
      </c>
      <c r="V52" s="210" t="n">
        <f aca="false">IF(V$12=0,0,ROUND(INDEX(Monat.RAZ1_7.Bereich,WEEKDAY(V$10,2))*V$11,9))</f>
        <v>0</v>
      </c>
      <c r="W52" s="210" t="n">
        <f aca="false">IF(W$12=0,0,ROUND(INDEX(Monat.RAZ1_7.Bereich,WEEKDAY(W$10,2))*W$11,9))</f>
        <v>0</v>
      </c>
      <c r="X52" s="209" t="n">
        <f aca="false">IF(X$12=0,0,ROUND(INDEX(Monat.RAZ1_7.Bereich,WEEKDAY(X$10,2))*X$11,9))</f>
        <v>0.35</v>
      </c>
      <c r="Y52" s="210" t="n">
        <f aca="false">IF(Y$12=0,0,ROUND(INDEX(Monat.RAZ1_7.Bereich,WEEKDAY(Y$10,2))*Y$11,9))</f>
        <v>0.35</v>
      </c>
      <c r="Z52" s="211" t="n">
        <f aca="false">IF(Z$12=0,0,ROUND(INDEX(Monat.RAZ1_7.Bereich,WEEKDAY(Z$10,2))*Z$11,9))</f>
        <v>0.35</v>
      </c>
      <c r="AA52" s="210" t="n">
        <f aca="false">IF(AA$12=0,0,ROUND(INDEX(Monat.RAZ1_7.Bereich,WEEKDAY(AA$10,2))*AA$11,9))</f>
        <v>0.35</v>
      </c>
      <c r="AB52" s="210" t="n">
        <f aca="false">IF(AB$12=0,0,ROUND(INDEX(Monat.RAZ1_7.Bereich,WEEKDAY(AB$10,2))*AB$11,9))</f>
        <v>0.35</v>
      </c>
      <c r="AC52" s="210" t="n">
        <f aca="false">IF(AC$12=0,0,ROUND(INDEX(Monat.RAZ1_7.Bereich,WEEKDAY(AC$10,2))*AC$11,9))</f>
        <v>0</v>
      </c>
      <c r="AD52" s="210" t="n">
        <f aca="false">IF(AD$12=0,0,ROUND(INDEX(Monat.RAZ1_7.Bereich,WEEKDAY(AD$10,2))*AD$11,9))</f>
        <v>0</v>
      </c>
      <c r="AE52" s="209" t="n">
        <f aca="false">IF(AE$12=0,0,ROUND(INDEX(Monat.RAZ1_7.Bereich,WEEKDAY(AE$10,2))*AE$11,9))</f>
        <v>0.35</v>
      </c>
      <c r="AF52" s="212" t="str">
        <f aca="false">A52</f>
        <v>Standardized hours (Info)</v>
      </c>
      <c r="AG52" s="184"/>
      <c r="AH52" s="179"/>
      <c r="AI52" s="180"/>
      <c r="AJ52" s="172"/>
      <c r="AK52" s="172"/>
      <c r="AL52" s="172"/>
      <c r="AM52" s="171"/>
      <c r="AN52" s="172"/>
      <c r="AO52" s="172"/>
      <c r="AP52" s="39"/>
    </row>
    <row r="53" s="148" customFormat="true" ht="15" hidden="false" customHeight="true" outlineLevel="0" collapsed="false">
      <c r="A53" s="175" t="s">
        <v>141</v>
      </c>
      <c r="B53" s="213" t="n">
        <f aca="false">IF(B$12=0,0,ROUND(INDEX(EB.AZSOLLTag100.Bereich,MATCH(INDEX(EB.Monate.Bereich,MONTH(Monat.Tag1)),EB.Monate.Bereich,0))*B$11*IF(WEEKDAY(B$10,2)&gt;5,0,1)*$V$2/100,9))</f>
        <v>0</v>
      </c>
      <c r="C53" s="213" t="n">
        <f aca="false">IF(C$12=0,0,ROUND(INDEX(EB.AZSOLLTag100.Bereich,MATCH(INDEX(EB.Monate.Bereich,MONTH(Monat.Tag1)),EB.Monate.Bereich,0))*C$11*IF(WEEKDAY(C$10,2)&gt;5,0,1)*$V$2/100,9))</f>
        <v>0</v>
      </c>
      <c r="D53" s="213" t="n">
        <f aca="false">IF(D$12=0,0,ROUND(INDEX(EB.AZSOLLTag100.Bereich,MATCH(INDEX(EB.Monate.Bereich,MONTH(Monat.Tag1)),EB.Monate.Bereich,0))*D$11*IF(WEEKDAY(D$10,2)&gt;5,0,1)*$V$2/100,9))</f>
        <v>0.35</v>
      </c>
      <c r="E53" s="213" t="n">
        <f aca="false">IF(E$12=0,0,ROUND(INDEX(EB.AZSOLLTag100.Bereich,MATCH(INDEX(EB.Monate.Bereich,MONTH(Monat.Tag1)),EB.Monate.Bereich,0))*E$11*IF(WEEKDAY(E$10,2)&gt;5,0,1)*$V$2/100,9))</f>
        <v>0.35</v>
      </c>
      <c r="F53" s="213" t="n">
        <f aca="false">IF(F$12=0,0,ROUND(INDEX(EB.AZSOLLTag100.Bereich,MATCH(INDEX(EB.Monate.Bereich,MONTH(Monat.Tag1)),EB.Monate.Bereich,0))*F$11*IF(WEEKDAY(F$10,2)&gt;5,0,1)*$V$2/100,9))</f>
        <v>0.35</v>
      </c>
      <c r="G53" s="213" t="n">
        <f aca="false">IF(G$12=0,0,ROUND(INDEX(EB.AZSOLLTag100.Bereich,MATCH(INDEX(EB.Monate.Bereich,MONTH(Monat.Tag1)),EB.Monate.Bereich,0))*G$11*IF(WEEKDAY(G$10,2)&gt;5,0,1)*$V$2/100,9))</f>
        <v>0.35</v>
      </c>
      <c r="H53" s="213" t="n">
        <f aca="false">IF(H$12=0,0,ROUND(INDEX(EB.AZSOLLTag100.Bereich,MATCH(INDEX(EB.Monate.Bereich,MONTH(Monat.Tag1)),EB.Monate.Bereich,0))*H$11*IF(WEEKDAY(H$10,2)&gt;5,0,1)*$V$2/100,9))</f>
        <v>0</v>
      </c>
      <c r="I53" s="213" t="n">
        <f aca="false">IF(I$12=0,0,ROUND(INDEX(EB.AZSOLLTag100.Bereich,MATCH(INDEX(EB.Monate.Bereich,MONTH(Monat.Tag1)),EB.Monate.Bereich,0))*I$11*IF(WEEKDAY(I$10,2)&gt;5,0,1)*$V$2/100,9))</f>
        <v>0</v>
      </c>
      <c r="J53" s="213" t="n">
        <f aca="false">IF(J$12=0,0,ROUND(INDEX(EB.AZSOLLTag100.Bereich,MATCH(INDEX(EB.Monate.Bereich,MONTH(Monat.Tag1)),EB.Monate.Bereich,0))*J$11*IF(WEEKDAY(J$10,2)&gt;5,0,1)*$V$2/100,9))</f>
        <v>0.35</v>
      </c>
      <c r="K53" s="213" t="n">
        <f aca="false">IF(K$12=0,0,ROUND(INDEX(EB.AZSOLLTag100.Bereich,MATCH(INDEX(EB.Monate.Bereich,MONTH(Monat.Tag1)),EB.Monate.Bereich,0))*K$11*IF(WEEKDAY(K$10,2)&gt;5,0,1)*$V$2/100,9))</f>
        <v>0.35</v>
      </c>
      <c r="L53" s="213" t="n">
        <f aca="false">IF(L$12=0,0,ROUND(INDEX(EB.AZSOLLTag100.Bereich,MATCH(INDEX(EB.Monate.Bereich,MONTH(Monat.Tag1)),EB.Monate.Bereich,0))*L$11*IF(WEEKDAY(L$10,2)&gt;5,0,1)*$V$2/100,9))</f>
        <v>0.35</v>
      </c>
      <c r="M53" s="213" t="n">
        <f aca="false">IF(M$12=0,0,ROUND(INDEX(EB.AZSOLLTag100.Bereich,MATCH(INDEX(EB.Monate.Bereich,MONTH(Monat.Tag1)),EB.Monate.Bereich,0))*M$11*IF(WEEKDAY(M$10,2)&gt;5,0,1)*$V$2/100,9))</f>
        <v>0.35</v>
      </c>
      <c r="N53" s="213" t="n">
        <f aca="false">IF(N$12=0,0,ROUND(INDEX(EB.AZSOLLTag100.Bereich,MATCH(INDEX(EB.Monate.Bereich,MONTH(Monat.Tag1)),EB.Monate.Bereich,0))*N$11*IF(WEEKDAY(N$10,2)&gt;5,0,1)*$V$2/100,9))</f>
        <v>0.35</v>
      </c>
      <c r="O53" s="213" t="n">
        <f aca="false">IF(O$12=0,0,ROUND(INDEX(EB.AZSOLLTag100.Bereich,MATCH(INDEX(EB.Monate.Bereich,MONTH(Monat.Tag1)),EB.Monate.Bereich,0))*O$11*IF(WEEKDAY(O$10,2)&gt;5,0,1)*$V$2/100,9))</f>
        <v>0</v>
      </c>
      <c r="P53" s="213" t="n">
        <f aca="false">IF(P$12=0,0,ROUND(INDEX(EB.AZSOLLTag100.Bereich,MATCH(INDEX(EB.Monate.Bereich,MONTH(Monat.Tag1)),EB.Monate.Bereich,0))*P$11*IF(WEEKDAY(P$10,2)&gt;5,0,1)*$V$2/100,9))</f>
        <v>0</v>
      </c>
      <c r="Q53" s="213" t="n">
        <f aca="false">IF(Q$12=0,0,ROUND(INDEX(EB.AZSOLLTag100.Bereich,MATCH(INDEX(EB.Monate.Bereich,MONTH(Monat.Tag1)),EB.Monate.Bereich,0))*Q$11*IF(WEEKDAY(Q$10,2)&gt;5,0,1)*$V$2/100,9))</f>
        <v>0.175</v>
      </c>
      <c r="R53" s="213" t="n">
        <f aca="false">IF(R$12=0,0,ROUND(INDEX(EB.AZSOLLTag100.Bereich,MATCH(INDEX(EB.Monate.Bereich,MONTH(Monat.Tag1)),EB.Monate.Bereich,0))*R$11*IF(WEEKDAY(R$10,2)&gt;5,0,1)*$V$2/100,9))</f>
        <v>0.35</v>
      </c>
      <c r="S53" s="213" t="n">
        <f aca="false">IF(S$12=0,0,ROUND(INDEX(EB.AZSOLLTag100.Bereich,MATCH(INDEX(EB.Monate.Bereich,MONTH(Monat.Tag1)),EB.Monate.Bereich,0))*S$11*IF(WEEKDAY(S$10,2)&gt;5,0,1)*$V$2/100,9))</f>
        <v>0.35</v>
      </c>
      <c r="T53" s="213" t="n">
        <f aca="false">IF(T$12=0,0,ROUND(INDEX(EB.AZSOLLTag100.Bereich,MATCH(INDEX(EB.Monate.Bereich,MONTH(Monat.Tag1)),EB.Monate.Bereich,0))*T$11*IF(WEEKDAY(T$10,2)&gt;5,0,1)*$V$2/100,9))</f>
        <v>0.35</v>
      </c>
      <c r="U53" s="213" t="n">
        <f aca="false">IF(U$12=0,0,ROUND(INDEX(EB.AZSOLLTag100.Bereich,MATCH(INDEX(EB.Monate.Bereich,MONTH(Monat.Tag1)),EB.Monate.Bereich,0))*U$11*IF(WEEKDAY(U$10,2)&gt;5,0,1)*$V$2/100,9))</f>
        <v>0.35</v>
      </c>
      <c r="V53" s="213" t="n">
        <f aca="false">IF(V$12=0,0,ROUND(INDEX(EB.AZSOLLTag100.Bereich,MATCH(INDEX(EB.Monate.Bereich,MONTH(Monat.Tag1)),EB.Monate.Bereich,0))*V$11*IF(WEEKDAY(V$10,2)&gt;5,0,1)*$V$2/100,9))</f>
        <v>0</v>
      </c>
      <c r="W53" s="213" t="n">
        <f aca="false">IF(W$12=0,0,ROUND(INDEX(EB.AZSOLLTag100.Bereich,MATCH(INDEX(EB.Monate.Bereich,MONTH(Monat.Tag1)),EB.Monate.Bereich,0))*W$11*IF(WEEKDAY(W$10,2)&gt;5,0,1)*$V$2/100,9))</f>
        <v>0</v>
      </c>
      <c r="X53" s="213" t="n">
        <f aca="false">IF(X$12=0,0,ROUND(INDEX(EB.AZSOLLTag100.Bereich,MATCH(INDEX(EB.Monate.Bereich,MONTH(Monat.Tag1)),EB.Monate.Bereich,0))*X$11*IF(WEEKDAY(X$10,2)&gt;5,0,1)*$V$2/100,9))</f>
        <v>0.35</v>
      </c>
      <c r="Y53" s="213" t="n">
        <f aca="false">IF(Y$12=0,0,ROUND(INDEX(EB.AZSOLLTag100.Bereich,MATCH(INDEX(EB.Monate.Bereich,MONTH(Monat.Tag1)),EB.Monate.Bereich,0))*Y$11*IF(WEEKDAY(Y$10,2)&gt;5,0,1)*$V$2/100,9))</f>
        <v>0.35</v>
      </c>
      <c r="Z53" s="213" t="n">
        <f aca="false">IF(Z$12=0,0,ROUND(INDEX(EB.AZSOLLTag100.Bereich,MATCH(INDEX(EB.Monate.Bereich,MONTH(Monat.Tag1)),EB.Monate.Bereich,0))*Z$11*IF(WEEKDAY(Z$10,2)&gt;5,0,1)*$V$2/100,9))</f>
        <v>0.35</v>
      </c>
      <c r="AA53" s="213" t="n">
        <f aca="false">IF(AA$12=0,0,ROUND(INDEX(EB.AZSOLLTag100.Bereich,MATCH(INDEX(EB.Monate.Bereich,MONTH(Monat.Tag1)),EB.Monate.Bereich,0))*AA$11*IF(WEEKDAY(AA$10,2)&gt;5,0,1)*$V$2/100,9))</f>
        <v>0.35</v>
      </c>
      <c r="AB53" s="213" t="n">
        <f aca="false">IF(AB$12=0,0,ROUND(INDEX(EB.AZSOLLTag100.Bereich,MATCH(INDEX(EB.Monate.Bereich,MONTH(Monat.Tag1)),EB.Monate.Bereich,0))*AB$11*IF(WEEKDAY(AB$10,2)&gt;5,0,1)*$V$2/100,9))</f>
        <v>0.35</v>
      </c>
      <c r="AC53" s="213" t="n">
        <f aca="false">IF(AC$12=0,0,ROUND(INDEX(EB.AZSOLLTag100.Bereich,MATCH(INDEX(EB.Monate.Bereich,MONTH(Monat.Tag1)),EB.Monate.Bereich,0))*AC$11*IF(WEEKDAY(AC$10,2)&gt;5,0,1)*$V$2/100,9))</f>
        <v>0</v>
      </c>
      <c r="AD53" s="213" t="n">
        <f aca="false">IF(AD$12=0,0,ROUND(INDEX(EB.AZSOLLTag100.Bereich,MATCH(INDEX(EB.Monate.Bereich,MONTH(Monat.Tag1)),EB.Monate.Bereich,0))*AD$11*IF(WEEKDAY(AD$10,2)&gt;5,0,1)*$V$2/100,9))</f>
        <v>0</v>
      </c>
      <c r="AE53" s="213" t="n">
        <f aca="false">IF(AE$12=0,0,ROUND(INDEX(EB.AZSOLLTag100.Bereich,MATCH(INDEX(EB.Monate.Bereich,MONTH(Monat.Tag1)),EB.Monate.Bereich,0))*AE$11*IF(WEEKDAY(AE$10,2)&gt;5,0,1)*$V$2/100,9))</f>
        <v>0.35</v>
      </c>
      <c r="AF53" s="168" t="str">
        <f aca="false">A53</f>
        <v>Req. hours of work FTE</v>
      </c>
      <c r="AG53" s="184"/>
      <c r="AH53" s="207" t="n">
        <f aca="false">SUM(B53:AE53)</f>
        <v>6.825</v>
      </c>
      <c r="AI53" s="180"/>
      <c r="AJ53" s="172"/>
      <c r="AK53" s="172"/>
      <c r="AL53" s="172"/>
      <c r="AM53" s="171"/>
      <c r="AN53" s="172"/>
      <c r="AO53" s="172"/>
      <c r="AP53" s="39"/>
    </row>
    <row r="54" s="148" customFormat="true" ht="15" hidden="true" customHeight="true" outlineLevel="1" collapsed="false">
      <c r="A54" s="175" t="s">
        <v>142</v>
      </c>
      <c r="B54" s="213" t="n">
        <f aca="false">ROUND(INDEX(EB.AZSOLLTag100.Bereich,MATCH(INDEX(EB.Monate.Bereich,MONTH(Monat.Tag1)),EB.Monate.Bereich,0))*B$11*IF(WEEKDAY(B$10,2)&gt;5,0,1),9)</f>
        <v>0</v>
      </c>
      <c r="C54" s="213" t="n">
        <f aca="false">ROUND(INDEX(EB.AZSOLLTag100.Bereich,MATCH(INDEX(EB.Monate.Bereich,MONTH(Monat.Tag1)),EB.Monate.Bereich,0))*C$11*IF(WEEKDAY(C$10,2)&gt;5,0,1),9)</f>
        <v>0</v>
      </c>
      <c r="D54" s="214" t="n">
        <f aca="false">ROUND(INDEX(EB.AZSOLLTag100.Bereich,MATCH(INDEX(EB.Monate.Bereich,MONTH(Monat.Tag1)),EB.Monate.Bereich,0))*D$11*IF(WEEKDAY(D$10,2)&gt;5,0,1),9)</f>
        <v>0.35</v>
      </c>
      <c r="E54" s="213" t="n">
        <f aca="false">ROUND(INDEX(EB.AZSOLLTag100.Bereich,MATCH(INDEX(EB.Monate.Bereich,MONTH(Monat.Tag1)),EB.Monate.Bereich,0))*E$11*IF(WEEKDAY(E$10,2)&gt;5,0,1),9)</f>
        <v>0.35</v>
      </c>
      <c r="F54" s="214" t="n">
        <f aca="false">ROUND(INDEX(EB.AZSOLLTag100.Bereich,MATCH(INDEX(EB.Monate.Bereich,MONTH(Monat.Tag1)),EB.Monate.Bereich,0))*F$11*IF(WEEKDAY(F$10,2)&gt;5,0,1),9)</f>
        <v>0.35</v>
      </c>
      <c r="G54" s="214" t="n">
        <f aca="false">ROUND(INDEX(EB.AZSOLLTag100.Bereich,MATCH(INDEX(EB.Monate.Bereich,MONTH(Monat.Tag1)),EB.Monate.Bereich,0))*G$11*IF(WEEKDAY(G$10,2)&gt;5,0,1),9)</f>
        <v>0.35</v>
      </c>
      <c r="H54" s="214" t="n">
        <f aca="false">ROUND(INDEX(EB.AZSOLLTag100.Bereich,MATCH(INDEX(EB.Monate.Bereich,MONTH(Monat.Tag1)),EB.Monate.Bereich,0))*H$11*IF(WEEKDAY(H$10,2)&gt;5,0,1),9)</f>
        <v>0</v>
      </c>
      <c r="I54" s="214" t="n">
        <f aca="false">ROUND(INDEX(EB.AZSOLLTag100.Bereich,MATCH(INDEX(EB.Monate.Bereich,MONTH(Monat.Tag1)),EB.Monate.Bereich,0))*I$11*IF(WEEKDAY(I$10,2)&gt;5,0,1),9)</f>
        <v>0</v>
      </c>
      <c r="J54" s="213" t="n">
        <f aca="false">ROUND(INDEX(EB.AZSOLLTag100.Bereich,MATCH(INDEX(EB.Monate.Bereich,MONTH(Monat.Tag1)),EB.Monate.Bereich,0))*J$11*IF(WEEKDAY(J$10,2)&gt;5,0,1),9)</f>
        <v>0.35</v>
      </c>
      <c r="K54" s="214" t="n">
        <f aca="false">ROUND(INDEX(EB.AZSOLLTag100.Bereich,MATCH(INDEX(EB.Monate.Bereich,MONTH(Monat.Tag1)),EB.Monate.Bereich,0))*K$11*IF(WEEKDAY(K$10,2)&gt;5,0,1),9)</f>
        <v>0.35</v>
      </c>
      <c r="L54" s="213" t="n">
        <f aca="false">ROUND(INDEX(EB.AZSOLLTag100.Bereich,MATCH(INDEX(EB.Monate.Bereich,MONTH(Monat.Tag1)),EB.Monate.Bereich,0))*L$11*IF(WEEKDAY(L$10,2)&gt;5,0,1),9)</f>
        <v>0.35</v>
      </c>
      <c r="M54" s="214" t="n">
        <f aca="false">ROUND(INDEX(EB.AZSOLLTag100.Bereich,MATCH(INDEX(EB.Monate.Bereich,MONTH(Monat.Tag1)),EB.Monate.Bereich,0))*M$11*IF(WEEKDAY(M$10,2)&gt;5,0,1),9)</f>
        <v>0.35</v>
      </c>
      <c r="N54" s="214" t="n">
        <f aca="false">ROUND(INDEX(EB.AZSOLLTag100.Bereich,MATCH(INDEX(EB.Monate.Bereich,MONTH(Monat.Tag1)),EB.Monate.Bereich,0))*N$11*IF(WEEKDAY(N$10,2)&gt;5,0,1),9)</f>
        <v>0.35</v>
      </c>
      <c r="O54" s="214" t="n">
        <f aca="false">ROUND(INDEX(EB.AZSOLLTag100.Bereich,MATCH(INDEX(EB.Monate.Bereich,MONTH(Monat.Tag1)),EB.Monate.Bereich,0))*O$11*IF(WEEKDAY(O$10,2)&gt;5,0,1),9)</f>
        <v>0</v>
      </c>
      <c r="P54" s="214" t="n">
        <f aca="false">ROUND(INDEX(EB.AZSOLLTag100.Bereich,MATCH(INDEX(EB.Monate.Bereich,MONTH(Monat.Tag1)),EB.Monate.Bereich,0))*P$11*IF(WEEKDAY(P$10,2)&gt;5,0,1),9)</f>
        <v>0</v>
      </c>
      <c r="Q54" s="213" t="n">
        <f aca="false">ROUND(INDEX(EB.AZSOLLTag100.Bereich,MATCH(INDEX(EB.Monate.Bereich,MONTH(Monat.Tag1)),EB.Monate.Bereich,0))*Q$11*IF(WEEKDAY(Q$10,2)&gt;5,0,1),9)</f>
        <v>0.175</v>
      </c>
      <c r="R54" s="214" t="n">
        <f aca="false">ROUND(INDEX(EB.AZSOLLTag100.Bereich,MATCH(INDEX(EB.Monate.Bereich,MONTH(Monat.Tag1)),EB.Monate.Bereich,0))*R$11*IF(WEEKDAY(R$10,2)&gt;5,0,1),9)</f>
        <v>0.35</v>
      </c>
      <c r="S54" s="213" t="n">
        <f aca="false">ROUND(INDEX(EB.AZSOLLTag100.Bereich,MATCH(INDEX(EB.Monate.Bereich,MONTH(Monat.Tag1)),EB.Monate.Bereich,0))*S$11*IF(WEEKDAY(S$10,2)&gt;5,0,1),9)</f>
        <v>0.35</v>
      </c>
      <c r="T54" s="213" t="n">
        <f aca="false">ROUND(INDEX(EB.AZSOLLTag100.Bereich,MATCH(INDEX(EB.Monate.Bereich,MONTH(Monat.Tag1)),EB.Monate.Bereich,0))*T$11*IF(WEEKDAY(T$10,2)&gt;5,0,1),9)</f>
        <v>0.35</v>
      </c>
      <c r="U54" s="214" t="n">
        <f aca="false">ROUND(INDEX(EB.AZSOLLTag100.Bereich,MATCH(INDEX(EB.Monate.Bereich,MONTH(Monat.Tag1)),EB.Monate.Bereich,0))*U$11*IF(WEEKDAY(U$10,2)&gt;5,0,1),9)</f>
        <v>0.35</v>
      </c>
      <c r="V54" s="214" t="n">
        <f aca="false">ROUND(INDEX(EB.AZSOLLTag100.Bereich,MATCH(INDEX(EB.Monate.Bereich,MONTH(Monat.Tag1)),EB.Monate.Bereich,0))*V$11*IF(WEEKDAY(V$10,2)&gt;5,0,1),9)</f>
        <v>0</v>
      </c>
      <c r="W54" s="214" t="n">
        <f aca="false">ROUND(INDEX(EB.AZSOLLTag100.Bereich,MATCH(INDEX(EB.Monate.Bereich,MONTH(Monat.Tag1)),EB.Monate.Bereich,0))*W$11*IF(WEEKDAY(W$10,2)&gt;5,0,1),9)</f>
        <v>0</v>
      </c>
      <c r="X54" s="213" t="n">
        <f aca="false">ROUND(INDEX(EB.AZSOLLTag100.Bereich,MATCH(INDEX(EB.Monate.Bereich,MONTH(Monat.Tag1)),EB.Monate.Bereich,0))*X$11*IF(WEEKDAY(X$10,2)&gt;5,0,1),9)</f>
        <v>0.35</v>
      </c>
      <c r="Y54" s="214" t="n">
        <f aca="false">ROUND(INDEX(EB.AZSOLLTag100.Bereich,MATCH(INDEX(EB.Monate.Bereich,MONTH(Monat.Tag1)),EB.Monate.Bereich,0))*Y$11*IF(WEEKDAY(Y$10,2)&gt;5,0,1),9)</f>
        <v>0.35</v>
      </c>
      <c r="Z54" s="215" t="n">
        <f aca="false">ROUND(INDEX(EB.AZSOLLTag100.Bereich,MATCH(INDEX(EB.Monate.Bereich,MONTH(Monat.Tag1)),EB.Monate.Bereich,0))*Z$11*IF(WEEKDAY(Z$10,2)&gt;5,0,1),9)</f>
        <v>0.35</v>
      </c>
      <c r="AA54" s="214" t="n">
        <f aca="false">ROUND(INDEX(EB.AZSOLLTag100.Bereich,MATCH(INDEX(EB.Monate.Bereich,MONTH(Monat.Tag1)),EB.Monate.Bereich,0))*AA$11*IF(WEEKDAY(AA$10,2)&gt;5,0,1),9)</f>
        <v>0.35</v>
      </c>
      <c r="AB54" s="214" t="n">
        <f aca="false">ROUND(INDEX(EB.AZSOLLTag100.Bereich,MATCH(INDEX(EB.Monate.Bereich,MONTH(Monat.Tag1)),EB.Monate.Bereich,0))*AB$11*IF(WEEKDAY(AB$10,2)&gt;5,0,1),9)</f>
        <v>0.35</v>
      </c>
      <c r="AC54" s="214" t="n">
        <f aca="false">ROUND(INDEX(EB.AZSOLLTag100.Bereich,MATCH(INDEX(EB.Monate.Bereich,MONTH(Monat.Tag1)),EB.Monate.Bereich,0))*AC$11*IF(WEEKDAY(AC$10,2)&gt;5,0,1),9)</f>
        <v>0</v>
      </c>
      <c r="AD54" s="214" t="n">
        <f aca="false">ROUND(INDEX(EB.AZSOLLTag100.Bereich,MATCH(INDEX(EB.Monate.Bereich,MONTH(Monat.Tag1)),EB.Monate.Bereich,0))*AD$11*IF(WEEKDAY(AD$10,2)&gt;5,0,1),9)</f>
        <v>0</v>
      </c>
      <c r="AE54" s="213" t="n">
        <f aca="false">ROUND(INDEX(EB.AZSOLLTag100.Bereich,MATCH(INDEX(EB.Monate.Bereich,MONTH(Monat.Tag1)),EB.Monate.Bereich,0))*AE$11*IF(WEEKDAY(AE$10,2)&gt;5,0,1),9)</f>
        <v>0.35</v>
      </c>
      <c r="AF54" s="168" t="str">
        <f aca="false">A54</f>
        <v>Req. hours of work 100%</v>
      </c>
      <c r="AG54" s="184"/>
      <c r="AH54" s="207" t="n">
        <f aca="false">SUM(B54:AE54)</f>
        <v>6.825</v>
      </c>
      <c r="AI54" s="180"/>
      <c r="AJ54" s="172"/>
      <c r="AK54" s="172"/>
      <c r="AL54" s="172"/>
      <c r="AM54" s="171"/>
      <c r="AN54" s="172"/>
      <c r="AO54" s="172"/>
      <c r="AP54" s="39"/>
    </row>
    <row r="55" s="148" customFormat="true" ht="15" hidden="false" customHeight="true" outlineLevel="0" collapsed="false">
      <c r="A55" s="175" t="s">
        <v>143</v>
      </c>
      <c r="B55" s="203" t="n">
        <f aca="false">ROUND(B51-B53,9)</f>
        <v>0</v>
      </c>
      <c r="C55" s="203" t="n">
        <f aca="false">ROUND(C51-C53,9)</f>
        <v>0</v>
      </c>
      <c r="D55" s="203" t="n">
        <f aca="false">ROUND(D51-D53,9)</f>
        <v>-0.016666667</v>
      </c>
      <c r="E55" s="205" t="n">
        <f aca="false">ROUND(E51-E53,9)</f>
        <v>0.025</v>
      </c>
      <c r="F55" s="203" t="n">
        <f aca="false">ROUND(F51-F53,9)</f>
        <v>-0.016666667</v>
      </c>
      <c r="G55" s="203" t="n">
        <f aca="false">ROUND(G51-G53,9)</f>
        <v>0.066666667</v>
      </c>
      <c r="H55" s="203" t="n">
        <f aca="false">ROUND(H51-H53,9)</f>
        <v>0</v>
      </c>
      <c r="I55" s="203" t="n">
        <f aca="false">ROUND(I51-I53,9)</f>
        <v>0</v>
      </c>
      <c r="J55" s="205" t="n">
        <f aca="false">ROUND(J51-J53,9)</f>
        <v>0.025</v>
      </c>
      <c r="K55" s="203" t="n">
        <f aca="false">ROUND(K51-K53,9)</f>
        <v>0.004166667</v>
      </c>
      <c r="L55" s="205" t="n">
        <f aca="false">ROUND(L51-L53,9)</f>
        <v>0.045833333</v>
      </c>
      <c r="M55" s="203" t="n">
        <f aca="false">ROUND(M51-M53,9)</f>
        <v>0.025</v>
      </c>
      <c r="N55" s="203" t="n">
        <f aca="false">ROUND(N51-N53,9)</f>
        <v>0.025</v>
      </c>
      <c r="O55" s="203" t="n">
        <f aca="false">ROUND(O51-O53,9)</f>
        <v>0</v>
      </c>
      <c r="P55" s="203" t="n">
        <f aca="false">ROUND(P51-P53,9)</f>
        <v>0</v>
      </c>
      <c r="Q55" s="205" t="n">
        <f aca="false">ROUND(Q51-Q53,9)</f>
        <v>-0.008333333</v>
      </c>
      <c r="R55" s="203" t="n">
        <f aca="false">ROUND(R51-R53,9)</f>
        <v>0.045833333</v>
      </c>
      <c r="S55" s="205" t="n">
        <f aca="false">ROUND(S51-S53,9)</f>
        <v>0.004166667</v>
      </c>
      <c r="T55" s="205" t="n">
        <f aca="false">ROUND(T51-T53,9)</f>
        <v>0.045833333</v>
      </c>
      <c r="U55" s="203" t="n">
        <f aca="false">ROUND(U51-U53,9)</f>
        <v>-0.35</v>
      </c>
      <c r="V55" s="203" t="n">
        <f aca="false">ROUND(V51-V53,9)</f>
        <v>0</v>
      </c>
      <c r="W55" s="203" t="n">
        <f aca="false">ROUND(W51-W53,9)</f>
        <v>0</v>
      </c>
      <c r="X55" s="205" t="n">
        <f aca="false">ROUND(X51-X53,9)</f>
        <v>-0.35</v>
      </c>
      <c r="Y55" s="203" t="n">
        <f aca="false">ROUND(Y51-Y53,9)</f>
        <v>0.0875</v>
      </c>
      <c r="Z55" s="206" t="n">
        <f aca="false">ROUND(Z51-Z53,9)</f>
        <v>0.066666667</v>
      </c>
      <c r="AA55" s="203" t="n">
        <f aca="false">ROUND(AA51-AA53,9)</f>
        <v>0.025</v>
      </c>
      <c r="AB55" s="203" t="n">
        <f aca="false">ROUND(AB51-AB53,9)</f>
        <v>0.0875</v>
      </c>
      <c r="AC55" s="203" t="n">
        <f aca="false">ROUND(AC51-AC53,9)</f>
        <v>0</v>
      </c>
      <c r="AD55" s="203" t="n">
        <f aca="false">ROUND(AD51-AD53,9)</f>
        <v>0</v>
      </c>
      <c r="AE55" s="205" t="n">
        <f aca="false">ROUND(AE51-AE53,9)</f>
        <v>0.0875</v>
      </c>
      <c r="AF55" s="168" t="str">
        <f aca="false">A55</f>
        <v>+/- required/actual hours daily</v>
      </c>
      <c r="AG55" s="184"/>
      <c r="AH55" s="207" t="n">
        <f aca="false">SUM(B55:AE55)</f>
        <v>-0.075</v>
      </c>
      <c r="AI55" s="180"/>
      <c r="AJ55" s="172"/>
      <c r="AK55" s="216" t="n">
        <f aca="false">IF(EB.Anwendung&lt;&gt;"",IF(MONTH(Monat.Tag1)=1,0,IF(MONTH(Monat.Tag1)=2,January!Monat.Soll_Ist_UeVM,IF(MONTH(Monat.Tag1)=3,February!Monat.Soll_Ist_UeVM,IF(MONTH(Monat.Tag1)=4,March!Monat.Soll_Ist_UeVM,IF(MONTH(Monat.Tag1)=5,Monat.Soll_Ist_UeVM,IF(MONTH(Monat.Tag1)=6,May!Monat.Soll_Ist_UeVM,IF(MONTH(Monat.Tag1)=7,June!Monat.Soll_Ist_UeVM,IF(MONTH(Monat.Tag1)=8,July!Monat.Soll_Ist_UeVM,IF(MONTH(Monat.Tag1)=9,August!Monat.Soll_Ist_UeVM,IF(MONTH(Monat.Tag1)=10,September!Monat.Soll_Ist_UeVM,IF(MONTH(Monat.Tag1)=11,October!Monat.Soll_Ist_UeVM,IF(MONTH(Monat.Tag1)=12,November!Monat.Soll_Ist_UeVM,"")))))))))))),"")</f>
        <v>0</v>
      </c>
      <c r="AL55" s="172"/>
      <c r="AM55" s="217" t="n">
        <f aca="false">IF(AG57="+",(AH55+AH57),(AH55-AH57))</f>
        <v>-0.075</v>
      </c>
      <c r="AN55" s="217" t="n">
        <f aca="true">SUM(OFFSET(J.AZSaldo.Total,-12,0,MONTH(Monat.Tag1),1))</f>
        <v>-0.075</v>
      </c>
      <c r="AO55" s="217" t="n">
        <f aca="false">J.AZSaldo.Total</f>
        <v>-54.918055555</v>
      </c>
      <c r="AP55" s="39"/>
    </row>
    <row r="56" s="148" customFormat="true" ht="15" hidden="false" customHeight="true" outlineLevel="0" collapsed="false">
      <c r="A56" s="175" t="s">
        <v>144</v>
      </c>
      <c r="B56" s="218" t="n">
        <f aca="true">IF(EB.Anwendung&lt;&gt;"",IF(DAY(B$10)=1,IF(MONTH(Monat.Tag1)=1,ROUND(EB.ÜVMMS,9), IF(MONTH(Monat.Tag1)=2,January!Monat.MMS.UeVM,IF(MONTH(Monat.Tag1)=3,February!Monat.MMS.UeVM,IF(MONTH(Monat.Tag1)=4,March!Monat.MMS.UeVM,IF(MONTH(Monat.Tag1)=5,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B$10&gt;TODAY(),0,B55), IF(B$10&gt;TODAY(),A56,A56+B55)),"")</f>
        <v>0</v>
      </c>
      <c r="C56" s="218" t="n">
        <f aca="true">IF(EB.Anwendung&lt;&gt;"",IF(DAY(C$10)=1,IF(MONTH(Monat.Tag1)=1,ROUND(EB.ÜVMMS,9), IF(MONTH(Monat.Tag1)=2,January!Monat.MMS.UeVM,IF(MONTH(Monat.Tag1)=3,February!Monat.MMS.UeVM,IF(MONTH(Monat.Tag1)=4,March!Monat.MMS.UeVM,IF(MONTH(Monat.Tag1)=5,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C$10&gt;TODAY(),0,C55), IF(C$10&gt;TODAY(),B56,B56+C55)),"")</f>
        <v>0</v>
      </c>
      <c r="D56" s="218" t="n">
        <f aca="true">IF(EB.Anwendung&lt;&gt;"",IF(DAY(D$10)=1,IF(MONTH(Monat.Tag1)=1,ROUND(EB.ÜVMMS,9), IF(MONTH(Monat.Tag1)=2,January!Monat.MMS.UeVM,IF(MONTH(Monat.Tag1)=3,February!Monat.MMS.UeVM,IF(MONTH(Monat.Tag1)=4,March!Monat.MMS.UeVM,IF(MONTH(Monat.Tag1)=5,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D$10&gt;TODAY(),0,D55), IF(D$10&gt;TODAY(),C56,C56+D55)),"")</f>
        <v>-0.016666667</v>
      </c>
      <c r="E56" s="218" t="n">
        <f aca="true">IF(EB.Anwendung&lt;&gt;"",IF(DAY(E$10)=1,IF(MONTH(Monat.Tag1)=1,ROUND(EB.ÜVMMS,9), IF(MONTH(Monat.Tag1)=2,January!Monat.MMS.UeVM,IF(MONTH(Monat.Tag1)=3,February!Monat.MMS.UeVM,IF(MONTH(Monat.Tag1)=4,March!Monat.MMS.UeVM,IF(MONTH(Monat.Tag1)=5,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E$10&gt;TODAY(),0,E55), IF(E$10&gt;TODAY(),D56,D56+E55)),"")</f>
        <v>0.008333333</v>
      </c>
      <c r="F56" s="218" t="n">
        <f aca="true">IF(EB.Anwendung&lt;&gt;"",IF(DAY(F$10)=1,IF(MONTH(Monat.Tag1)=1,ROUND(EB.ÜVMMS,9), IF(MONTH(Monat.Tag1)=2,January!Monat.MMS.UeVM,IF(MONTH(Monat.Tag1)=3,February!Monat.MMS.UeVM,IF(MONTH(Monat.Tag1)=4,March!Monat.MMS.UeVM,IF(MONTH(Monat.Tag1)=5,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F$10&gt;TODAY(),0,F55), IF(F$10&gt;TODAY(),E56,E56+F55)),"")</f>
        <v>-0.008333334</v>
      </c>
      <c r="G56" s="218" t="n">
        <f aca="true">IF(EB.Anwendung&lt;&gt;"",IF(DAY(G$10)=1,IF(MONTH(Monat.Tag1)=1,ROUND(EB.ÜVMMS,9), IF(MONTH(Monat.Tag1)=2,January!Monat.MMS.UeVM,IF(MONTH(Monat.Tag1)=3,February!Monat.MMS.UeVM,IF(MONTH(Monat.Tag1)=4,March!Monat.MMS.UeVM,IF(MONTH(Monat.Tag1)=5,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G$10&gt;TODAY(),0,G55), IF(G$10&gt;TODAY(),F56,F56+G55)),"")</f>
        <v>0.058333333</v>
      </c>
      <c r="H56" s="218" t="n">
        <f aca="true">IF(EB.Anwendung&lt;&gt;"",IF(DAY(H$10)=1,IF(MONTH(Monat.Tag1)=1,ROUND(EB.ÜVMMS,9), IF(MONTH(Monat.Tag1)=2,January!Monat.MMS.UeVM,IF(MONTH(Monat.Tag1)=3,February!Monat.MMS.UeVM,IF(MONTH(Monat.Tag1)=4,March!Monat.MMS.UeVM,IF(MONTH(Monat.Tag1)=5,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H$10&gt;TODAY(),0,H55), IF(H$10&gt;TODAY(),G56,G56+H55)),"")</f>
        <v>0.058333333</v>
      </c>
      <c r="I56" s="218" t="n">
        <f aca="true">IF(EB.Anwendung&lt;&gt;"",IF(DAY(I$10)=1,IF(MONTH(Monat.Tag1)=1,ROUND(EB.ÜVMMS,9), IF(MONTH(Monat.Tag1)=2,January!Monat.MMS.UeVM,IF(MONTH(Monat.Tag1)=3,February!Monat.MMS.UeVM,IF(MONTH(Monat.Tag1)=4,March!Monat.MMS.UeVM,IF(MONTH(Monat.Tag1)=5,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I$10&gt;TODAY(),0,I55), IF(I$10&gt;TODAY(),H56,H56+I55)),"")</f>
        <v>0.058333333</v>
      </c>
      <c r="J56" s="218" t="n">
        <f aca="true">IF(EB.Anwendung&lt;&gt;"",IF(DAY(J$10)=1,IF(MONTH(Monat.Tag1)=1,ROUND(EB.ÜVMMS,9), IF(MONTH(Monat.Tag1)=2,January!Monat.MMS.UeVM,IF(MONTH(Monat.Tag1)=3,February!Monat.MMS.UeVM,IF(MONTH(Monat.Tag1)=4,March!Monat.MMS.UeVM,IF(MONTH(Monat.Tag1)=5,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J$10&gt;TODAY(),0,J55), IF(J$10&gt;TODAY(),I56,I56+J55)),"")</f>
        <v>0.083333333</v>
      </c>
      <c r="K56" s="218" t="n">
        <f aca="true">IF(EB.Anwendung&lt;&gt;"",IF(DAY(K$10)=1,IF(MONTH(Monat.Tag1)=1,ROUND(EB.ÜVMMS,9), IF(MONTH(Monat.Tag1)=2,January!Monat.MMS.UeVM,IF(MONTH(Monat.Tag1)=3,February!Monat.MMS.UeVM,IF(MONTH(Monat.Tag1)=4,March!Monat.MMS.UeVM,IF(MONTH(Monat.Tag1)=5,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K$10&gt;TODAY(),0,K55), IF(K$10&gt;TODAY(),J56,J56+K55)),"")</f>
        <v>0.0875</v>
      </c>
      <c r="L56" s="218" t="n">
        <f aca="true">IF(EB.Anwendung&lt;&gt;"",IF(DAY(L$10)=1,IF(MONTH(Monat.Tag1)=1,ROUND(EB.ÜVMMS,9), IF(MONTH(Monat.Tag1)=2,January!Monat.MMS.UeVM,IF(MONTH(Monat.Tag1)=3,February!Monat.MMS.UeVM,IF(MONTH(Monat.Tag1)=4,March!Monat.MMS.UeVM,IF(MONTH(Monat.Tag1)=5,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L$10&gt;TODAY(),0,L55), IF(L$10&gt;TODAY(),K56,K56+L55)),"")</f>
        <v>0.133333333</v>
      </c>
      <c r="M56" s="218" t="n">
        <f aca="true">IF(EB.Anwendung&lt;&gt;"",IF(DAY(M$10)=1,IF(MONTH(Monat.Tag1)=1,ROUND(EB.ÜVMMS,9), IF(MONTH(Monat.Tag1)=2,January!Monat.MMS.UeVM,IF(MONTH(Monat.Tag1)=3,February!Monat.MMS.UeVM,IF(MONTH(Monat.Tag1)=4,March!Monat.MMS.UeVM,IF(MONTH(Monat.Tag1)=5,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M$10&gt;TODAY(),0,M55), IF(M$10&gt;TODAY(),L56,L56+M55)),"")</f>
        <v>0.158333333</v>
      </c>
      <c r="N56" s="218" t="n">
        <f aca="true">IF(EB.Anwendung&lt;&gt;"",IF(DAY(N$10)=1,IF(MONTH(Monat.Tag1)=1,ROUND(EB.ÜVMMS,9), IF(MONTH(Monat.Tag1)=2,January!Monat.MMS.UeVM,IF(MONTH(Monat.Tag1)=3,February!Monat.MMS.UeVM,IF(MONTH(Monat.Tag1)=4,March!Monat.MMS.UeVM,IF(MONTH(Monat.Tag1)=5,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N$10&gt;TODAY(),0,N55), IF(N$10&gt;TODAY(),M56,M56+N55)),"")</f>
        <v>0.183333333</v>
      </c>
      <c r="O56" s="218" t="n">
        <f aca="true">IF(EB.Anwendung&lt;&gt;"",IF(DAY(O$10)=1,IF(MONTH(Monat.Tag1)=1,ROUND(EB.ÜVMMS,9), IF(MONTH(Monat.Tag1)=2,January!Monat.MMS.UeVM,IF(MONTH(Monat.Tag1)=3,February!Monat.MMS.UeVM,IF(MONTH(Monat.Tag1)=4,March!Monat.MMS.UeVM,IF(MONTH(Monat.Tag1)=5,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O$10&gt;TODAY(),0,O55), IF(O$10&gt;TODAY(),N56,N56+O55)),"")</f>
        <v>0.183333333</v>
      </c>
      <c r="P56" s="218" t="n">
        <f aca="true">IF(EB.Anwendung&lt;&gt;"",IF(DAY(P$10)=1,IF(MONTH(Monat.Tag1)=1,ROUND(EB.ÜVMMS,9), IF(MONTH(Monat.Tag1)=2,January!Monat.MMS.UeVM,IF(MONTH(Monat.Tag1)=3,February!Monat.MMS.UeVM,IF(MONTH(Monat.Tag1)=4,March!Monat.MMS.UeVM,IF(MONTH(Monat.Tag1)=5,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P$10&gt;TODAY(),0,P55), IF(P$10&gt;TODAY(),O56,O56+P55)),"")</f>
        <v>0.183333333</v>
      </c>
      <c r="Q56" s="218" t="n">
        <f aca="true">IF(EB.Anwendung&lt;&gt;"",IF(DAY(Q$10)=1,IF(MONTH(Monat.Tag1)=1,ROUND(EB.ÜVMMS,9), IF(MONTH(Monat.Tag1)=2,January!Monat.MMS.UeVM,IF(MONTH(Monat.Tag1)=3,February!Monat.MMS.UeVM,IF(MONTH(Monat.Tag1)=4,March!Monat.MMS.UeVM,IF(MONTH(Monat.Tag1)=5,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Q$10&gt;TODAY(),0,Q55), IF(Q$10&gt;TODAY(),P56,P56+Q55)),"")</f>
        <v>0.175</v>
      </c>
      <c r="R56" s="218" t="n">
        <f aca="true">IF(EB.Anwendung&lt;&gt;"",IF(DAY(R$10)=1,IF(MONTH(Monat.Tag1)=1,ROUND(EB.ÜVMMS,9), IF(MONTH(Monat.Tag1)=2,January!Monat.MMS.UeVM,IF(MONTH(Monat.Tag1)=3,February!Monat.MMS.UeVM,IF(MONTH(Monat.Tag1)=4,March!Monat.MMS.UeVM,IF(MONTH(Monat.Tag1)=5,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R$10&gt;TODAY(),0,R55), IF(R$10&gt;TODAY(),Q56,Q56+R55)),"")</f>
        <v>0.220833333</v>
      </c>
      <c r="S56" s="218" t="n">
        <f aca="true">IF(EB.Anwendung&lt;&gt;"",IF(DAY(S$10)=1,IF(MONTH(Monat.Tag1)=1,ROUND(EB.ÜVMMS,9), IF(MONTH(Monat.Tag1)=2,January!Monat.MMS.UeVM,IF(MONTH(Monat.Tag1)=3,February!Monat.MMS.UeVM,IF(MONTH(Monat.Tag1)=4,March!Monat.MMS.UeVM,IF(MONTH(Monat.Tag1)=5,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S$10&gt;TODAY(),0,S55), IF(S$10&gt;TODAY(),R56,R56+S55)),"")</f>
        <v>0.225</v>
      </c>
      <c r="T56" s="218" t="n">
        <f aca="true">IF(EB.Anwendung&lt;&gt;"",IF(DAY(T$10)=1,IF(MONTH(Monat.Tag1)=1,ROUND(EB.ÜVMMS,9), IF(MONTH(Monat.Tag1)=2,January!Monat.MMS.UeVM,IF(MONTH(Monat.Tag1)=3,February!Monat.MMS.UeVM,IF(MONTH(Monat.Tag1)=4,March!Monat.MMS.UeVM,IF(MONTH(Monat.Tag1)=5,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T$10&gt;TODAY(),0,T55), IF(T$10&gt;TODAY(),S56,S56+T55)),"")</f>
        <v>0.270833333</v>
      </c>
      <c r="U56" s="218" t="n">
        <f aca="true">IF(EB.Anwendung&lt;&gt;"",IF(DAY(U$10)=1,IF(MONTH(Monat.Tag1)=1,ROUND(EB.ÜVMMS,9), IF(MONTH(Monat.Tag1)=2,January!Monat.MMS.UeVM,IF(MONTH(Monat.Tag1)=3,February!Monat.MMS.UeVM,IF(MONTH(Monat.Tag1)=4,March!Monat.MMS.UeVM,IF(MONTH(Monat.Tag1)=5,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U$10&gt;TODAY(),0,U55), IF(U$10&gt;TODAY(),T56,T56+U55)),"")</f>
        <v>-0.079166667</v>
      </c>
      <c r="V56" s="218" t="n">
        <f aca="true">IF(EB.Anwendung&lt;&gt;"",IF(DAY(V$10)=1,IF(MONTH(Monat.Tag1)=1,ROUND(EB.ÜVMMS,9), IF(MONTH(Monat.Tag1)=2,January!Monat.MMS.UeVM,IF(MONTH(Monat.Tag1)=3,February!Monat.MMS.UeVM,IF(MONTH(Monat.Tag1)=4,March!Monat.MMS.UeVM,IF(MONTH(Monat.Tag1)=5,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V$10&gt;TODAY(),0,V55), IF(V$10&gt;TODAY(),U56,U56+V55)),"")</f>
        <v>-0.079166667</v>
      </c>
      <c r="W56" s="218" t="n">
        <f aca="true">IF(EB.Anwendung&lt;&gt;"",IF(DAY(W$10)=1,IF(MONTH(Monat.Tag1)=1,ROUND(EB.ÜVMMS,9), IF(MONTH(Monat.Tag1)=2,January!Monat.MMS.UeVM,IF(MONTH(Monat.Tag1)=3,February!Monat.MMS.UeVM,IF(MONTH(Monat.Tag1)=4,March!Monat.MMS.UeVM,IF(MONTH(Monat.Tag1)=5,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W$10&gt;TODAY(),0,W55), IF(W$10&gt;TODAY(),V56,V56+W55)),"")</f>
        <v>-0.079166667</v>
      </c>
      <c r="X56" s="218" t="n">
        <f aca="true">IF(EB.Anwendung&lt;&gt;"",IF(DAY(X$10)=1,IF(MONTH(Monat.Tag1)=1,ROUND(EB.ÜVMMS,9), IF(MONTH(Monat.Tag1)=2,January!Monat.MMS.UeVM,IF(MONTH(Monat.Tag1)=3,February!Monat.MMS.UeVM,IF(MONTH(Monat.Tag1)=4,March!Monat.MMS.UeVM,IF(MONTH(Monat.Tag1)=5,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X$10&gt;TODAY(),0,X55), IF(X$10&gt;TODAY(),W56,W56+X55)),"")</f>
        <v>-0.429166667</v>
      </c>
      <c r="Y56" s="218" t="n">
        <f aca="true">IF(EB.Anwendung&lt;&gt;"",IF(DAY(Y$10)=1,IF(MONTH(Monat.Tag1)=1,ROUND(EB.ÜVMMS,9), IF(MONTH(Monat.Tag1)=2,January!Monat.MMS.UeVM,IF(MONTH(Monat.Tag1)=3,February!Monat.MMS.UeVM,IF(MONTH(Monat.Tag1)=4,March!Monat.MMS.UeVM,IF(MONTH(Monat.Tag1)=5,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Y$10&gt;TODAY(),0,Y55), IF(Y$10&gt;TODAY(),X56,X56+Y55)),"")</f>
        <v>-0.341666667</v>
      </c>
      <c r="Z56" s="218" t="n">
        <f aca="true">IF(EB.Anwendung&lt;&gt;"",IF(DAY(Z$10)=1,IF(MONTH(Monat.Tag1)=1,ROUND(EB.ÜVMMS,9), IF(MONTH(Monat.Tag1)=2,January!Monat.MMS.UeVM,IF(MONTH(Monat.Tag1)=3,February!Monat.MMS.UeVM,IF(MONTH(Monat.Tag1)=4,March!Monat.MMS.UeVM,IF(MONTH(Monat.Tag1)=5,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Z$10&gt;TODAY(),0,Z55), IF(Z$10&gt;TODAY(),Y56,Y56+Z55)),"")</f>
        <v>-0.275</v>
      </c>
      <c r="AA56" s="218" t="n">
        <f aca="true">IF(EB.Anwendung&lt;&gt;"",IF(DAY(AA$10)=1,IF(MONTH(Monat.Tag1)=1,ROUND(EB.ÜVMMS,9), IF(MONTH(Monat.Tag1)=2,January!Monat.MMS.UeVM,IF(MONTH(Monat.Tag1)=3,February!Monat.MMS.UeVM,IF(MONTH(Monat.Tag1)=4,March!Monat.MMS.UeVM,IF(MONTH(Monat.Tag1)=5,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AA$10&gt;TODAY(),0,AA55), IF(AA$10&gt;TODAY(),Z56,Z56+AA55)),"")</f>
        <v>-0.25</v>
      </c>
      <c r="AB56" s="218" t="n">
        <f aca="true">IF(EB.Anwendung&lt;&gt;"",IF(DAY(AB$10)=1,IF(MONTH(Monat.Tag1)=1,ROUND(EB.ÜVMMS,9), IF(MONTH(Monat.Tag1)=2,January!Monat.MMS.UeVM,IF(MONTH(Monat.Tag1)=3,February!Monat.MMS.UeVM,IF(MONTH(Monat.Tag1)=4,March!Monat.MMS.UeVM,IF(MONTH(Monat.Tag1)=5,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AB$10&gt;TODAY(),0,AB55), IF(AB$10&gt;TODAY(),AA56,AA56+AB55)),"")</f>
        <v>-0.1625</v>
      </c>
      <c r="AC56" s="218" t="n">
        <f aca="true">IF(EB.Anwendung&lt;&gt;"",IF(DAY(AC$10)=1,IF(MONTH(Monat.Tag1)=1,ROUND(EB.ÜVMMS,9), IF(MONTH(Monat.Tag1)=2,January!Monat.MMS.UeVM,IF(MONTH(Monat.Tag1)=3,February!Monat.MMS.UeVM,IF(MONTH(Monat.Tag1)=4,March!Monat.MMS.UeVM,IF(MONTH(Monat.Tag1)=5,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AC$10&gt;TODAY(),0,AC55), IF(AC$10&gt;TODAY(),AB56,AB56+AC55)),"")</f>
        <v>-0.1625</v>
      </c>
      <c r="AD56" s="218" t="n">
        <f aca="true">IF(EB.Anwendung&lt;&gt;"",IF(DAY(AD$10)=1,IF(MONTH(Monat.Tag1)=1,ROUND(EB.ÜVMMS,9), IF(MONTH(Monat.Tag1)=2,January!Monat.MMS.UeVM,IF(MONTH(Monat.Tag1)=3,February!Monat.MMS.UeVM,IF(MONTH(Monat.Tag1)=4,March!Monat.MMS.UeVM,IF(MONTH(Monat.Tag1)=5,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AD$10&gt;TODAY(),0,AD55), IF(AD$10&gt;TODAY(),AC56,AC56+AD55)),"")</f>
        <v>-0.1625</v>
      </c>
      <c r="AE56" s="218" t="n">
        <f aca="true">IF(EB.Anwendung&lt;&gt;"",IF(DAY(AE$10)=1,IF(MONTH(Monat.Tag1)=1,ROUND(EB.ÜVMMS,9), IF(MONTH(Monat.Tag1)=2,January!Monat.MMS.UeVM,IF(MONTH(Monat.Tag1)=3,February!Monat.MMS.UeVM,IF(MONTH(Monat.Tag1)=4,March!Monat.MMS.UeVM,IF(MONTH(Monat.Tag1)=5,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AE$10&gt;TODAY(),0,AE55), IF(AE$10&gt;TODAY(),AD56,AD56+AE55)),"")</f>
        <v>-0.0749999999999999</v>
      </c>
      <c r="AF56" s="168" t="str">
        <f aca="false">A56</f>
        <v>current extra/minus hours</v>
      </c>
      <c r="AG56" s="184"/>
      <c r="AH56" s="207" t="n">
        <f aca="true">OFFSET(B56,0,DAY(EOMONTH(Monat.Tag1,0))-1,1,1)</f>
        <v>-0.0749999999999999</v>
      </c>
      <c r="AI56" s="180"/>
      <c r="AJ56" s="172"/>
      <c r="AK56" s="172"/>
      <c r="AL56" s="172"/>
      <c r="AM56" s="171"/>
      <c r="AN56" s="172"/>
      <c r="AO56" s="172"/>
      <c r="AP56" s="39"/>
    </row>
    <row r="57" s="231" customFormat="true" ht="15" hidden="false" customHeight="true" outlineLevel="1" collapsed="false">
      <c r="A57" s="219"/>
      <c r="B57" s="220"/>
      <c r="C57" s="220"/>
      <c r="D57" s="220"/>
      <c r="E57" s="152"/>
      <c r="F57" s="220"/>
      <c r="G57" s="220"/>
      <c r="H57" s="221"/>
      <c r="I57" s="220"/>
      <c r="J57" s="222"/>
      <c r="K57" s="220"/>
      <c r="L57" s="223"/>
      <c r="M57" s="220"/>
      <c r="N57" s="220"/>
      <c r="O57" s="221"/>
      <c r="P57" s="220"/>
      <c r="Q57" s="152"/>
      <c r="R57" s="220"/>
      <c r="S57" s="223"/>
      <c r="T57" s="220"/>
      <c r="U57" s="220"/>
      <c r="V57" s="221"/>
      <c r="W57" s="220"/>
      <c r="X57" s="224"/>
      <c r="Y57" s="220"/>
      <c r="Z57" s="152"/>
      <c r="AA57" s="220"/>
      <c r="AB57" s="220"/>
      <c r="AC57" s="221"/>
      <c r="AD57" s="220"/>
      <c r="AE57" s="152"/>
      <c r="AF57" s="175" t="s">
        <v>145</v>
      </c>
      <c r="AG57" s="226" t="s">
        <v>146</v>
      </c>
      <c r="AH57" s="227"/>
      <c r="AI57" s="228"/>
      <c r="AJ57" s="229"/>
      <c r="AK57" s="172"/>
      <c r="AL57" s="172"/>
      <c r="AM57" s="171"/>
      <c r="AN57" s="230"/>
      <c r="AO57" s="230"/>
      <c r="AP57" s="96"/>
    </row>
    <row r="58" s="236" customFormat="true" ht="15" hidden="false" customHeight="true" outlineLevel="0" collapsed="false">
      <c r="A58" s="232"/>
      <c r="B58" s="223"/>
      <c r="C58" s="223"/>
      <c r="D58" s="223"/>
      <c r="E58" s="152"/>
      <c r="F58" s="223"/>
      <c r="G58" s="223"/>
      <c r="H58" s="223"/>
      <c r="I58" s="223"/>
      <c r="J58" s="152"/>
      <c r="K58" s="223"/>
      <c r="L58" s="223"/>
      <c r="M58" s="223"/>
      <c r="N58" s="223"/>
      <c r="O58" s="223"/>
      <c r="P58" s="223"/>
      <c r="Q58" s="152"/>
      <c r="R58" s="223"/>
      <c r="S58" s="223"/>
      <c r="T58" s="223"/>
      <c r="U58" s="223"/>
      <c r="V58" s="223"/>
      <c r="W58" s="223"/>
      <c r="X58" s="224"/>
      <c r="Y58" s="223"/>
      <c r="Z58" s="152"/>
      <c r="AA58" s="223"/>
      <c r="AB58" s="223"/>
      <c r="AC58" s="223"/>
      <c r="AD58" s="223"/>
      <c r="AE58" s="152"/>
      <c r="AF58" s="234" t="s">
        <v>147</v>
      </c>
      <c r="AG58" s="184"/>
      <c r="AH58" s="207" t="n">
        <f aca="false">IF(AG57="+",(Monat.ZUeZ.Total+AH57),(Monat.ZUeZ.Total-AH57))</f>
        <v>-0.0749999999999999</v>
      </c>
      <c r="AI58" s="33"/>
      <c r="AJ58" s="235"/>
      <c r="AK58" s="216" t="n">
        <f aca="false">IF(EB.Anwendung&lt;&gt;"",IF(MONTH(Monat.Tag1)=1,EB.MMS,IF(MONTH(Monat.Tag1)=2,January!Monat.MMS.UeVM,IF(MONTH(Monat.Tag1)=3,February!Monat.MMS.UeVM,IF(MONTH(Monat.Tag1)=4,March!Monat.MMS.UeVM,IF(MONTH(Monat.Tag1)=5,Monat.MMS.UeVM,IF(MONTH(Monat.Tag1)=6,May!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,"")</f>
        <v>0</v>
      </c>
      <c r="AL58" s="172"/>
      <c r="AM58" s="217" t="n">
        <f aca="false">AH58</f>
        <v>-0.0749999999999999</v>
      </c>
      <c r="AN58" s="172"/>
      <c r="AO58" s="172"/>
      <c r="AP58" s="51"/>
    </row>
    <row r="59" s="148" customFormat="true" ht="11.25" hidden="false" customHeight="true" outlineLevel="0" collapsed="false">
      <c r="A59" s="186"/>
      <c r="B59" s="187"/>
      <c r="C59" s="187"/>
      <c r="D59" s="187"/>
      <c r="E59" s="187"/>
      <c r="F59" s="187"/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  <c r="U59" s="187"/>
      <c r="V59" s="187"/>
      <c r="W59" s="187"/>
      <c r="X59" s="187"/>
      <c r="Y59" s="187"/>
      <c r="Z59" s="187"/>
      <c r="AA59" s="187"/>
      <c r="AB59" s="187"/>
      <c r="AC59" s="187"/>
      <c r="AD59" s="187"/>
      <c r="AE59" s="187"/>
      <c r="AF59" s="168"/>
      <c r="AG59" s="146"/>
      <c r="AH59" s="179"/>
      <c r="AI59" s="180"/>
      <c r="AJ59" s="172"/>
      <c r="AK59" s="172"/>
      <c r="AL59" s="172"/>
      <c r="AM59" s="171"/>
      <c r="AN59" s="172"/>
      <c r="AO59" s="172"/>
      <c r="AP59" s="39"/>
    </row>
    <row r="60" s="148" customFormat="true" ht="15" hidden="false" customHeight="true" outlineLevel="0" collapsed="false">
      <c r="A60" s="175" t="s">
        <v>148</v>
      </c>
      <c r="B60" s="237" t="str">
        <f aca="true">IF(EB.Wochenarbeitszeit=50/24,IF(T.50_Vetsuisse,IF(WEEKDAY(B$10,2)=7,MAX(0,SUM(OFFSET(B51,0,-MIN(6,DAY(B$10)-1),1,MIN(7,DAY(B$10))))+IF(AND(MONTH(Monat.Tag1)&lt;&gt;1,DAY(B$10)&lt;7), IF(MONTH(Monat.Tag1)=2,January!Monat.AZIstWRestUeVM,IF(MONTH(Monat.Tag1)=3,February!Monat.AZIstWRestUeVM,IF(MONTH(Monat.Tag1)=4,March!Monat.AZIstWRestUeVM,IF(MONTH(Monat.Tag1)=5,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-1/24*50),""),""),IF(B45=0,"",B45))</f>
        <v/>
      </c>
      <c r="C60" s="237" t="str">
        <f aca="true">IF(EB.Wochenarbeitszeit=50/24,IF(T.50_Vetsuisse,IF(WEEKDAY(C$10,2)=7,MAX(0,SUM(OFFSET(C51,0,-MIN(6,DAY(C$10)-1),1,MIN(7,DAY(C$10))))+IF(AND(MONTH(Monat.Tag1)&lt;&gt;1,DAY(C$10)&lt;7), IF(MONTH(Monat.Tag1)=2,January!Monat.AZIstWRestUeVM,IF(MONTH(Monat.Tag1)=3,February!Monat.AZIstWRestUeVM,IF(MONTH(Monat.Tag1)=4,March!Monat.AZIstWRestUeVM,IF(MONTH(Monat.Tag1)=5,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-1/24*50),""),""),IF(C45=0,"",C45))</f>
        <v/>
      </c>
      <c r="D60" s="237" t="str">
        <f aca="true">IF(EB.Wochenarbeitszeit=50/24,IF(T.50_Vetsuisse,IF(WEEKDAY(D$10,2)=7,MAX(0,SUM(OFFSET(D51,0,-MIN(6,DAY(D$10)-1),1,MIN(7,DAY(D$10))))+IF(AND(MONTH(Monat.Tag1)&lt;&gt;1,DAY(D$10)&lt;7), IF(MONTH(Monat.Tag1)=2,January!Monat.AZIstWRestUeVM,IF(MONTH(Monat.Tag1)=3,February!Monat.AZIstWRestUeVM,IF(MONTH(Monat.Tag1)=4,March!Monat.AZIstWRestUeVM,IF(MONTH(Monat.Tag1)=5,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-1/24*50),""),""),IF(D45=0,"",D45))</f>
        <v/>
      </c>
      <c r="E60" s="238" t="str">
        <f aca="true">IF(EB.Wochenarbeitszeit=50/24,IF(T.50_Vetsuisse,IF(WEEKDAY(E$10,2)=7,MAX(0,SUM(OFFSET(E51,0,-MIN(6,DAY(E$10)-1),1,MIN(7,DAY(E$10))))+IF(AND(MONTH(Monat.Tag1)&lt;&gt;1,DAY(E$10)&lt;7), IF(MONTH(Monat.Tag1)=2,January!Monat.AZIstWRestUeVM,IF(MONTH(Monat.Tag1)=3,February!Monat.AZIstWRestUeVM,IF(MONTH(Monat.Tag1)=4,March!Monat.AZIstWRestUeVM,IF(MONTH(Monat.Tag1)=5,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-1/24*50),""),""),IF(E45=0,"",E45))</f>
        <v/>
      </c>
      <c r="F60" s="237" t="str">
        <f aca="true">IF(EB.Wochenarbeitszeit=50/24,IF(T.50_Vetsuisse,IF(WEEKDAY(F$10,2)=7,MAX(0,SUM(OFFSET(F51,0,-MIN(6,DAY(F$10)-1),1,MIN(7,DAY(F$10))))+IF(AND(MONTH(Monat.Tag1)&lt;&gt;1,DAY(F$10)&lt;7), IF(MONTH(Monat.Tag1)=2,January!Monat.AZIstWRestUeVM,IF(MONTH(Monat.Tag1)=3,February!Monat.AZIstWRestUeVM,IF(MONTH(Monat.Tag1)=4,March!Monat.AZIstWRestUeVM,IF(MONTH(Monat.Tag1)=5,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-1/24*50),""),""),IF(F45=0,"",F45))</f>
        <v/>
      </c>
      <c r="G60" s="237" t="str">
        <f aca="true">IF(EB.Wochenarbeitszeit=50/24,IF(T.50_Vetsuisse,IF(WEEKDAY(G$10,2)=7,MAX(0,SUM(OFFSET(G51,0,-MIN(6,DAY(G$10)-1),1,MIN(7,DAY(G$10))))+IF(AND(MONTH(Monat.Tag1)&lt;&gt;1,DAY(G$10)&lt;7), IF(MONTH(Monat.Tag1)=2,January!Monat.AZIstWRestUeVM,IF(MONTH(Monat.Tag1)=3,February!Monat.AZIstWRestUeVM,IF(MONTH(Monat.Tag1)=4,March!Monat.AZIstWRestUeVM,IF(MONTH(Monat.Tag1)=5,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-1/24*50),""),""),IF(G45=0,"",G45))</f>
        <v/>
      </c>
      <c r="H60" s="237" t="str">
        <f aca="true">IF(EB.Wochenarbeitszeit=50/24,IF(T.50_Vetsuisse,IF(WEEKDAY(H$10,2)=7,MAX(0,SUM(OFFSET(H51,0,-MIN(6,DAY(H$10)-1),1,MIN(7,DAY(H$10))))+IF(AND(MONTH(Monat.Tag1)&lt;&gt;1,DAY(H$10)&lt;7), IF(MONTH(Monat.Tag1)=2,January!Monat.AZIstWRestUeVM,IF(MONTH(Monat.Tag1)=3,February!Monat.AZIstWRestUeVM,IF(MONTH(Monat.Tag1)=4,March!Monat.AZIstWRestUeVM,IF(MONTH(Monat.Tag1)=5,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-1/24*50),""),""),IF(H45=0,"",H45))</f>
        <v/>
      </c>
      <c r="I60" s="237" t="str">
        <f aca="true">IF(EB.Wochenarbeitszeit=50/24,IF(T.50_Vetsuisse,IF(WEEKDAY(I$10,2)=7,MAX(0,SUM(OFFSET(I51,0,-MIN(6,DAY(I$10)-1),1,MIN(7,DAY(I$10))))+IF(AND(MONTH(Monat.Tag1)&lt;&gt;1,DAY(I$10)&lt;7), IF(MONTH(Monat.Tag1)=2,January!Monat.AZIstWRestUeVM,IF(MONTH(Monat.Tag1)=3,February!Monat.AZIstWRestUeVM,IF(MONTH(Monat.Tag1)=4,March!Monat.AZIstWRestUeVM,IF(MONTH(Monat.Tag1)=5,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-1/24*50),""),""),IF(I45=0,"",I45))</f>
        <v/>
      </c>
      <c r="J60" s="238" t="str">
        <f aca="true">IF(EB.Wochenarbeitszeit=50/24,IF(T.50_Vetsuisse,IF(WEEKDAY(J$10,2)=7,MAX(0,SUM(OFFSET(J51,0,-MIN(6,DAY(J$10)-1),1,MIN(7,DAY(J$10))))+IF(AND(MONTH(Monat.Tag1)&lt;&gt;1,DAY(J$10)&lt;7), IF(MONTH(Monat.Tag1)=2,January!Monat.AZIstWRestUeVM,IF(MONTH(Monat.Tag1)=3,February!Monat.AZIstWRestUeVM,IF(MONTH(Monat.Tag1)=4,March!Monat.AZIstWRestUeVM,IF(MONTH(Monat.Tag1)=5,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-1/24*50),""),""),IF(J45=0,"",J45))</f>
        <v/>
      </c>
      <c r="K60" s="237" t="str">
        <f aca="true">IF(EB.Wochenarbeitszeit=50/24,IF(T.50_Vetsuisse,IF(WEEKDAY(K$10,2)=7,MAX(0,SUM(OFFSET(K51,0,-MIN(6,DAY(K$10)-1),1,MIN(7,DAY(K$10))))+IF(AND(MONTH(Monat.Tag1)&lt;&gt;1,DAY(K$10)&lt;7), IF(MONTH(Monat.Tag1)=2,January!Monat.AZIstWRestUeVM,IF(MONTH(Monat.Tag1)=3,February!Monat.AZIstWRestUeVM,IF(MONTH(Monat.Tag1)=4,March!Monat.AZIstWRestUeVM,IF(MONTH(Monat.Tag1)=5,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-1/24*50),""),""),IF(K45=0,"",K45))</f>
        <v/>
      </c>
      <c r="L60" s="238" t="str">
        <f aca="true">IF(EB.Wochenarbeitszeit=50/24,IF(T.50_Vetsuisse,IF(WEEKDAY(L$10,2)=7,MAX(0,SUM(OFFSET(L51,0,-MIN(6,DAY(L$10)-1),1,MIN(7,DAY(L$10))))+IF(AND(MONTH(Monat.Tag1)&lt;&gt;1,DAY(L$10)&lt;7), IF(MONTH(Monat.Tag1)=2,January!Monat.AZIstWRestUeVM,IF(MONTH(Monat.Tag1)=3,February!Monat.AZIstWRestUeVM,IF(MONTH(Monat.Tag1)=4,March!Monat.AZIstWRestUeVM,IF(MONTH(Monat.Tag1)=5,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-1/24*50),""),""),IF(L45=0,"",L45))</f>
        <v/>
      </c>
      <c r="M60" s="237" t="str">
        <f aca="true">IF(EB.Wochenarbeitszeit=50/24,IF(T.50_Vetsuisse,IF(WEEKDAY(M$10,2)=7,MAX(0,SUM(OFFSET(M51,0,-MIN(6,DAY(M$10)-1),1,MIN(7,DAY(M$10))))+IF(AND(MONTH(Monat.Tag1)&lt;&gt;1,DAY(M$10)&lt;7), IF(MONTH(Monat.Tag1)=2,January!Monat.AZIstWRestUeVM,IF(MONTH(Monat.Tag1)=3,February!Monat.AZIstWRestUeVM,IF(MONTH(Monat.Tag1)=4,March!Monat.AZIstWRestUeVM,IF(MONTH(Monat.Tag1)=5,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-1/24*50),""),""),IF(M45=0,"",M45))</f>
        <v/>
      </c>
      <c r="N60" s="237" t="str">
        <f aca="true">IF(EB.Wochenarbeitszeit=50/24,IF(T.50_Vetsuisse,IF(WEEKDAY(N$10,2)=7,MAX(0,SUM(OFFSET(N51,0,-MIN(6,DAY(N$10)-1),1,MIN(7,DAY(N$10))))+IF(AND(MONTH(Monat.Tag1)&lt;&gt;1,DAY(N$10)&lt;7), IF(MONTH(Monat.Tag1)=2,January!Monat.AZIstWRestUeVM,IF(MONTH(Monat.Tag1)=3,February!Monat.AZIstWRestUeVM,IF(MONTH(Monat.Tag1)=4,March!Monat.AZIstWRestUeVM,IF(MONTH(Monat.Tag1)=5,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-1/24*50),""),""),IF(N45=0,"",N45))</f>
        <v/>
      </c>
      <c r="O60" s="237" t="str">
        <f aca="true">IF(EB.Wochenarbeitszeit=50/24,IF(T.50_Vetsuisse,IF(WEEKDAY(O$10,2)=7,MAX(0,SUM(OFFSET(O51,0,-MIN(6,DAY(O$10)-1),1,MIN(7,DAY(O$10))))+IF(AND(MONTH(Monat.Tag1)&lt;&gt;1,DAY(O$10)&lt;7), IF(MONTH(Monat.Tag1)=2,January!Monat.AZIstWRestUeVM,IF(MONTH(Monat.Tag1)=3,February!Monat.AZIstWRestUeVM,IF(MONTH(Monat.Tag1)=4,March!Monat.AZIstWRestUeVM,IF(MONTH(Monat.Tag1)=5,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-1/24*50),""),""),IF(O45=0,"",O45))</f>
        <v/>
      </c>
      <c r="P60" s="237" t="str">
        <f aca="true">IF(EB.Wochenarbeitszeit=50/24,IF(T.50_Vetsuisse,IF(WEEKDAY(P$10,2)=7,MAX(0,SUM(OFFSET(P51,0,-MIN(6,DAY(P$10)-1),1,MIN(7,DAY(P$10))))+IF(AND(MONTH(Monat.Tag1)&lt;&gt;1,DAY(P$10)&lt;7), IF(MONTH(Monat.Tag1)=2,January!Monat.AZIstWRestUeVM,IF(MONTH(Monat.Tag1)=3,February!Monat.AZIstWRestUeVM,IF(MONTH(Monat.Tag1)=4,March!Monat.AZIstWRestUeVM,IF(MONTH(Monat.Tag1)=5,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-1/24*50),""),""),IF(P45=0,"",P45))</f>
        <v/>
      </c>
      <c r="Q60" s="238" t="str">
        <f aca="true">IF(EB.Wochenarbeitszeit=50/24,IF(T.50_Vetsuisse,IF(WEEKDAY(Q$10,2)=7,MAX(0,SUM(OFFSET(Q51,0,-MIN(6,DAY(Q$10)-1),1,MIN(7,DAY(Q$10))))+IF(AND(MONTH(Monat.Tag1)&lt;&gt;1,DAY(Q$10)&lt;7), IF(MONTH(Monat.Tag1)=2,January!Monat.AZIstWRestUeVM,IF(MONTH(Monat.Tag1)=3,February!Monat.AZIstWRestUeVM,IF(MONTH(Monat.Tag1)=4,March!Monat.AZIstWRestUeVM,IF(MONTH(Monat.Tag1)=5,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-1/24*50),""),""),IF(Q45=0,"",Q45))</f>
        <v/>
      </c>
      <c r="R60" s="237" t="str">
        <f aca="true">IF(EB.Wochenarbeitszeit=50/24,IF(T.50_Vetsuisse,IF(WEEKDAY(R$10,2)=7,MAX(0,SUM(OFFSET(R51,0,-MIN(6,DAY(R$10)-1),1,MIN(7,DAY(R$10))))+IF(AND(MONTH(Monat.Tag1)&lt;&gt;1,DAY(R$10)&lt;7), IF(MONTH(Monat.Tag1)=2,January!Monat.AZIstWRestUeVM,IF(MONTH(Monat.Tag1)=3,February!Monat.AZIstWRestUeVM,IF(MONTH(Monat.Tag1)=4,March!Monat.AZIstWRestUeVM,IF(MONTH(Monat.Tag1)=5,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-1/24*50),""),""),IF(R45=0,"",R45))</f>
        <v/>
      </c>
      <c r="S60" s="238" t="str">
        <f aca="true">IF(EB.Wochenarbeitszeit=50/24,IF(T.50_Vetsuisse,IF(WEEKDAY(S$10,2)=7,MAX(0,SUM(OFFSET(S51,0,-MIN(6,DAY(S$10)-1),1,MIN(7,DAY(S$10))))+IF(AND(MONTH(Monat.Tag1)&lt;&gt;1,DAY(S$10)&lt;7), IF(MONTH(Monat.Tag1)=2,January!Monat.AZIstWRestUeVM,IF(MONTH(Monat.Tag1)=3,February!Monat.AZIstWRestUeVM,IF(MONTH(Monat.Tag1)=4,March!Monat.AZIstWRestUeVM,IF(MONTH(Monat.Tag1)=5,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-1/24*50),""),""),IF(S45=0,"",S45))</f>
        <v/>
      </c>
      <c r="T60" s="238" t="str">
        <f aca="true">IF(EB.Wochenarbeitszeit=50/24,IF(T.50_Vetsuisse,IF(WEEKDAY(T$10,2)=7,MAX(0,SUM(OFFSET(T51,0,-MIN(6,DAY(T$10)-1),1,MIN(7,DAY(T$10))))+IF(AND(MONTH(Monat.Tag1)&lt;&gt;1,DAY(T$10)&lt;7), IF(MONTH(Monat.Tag1)=2,January!Monat.AZIstWRestUeVM,IF(MONTH(Monat.Tag1)=3,February!Monat.AZIstWRestUeVM,IF(MONTH(Monat.Tag1)=4,March!Monat.AZIstWRestUeVM,IF(MONTH(Monat.Tag1)=5,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-1/24*50),""),""),IF(T45=0,"",T45))</f>
        <v/>
      </c>
      <c r="U60" s="237" t="str">
        <f aca="true">IF(EB.Wochenarbeitszeit=50/24,IF(T.50_Vetsuisse,IF(WEEKDAY(U$10,2)=7,MAX(0,SUM(OFFSET(U51,0,-MIN(6,DAY(U$10)-1),1,MIN(7,DAY(U$10))))+IF(AND(MONTH(Monat.Tag1)&lt;&gt;1,DAY(U$10)&lt;7), IF(MONTH(Monat.Tag1)=2,January!Monat.AZIstWRestUeVM,IF(MONTH(Monat.Tag1)=3,February!Monat.AZIstWRestUeVM,IF(MONTH(Monat.Tag1)=4,March!Monat.AZIstWRestUeVM,IF(MONTH(Monat.Tag1)=5,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-1/24*50),""),""),IF(U45=0,"",U45))</f>
        <v/>
      </c>
      <c r="V60" s="237" t="str">
        <f aca="true">IF(EB.Wochenarbeitszeit=50/24,IF(T.50_Vetsuisse,IF(WEEKDAY(V$10,2)=7,MAX(0,SUM(OFFSET(V51,0,-MIN(6,DAY(V$10)-1),1,MIN(7,DAY(V$10))))+IF(AND(MONTH(Monat.Tag1)&lt;&gt;1,DAY(V$10)&lt;7), IF(MONTH(Monat.Tag1)=2,January!Monat.AZIstWRestUeVM,IF(MONTH(Monat.Tag1)=3,February!Monat.AZIstWRestUeVM,IF(MONTH(Monat.Tag1)=4,March!Monat.AZIstWRestUeVM,IF(MONTH(Monat.Tag1)=5,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-1/24*50),""),""),IF(V45=0,"",V45))</f>
        <v/>
      </c>
      <c r="W60" s="237" t="str">
        <f aca="true">IF(EB.Wochenarbeitszeit=50/24,IF(T.50_Vetsuisse,IF(WEEKDAY(W$10,2)=7,MAX(0,SUM(OFFSET(W51,0,-MIN(6,DAY(W$10)-1),1,MIN(7,DAY(W$10))))+IF(AND(MONTH(Monat.Tag1)&lt;&gt;1,DAY(W$10)&lt;7), IF(MONTH(Monat.Tag1)=2,January!Monat.AZIstWRestUeVM,IF(MONTH(Monat.Tag1)=3,February!Monat.AZIstWRestUeVM,IF(MONTH(Monat.Tag1)=4,March!Monat.AZIstWRestUeVM,IF(MONTH(Monat.Tag1)=5,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-1/24*50),""),""),IF(W45=0,"",W45))</f>
        <v/>
      </c>
      <c r="X60" s="238" t="str">
        <f aca="true">IF(EB.Wochenarbeitszeit=50/24,IF(T.50_Vetsuisse,IF(WEEKDAY(X$10,2)=7,MAX(0,SUM(OFFSET(X51,0,-MIN(6,DAY(X$10)-1),1,MIN(7,DAY(X$10))))+IF(AND(MONTH(Monat.Tag1)&lt;&gt;1,DAY(X$10)&lt;7), IF(MONTH(Monat.Tag1)=2,January!Monat.AZIstWRestUeVM,IF(MONTH(Monat.Tag1)=3,February!Monat.AZIstWRestUeVM,IF(MONTH(Monat.Tag1)=4,March!Monat.AZIstWRestUeVM,IF(MONTH(Monat.Tag1)=5,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-1/24*50),""),""),IF(X45=0,"",X45))</f>
        <v/>
      </c>
      <c r="Y60" s="237" t="str">
        <f aca="true">IF(EB.Wochenarbeitszeit=50/24,IF(T.50_Vetsuisse,IF(WEEKDAY(Y$10,2)=7,MAX(0,SUM(OFFSET(Y51,0,-MIN(6,DAY(Y$10)-1),1,MIN(7,DAY(Y$10))))+IF(AND(MONTH(Monat.Tag1)&lt;&gt;1,DAY(Y$10)&lt;7), IF(MONTH(Monat.Tag1)=2,January!Monat.AZIstWRestUeVM,IF(MONTH(Monat.Tag1)=3,February!Monat.AZIstWRestUeVM,IF(MONTH(Monat.Tag1)=4,March!Monat.AZIstWRestUeVM,IF(MONTH(Monat.Tag1)=5,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-1/24*50),""),""),IF(Y45=0,"",Y45))</f>
        <v/>
      </c>
      <c r="Z60" s="239" t="str">
        <f aca="true">IF(EB.Wochenarbeitszeit=50/24,IF(T.50_Vetsuisse,IF(WEEKDAY(Z$10,2)=7,MAX(0,SUM(OFFSET(Z51,0,-MIN(6,DAY(Z$10)-1),1,MIN(7,DAY(Z$10))))+IF(AND(MONTH(Monat.Tag1)&lt;&gt;1,DAY(Z$10)&lt;7), IF(MONTH(Monat.Tag1)=2,January!Monat.AZIstWRestUeVM,IF(MONTH(Monat.Tag1)=3,February!Monat.AZIstWRestUeVM,IF(MONTH(Monat.Tag1)=4,March!Monat.AZIstWRestUeVM,IF(MONTH(Monat.Tag1)=5,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-1/24*50),""),""),IF(Z45=0,"",Z45))</f>
        <v/>
      </c>
      <c r="AA60" s="237" t="str">
        <f aca="true">IF(EB.Wochenarbeitszeit=50/24,IF(T.50_Vetsuisse,IF(WEEKDAY(AA$10,2)=7,MAX(0,SUM(OFFSET(AA51,0,-MIN(6,DAY(AA$10)-1),1,MIN(7,DAY(AA$10))))+IF(AND(MONTH(Monat.Tag1)&lt;&gt;1,DAY(AA$10)&lt;7), IF(MONTH(Monat.Tag1)=2,January!Monat.AZIstWRestUeVM,IF(MONTH(Monat.Tag1)=3,February!Monat.AZIstWRestUeVM,IF(MONTH(Monat.Tag1)=4,March!Monat.AZIstWRestUeVM,IF(MONTH(Monat.Tag1)=5,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-1/24*50),""),""),IF(AA45=0,"",AA45))</f>
        <v/>
      </c>
      <c r="AB60" s="237" t="str">
        <f aca="true">IF(EB.Wochenarbeitszeit=50/24,IF(T.50_Vetsuisse,IF(WEEKDAY(AB$10,2)=7,MAX(0,SUM(OFFSET(AB51,0,-MIN(6,DAY(AB$10)-1),1,MIN(7,DAY(AB$10))))+IF(AND(MONTH(Monat.Tag1)&lt;&gt;1,DAY(AB$10)&lt;7), IF(MONTH(Monat.Tag1)=2,January!Monat.AZIstWRestUeVM,IF(MONTH(Monat.Tag1)=3,February!Monat.AZIstWRestUeVM,IF(MONTH(Monat.Tag1)=4,March!Monat.AZIstWRestUeVM,IF(MONTH(Monat.Tag1)=5,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-1/24*50),""),""),IF(AB45=0,"",AB45))</f>
        <v/>
      </c>
      <c r="AC60" s="237" t="str">
        <f aca="true">IF(EB.Wochenarbeitszeit=50/24,IF(T.50_Vetsuisse,IF(WEEKDAY(AC$10,2)=7,MAX(0,SUM(OFFSET(AC51,0,-MIN(6,DAY(AC$10)-1),1,MIN(7,DAY(AC$10))))+IF(AND(MONTH(Monat.Tag1)&lt;&gt;1,DAY(AC$10)&lt;7), IF(MONTH(Monat.Tag1)=2,January!Monat.AZIstWRestUeVM,IF(MONTH(Monat.Tag1)=3,February!Monat.AZIstWRestUeVM,IF(MONTH(Monat.Tag1)=4,March!Monat.AZIstWRestUeVM,IF(MONTH(Monat.Tag1)=5,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-1/24*50),""),""),IF(AC45=0,"",AC45))</f>
        <v/>
      </c>
      <c r="AD60" s="237" t="str">
        <f aca="true">IF(EB.Wochenarbeitszeit=50/24,IF(T.50_Vetsuisse,IF(WEEKDAY(AD$10,2)=7,MAX(0,SUM(OFFSET(AD51,0,-MIN(6,DAY(AD$10)-1),1,MIN(7,DAY(AD$10))))+IF(AND(MONTH(Monat.Tag1)&lt;&gt;1,DAY(AD$10)&lt;7), IF(MONTH(Monat.Tag1)=2,January!Monat.AZIstWRestUeVM,IF(MONTH(Monat.Tag1)=3,February!Monat.AZIstWRestUeVM,IF(MONTH(Monat.Tag1)=4,March!Monat.AZIstWRestUeVM,IF(MONTH(Monat.Tag1)=5,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-1/24*50),""),""),IF(AD45=0,"",AD45))</f>
        <v/>
      </c>
      <c r="AE60" s="238" t="str">
        <f aca="true">IF(EB.Wochenarbeitszeit=50/24,IF(T.50_Vetsuisse,IF(WEEKDAY(AE$10,2)=7,MAX(0,SUM(OFFSET(AE51,0,-MIN(6,DAY(AE$10)-1),1,MIN(7,DAY(AE$10))))+IF(AND(MONTH(Monat.Tag1)&lt;&gt;1,DAY(AE$10)&lt;7), IF(MONTH(Monat.Tag1)=2,January!Monat.AZIstWRestUeVM,IF(MONTH(Monat.Tag1)=3,February!Monat.AZIstWRestUeVM,IF(MONTH(Monat.Tag1)=4,March!Monat.AZIstWRestUeVM,IF(MONTH(Monat.Tag1)=5,Monat.AZIstWRestUeVM,IF(MONTH(Monat.Tag1)=6,May!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-1/24*50),""),""),IF(AE45=0,"",AE45))</f>
        <v/>
      </c>
      <c r="AF60" s="168" t="str">
        <f aca="false">A60</f>
        <v>Ordered overtime</v>
      </c>
      <c r="AG60" s="184"/>
      <c r="AH60" s="207" t="n">
        <f aca="false">SUM(B60:AE60)</f>
        <v>0</v>
      </c>
      <c r="AI60" s="180"/>
      <c r="AJ60" s="172"/>
      <c r="AK60" s="216" t="n">
        <f aca="false">IF(EB.Anwendung&lt;&gt;"",IF(MONTH(Monat.Tag1)=1,0,IF(MONTH(Monat.Tag1)=2,January!Monat.AnUeZUeVM,IF(MONTH(Monat.Tag1)=3,February!Monat.AnUeZUeVM,IF(MONTH(Monat.Tag1)=4,March!Monat.AnUeZUeVM,IF(MONTH(Monat.Tag1)=5,Monat.AnUeZUeVM,IF(MONTH(Monat.Tag1)=6,May!Monat.AnUeZUeVM,IF(MONTH(Monat.Tag1)=7,June!Monat.AnUeZUeVM,IF(MONTH(Monat.Tag1)=8,July!Monat.AnUeZUeVM,IF(MONTH(Monat.Tag1)=9,August!Monat.AnUeZUeVM,IF(MONTH(Monat.Tag1)=10,September!Monat.AnUeZUeVM,IF(MONTH(Monat.Tag1)=11,October!Monat.AnUeZUeVM,IF(MONTH(Monat.Tag1)=12,November!Monat.AnUeZUeVM,"")))))))))))),"")</f>
        <v>0</v>
      </c>
      <c r="AL60" s="172"/>
      <c r="AM60" s="217" t="n">
        <f aca="false">AH60+AK60</f>
        <v>0</v>
      </c>
      <c r="AN60" s="217" t="n">
        <f aca="true">SUM(OFFSET(Jahr.AngÜZ,-12,0,MONTH(Monat.Tag1),1))</f>
        <v>0</v>
      </c>
      <c r="AO60" s="217" t="n">
        <f aca="false">Jahr.AngÜZ</f>
        <v>0</v>
      </c>
      <c r="AP60" s="39"/>
    </row>
    <row r="61" s="148" customFormat="true" ht="15" hidden="false" customHeight="true" outlineLevel="0" collapsed="false">
      <c r="A61" s="175" t="s">
        <v>149</v>
      </c>
      <c r="B61" s="177"/>
      <c r="C61" s="177"/>
      <c r="D61" s="177"/>
      <c r="E61" s="177"/>
      <c r="F61" s="177"/>
      <c r="G61" s="177"/>
      <c r="H61" s="177"/>
      <c r="I61" s="177"/>
      <c r="J61" s="177"/>
      <c r="K61" s="177"/>
      <c r="L61" s="177"/>
      <c r="M61" s="177"/>
      <c r="N61" s="177"/>
      <c r="O61" s="177"/>
      <c r="P61" s="177"/>
      <c r="Q61" s="177"/>
      <c r="R61" s="177"/>
      <c r="S61" s="177"/>
      <c r="T61" s="177"/>
      <c r="U61" s="177"/>
      <c r="V61" s="177"/>
      <c r="W61" s="177"/>
      <c r="X61" s="177"/>
      <c r="Y61" s="177"/>
      <c r="Z61" s="178"/>
      <c r="AA61" s="177"/>
      <c r="AB61" s="177"/>
      <c r="AC61" s="177"/>
      <c r="AD61" s="177"/>
      <c r="AE61" s="177"/>
      <c r="AF61" s="168" t="str">
        <f aca="false">A61</f>
        <v>Compensation overtime</v>
      </c>
      <c r="AG61" s="184"/>
      <c r="AH61" s="207" t="n">
        <f aca="false">SUM(B61:AE61)</f>
        <v>0</v>
      </c>
      <c r="AI61" s="180"/>
      <c r="AJ61" s="172"/>
      <c r="AK61" s="172"/>
      <c r="AL61" s="172"/>
      <c r="AM61" s="171"/>
      <c r="AN61" s="172"/>
      <c r="AO61" s="172"/>
      <c r="AP61" s="39"/>
    </row>
    <row r="62" s="231" customFormat="true" ht="15" hidden="true" customHeight="true" outlineLevel="1" collapsed="false">
      <c r="A62" s="219"/>
      <c r="B62" s="224"/>
      <c r="C62" s="224"/>
      <c r="D62" s="224"/>
      <c r="E62" s="152"/>
      <c r="F62" s="224"/>
      <c r="G62" s="224"/>
      <c r="H62" s="224"/>
      <c r="I62" s="224"/>
      <c r="J62" s="222"/>
      <c r="K62" s="224"/>
      <c r="L62" s="223"/>
      <c r="M62" s="224"/>
      <c r="N62" s="224"/>
      <c r="O62" s="224"/>
      <c r="P62" s="224"/>
      <c r="Q62" s="152"/>
      <c r="R62" s="224"/>
      <c r="S62" s="223"/>
      <c r="T62" s="224"/>
      <c r="U62" s="224"/>
      <c r="V62" s="224"/>
      <c r="W62" s="224"/>
      <c r="X62" s="224"/>
      <c r="Y62" s="224"/>
      <c r="Z62" s="152"/>
      <c r="AA62" s="224"/>
      <c r="AB62" s="224"/>
      <c r="AC62" s="224"/>
      <c r="AD62" s="224"/>
      <c r="AE62" s="152"/>
      <c r="AF62" s="241" t="s">
        <v>150</v>
      </c>
      <c r="AG62" s="242"/>
      <c r="AH62" s="207" t="n">
        <f aca="false">Monat.AnUeZ.Total-Monat.KomUeZ.Total</f>
        <v>0</v>
      </c>
      <c r="AI62" s="180"/>
      <c r="AJ62" s="230"/>
      <c r="AK62" s="230"/>
      <c r="AL62" s="172"/>
      <c r="AM62" s="230"/>
      <c r="AN62" s="230"/>
      <c r="AO62" s="230"/>
      <c r="AP62" s="96"/>
    </row>
    <row r="63" s="148" customFormat="true" ht="15" hidden="false" customHeight="true" outlineLevel="0" collapsed="false">
      <c r="A63" s="186"/>
      <c r="B63" s="152"/>
      <c r="C63" s="152"/>
      <c r="D63" s="152"/>
      <c r="E63" s="152"/>
      <c r="F63" s="152"/>
      <c r="G63" s="152"/>
      <c r="H63" s="152"/>
      <c r="I63" s="152"/>
      <c r="J63" s="152"/>
      <c r="K63" s="152"/>
      <c r="L63" s="223"/>
      <c r="M63" s="152"/>
      <c r="N63" s="152"/>
      <c r="O63" s="152"/>
      <c r="P63" s="152"/>
      <c r="Q63" s="152"/>
      <c r="R63" s="152"/>
      <c r="S63" s="223"/>
      <c r="T63" s="152"/>
      <c r="U63" s="152"/>
      <c r="V63" s="152"/>
      <c r="W63" s="152"/>
      <c r="X63" s="224"/>
      <c r="Y63" s="152"/>
      <c r="Z63" s="152"/>
      <c r="AA63" s="152"/>
      <c r="AB63" s="152"/>
      <c r="AC63" s="152"/>
      <c r="AD63" s="152"/>
      <c r="AE63" s="152"/>
      <c r="AF63" s="175" t="s">
        <v>151</v>
      </c>
      <c r="AG63" s="184"/>
      <c r="AH63" s="207" t="n">
        <f aca="true">IF(T.50_Vetsuisse,0,IF(AND(AH62&gt;0,Monat.ÜZZSBerechtigt=INDEX(T.JaNein.Bereich,1,1)),(AH62*0.25),0))</f>
        <v>0</v>
      </c>
      <c r="AI63" s="180"/>
      <c r="AJ63" s="172"/>
      <c r="AK63" s="230"/>
      <c r="AL63" s="172"/>
      <c r="AM63" s="230"/>
      <c r="AN63" s="230"/>
      <c r="AO63" s="230"/>
      <c r="AP63" s="39"/>
    </row>
    <row r="64" s="148" customFormat="true" ht="15" hidden="true" customHeight="true" outlineLevel="1" collapsed="false">
      <c r="A64" s="186"/>
      <c r="B64" s="152"/>
      <c r="C64" s="152"/>
      <c r="D64" s="152"/>
      <c r="E64" s="152"/>
      <c r="F64" s="152"/>
      <c r="G64" s="152"/>
      <c r="H64" s="152"/>
      <c r="I64" s="152"/>
      <c r="J64" s="152"/>
      <c r="K64" s="152"/>
      <c r="L64" s="223"/>
      <c r="M64" s="152"/>
      <c r="N64" s="152"/>
      <c r="O64" s="152"/>
      <c r="P64" s="152"/>
      <c r="Q64" s="152"/>
      <c r="R64" s="152"/>
      <c r="S64" s="223"/>
      <c r="T64" s="152"/>
      <c r="U64" s="152"/>
      <c r="V64" s="152"/>
      <c r="W64" s="152"/>
      <c r="X64" s="224"/>
      <c r="Y64" s="152"/>
      <c r="Z64" s="152"/>
      <c r="AA64" s="152"/>
      <c r="AB64" s="152"/>
      <c r="AC64" s="152"/>
      <c r="AD64" s="152"/>
      <c r="AE64" s="152"/>
      <c r="AF64" s="175" t="s">
        <v>152</v>
      </c>
      <c r="AG64" s="244" t="s">
        <v>146</v>
      </c>
      <c r="AH64" s="245"/>
      <c r="AI64" s="246"/>
      <c r="AJ64" s="172"/>
      <c r="AK64" s="230"/>
      <c r="AL64" s="172"/>
      <c r="AM64" s="230"/>
      <c r="AN64" s="230"/>
      <c r="AO64" s="230"/>
      <c r="AP64" s="39"/>
    </row>
    <row r="65" s="231" customFormat="true" ht="15" hidden="false" customHeight="true" outlineLevel="0" collapsed="false">
      <c r="A65" s="219"/>
      <c r="B65" s="224"/>
      <c r="C65" s="224"/>
      <c r="D65" s="224"/>
      <c r="E65" s="152"/>
      <c r="F65" s="224"/>
      <c r="G65" s="224"/>
      <c r="H65" s="224"/>
      <c r="I65" s="224"/>
      <c r="J65" s="152"/>
      <c r="K65" s="224"/>
      <c r="L65" s="223"/>
      <c r="M65" s="224"/>
      <c r="N65" s="224"/>
      <c r="O65" s="224"/>
      <c r="P65" s="224"/>
      <c r="Q65" s="152"/>
      <c r="R65" s="224"/>
      <c r="S65" s="223"/>
      <c r="T65" s="224"/>
      <c r="U65" s="224"/>
      <c r="V65" s="224"/>
      <c r="W65" s="224"/>
      <c r="X65" s="224"/>
      <c r="Y65" s="224"/>
      <c r="Z65" s="152"/>
      <c r="AA65" s="224"/>
      <c r="AB65" s="224"/>
      <c r="AC65" s="224"/>
      <c r="AD65" s="224"/>
      <c r="AE65" s="152"/>
      <c r="AF65" s="234" t="s">
        <v>153</v>
      </c>
      <c r="AG65" s="242"/>
      <c r="AH65" s="207" t="n">
        <f aca="false">IF(AG64="+",(AH62+AH63+AH64),(AH62+AH63-AH64))</f>
        <v>0</v>
      </c>
      <c r="AI65" s="33"/>
      <c r="AJ65" s="247"/>
      <c r="AK65" s="216" t="n">
        <f aca="false">IF(EB.Anwendung&lt;&gt;"",IF(MONTH(Monat.Tag1)=1,EB.UeZ,IF(MONTH(Monat.Tag1)=2,January!Monat.UeZUeVM,IF(MONTH(Monat.Tag1)=3,February!Monat.UeZUeVM,IF(MONTH(Monat.Tag1)=4,March!Monat.UeZUeVM,IF(MONTH(Monat.Tag1)=5,Monat.UeZUeVM,IF(MONTH(Monat.Tag1)=6,May!Monat.UeZUeVM,IF(MONTH(Monat.Tag1)=7,June!Monat.UeZUeVM,IF(MONTH(Monat.Tag1)=8,July!Monat.UeZUeVM,IF(MONTH(Monat.Tag1)=9,August!Monat.UeZUeVM,IF(MONTH(Monat.Tag1)=10,September!Monat.UeZUeVM,IF(MONTH(Monat.Tag1)=11,October!Monat.UeZUeVM,IF(MONTH(Monat.Tag1)=12,November!Monat.UeZUeVM,"")))))))))))),"")</f>
        <v>0</v>
      </c>
      <c r="AL65" s="172"/>
      <c r="AM65" s="217" t="n">
        <f aca="false">AH65+AK65</f>
        <v>0</v>
      </c>
      <c r="AN65" s="217" t="n">
        <f aca="true">SUM(OFFSET(J.UeZ.Total,-12,0,MONTH(Monat.Tag1),1))</f>
        <v>0</v>
      </c>
      <c r="AO65" s="217" t="n">
        <f aca="false">J.UeZ.Total</f>
        <v>0</v>
      </c>
      <c r="AP65" s="96"/>
    </row>
    <row r="66" s="148" customFormat="true" ht="11.25" hidden="false" customHeight="true" outlineLevel="1" collapsed="false">
      <c r="A66" s="186"/>
      <c r="B66" s="57"/>
      <c r="C66" s="57"/>
      <c r="D66" s="57"/>
      <c r="E66" s="152"/>
      <c r="F66" s="57"/>
      <c r="G66" s="57"/>
      <c r="H66" s="57"/>
      <c r="I66" s="57"/>
      <c r="J66" s="152"/>
      <c r="K66" s="57"/>
      <c r="L66" s="223"/>
      <c r="M66" s="57"/>
      <c r="N66" s="57"/>
      <c r="O66" s="57"/>
      <c r="P66" s="57"/>
      <c r="Q66" s="152"/>
      <c r="R66" s="57"/>
      <c r="S66" s="223"/>
      <c r="T66" s="57"/>
      <c r="U66" s="57"/>
      <c r="V66" s="57"/>
      <c r="W66" s="57"/>
      <c r="X66" s="224"/>
      <c r="Y66" s="57"/>
      <c r="Z66" s="152"/>
      <c r="AA66" s="57"/>
      <c r="AB66" s="57"/>
      <c r="AC66" s="57"/>
      <c r="AD66" s="57"/>
      <c r="AE66" s="152"/>
      <c r="AF66" s="175"/>
      <c r="AG66" s="146"/>
      <c r="AH66" s="179"/>
      <c r="AI66" s="180"/>
      <c r="AJ66" s="172"/>
      <c r="AK66" s="172"/>
      <c r="AL66" s="172"/>
      <c r="AM66" s="171"/>
      <c r="AN66" s="172"/>
      <c r="AO66" s="172"/>
      <c r="AP66" s="39"/>
    </row>
    <row r="67" s="148" customFormat="true" ht="15" hidden="false" customHeight="true" outlineLevel="1" collapsed="false">
      <c r="A67" s="175" t="s">
        <v>154</v>
      </c>
      <c r="B67" s="177"/>
      <c r="C67" s="177"/>
      <c r="D67" s="177"/>
      <c r="E67" s="177"/>
      <c r="F67" s="177"/>
      <c r="G67" s="177"/>
      <c r="H67" s="177"/>
      <c r="I67" s="177"/>
      <c r="J67" s="177"/>
      <c r="K67" s="177"/>
      <c r="L67" s="177"/>
      <c r="M67" s="177"/>
      <c r="N67" s="177"/>
      <c r="O67" s="177"/>
      <c r="P67" s="177"/>
      <c r="Q67" s="177"/>
      <c r="R67" s="177"/>
      <c r="S67" s="177"/>
      <c r="T67" s="177"/>
      <c r="U67" s="177"/>
      <c r="V67" s="177"/>
      <c r="W67" s="177"/>
      <c r="X67" s="177"/>
      <c r="Y67" s="177"/>
      <c r="Z67" s="178"/>
      <c r="AA67" s="177"/>
      <c r="AB67" s="177"/>
      <c r="AC67" s="177"/>
      <c r="AD67" s="177"/>
      <c r="AE67" s="177"/>
      <c r="AF67" s="168" t="str">
        <f aca="false">A67</f>
        <v>Compensation working hours</v>
      </c>
      <c r="AG67" s="184"/>
      <c r="AH67" s="207" t="n">
        <f aca="false">SUM(B67:AE67)</f>
        <v>0</v>
      </c>
      <c r="AI67" s="33"/>
      <c r="AJ67" s="216" t="n">
        <f aca="true">OFFSET(EB.MKAStd.Knoten,MONTH(Monat.Tag1),0,1,1)</f>
        <v>0.4375</v>
      </c>
      <c r="AK67" s="248" t="n">
        <f aca="false">IF(EB.Anwendung&lt;&gt;"",IF(MONTH(Monat.Tag1)=1,0,IF(MONTH(Monat.Tag1)=2,January!Monat.KomUeVM,IF(MONTH(Monat.Tag1)=3,February!Monat.KomUeVM,IF(MONTH(Monat.Tag1)=4,March!Monat.KomUeVM,IF(MONTH(Monat.Tag1)=5,Monat.KomUeVM,IF(MONTH(Monat.Tag1)=6,May!Monat.KomUeVM,IF(MONTH(Monat.Tag1)=7,June!Monat.KomUeVM,IF(MONTH(Monat.Tag1)=8,July!Monat.KomUeVM,IF(MONTH(Monat.Tag1)=9,August!Monat.KomUeVM,IF(MONTH(Monat.Tag1)=10,September!Monat.KomUeVM,IF(MONTH(Monat.Tag1)=11,October!Monat.KomUeVM,IF(MONTH(Monat.Tag1)=12,November!Monat.KomUeVM,"")))))))))))),"")</f>
        <v>0</v>
      </c>
      <c r="AL67" s="172"/>
      <c r="AM67" s="217" t="n">
        <f aca="false">AJ67+AK67-Monat.KomAZ.Total</f>
        <v>0.4375</v>
      </c>
      <c r="AN67" s="217" t="n">
        <f aca="true">Jahresabrechnung!P12-SUM(OFFSET(Jahresabrechnung!P15,0,0,MONTH(Monat.Tag1),1))</f>
        <v>3.9375</v>
      </c>
      <c r="AO67" s="217" t="n">
        <f aca="false">Jahresabrechnung!P28</f>
        <v>3.9375</v>
      </c>
      <c r="AP67" s="39"/>
    </row>
    <row r="68" s="148" customFormat="true" ht="11.25" hidden="false" customHeight="true" outlineLevel="0" collapsed="false">
      <c r="A68" s="186"/>
      <c r="B68" s="187"/>
      <c r="C68" s="187"/>
      <c r="D68" s="187"/>
      <c r="E68" s="187"/>
      <c r="F68" s="187"/>
      <c r="G68" s="187"/>
      <c r="H68" s="187"/>
      <c r="I68" s="187"/>
      <c r="J68" s="187"/>
      <c r="K68" s="187"/>
      <c r="L68" s="187"/>
      <c r="M68" s="187"/>
      <c r="N68" s="187"/>
      <c r="O68" s="187"/>
      <c r="P68" s="187"/>
      <c r="Q68" s="187"/>
      <c r="R68" s="187"/>
      <c r="S68" s="187"/>
      <c r="T68" s="187"/>
      <c r="U68" s="187"/>
      <c r="V68" s="187"/>
      <c r="W68" s="187"/>
      <c r="X68" s="187"/>
      <c r="Y68" s="187"/>
      <c r="Z68" s="187"/>
      <c r="AA68" s="187"/>
      <c r="AB68" s="187"/>
      <c r="AC68" s="187"/>
      <c r="AD68" s="187"/>
      <c r="AE68" s="187"/>
      <c r="AF68" s="168"/>
      <c r="AG68" s="146"/>
      <c r="AH68" s="179"/>
      <c r="AI68" s="180"/>
      <c r="AJ68" s="172"/>
      <c r="AK68" s="172"/>
      <c r="AL68" s="172"/>
      <c r="AM68" s="171"/>
      <c r="AN68" s="172"/>
      <c r="AO68" s="172"/>
      <c r="AP68" s="39"/>
    </row>
    <row r="69" s="148" customFormat="true" ht="15" hidden="true" customHeight="true" outlineLevel="0" collapsed="false">
      <c r="A69" s="175" t="s">
        <v>155</v>
      </c>
      <c r="B69" s="249" t="n">
        <f aca="true">IF(AND(T.50_Vetsuisse,B72=INDEX(T.JaNein.Bereich,1,1),B73&gt;0,MOD(IFERROR(MATCH(1,B13:B22,0),1),2)=0),1, IF(AND(T.ServiceCenterIrchel,B72=INDEX(T.JaNein.Bereich,1,1),B77&gt;0),1, IF(AND(T.50_Vetsuisse=0,T.ServiceCenterIrchel=0,B77&gt;0),1,0)))</f>
        <v>0</v>
      </c>
      <c r="C69" s="249" t="n">
        <f aca="true">IF(AND(T.50_Vetsuisse,C72=INDEX(T.JaNein.Bereich,1,1),C73&gt;0,MOD(IFERROR(MATCH(1,C13:C22,0),1),2)=0),1, IF(AND(T.ServiceCenterIrchel,C72=INDEX(T.JaNein.Bereich,1,1),C77&gt;0),1, IF(AND(T.50_Vetsuisse=0,T.ServiceCenterIrchel=0,C77&gt;0),1,0)))</f>
        <v>0</v>
      </c>
      <c r="D69" s="249" t="n">
        <f aca="true">IF(AND(T.50_Vetsuisse,D72=INDEX(T.JaNein.Bereich,1,1),D73&gt;0,MOD(IFERROR(MATCH(1,D13:D22,0),1),2)=0),1, IF(AND(T.ServiceCenterIrchel,D72=INDEX(T.JaNein.Bereich,1,1),D77&gt;0),1, IF(AND(T.50_Vetsuisse=0,T.ServiceCenterIrchel=0,D77&gt;0),1,0)))</f>
        <v>0</v>
      </c>
      <c r="E69" s="249" t="n">
        <f aca="true">IF(AND(T.50_Vetsuisse,E72=INDEX(T.JaNein.Bereich,1,1),E73&gt;0,MOD(IFERROR(MATCH(1,E13:E22,0),1),2)=0),1, IF(AND(T.ServiceCenterIrchel,E72=INDEX(T.JaNein.Bereich,1,1),E77&gt;0),1, IF(AND(T.50_Vetsuisse=0,T.ServiceCenterIrchel=0,E77&gt;0),1,0)))</f>
        <v>0</v>
      </c>
      <c r="F69" s="249" t="n">
        <f aca="true">IF(AND(T.50_Vetsuisse,F72=INDEX(T.JaNein.Bereich,1,1),F73&gt;0,MOD(IFERROR(MATCH(1,F13:F22,0),1),2)=0),1, IF(AND(T.ServiceCenterIrchel,F72=INDEX(T.JaNein.Bereich,1,1),F77&gt;0),1, IF(AND(T.50_Vetsuisse=0,T.ServiceCenterIrchel=0,F77&gt;0),1,0)))</f>
        <v>0</v>
      </c>
      <c r="G69" s="249" t="n">
        <f aca="true">IF(AND(T.50_Vetsuisse,G72=INDEX(T.JaNein.Bereich,1,1),G73&gt;0,MOD(IFERROR(MATCH(1,G13:G22,0),1),2)=0),1, IF(AND(T.ServiceCenterIrchel,G72=INDEX(T.JaNein.Bereich,1,1),G77&gt;0),1, IF(AND(T.50_Vetsuisse=0,T.ServiceCenterIrchel=0,G77&gt;0),1,0)))</f>
        <v>0</v>
      </c>
      <c r="H69" s="249" t="n">
        <f aca="true">IF(AND(T.50_Vetsuisse,H72=INDEX(T.JaNein.Bereich,1,1),H73&gt;0,MOD(IFERROR(MATCH(1,H13:H22,0),1),2)=0),1, IF(AND(T.ServiceCenterIrchel,H72=INDEX(T.JaNein.Bereich,1,1),H77&gt;0),1, IF(AND(T.50_Vetsuisse=0,T.ServiceCenterIrchel=0,H77&gt;0),1,0)))</f>
        <v>0</v>
      </c>
      <c r="I69" s="249" t="n">
        <f aca="true">IF(AND(T.50_Vetsuisse,I72=INDEX(T.JaNein.Bereich,1,1),I73&gt;0,MOD(IFERROR(MATCH(1,I13:I22,0),1),2)=0),1, IF(AND(T.ServiceCenterIrchel,I72=INDEX(T.JaNein.Bereich,1,1),I77&gt;0),1, IF(AND(T.50_Vetsuisse=0,T.ServiceCenterIrchel=0,I77&gt;0),1,0)))</f>
        <v>0</v>
      </c>
      <c r="J69" s="249" t="n">
        <f aca="true">IF(AND(T.50_Vetsuisse,J72=INDEX(T.JaNein.Bereich,1,1),J73&gt;0,MOD(IFERROR(MATCH(1,J13:J22,0),1),2)=0),1, IF(AND(T.ServiceCenterIrchel,J72=INDEX(T.JaNein.Bereich,1,1),J77&gt;0),1, IF(AND(T.50_Vetsuisse=0,T.ServiceCenterIrchel=0,J77&gt;0),1,0)))</f>
        <v>0</v>
      </c>
      <c r="K69" s="249" t="n">
        <f aca="true">IF(AND(T.50_Vetsuisse,K72=INDEX(T.JaNein.Bereich,1,1),K73&gt;0,MOD(IFERROR(MATCH(1,K13:K22,0),1),2)=0),1, IF(AND(T.ServiceCenterIrchel,K72=INDEX(T.JaNein.Bereich,1,1),K77&gt;0),1, IF(AND(T.50_Vetsuisse=0,T.ServiceCenterIrchel=0,K77&gt;0),1,0)))</f>
        <v>0</v>
      </c>
      <c r="L69" s="249" t="n">
        <f aca="true">IF(AND(T.50_Vetsuisse,L72=INDEX(T.JaNein.Bereich,1,1),L73&gt;0,MOD(IFERROR(MATCH(1,L13:L22,0),1),2)=0),1, IF(AND(T.ServiceCenterIrchel,L72=INDEX(T.JaNein.Bereich,1,1),L77&gt;0),1, IF(AND(T.50_Vetsuisse=0,T.ServiceCenterIrchel=0,L77&gt;0),1,0)))</f>
        <v>0</v>
      </c>
      <c r="M69" s="249" t="n">
        <f aca="true">IF(AND(T.50_Vetsuisse,M72=INDEX(T.JaNein.Bereich,1,1),M73&gt;0,MOD(IFERROR(MATCH(1,M13:M22,0),1),2)=0),1, IF(AND(T.ServiceCenterIrchel,M72=INDEX(T.JaNein.Bereich,1,1),M77&gt;0),1, IF(AND(T.50_Vetsuisse=0,T.ServiceCenterIrchel=0,M77&gt;0),1,0)))</f>
        <v>0</v>
      </c>
      <c r="N69" s="249" t="n">
        <f aca="true">IF(AND(T.50_Vetsuisse,N72=INDEX(T.JaNein.Bereich,1,1),N73&gt;0,MOD(IFERROR(MATCH(1,N13:N22,0),1),2)=0),1, IF(AND(T.ServiceCenterIrchel,N72=INDEX(T.JaNein.Bereich,1,1),N77&gt;0),1, IF(AND(T.50_Vetsuisse=0,T.ServiceCenterIrchel=0,N77&gt;0),1,0)))</f>
        <v>0</v>
      </c>
      <c r="O69" s="249" t="n">
        <f aca="true">IF(AND(T.50_Vetsuisse,O72=INDEX(T.JaNein.Bereich,1,1),O73&gt;0,MOD(IFERROR(MATCH(1,O13:O22,0),1),2)=0),1, IF(AND(T.ServiceCenterIrchel,O72=INDEX(T.JaNein.Bereich,1,1),O77&gt;0),1, IF(AND(T.50_Vetsuisse=0,T.ServiceCenterIrchel=0,O77&gt;0),1,0)))</f>
        <v>0</v>
      </c>
      <c r="P69" s="249" t="n">
        <f aca="true">IF(AND(T.50_Vetsuisse,P72=INDEX(T.JaNein.Bereich,1,1),P73&gt;0,MOD(IFERROR(MATCH(1,P13:P22,0),1),2)=0),1, IF(AND(T.ServiceCenterIrchel,P72=INDEX(T.JaNein.Bereich,1,1),P77&gt;0),1, IF(AND(T.50_Vetsuisse=0,T.ServiceCenterIrchel=0,P77&gt;0),1,0)))</f>
        <v>0</v>
      </c>
      <c r="Q69" s="249" t="n">
        <f aca="true">IF(AND(T.50_Vetsuisse,Q72=INDEX(T.JaNein.Bereich,1,1),Q73&gt;0,MOD(IFERROR(MATCH(1,Q13:Q22,0),1),2)=0),1, IF(AND(T.ServiceCenterIrchel,Q72=INDEX(T.JaNein.Bereich,1,1),Q77&gt;0),1, IF(AND(T.50_Vetsuisse=0,T.ServiceCenterIrchel=0,Q77&gt;0),1,0)))</f>
        <v>0</v>
      </c>
      <c r="R69" s="249" t="n">
        <f aca="true">IF(AND(T.50_Vetsuisse,R72=INDEX(T.JaNein.Bereich,1,1),R73&gt;0,MOD(IFERROR(MATCH(1,R13:R22,0),1),2)=0),1, IF(AND(T.ServiceCenterIrchel,R72=INDEX(T.JaNein.Bereich,1,1),R77&gt;0),1, IF(AND(T.50_Vetsuisse=0,T.ServiceCenterIrchel=0,R77&gt;0),1,0)))</f>
        <v>0</v>
      </c>
      <c r="S69" s="249" t="n">
        <f aca="true">IF(AND(T.50_Vetsuisse,S72=INDEX(T.JaNein.Bereich,1,1),S73&gt;0,MOD(IFERROR(MATCH(1,S13:S22,0),1),2)=0),1, IF(AND(T.ServiceCenterIrchel,S72=INDEX(T.JaNein.Bereich,1,1),S77&gt;0),1, IF(AND(T.50_Vetsuisse=0,T.ServiceCenterIrchel=0,S77&gt;0),1,0)))</f>
        <v>0</v>
      </c>
      <c r="T69" s="249" t="n">
        <f aca="true">IF(AND(T.50_Vetsuisse,T72=INDEX(T.JaNein.Bereich,1,1),T73&gt;0,MOD(IFERROR(MATCH(1,T13:T22,0),1),2)=0),1, IF(AND(T.ServiceCenterIrchel,T72=INDEX(T.JaNein.Bereich,1,1),T77&gt;0),1, IF(AND(T.50_Vetsuisse=0,T.ServiceCenterIrchel=0,T77&gt;0),1,0)))</f>
        <v>0</v>
      </c>
      <c r="U69" s="249" t="n">
        <f aca="true">IF(AND(T.50_Vetsuisse,U72=INDEX(T.JaNein.Bereich,1,1),U73&gt;0,MOD(IFERROR(MATCH(1,U13:U22,0),1),2)=0),1, IF(AND(T.ServiceCenterIrchel,U72=INDEX(T.JaNein.Bereich,1,1),U77&gt;0),1, IF(AND(T.50_Vetsuisse=0,T.ServiceCenterIrchel=0,U77&gt;0),1,0)))</f>
        <v>0</v>
      </c>
      <c r="V69" s="249" t="n">
        <f aca="true">IF(AND(T.50_Vetsuisse,V72=INDEX(T.JaNein.Bereich,1,1),V73&gt;0,MOD(IFERROR(MATCH(1,V13:V22,0),1),2)=0),1, IF(AND(T.ServiceCenterIrchel,V72=INDEX(T.JaNein.Bereich,1,1),V77&gt;0),1, IF(AND(T.50_Vetsuisse=0,T.ServiceCenterIrchel=0,V77&gt;0),1,0)))</f>
        <v>0</v>
      </c>
      <c r="W69" s="249" t="n">
        <f aca="true">IF(AND(T.50_Vetsuisse,W72=INDEX(T.JaNein.Bereich,1,1),W73&gt;0,MOD(IFERROR(MATCH(1,W13:W22,0),1),2)=0),1, IF(AND(T.ServiceCenterIrchel,W72=INDEX(T.JaNein.Bereich,1,1),W77&gt;0),1, IF(AND(T.50_Vetsuisse=0,T.ServiceCenterIrchel=0,W77&gt;0),1,0)))</f>
        <v>0</v>
      </c>
      <c r="X69" s="249" t="n">
        <f aca="true">IF(AND(T.50_Vetsuisse,X72=INDEX(T.JaNein.Bereich,1,1),X73&gt;0,MOD(IFERROR(MATCH(1,X13:X22,0),1),2)=0),1, IF(AND(T.ServiceCenterIrchel,X72=INDEX(T.JaNein.Bereich,1,1),X77&gt;0),1, IF(AND(T.50_Vetsuisse=0,T.ServiceCenterIrchel=0,X77&gt;0),1,0)))</f>
        <v>0</v>
      </c>
      <c r="Y69" s="249" t="n">
        <f aca="true">IF(AND(T.50_Vetsuisse,Y72=INDEX(T.JaNein.Bereich,1,1),Y73&gt;0,MOD(IFERROR(MATCH(1,Y13:Y22,0),1),2)=0),1, IF(AND(T.ServiceCenterIrchel,Y72=INDEX(T.JaNein.Bereich,1,1),Y77&gt;0),1, IF(AND(T.50_Vetsuisse=0,T.ServiceCenterIrchel=0,Y77&gt;0),1,0)))</f>
        <v>0</v>
      </c>
      <c r="Z69" s="249" t="n">
        <f aca="true">IF(AND(T.50_Vetsuisse,Z72=INDEX(T.JaNein.Bereich,1,1),Z73&gt;0,MOD(IFERROR(MATCH(1,Z13:Z22,0),1),2)=0),1, IF(AND(T.ServiceCenterIrchel,Z72=INDEX(T.JaNein.Bereich,1,1),Z77&gt;0),1, IF(AND(T.50_Vetsuisse=0,T.ServiceCenterIrchel=0,Z77&gt;0),1,0)))</f>
        <v>0</v>
      </c>
      <c r="AA69" s="249" t="n">
        <f aca="true">IF(AND(T.50_Vetsuisse,AA72=INDEX(T.JaNein.Bereich,1,1),AA73&gt;0,MOD(IFERROR(MATCH(1,AA13:AA22,0),1),2)=0),1, IF(AND(T.ServiceCenterIrchel,AA72=INDEX(T.JaNein.Bereich,1,1),AA77&gt;0),1, IF(AND(T.50_Vetsuisse=0,T.ServiceCenterIrchel=0,AA77&gt;0),1,0)))</f>
        <v>0</v>
      </c>
      <c r="AB69" s="249" t="n">
        <f aca="true">IF(AND(T.50_Vetsuisse,AB72=INDEX(T.JaNein.Bereich,1,1),AB73&gt;0,MOD(IFERROR(MATCH(1,AB13:AB22,0),1),2)=0),1, IF(AND(T.ServiceCenterIrchel,AB72=INDEX(T.JaNein.Bereich,1,1),AB77&gt;0),1, IF(AND(T.50_Vetsuisse=0,T.ServiceCenterIrchel=0,AB77&gt;0),1,0)))</f>
        <v>0</v>
      </c>
      <c r="AC69" s="249" t="n">
        <f aca="true">IF(AND(T.50_Vetsuisse,AC72=INDEX(T.JaNein.Bereich,1,1),AC73&gt;0,MOD(IFERROR(MATCH(1,AC13:AC22,0),1),2)=0),1, IF(AND(T.ServiceCenterIrchel,AC72=INDEX(T.JaNein.Bereich,1,1),AC77&gt;0),1, IF(AND(T.50_Vetsuisse=0,T.ServiceCenterIrchel=0,AC77&gt;0),1,0)))</f>
        <v>0</v>
      </c>
      <c r="AD69" s="249" t="n">
        <f aca="true">IF(AND(T.50_Vetsuisse,AD72=INDEX(T.JaNein.Bereich,1,1),AD73&gt;0,MOD(IFERROR(MATCH(1,AD13:AD22,0),1),2)=0),1, IF(AND(T.ServiceCenterIrchel,AD72=INDEX(T.JaNein.Bereich,1,1),AD77&gt;0),1, IF(AND(T.50_Vetsuisse=0,T.ServiceCenterIrchel=0,AD77&gt;0),1,0)))</f>
        <v>0</v>
      </c>
      <c r="AE69" s="249" t="n">
        <f aca="true">IF(AND(T.50_Vetsuisse,AE72=INDEX(T.JaNein.Bereich,1,1),AE73&gt;0,MOD(IFERROR(MATCH(1,AE13:AE22,0),1),2)=0),1, IF(AND(T.ServiceCenterIrchel,AE72=INDEX(T.JaNein.Bereich,1,1),AE77&gt;0),1, IF(AND(T.50_Vetsuisse=0,T.ServiceCenterIrchel=0,AE77&gt;0),1,0)))</f>
        <v>0</v>
      </c>
      <c r="AF69" s="168" t="str">
        <f aca="false">A69</f>
        <v>Counter night shift</v>
      </c>
      <c r="AG69" s="250"/>
      <c r="AH69" s="251" t="n">
        <f aca="false">SUM(B69:AE69)</f>
        <v>0</v>
      </c>
      <c r="AI69" s="33"/>
      <c r="AJ69" s="192"/>
      <c r="AK69" s="252" t="n">
        <f aca="false">IF(EB.Anwendung&lt;&gt;"",IF(MONTH(Monat.Tag1)=1,0,IF(MONTH(Monat.Tag1)=2,January!Monat.ZählerNDUe,IF(MONTH(Monat.Tag1)=3,February!Monat.ZählerNDUe,IF(MONTH(Monat.Tag1)=4,March!Monat.ZählerNDUe,IF(MONTH(Monat.Tag1)=5,Monat.ZählerNDUe,IF(MONTH(Monat.Tag1)=6,May!Monat.ZählerNDUe,IF(MONTH(Monat.Tag1)=7,June!Monat.ZählerNDUe,IF(MONTH(Monat.Tag1)=8,July!Monat.ZählerNDUe,IF(MONTH(Monat.Tag1)=9,August!Monat.ZählerNDUe,IF(MONTH(Monat.Tag1)=10,September!Monat.ZählerNDUe,IF(MONTH(Monat.Tag1)=11,October!Monat.ZählerNDUe,IF(MONTH(Monat.Tag1)=12,November!Monat.ZählerNDUe,"")))))))))))),"")</f>
        <v>0</v>
      </c>
      <c r="AL69" s="172"/>
      <c r="AM69" s="253" t="n">
        <f aca="false">AK69+AH69</f>
        <v>0</v>
      </c>
      <c r="AN69" s="171"/>
      <c r="AO69" s="171"/>
      <c r="AP69" s="39"/>
    </row>
    <row r="70" s="148" customFormat="true" ht="15" hidden="true" customHeight="true" outlineLevel="0" collapsed="false">
      <c r="A70" s="175" t="s">
        <v>156</v>
      </c>
      <c r="B70" s="249" t="n">
        <f aca="false">IF(DAY(B$10)=1,$AK$69,A70)+B69</f>
        <v>0</v>
      </c>
      <c r="C70" s="249" t="n">
        <f aca="false">IF(DAY(C$10)=1,$AK$69,B70)+C69</f>
        <v>0</v>
      </c>
      <c r="D70" s="249" t="n">
        <f aca="false">IF(DAY(D$10)=1,$AK$69,C70)+D69</f>
        <v>0</v>
      </c>
      <c r="E70" s="249" t="n">
        <f aca="false">IF(DAY(E$10)=1,$AK$69,D70)+E69</f>
        <v>0</v>
      </c>
      <c r="F70" s="249" t="n">
        <f aca="false">IF(DAY(F$10)=1,$AK$69,E70)+F69</f>
        <v>0</v>
      </c>
      <c r="G70" s="249" t="n">
        <f aca="false">IF(DAY(G$10)=1,$AK$69,F70)+G69</f>
        <v>0</v>
      </c>
      <c r="H70" s="249" t="n">
        <f aca="false">IF(DAY(H$10)=1,$AK$69,G70)+H69</f>
        <v>0</v>
      </c>
      <c r="I70" s="249" t="n">
        <f aca="false">IF(DAY(I$10)=1,$AK$69,H70)+I69</f>
        <v>0</v>
      </c>
      <c r="J70" s="249" t="n">
        <f aca="false">IF(DAY(J$10)=1,$AK$69,I70)+J69</f>
        <v>0</v>
      </c>
      <c r="K70" s="249" t="n">
        <f aca="false">IF(DAY(K$10)=1,$AK$69,J70)+K69</f>
        <v>0</v>
      </c>
      <c r="L70" s="249" t="n">
        <f aca="false">IF(DAY(L$10)=1,$AK$69,K70)+L69</f>
        <v>0</v>
      </c>
      <c r="M70" s="249" t="n">
        <f aca="false">IF(DAY(M$10)=1,$AK$69,L70)+M69</f>
        <v>0</v>
      </c>
      <c r="N70" s="249" t="n">
        <f aca="false">IF(DAY(N$10)=1,$AK$69,M70)+N69</f>
        <v>0</v>
      </c>
      <c r="O70" s="249" t="n">
        <f aca="false">IF(DAY(O$10)=1,$AK$69,N70)+O69</f>
        <v>0</v>
      </c>
      <c r="P70" s="249" t="n">
        <f aca="false">IF(DAY(P$10)=1,$AK$69,O70)+P69</f>
        <v>0</v>
      </c>
      <c r="Q70" s="249" t="n">
        <f aca="false">IF(DAY(Q$10)=1,$AK$69,P70)+Q69</f>
        <v>0</v>
      </c>
      <c r="R70" s="249" t="n">
        <f aca="false">IF(DAY(R$10)=1,$AK$69,Q70)+R69</f>
        <v>0</v>
      </c>
      <c r="S70" s="249" t="n">
        <f aca="false">IF(DAY(S$10)=1,$AK$69,R70)+S69</f>
        <v>0</v>
      </c>
      <c r="T70" s="249" t="n">
        <f aca="false">IF(DAY(T$10)=1,$AK$69,S70)+T69</f>
        <v>0</v>
      </c>
      <c r="U70" s="249" t="n">
        <f aca="false">IF(DAY(U$10)=1,$AK$69,T70)+U69</f>
        <v>0</v>
      </c>
      <c r="V70" s="249" t="n">
        <f aca="false">IF(DAY(V$10)=1,$AK$69,U70)+V69</f>
        <v>0</v>
      </c>
      <c r="W70" s="249" t="n">
        <f aca="false">IF(DAY(W$10)=1,$AK$69,V70)+W69</f>
        <v>0</v>
      </c>
      <c r="X70" s="249" t="n">
        <f aca="false">IF(DAY(X$10)=1,$AK$69,W70)+X69</f>
        <v>0</v>
      </c>
      <c r="Y70" s="249" t="n">
        <f aca="false">IF(DAY(Y$10)=1,$AK$69,X70)+Y69</f>
        <v>0</v>
      </c>
      <c r="Z70" s="249" t="n">
        <f aca="false">IF(DAY(Z$10)=1,$AK$69,Y70)+Z69</f>
        <v>0</v>
      </c>
      <c r="AA70" s="249" t="n">
        <f aca="false">IF(DAY(AA$10)=1,$AK$69,Z70)+AA69</f>
        <v>0</v>
      </c>
      <c r="AB70" s="249" t="n">
        <f aca="false">IF(DAY(AB$10)=1,$AK$69,AA70)+AB69</f>
        <v>0</v>
      </c>
      <c r="AC70" s="249" t="n">
        <f aca="false">IF(DAY(AC$10)=1,$AK$69,AB70)+AC69</f>
        <v>0</v>
      </c>
      <c r="AD70" s="249" t="n">
        <f aca="false">IF(DAY(AD$10)=1,$AK$69,AC70)+AD69</f>
        <v>0</v>
      </c>
      <c r="AE70" s="249" t="n">
        <f aca="false">IF(DAY(AE$10)=1,$AK$69,AD70)+AE69</f>
        <v>0</v>
      </c>
      <c r="AF70" s="168" t="str">
        <f aca="false">A70</f>
        <v>Balance counter night shift</v>
      </c>
      <c r="AG70" s="197"/>
      <c r="AH70" s="192"/>
      <c r="AI70" s="27"/>
      <c r="AJ70" s="235"/>
      <c r="AK70" s="235"/>
      <c r="AL70" s="172"/>
      <c r="AM70" s="254"/>
      <c r="AN70" s="171"/>
      <c r="AO70" s="171"/>
      <c r="AP70" s="39"/>
    </row>
    <row r="71" s="148" customFormat="true" ht="15" hidden="true" customHeight="true" outlineLevel="1" collapsed="false">
      <c r="A71" s="175" t="s">
        <v>157</v>
      </c>
      <c r="B71" s="176"/>
      <c r="C71" s="176"/>
      <c r="D71" s="176"/>
      <c r="E71" s="177"/>
      <c r="F71" s="176"/>
      <c r="G71" s="176"/>
      <c r="H71" s="176"/>
      <c r="I71" s="176"/>
      <c r="J71" s="177"/>
      <c r="K71" s="176"/>
      <c r="L71" s="177"/>
      <c r="M71" s="176"/>
      <c r="N71" s="176"/>
      <c r="O71" s="176"/>
      <c r="P71" s="176"/>
      <c r="Q71" s="177"/>
      <c r="R71" s="176"/>
      <c r="S71" s="177"/>
      <c r="T71" s="177"/>
      <c r="U71" s="176"/>
      <c r="V71" s="176"/>
      <c r="W71" s="176"/>
      <c r="X71" s="177"/>
      <c r="Y71" s="176"/>
      <c r="Z71" s="178"/>
      <c r="AA71" s="176"/>
      <c r="AB71" s="176"/>
      <c r="AC71" s="176"/>
      <c r="AD71" s="176"/>
      <c r="AE71" s="177"/>
      <c r="AF71" s="168" t="str">
        <f aca="false">A71</f>
        <v>Compensation TS night shift</v>
      </c>
      <c r="AG71" s="184"/>
      <c r="AH71" s="207" t="n">
        <f aca="false">SUM(B71:AE71)</f>
        <v>0</v>
      </c>
      <c r="AI71" s="33"/>
      <c r="AJ71" s="235"/>
      <c r="AK71" s="216" t="n">
        <f aca="false">IF(EB.Anwendung&lt;&gt;"",IF(MONTH(Monat.Tag1)=1,0,IF(MONTH(Monat.Tag1)=2,January!Monat.KompZZSNDUeVM,IF(MONTH(Monat.Tag1)=3,February!Monat.KompZZSNDUeVM,IF(MONTH(Monat.Tag1)=4,March!Monat.KompZZSNDUeVM,IF(MONTH(Monat.Tag1)=5,Monat.KompZZSNDUeVM,IF(MONTH(Monat.Tag1)=6,May!Monat.KompZZSNDUeVM,IF(MONTH(Monat.Tag1)=7,June!Monat.KompZZSNDUeVM,IF(MONTH(Monat.Tag1)=8,July!Monat.KompZZSNDUeVM,IF(MONTH(Monat.Tag1)=9,August!Monat.KompZZSNDUeVM,IF(MONTH(Monat.Tag1)=10,September!Monat.KompZZSNDUeVM,IF(MONTH(Monat.Tag1)=11,October!Monat.KompZZSNDUeVM,IF(MONTH(Monat.Tag1)=12,November!Monat.KompZZSNDUeVM,"")))))))))))),"")</f>
        <v>0</v>
      </c>
      <c r="AL71" s="172"/>
      <c r="AM71" s="217" t="n">
        <f aca="false">AH71+AK71</f>
        <v>0</v>
      </c>
      <c r="AN71" s="217" t="n">
        <f aca="true">SUM(OFFSET(Jahr.KompZZSND,-12,0,MONTH(Monat.Tag1),1))</f>
        <v>0</v>
      </c>
      <c r="AO71" s="217" t="n">
        <f aca="false">Jahr.KompZZSND</f>
        <v>0</v>
      </c>
      <c r="AP71" s="39"/>
    </row>
    <row r="72" s="148" customFormat="true" ht="15" hidden="true" customHeight="true" outlineLevel="1" collapsed="false">
      <c r="A72" s="175" t="s">
        <v>158</v>
      </c>
      <c r="B72" s="255"/>
      <c r="C72" s="255"/>
      <c r="D72" s="255"/>
      <c r="E72" s="255"/>
      <c r="F72" s="255"/>
      <c r="G72" s="255"/>
      <c r="H72" s="255"/>
      <c r="I72" s="255"/>
      <c r="J72" s="255"/>
      <c r="K72" s="255"/>
      <c r="L72" s="255"/>
      <c r="M72" s="255"/>
      <c r="N72" s="255"/>
      <c r="O72" s="255"/>
      <c r="P72" s="255"/>
      <c r="Q72" s="255"/>
      <c r="R72" s="255"/>
      <c r="S72" s="255"/>
      <c r="T72" s="255"/>
      <c r="U72" s="255"/>
      <c r="V72" s="255"/>
      <c r="W72" s="255"/>
      <c r="X72" s="255"/>
      <c r="Y72" s="255"/>
      <c r="Z72" s="255"/>
      <c r="AA72" s="255"/>
      <c r="AB72" s="255"/>
      <c r="AC72" s="255"/>
      <c r="AD72" s="255"/>
      <c r="AE72" s="255"/>
      <c r="AF72" s="168" t="str">
        <f aca="false">A72</f>
        <v>Start pl. night shift Yes/No</v>
      </c>
      <c r="AG72" s="184"/>
      <c r="AH72" s="192"/>
      <c r="AI72" s="198" t="n">
        <f aca="true">IFERROR(SUMPRODUCT((B72:AE72=INDEX(T.JaNein.Bereich,1))*(B72:AE72&lt;&gt;"")),0)</f>
        <v>0</v>
      </c>
      <c r="AJ72" s="235"/>
      <c r="AK72" s="198" t="n">
        <f aca="false">AK69</f>
        <v>0</v>
      </c>
      <c r="AL72" s="172"/>
      <c r="AM72" s="253" t="n">
        <f aca="false">AM69</f>
        <v>0</v>
      </c>
      <c r="AN72" s="172"/>
      <c r="AO72" s="172"/>
      <c r="AP72" s="39"/>
    </row>
    <row r="73" s="148" customFormat="true" ht="15" hidden="false" customHeight="true" outlineLevel="1" collapsed="false">
      <c r="A73" s="175" t="s">
        <v>159</v>
      </c>
      <c r="B73" s="256" t="n">
        <f aca="false">IF(B$12=0,0,IF(OR(T.50_Vetsuisse,T.ServiceCenterIrchel),ROUND(B14-B13+MAX(0,T.Nachtab-MAX(T.Nachtbis,B14))-MAX(0,T.Nachtab-MAX(B13,T.Nachtbis))+(B13&gt;B14)*(1+T.Nachtbis-T.Nachtab)+B16-B15+MAX(0,T.Nachtab-MAX(T.Nachtbis,B16))-MAX(0,T.Nachtab-MAX(B15,T.Nachtbis))+(B15&gt;B16)*(1+T.Nachtbis-T.Nachtab)+B18-B17+MAX(0,T.Nachtab-MAX(T.Nachtbis,B18))-MAX(0,T.Nachtab-MAX(B17,T.Nachtbis))+(B17&gt;B18)*(1+T.Nachtbis-T.Nachtab)+B20-B19+MAX(0,T.Nachtab-MAX(T.Nachtbis,B20))-MAX(0,T.Nachtab-MAX(B19,T.Nachtbis))+(B19&gt;B20)*(1+T.Nachtbis-T.Nachtab)+B22-B21+MAX(0,T.Nachtab-MAX(T.Nachtbis,B22))-MAX(0,T.Nachtab-MAX(B21,T.Nachtbis))+(B21&gt;B22)*(1+T.Nachtbis-T.Nachtab),9), IF(AND(WEEKDAY(B$10,2)&lt;6,B$11&lt;&gt;0),ROUND(B36-B35+MAX(0,T.Nachtab-MAX(T.Nachtbis,B36))-MAX(0,T.Nachtab-MAX(B35,T.Nachtbis))+(B35&gt;B36)*(1+T.Nachtbis-T.Nachtab)+B38-B37+MAX(0,T.Nachtab-MAX(T.Nachtbis,B38))-MAX(0,T.Nachtab-MAX(B37,T.Nachtbis))+(B37&gt;B38)*(1+T.Nachtbis-T.Nachtab)+B40-B39+MAX(0,T.Nachtab-MAX(T.Nachtbis,B40))-MAX(0,T.Nachtab-MAX(B39,T.Nachtbis))+(B39&gt;B40)*(1+T.Nachtbis-T.Nachtab)+B42-B41+MAX(0,T.Nachtab-MAX(T.Nachtbis,B42))-MAX(0,T.Nachtab-MAX(B41,T.Nachtbis))+(B41&gt;B42)*(1+T.Nachtbis-T.Nachtab)+B44-B43+MAX(0,T.Nachtab-MAX(T.Nachtbis,B44))-MAX(0,T.Nachtab-MAX(B43,T.Nachtbis))+(B43&gt;B44)*(1+T.Nachtbis-T.Nachtab),9),0)))</f>
        <v>0</v>
      </c>
      <c r="C73" s="256" t="n">
        <f aca="false">IF(C$12=0,0,IF(OR(T.50_Vetsuisse,T.ServiceCenterIrchel),ROUND(C14-C13+MAX(0,T.Nachtab-MAX(T.Nachtbis,C14))-MAX(0,T.Nachtab-MAX(C13,T.Nachtbis))+(C13&gt;C14)*(1+T.Nachtbis-T.Nachtab)+C16-C15+MAX(0,T.Nachtab-MAX(T.Nachtbis,C16))-MAX(0,T.Nachtab-MAX(C15,T.Nachtbis))+(C15&gt;C16)*(1+T.Nachtbis-T.Nachtab)+C18-C17+MAX(0,T.Nachtab-MAX(T.Nachtbis,C18))-MAX(0,T.Nachtab-MAX(C17,T.Nachtbis))+(C17&gt;C18)*(1+T.Nachtbis-T.Nachtab)+C20-C19+MAX(0,T.Nachtab-MAX(T.Nachtbis,C20))-MAX(0,T.Nachtab-MAX(C19,T.Nachtbis))+(C19&gt;C20)*(1+T.Nachtbis-T.Nachtab)+C22-C21+MAX(0,T.Nachtab-MAX(T.Nachtbis,C22))-MAX(0,T.Nachtab-MAX(C21,T.Nachtbis))+(C21&gt;C22)*(1+T.Nachtbis-T.Nachtab),9), IF(AND(WEEKDAY(C$10,2)&lt;6,C$11&lt;&gt;0),ROUND(C36-C35+MAX(0,T.Nachtab-MAX(T.Nachtbis,C36))-MAX(0,T.Nachtab-MAX(C35,T.Nachtbis))+(C35&gt;C36)*(1+T.Nachtbis-T.Nachtab)+C38-C37+MAX(0,T.Nachtab-MAX(T.Nachtbis,C38))-MAX(0,T.Nachtab-MAX(C37,T.Nachtbis))+(C37&gt;C38)*(1+T.Nachtbis-T.Nachtab)+C40-C39+MAX(0,T.Nachtab-MAX(T.Nachtbis,C40))-MAX(0,T.Nachtab-MAX(C39,T.Nachtbis))+(C39&gt;C40)*(1+T.Nachtbis-T.Nachtab)+C42-C41+MAX(0,T.Nachtab-MAX(T.Nachtbis,C42))-MAX(0,T.Nachtab-MAX(C41,T.Nachtbis))+(C41&gt;C42)*(1+T.Nachtbis-T.Nachtab)+C44-C43+MAX(0,T.Nachtab-MAX(T.Nachtbis,C44))-MAX(0,T.Nachtab-MAX(C43,T.Nachtbis))+(C43&gt;C44)*(1+T.Nachtbis-T.Nachtab),9),0)))</f>
        <v>0</v>
      </c>
      <c r="D73" s="256" t="n">
        <f aca="false">IF(D$12=0,0,IF(OR(T.50_Vetsuisse,T.ServiceCenterIrchel),ROUND(D14-D13+MAX(0,T.Nachtab-MAX(T.Nachtbis,D14))-MAX(0,T.Nachtab-MAX(D13,T.Nachtbis))+(D13&gt;D14)*(1+T.Nachtbis-T.Nachtab)+D16-D15+MAX(0,T.Nachtab-MAX(T.Nachtbis,D16))-MAX(0,T.Nachtab-MAX(D15,T.Nachtbis))+(D15&gt;D16)*(1+T.Nachtbis-T.Nachtab)+D18-D17+MAX(0,T.Nachtab-MAX(T.Nachtbis,D18))-MAX(0,T.Nachtab-MAX(D17,T.Nachtbis))+(D17&gt;D18)*(1+T.Nachtbis-T.Nachtab)+D20-D19+MAX(0,T.Nachtab-MAX(T.Nachtbis,D20))-MAX(0,T.Nachtab-MAX(D19,T.Nachtbis))+(D19&gt;D20)*(1+T.Nachtbis-T.Nachtab)+D22-D21+MAX(0,T.Nachtab-MAX(T.Nachtbis,D22))-MAX(0,T.Nachtab-MAX(D21,T.Nachtbis))+(D21&gt;D22)*(1+T.Nachtbis-T.Nachtab),9), IF(AND(WEEKDAY(D$10,2)&lt;6,D$11&lt;&gt;0),ROUND(D36-D35+MAX(0,T.Nachtab-MAX(T.Nachtbis,D36))-MAX(0,T.Nachtab-MAX(D35,T.Nachtbis))+(D35&gt;D36)*(1+T.Nachtbis-T.Nachtab)+D38-D37+MAX(0,T.Nachtab-MAX(T.Nachtbis,D38))-MAX(0,T.Nachtab-MAX(D37,T.Nachtbis))+(D37&gt;D38)*(1+T.Nachtbis-T.Nachtab)+D40-D39+MAX(0,T.Nachtab-MAX(T.Nachtbis,D40))-MAX(0,T.Nachtab-MAX(D39,T.Nachtbis))+(D39&gt;D40)*(1+T.Nachtbis-T.Nachtab)+D42-D41+MAX(0,T.Nachtab-MAX(T.Nachtbis,D42))-MAX(0,T.Nachtab-MAX(D41,T.Nachtbis))+(D41&gt;D42)*(1+T.Nachtbis-T.Nachtab)+D44-D43+MAX(0,T.Nachtab-MAX(T.Nachtbis,D44))-MAX(0,T.Nachtab-MAX(D43,T.Nachtbis))+(D43&gt;D44)*(1+T.Nachtbis-T.Nachtab),9),0)))</f>
        <v>0</v>
      </c>
      <c r="E73" s="256" t="n">
        <f aca="false">IF(E$12=0,0,IF(OR(T.50_Vetsuisse,T.ServiceCenterIrchel),ROUND(E14-E13+MAX(0,T.Nachtab-MAX(T.Nachtbis,E14))-MAX(0,T.Nachtab-MAX(E13,T.Nachtbis))+(E13&gt;E14)*(1+T.Nachtbis-T.Nachtab)+E16-E15+MAX(0,T.Nachtab-MAX(T.Nachtbis,E16))-MAX(0,T.Nachtab-MAX(E15,T.Nachtbis))+(E15&gt;E16)*(1+T.Nachtbis-T.Nachtab)+E18-E17+MAX(0,T.Nachtab-MAX(T.Nachtbis,E18))-MAX(0,T.Nachtab-MAX(E17,T.Nachtbis))+(E17&gt;E18)*(1+T.Nachtbis-T.Nachtab)+E20-E19+MAX(0,T.Nachtab-MAX(T.Nachtbis,E20))-MAX(0,T.Nachtab-MAX(E19,T.Nachtbis))+(E19&gt;E20)*(1+T.Nachtbis-T.Nachtab)+E22-E21+MAX(0,T.Nachtab-MAX(T.Nachtbis,E22))-MAX(0,T.Nachtab-MAX(E21,T.Nachtbis))+(E21&gt;E22)*(1+T.Nachtbis-T.Nachtab),9), IF(AND(WEEKDAY(E$10,2)&lt;6,E$11&lt;&gt;0),ROUND(E36-E35+MAX(0,T.Nachtab-MAX(T.Nachtbis,E36))-MAX(0,T.Nachtab-MAX(E35,T.Nachtbis))+(E35&gt;E36)*(1+T.Nachtbis-T.Nachtab)+E38-E37+MAX(0,T.Nachtab-MAX(T.Nachtbis,E38))-MAX(0,T.Nachtab-MAX(E37,T.Nachtbis))+(E37&gt;E38)*(1+T.Nachtbis-T.Nachtab)+E40-E39+MAX(0,T.Nachtab-MAX(T.Nachtbis,E40))-MAX(0,T.Nachtab-MAX(E39,T.Nachtbis))+(E39&gt;E40)*(1+T.Nachtbis-T.Nachtab)+E42-E41+MAX(0,T.Nachtab-MAX(T.Nachtbis,E42))-MAX(0,T.Nachtab-MAX(E41,T.Nachtbis))+(E41&gt;E42)*(1+T.Nachtbis-T.Nachtab)+E44-E43+MAX(0,T.Nachtab-MAX(T.Nachtbis,E44))-MAX(0,T.Nachtab-MAX(E43,T.Nachtbis))+(E43&gt;E44)*(1+T.Nachtbis-T.Nachtab),9),0)))</f>
        <v>0</v>
      </c>
      <c r="F73" s="256" t="n">
        <f aca="false">IF(F$12=0,0,IF(OR(T.50_Vetsuisse,T.ServiceCenterIrchel),ROUND(F14-F13+MAX(0,T.Nachtab-MAX(T.Nachtbis,F14))-MAX(0,T.Nachtab-MAX(F13,T.Nachtbis))+(F13&gt;F14)*(1+T.Nachtbis-T.Nachtab)+F16-F15+MAX(0,T.Nachtab-MAX(T.Nachtbis,F16))-MAX(0,T.Nachtab-MAX(F15,T.Nachtbis))+(F15&gt;F16)*(1+T.Nachtbis-T.Nachtab)+F18-F17+MAX(0,T.Nachtab-MAX(T.Nachtbis,F18))-MAX(0,T.Nachtab-MAX(F17,T.Nachtbis))+(F17&gt;F18)*(1+T.Nachtbis-T.Nachtab)+F20-F19+MAX(0,T.Nachtab-MAX(T.Nachtbis,F20))-MAX(0,T.Nachtab-MAX(F19,T.Nachtbis))+(F19&gt;F20)*(1+T.Nachtbis-T.Nachtab)+F22-F21+MAX(0,T.Nachtab-MAX(T.Nachtbis,F22))-MAX(0,T.Nachtab-MAX(F21,T.Nachtbis))+(F21&gt;F22)*(1+T.Nachtbis-T.Nachtab),9), IF(AND(WEEKDAY(F$10,2)&lt;6,F$11&lt;&gt;0),ROUND(F36-F35+MAX(0,T.Nachtab-MAX(T.Nachtbis,F36))-MAX(0,T.Nachtab-MAX(F35,T.Nachtbis))+(F35&gt;F36)*(1+T.Nachtbis-T.Nachtab)+F38-F37+MAX(0,T.Nachtab-MAX(T.Nachtbis,F38))-MAX(0,T.Nachtab-MAX(F37,T.Nachtbis))+(F37&gt;F38)*(1+T.Nachtbis-T.Nachtab)+F40-F39+MAX(0,T.Nachtab-MAX(T.Nachtbis,F40))-MAX(0,T.Nachtab-MAX(F39,T.Nachtbis))+(F39&gt;F40)*(1+T.Nachtbis-T.Nachtab)+F42-F41+MAX(0,T.Nachtab-MAX(T.Nachtbis,F42))-MAX(0,T.Nachtab-MAX(F41,T.Nachtbis))+(F41&gt;F42)*(1+T.Nachtbis-T.Nachtab)+F44-F43+MAX(0,T.Nachtab-MAX(T.Nachtbis,F44))-MAX(0,T.Nachtab-MAX(F43,T.Nachtbis))+(F43&gt;F44)*(1+T.Nachtbis-T.Nachtab),9),0)))</f>
        <v>0</v>
      </c>
      <c r="G73" s="256" t="n">
        <f aca="false">IF(G$12=0,0,IF(OR(T.50_Vetsuisse,T.ServiceCenterIrchel),ROUND(G14-G13+MAX(0,T.Nachtab-MAX(T.Nachtbis,G14))-MAX(0,T.Nachtab-MAX(G13,T.Nachtbis))+(G13&gt;G14)*(1+T.Nachtbis-T.Nachtab)+G16-G15+MAX(0,T.Nachtab-MAX(T.Nachtbis,G16))-MAX(0,T.Nachtab-MAX(G15,T.Nachtbis))+(G15&gt;G16)*(1+T.Nachtbis-T.Nachtab)+G18-G17+MAX(0,T.Nachtab-MAX(T.Nachtbis,G18))-MAX(0,T.Nachtab-MAX(G17,T.Nachtbis))+(G17&gt;G18)*(1+T.Nachtbis-T.Nachtab)+G20-G19+MAX(0,T.Nachtab-MAX(T.Nachtbis,G20))-MAX(0,T.Nachtab-MAX(G19,T.Nachtbis))+(G19&gt;G20)*(1+T.Nachtbis-T.Nachtab)+G22-G21+MAX(0,T.Nachtab-MAX(T.Nachtbis,G22))-MAX(0,T.Nachtab-MAX(G21,T.Nachtbis))+(G21&gt;G22)*(1+T.Nachtbis-T.Nachtab),9), IF(AND(WEEKDAY(G$10,2)&lt;6,G$11&lt;&gt;0),ROUND(G36-G35+MAX(0,T.Nachtab-MAX(T.Nachtbis,G36))-MAX(0,T.Nachtab-MAX(G35,T.Nachtbis))+(G35&gt;G36)*(1+T.Nachtbis-T.Nachtab)+G38-G37+MAX(0,T.Nachtab-MAX(T.Nachtbis,G38))-MAX(0,T.Nachtab-MAX(G37,T.Nachtbis))+(G37&gt;G38)*(1+T.Nachtbis-T.Nachtab)+G40-G39+MAX(0,T.Nachtab-MAX(T.Nachtbis,G40))-MAX(0,T.Nachtab-MAX(G39,T.Nachtbis))+(G39&gt;G40)*(1+T.Nachtbis-T.Nachtab)+G42-G41+MAX(0,T.Nachtab-MAX(T.Nachtbis,G42))-MAX(0,T.Nachtab-MAX(G41,T.Nachtbis))+(G41&gt;G42)*(1+T.Nachtbis-T.Nachtab)+G44-G43+MAX(0,T.Nachtab-MAX(T.Nachtbis,G44))-MAX(0,T.Nachtab-MAX(G43,T.Nachtbis))+(G43&gt;G44)*(1+T.Nachtbis-T.Nachtab),9),0)))</f>
        <v>0</v>
      </c>
      <c r="H73" s="256" t="n">
        <f aca="false">IF(H$12=0,0,IF(OR(T.50_Vetsuisse,T.ServiceCenterIrchel),ROUND(H14-H13+MAX(0,T.Nachtab-MAX(T.Nachtbis,H14))-MAX(0,T.Nachtab-MAX(H13,T.Nachtbis))+(H13&gt;H14)*(1+T.Nachtbis-T.Nachtab)+H16-H15+MAX(0,T.Nachtab-MAX(T.Nachtbis,H16))-MAX(0,T.Nachtab-MAX(H15,T.Nachtbis))+(H15&gt;H16)*(1+T.Nachtbis-T.Nachtab)+H18-H17+MAX(0,T.Nachtab-MAX(T.Nachtbis,H18))-MAX(0,T.Nachtab-MAX(H17,T.Nachtbis))+(H17&gt;H18)*(1+T.Nachtbis-T.Nachtab)+H20-H19+MAX(0,T.Nachtab-MAX(T.Nachtbis,H20))-MAX(0,T.Nachtab-MAX(H19,T.Nachtbis))+(H19&gt;H20)*(1+T.Nachtbis-T.Nachtab)+H22-H21+MAX(0,T.Nachtab-MAX(T.Nachtbis,H22))-MAX(0,T.Nachtab-MAX(H21,T.Nachtbis))+(H21&gt;H22)*(1+T.Nachtbis-T.Nachtab),9), IF(AND(WEEKDAY(H$10,2)&lt;6,H$11&lt;&gt;0),ROUND(H36-H35+MAX(0,T.Nachtab-MAX(T.Nachtbis,H36))-MAX(0,T.Nachtab-MAX(H35,T.Nachtbis))+(H35&gt;H36)*(1+T.Nachtbis-T.Nachtab)+H38-H37+MAX(0,T.Nachtab-MAX(T.Nachtbis,H38))-MAX(0,T.Nachtab-MAX(H37,T.Nachtbis))+(H37&gt;H38)*(1+T.Nachtbis-T.Nachtab)+H40-H39+MAX(0,T.Nachtab-MAX(T.Nachtbis,H40))-MAX(0,T.Nachtab-MAX(H39,T.Nachtbis))+(H39&gt;H40)*(1+T.Nachtbis-T.Nachtab)+H42-H41+MAX(0,T.Nachtab-MAX(T.Nachtbis,H42))-MAX(0,T.Nachtab-MAX(H41,T.Nachtbis))+(H41&gt;H42)*(1+T.Nachtbis-T.Nachtab)+H44-H43+MAX(0,T.Nachtab-MAX(T.Nachtbis,H44))-MAX(0,T.Nachtab-MAX(H43,T.Nachtbis))+(H43&gt;H44)*(1+T.Nachtbis-T.Nachtab),9),0)))</f>
        <v>0</v>
      </c>
      <c r="I73" s="256" t="n">
        <f aca="false">IF(I$12=0,0,IF(OR(T.50_Vetsuisse,T.ServiceCenterIrchel),ROUND(I14-I13+MAX(0,T.Nachtab-MAX(T.Nachtbis,I14))-MAX(0,T.Nachtab-MAX(I13,T.Nachtbis))+(I13&gt;I14)*(1+T.Nachtbis-T.Nachtab)+I16-I15+MAX(0,T.Nachtab-MAX(T.Nachtbis,I16))-MAX(0,T.Nachtab-MAX(I15,T.Nachtbis))+(I15&gt;I16)*(1+T.Nachtbis-T.Nachtab)+I18-I17+MAX(0,T.Nachtab-MAX(T.Nachtbis,I18))-MAX(0,T.Nachtab-MAX(I17,T.Nachtbis))+(I17&gt;I18)*(1+T.Nachtbis-T.Nachtab)+I20-I19+MAX(0,T.Nachtab-MAX(T.Nachtbis,I20))-MAX(0,T.Nachtab-MAX(I19,T.Nachtbis))+(I19&gt;I20)*(1+T.Nachtbis-T.Nachtab)+I22-I21+MAX(0,T.Nachtab-MAX(T.Nachtbis,I22))-MAX(0,T.Nachtab-MAX(I21,T.Nachtbis))+(I21&gt;I22)*(1+T.Nachtbis-T.Nachtab),9), IF(AND(WEEKDAY(I$10,2)&lt;6,I$11&lt;&gt;0),ROUND(I36-I35+MAX(0,T.Nachtab-MAX(T.Nachtbis,I36))-MAX(0,T.Nachtab-MAX(I35,T.Nachtbis))+(I35&gt;I36)*(1+T.Nachtbis-T.Nachtab)+I38-I37+MAX(0,T.Nachtab-MAX(T.Nachtbis,I38))-MAX(0,T.Nachtab-MAX(I37,T.Nachtbis))+(I37&gt;I38)*(1+T.Nachtbis-T.Nachtab)+I40-I39+MAX(0,T.Nachtab-MAX(T.Nachtbis,I40))-MAX(0,T.Nachtab-MAX(I39,T.Nachtbis))+(I39&gt;I40)*(1+T.Nachtbis-T.Nachtab)+I42-I41+MAX(0,T.Nachtab-MAX(T.Nachtbis,I42))-MAX(0,T.Nachtab-MAX(I41,T.Nachtbis))+(I41&gt;I42)*(1+T.Nachtbis-T.Nachtab)+I44-I43+MAX(0,T.Nachtab-MAX(T.Nachtbis,I44))-MAX(0,T.Nachtab-MAX(I43,T.Nachtbis))+(I43&gt;I44)*(1+T.Nachtbis-T.Nachtab),9),0)))</f>
        <v>0</v>
      </c>
      <c r="J73" s="256" t="n">
        <f aca="false">IF(J$12=0,0,IF(OR(T.50_Vetsuisse,T.ServiceCenterIrchel),ROUND(J14-J13+MAX(0,T.Nachtab-MAX(T.Nachtbis,J14))-MAX(0,T.Nachtab-MAX(J13,T.Nachtbis))+(J13&gt;J14)*(1+T.Nachtbis-T.Nachtab)+J16-J15+MAX(0,T.Nachtab-MAX(T.Nachtbis,J16))-MAX(0,T.Nachtab-MAX(J15,T.Nachtbis))+(J15&gt;J16)*(1+T.Nachtbis-T.Nachtab)+J18-J17+MAX(0,T.Nachtab-MAX(T.Nachtbis,J18))-MAX(0,T.Nachtab-MAX(J17,T.Nachtbis))+(J17&gt;J18)*(1+T.Nachtbis-T.Nachtab)+J20-J19+MAX(0,T.Nachtab-MAX(T.Nachtbis,J20))-MAX(0,T.Nachtab-MAX(J19,T.Nachtbis))+(J19&gt;J20)*(1+T.Nachtbis-T.Nachtab)+J22-J21+MAX(0,T.Nachtab-MAX(T.Nachtbis,J22))-MAX(0,T.Nachtab-MAX(J21,T.Nachtbis))+(J21&gt;J22)*(1+T.Nachtbis-T.Nachtab),9), IF(AND(WEEKDAY(J$10,2)&lt;6,J$11&lt;&gt;0),ROUND(J36-J35+MAX(0,T.Nachtab-MAX(T.Nachtbis,J36))-MAX(0,T.Nachtab-MAX(J35,T.Nachtbis))+(J35&gt;J36)*(1+T.Nachtbis-T.Nachtab)+J38-J37+MAX(0,T.Nachtab-MAX(T.Nachtbis,J38))-MAX(0,T.Nachtab-MAX(J37,T.Nachtbis))+(J37&gt;J38)*(1+T.Nachtbis-T.Nachtab)+J40-J39+MAX(0,T.Nachtab-MAX(T.Nachtbis,J40))-MAX(0,T.Nachtab-MAX(J39,T.Nachtbis))+(J39&gt;J40)*(1+T.Nachtbis-T.Nachtab)+J42-J41+MAX(0,T.Nachtab-MAX(T.Nachtbis,J42))-MAX(0,T.Nachtab-MAX(J41,T.Nachtbis))+(J41&gt;J42)*(1+T.Nachtbis-T.Nachtab)+J44-J43+MAX(0,T.Nachtab-MAX(T.Nachtbis,J44))-MAX(0,T.Nachtab-MAX(J43,T.Nachtbis))+(J43&gt;J44)*(1+T.Nachtbis-T.Nachtab),9),0)))</f>
        <v>0</v>
      </c>
      <c r="K73" s="256" t="n">
        <f aca="false">IF(K$12=0,0,IF(OR(T.50_Vetsuisse,T.ServiceCenterIrchel),ROUND(K14-K13+MAX(0,T.Nachtab-MAX(T.Nachtbis,K14))-MAX(0,T.Nachtab-MAX(K13,T.Nachtbis))+(K13&gt;K14)*(1+T.Nachtbis-T.Nachtab)+K16-K15+MAX(0,T.Nachtab-MAX(T.Nachtbis,K16))-MAX(0,T.Nachtab-MAX(K15,T.Nachtbis))+(K15&gt;K16)*(1+T.Nachtbis-T.Nachtab)+K18-K17+MAX(0,T.Nachtab-MAX(T.Nachtbis,K18))-MAX(0,T.Nachtab-MAX(K17,T.Nachtbis))+(K17&gt;K18)*(1+T.Nachtbis-T.Nachtab)+K20-K19+MAX(0,T.Nachtab-MAX(T.Nachtbis,K20))-MAX(0,T.Nachtab-MAX(K19,T.Nachtbis))+(K19&gt;K20)*(1+T.Nachtbis-T.Nachtab)+K22-K21+MAX(0,T.Nachtab-MAX(T.Nachtbis,K22))-MAX(0,T.Nachtab-MAX(K21,T.Nachtbis))+(K21&gt;K22)*(1+T.Nachtbis-T.Nachtab),9), IF(AND(WEEKDAY(K$10,2)&lt;6,K$11&lt;&gt;0),ROUND(K36-K35+MAX(0,T.Nachtab-MAX(T.Nachtbis,K36))-MAX(0,T.Nachtab-MAX(K35,T.Nachtbis))+(K35&gt;K36)*(1+T.Nachtbis-T.Nachtab)+K38-K37+MAX(0,T.Nachtab-MAX(T.Nachtbis,K38))-MAX(0,T.Nachtab-MAX(K37,T.Nachtbis))+(K37&gt;K38)*(1+T.Nachtbis-T.Nachtab)+K40-K39+MAX(0,T.Nachtab-MAX(T.Nachtbis,K40))-MAX(0,T.Nachtab-MAX(K39,T.Nachtbis))+(K39&gt;K40)*(1+T.Nachtbis-T.Nachtab)+K42-K41+MAX(0,T.Nachtab-MAX(T.Nachtbis,K42))-MAX(0,T.Nachtab-MAX(K41,T.Nachtbis))+(K41&gt;K42)*(1+T.Nachtbis-T.Nachtab)+K44-K43+MAX(0,T.Nachtab-MAX(T.Nachtbis,K44))-MAX(0,T.Nachtab-MAX(K43,T.Nachtbis))+(K43&gt;K44)*(1+T.Nachtbis-T.Nachtab),9),0)))</f>
        <v>0</v>
      </c>
      <c r="L73" s="256" t="n">
        <f aca="false">IF(L$12=0,0,IF(OR(T.50_Vetsuisse,T.ServiceCenterIrchel),ROUND(L14-L13+MAX(0,T.Nachtab-MAX(T.Nachtbis,L14))-MAX(0,T.Nachtab-MAX(L13,T.Nachtbis))+(L13&gt;L14)*(1+T.Nachtbis-T.Nachtab)+L16-L15+MAX(0,T.Nachtab-MAX(T.Nachtbis,L16))-MAX(0,T.Nachtab-MAX(L15,T.Nachtbis))+(L15&gt;L16)*(1+T.Nachtbis-T.Nachtab)+L18-L17+MAX(0,T.Nachtab-MAX(T.Nachtbis,L18))-MAX(0,T.Nachtab-MAX(L17,T.Nachtbis))+(L17&gt;L18)*(1+T.Nachtbis-T.Nachtab)+L20-L19+MAX(0,T.Nachtab-MAX(T.Nachtbis,L20))-MAX(0,T.Nachtab-MAX(L19,T.Nachtbis))+(L19&gt;L20)*(1+T.Nachtbis-T.Nachtab)+L22-L21+MAX(0,T.Nachtab-MAX(T.Nachtbis,L22))-MAX(0,T.Nachtab-MAX(L21,T.Nachtbis))+(L21&gt;L22)*(1+T.Nachtbis-T.Nachtab),9), IF(AND(WEEKDAY(L$10,2)&lt;6,L$11&lt;&gt;0),ROUND(L36-L35+MAX(0,T.Nachtab-MAX(T.Nachtbis,L36))-MAX(0,T.Nachtab-MAX(L35,T.Nachtbis))+(L35&gt;L36)*(1+T.Nachtbis-T.Nachtab)+L38-L37+MAX(0,T.Nachtab-MAX(T.Nachtbis,L38))-MAX(0,T.Nachtab-MAX(L37,T.Nachtbis))+(L37&gt;L38)*(1+T.Nachtbis-T.Nachtab)+L40-L39+MAX(0,T.Nachtab-MAX(T.Nachtbis,L40))-MAX(0,T.Nachtab-MAX(L39,T.Nachtbis))+(L39&gt;L40)*(1+T.Nachtbis-T.Nachtab)+L42-L41+MAX(0,T.Nachtab-MAX(T.Nachtbis,L42))-MAX(0,T.Nachtab-MAX(L41,T.Nachtbis))+(L41&gt;L42)*(1+T.Nachtbis-T.Nachtab)+L44-L43+MAX(0,T.Nachtab-MAX(T.Nachtbis,L44))-MAX(0,T.Nachtab-MAX(L43,T.Nachtbis))+(L43&gt;L44)*(1+T.Nachtbis-T.Nachtab),9),0)))</f>
        <v>0</v>
      </c>
      <c r="M73" s="256" t="n">
        <f aca="false">IF(M$12=0,0,IF(OR(T.50_Vetsuisse,T.ServiceCenterIrchel),ROUND(M14-M13+MAX(0,T.Nachtab-MAX(T.Nachtbis,M14))-MAX(0,T.Nachtab-MAX(M13,T.Nachtbis))+(M13&gt;M14)*(1+T.Nachtbis-T.Nachtab)+M16-M15+MAX(0,T.Nachtab-MAX(T.Nachtbis,M16))-MAX(0,T.Nachtab-MAX(M15,T.Nachtbis))+(M15&gt;M16)*(1+T.Nachtbis-T.Nachtab)+M18-M17+MAX(0,T.Nachtab-MAX(T.Nachtbis,M18))-MAX(0,T.Nachtab-MAX(M17,T.Nachtbis))+(M17&gt;M18)*(1+T.Nachtbis-T.Nachtab)+M20-M19+MAX(0,T.Nachtab-MAX(T.Nachtbis,M20))-MAX(0,T.Nachtab-MAX(M19,T.Nachtbis))+(M19&gt;M20)*(1+T.Nachtbis-T.Nachtab)+M22-M21+MAX(0,T.Nachtab-MAX(T.Nachtbis,M22))-MAX(0,T.Nachtab-MAX(M21,T.Nachtbis))+(M21&gt;M22)*(1+T.Nachtbis-T.Nachtab),9), IF(AND(WEEKDAY(M$10,2)&lt;6,M$11&lt;&gt;0),ROUND(M36-M35+MAX(0,T.Nachtab-MAX(T.Nachtbis,M36))-MAX(0,T.Nachtab-MAX(M35,T.Nachtbis))+(M35&gt;M36)*(1+T.Nachtbis-T.Nachtab)+M38-M37+MAX(0,T.Nachtab-MAX(T.Nachtbis,M38))-MAX(0,T.Nachtab-MAX(M37,T.Nachtbis))+(M37&gt;M38)*(1+T.Nachtbis-T.Nachtab)+M40-M39+MAX(0,T.Nachtab-MAX(T.Nachtbis,M40))-MAX(0,T.Nachtab-MAX(M39,T.Nachtbis))+(M39&gt;M40)*(1+T.Nachtbis-T.Nachtab)+M42-M41+MAX(0,T.Nachtab-MAX(T.Nachtbis,M42))-MAX(0,T.Nachtab-MAX(M41,T.Nachtbis))+(M41&gt;M42)*(1+T.Nachtbis-T.Nachtab)+M44-M43+MAX(0,T.Nachtab-MAX(T.Nachtbis,M44))-MAX(0,T.Nachtab-MAX(M43,T.Nachtbis))+(M43&gt;M44)*(1+T.Nachtbis-T.Nachtab),9),0)))</f>
        <v>0</v>
      </c>
      <c r="N73" s="256" t="n">
        <f aca="false">IF(N$12=0,0,IF(OR(T.50_Vetsuisse,T.ServiceCenterIrchel),ROUND(N14-N13+MAX(0,T.Nachtab-MAX(T.Nachtbis,N14))-MAX(0,T.Nachtab-MAX(N13,T.Nachtbis))+(N13&gt;N14)*(1+T.Nachtbis-T.Nachtab)+N16-N15+MAX(0,T.Nachtab-MAX(T.Nachtbis,N16))-MAX(0,T.Nachtab-MAX(N15,T.Nachtbis))+(N15&gt;N16)*(1+T.Nachtbis-T.Nachtab)+N18-N17+MAX(0,T.Nachtab-MAX(T.Nachtbis,N18))-MAX(0,T.Nachtab-MAX(N17,T.Nachtbis))+(N17&gt;N18)*(1+T.Nachtbis-T.Nachtab)+N20-N19+MAX(0,T.Nachtab-MAX(T.Nachtbis,N20))-MAX(0,T.Nachtab-MAX(N19,T.Nachtbis))+(N19&gt;N20)*(1+T.Nachtbis-T.Nachtab)+N22-N21+MAX(0,T.Nachtab-MAX(T.Nachtbis,N22))-MAX(0,T.Nachtab-MAX(N21,T.Nachtbis))+(N21&gt;N22)*(1+T.Nachtbis-T.Nachtab),9), IF(AND(WEEKDAY(N$10,2)&lt;6,N$11&lt;&gt;0),ROUND(N36-N35+MAX(0,T.Nachtab-MAX(T.Nachtbis,N36))-MAX(0,T.Nachtab-MAX(N35,T.Nachtbis))+(N35&gt;N36)*(1+T.Nachtbis-T.Nachtab)+N38-N37+MAX(0,T.Nachtab-MAX(T.Nachtbis,N38))-MAX(0,T.Nachtab-MAX(N37,T.Nachtbis))+(N37&gt;N38)*(1+T.Nachtbis-T.Nachtab)+N40-N39+MAX(0,T.Nachtab-MAX(T.Nachtbis,N40))-MAX(0,T.Nachtab-MAX(N39,T.Nachtbis))+(N39&gt;N40)*(1+T.Nachtbis-T.Nachtab)+N42-N41+MAX(0,T.Nachtab-MAX(T.Nachtbis,N42))-MAX(0,T.Nachtab-MAX(N41,T.Nachtbis))+(N41&gt;N42)*(1+T.Nachtbis-T.Nachtab)+N44-N43+MAX(0,T.Nachtab-MAX(T.Nachtbis,N44))-MAX(0,T.Nachtab-MAX(N43,T.Nachtbis))+(N43&gt;N44)*(1+T.Nachtbis-T.Nachtab),9),0)))</f>
        <v>0</v>
      </c>
      <c r="O73" s="256" t="n">
        <f aca="false">IF(O$12=0,0,IF(OR(T.50_Vetsuisse,T.ServiceCenterIrchel),ROUND(O14-O13+MAX(0,T.Nachtab-MAX(T.Nachtbis,O14))-MAX(0,T.Nachtab-MAX(O13,T.Nachtbis))+(O13&gt;O14)*(1+T.Nachtbis-T.Nachtab)+O16-O15+MAX(0,T.Nachtab-MAX(T.Nachtbis,O16))-MAX(0,T.Nachtab-MAX(O15,T.Nachtbis))+(O15&gt;O16)*(1+T.Nachtbis-T.Nachtab)+O18-O17+MAX(0,T.Nachtab-MAX(T.Nachtbis,O18))-MAX(0,T.Nachtab-MAX(O17,T.Nachtbis))+(O17&gt;O18)*(1+T.Nachtbis-T.Nachtab)+O20-O19+MAX(0,T.Nachtab-MAX(T.Nachtbis,O20))-MAX(0,T.Nachtab-MAX(O19,T.Nachtbis))+(O19&gt;O20)*(1+T.Nachtbis-T.Nachtab)+O22-O21+MAX(0,T.Nachtab-MAX(T.Nachtbis,O22))-MAX(0,T.Nachtab-MAX(O21,T.Nachtbis))+(O21&gt;O22)*(1+T.Nachtbis-T.Nachtab),9), IF(AND(WEEKDAY(O$10,2)&lt;6,O$11&lt;&gt;0),ROUND(O36-O35+MAX(0,T.Nachtab-MAX(T.Nachtbis,O36))-MAX(0,T.Nachtab-MAX(O35,T.Nachtbis))+(O35&gt;O36)*(1+T.Nachtbis-T.Nachtab)+O38-O37+MAX(0,T.Nachtab-MAX(T.Nachtbis,O38))-MAX(0,T.Nachtab-MAX(O37,T.Nachtbis))+(O37&gt;O38)*(1+T.Nachtbis-T.Nachtab)+O40-O39+MAX(0,T.Nachtab-MAX(T.Nachtbis,O40))-MAX(0,T.Nachtab-MAX(O39,T.Nachtbis))+(O39&gt;O40)*(1+T.Nachtbis-T.Nachtab)+O42-O41+MAX(0,T.Nachtab-MAX(T.Nachtbis,O42))-MAX(0,T.Nachtab-MAX(O41,T.Nachtbis))+(O41&gt;O42)*(1+T.Nachtbis-T.Nachtab)+O44-O43+MAX(0,T.Nachtab-MAX(T.Nachtbis,O44))-MAX(0,T.Nachtab-MAX(O43,T.Nachtbis))+(O43&gt;O44)*(1+T.Nachtbis-T.Nachtab),9),0)))</f>
        <v>0</v>
      </c>
      <c r="P73" s="256" t="n">
        <f aca="false">IF(P$12=0,0,IF(OR(T.50_Vetsuisse,T.ServiceCenterIrchel),ROUND(P14-P13+MAX(0,T.Nachtab-MAX(T.Nachtbis,P14))-MAX(0,T.Nachtab-MAX(P13,T.Nachtbis))+(P13&gt;P14)*(1+T.Nachtbis-T.Nachtab)+P16-P15+MAX(0,T.Nachtab-MAX(T.Nachtbis,P16))-MAX(0,T.Nachtab-MAX(P15,T.Nachtbis))+(P15&gt;P16)*(1+T.Nachtbis-T.Nachtab)+P18-P17+MAX(0,T.Nachtab-MAX(T.Nachtbis,P18))-MAX(0,T.Nachtab-MAX(P17,T.Nachtbis))+(P17&gt;P18)*(1+T.Nachtbis-T.Nachtab)+P20-P19+MAX(0,T.Nachtab-MAX(T.Nachtbis,P20))-MAX(0,T.Nachtab-MAX(P19,T.Nachtbis))+(P19&gt;P20)*(1+T.Nachtbis-T.Nachtab)+P22-P21+MAX(0,T.Nachtab-MAX(T.Nachtbis,P22))-MAX(0,T.Nachtab-MAX(P21,T.Nachtbis))+(P21&gt;P22)*(1+T.Nachtbis-T.Nachtab),9), IF(AND(WEEKDAY(P$10,2)&lt;6,P$11&lt;&gt;0),ROUND(P36-P35+MAX(0,T.Nachtab-MAX(T.Nachtbis,P36))-MAX(0,T.Nachtab-MAX(P35,T.Nachtbis))+(P35&gt;P36)*(1+T.Nachtbis-T.Nachtab)+P38-P37+MAX(0,T.Nachtab-MAX(T.Nachtbis,P38))-MAX(0,T.Nachtab-MAX(P37,T.Nachtbis))+(P37&gt;P38)*(1+T.Nachtbis-T.Nachtab)+P40-P39+MAX(0,T.Nachtab-MAX(T.Nachtbis,P40))-MAX(0,T.Nachtab-MAX(P39,T.Nachtbis))+(P39&gt;P40)*(1+T.Nachtbis-T.Nachtab)+P42-P41+MAX(0,T.Nachtab-MAX(T.Nachtbis,P42))-MAX(0,T.Nachtab-MAX(P41,T.Nachtbis))+(P41&gt;P42)*(1+T.Nachtbis-T.Nachtab)+P44-P43+MAX(0,T.Nachtab-MAX(T.Nachtbis,P44))-MAX(0,T.Nachtab-MAX(P43,T.Nachtbis))+(P43&gt;P44)*(1+T.Nachtbis-T.Nachtab),9),0)))</f>
        <v>0</v>
      </c>
      <c r="Q73" s="256" t="n">
        <f aca="false">IF(Q$12=0,0,IF(OR(T.50_Vetsuisse,T.ServiceCenterIrchel),ROUND(Q14-Q13+MAX(0,T.Nachtab-MAX(T.Nachtbis,Q14))-MAX(0,T.Nachtab-MAX(Q13,T.Nachtbis))+(Q13&gt;Q14)*(1+T.Nachtbis-T.Nachtab)+Q16-Q15+MAX(0,T.Nachtab-MAX(T.Nachtbis,Q16))-MAX(0,T.Nachtab-MAX(Q15,T.Nachtbis))+(Q15&gt;Q16)*(1+T.Nachtbis-T.Nachtab)+Q18-Q17+MAX(0,T.Nachtab-MAX(T.Nachtbis,Q18))-MAX(0,T.Nachtab-MAX(Q17,T.Nachtbis))+(Q17&gt;Q18)*(1+T.Nachtbis-T.Nachtab)+Q20-Q19+MAX(0,T.Nachtab-MAX(T.Nachtbis,Q20))-MAX(0,T.Nachtab-MAX(Q19,T.Nachtbis))+(Q19&gt;Q20)*(1+T.Nachtbis-T.Nachtab)+Q22-Q21+MAX(0,T.Nachtab-MAX(T.Nachtbis,Q22))-MAX(0,T.Nachtab-MAX(Q21,T.Nachtbis))+(Q21&gt;Q22)*(1+T.Nachtbis-T.Nachtab),9), IF(AND(WEEKDAY(Q$10,2)&lt;6,Q$11&lt;&gt;0),ROUND(Q36-Q35+MAX(0,T.Nachtab-MAX(T.Nachtbis,Q36))-MAX(0,T.Nachtab-MAX(Q35,T.Nachtbis))+(Q35&gt;Q36)*(1+T.Nachtbis-T.Nachtab)+Q38-Q37+MAX(0,T.Nachtab-MAX(T.Nachtbis,Q38))-MAX(0,T.Nachtab-MAX(Q37,T.Nachtbis))+(Q37&gt;Q38)*(1+T.Nachtbis-T.Nachtab)+Q40-Q39+MAX(0,T.Nachtab-MAX(T.Nachtbis,Q40))-MAX(0,T.Nachtab-MAX(Q39,T.Nachtbis))+(Q39&gt;Q40)*(1+T.Nachtbis-T.Nachtab)+Q42-Q41+MAX(0,T.Nachtab-MAX(T.Nachtbis,Q42))-MAX(0,T.Nachtab-MAX(Q41,T.Nachtbis))+(Q41&gt;Q42)*(1+T.Nachtbis-T.Nachtab)+Q44-Q43+MAX(0,T.Nachtab-MAX(T.Nachtbis,Q44))-MAX(0,T.Nachtab-MAX(Q43,T.Nachtbis))+(Q43&gt;Q44)*(1+T.Nachtbis-T.Nachtab),9),0)))</f>
        <v>0</v>
      </c>
      <c r="R73" s="256" t="n">
        <f aca="false">IF(R$12=0,0,IF(OR(T.50_Vetsuisse,T.ServiceCenterIrchel),ROUND(R14-R13+MAX(0,T.Nachtab-MAX(T.Nachtbis,R14))-MAX(0,T.Nachtab-MAX(R13,T.Nachtbis))+(R13&gt;R14)*(1+T.Nachtbis-T.Nachtab)+R16-R15+MAX(0,T.Nachtab-MAX(T.Nachtbis,R16))-MAX(0,T.Nachtab-MAX(R15,T.Nachtbis))+(R15&gt;R16)*(1+T.Nachtbis-T.Nachtab)+R18-R17+MAX(0,T.Nachtab-MAX(T.Nachtbis,R18))-MAX(0,T.Nachtab-MAX(R17,T.Nachtbis))+(R17&gt;R18)*(1+T.Nachtbis-T.Nachtab)+R20-R19+MAX(0,T.Nachtab-MAX(T.Nachtbis,R20))-MAX(0,T.Nachtab-MAX(R19,T.Nachtbis))+(R19&gt;R20)*(1+T.Nachtbis-T.Nachtab)+R22-R21+MAX(0,T.Nachtab-MAX(T.Nachtbis,R22))-MAX(0,T.Nachtab-MAX(R21,T.Nachtbis))+(R21&gt;R22)*(1+T.Nachtbis-T.Nachtab),9), IF(AND(WEEKDAY(R$10,2)&lt;6,R$11&lt;&gt;0),ROUND(R36-R35+MAX(0,T.Nachtab-MAX(T.Nachtbis,R36))-MAX(0,T.Nachtab-MAX(R35,T.Nachtbis))+(R35&gt;R36)*(1+T.Nachtbis-T.Nachtab)+R38-R37+MAX(0,T.Nachtab-MAX(T.Nachtbis,R38))-MAX(0,T.Nachtab-MAX(R37,T.Nachtbis))+(R37&gt;R38)*(1+T.Nachtbis-T.Nachtab)+R40-R39+MAX(0,T.Nachtab-MAX(T.Nachtbis,R40))-MAX(0,T.Nachtab-MAX(R39,T.Nachtbis))+(R39&gt;R40)*(1+T.Nachtbis-T.Nachtab)+R42-R41+MAX(0,T.Nachtab-MAX(T.Nachtbis,R42))-MAX(0,T.Nachtab-MAX(R41,T.Nachtbis))+(R41&gt;R42)*(1+T.Nachtbis-T.Nachtab)+R44-R43+MAX(0,T.Nachtab-MAX(T.Nachtbis,R44))-MAX(0,T.Nachtab-MAX(R43,T.Nachtbis))+(R43&gt;R44)*(1+T.Nachtbis-T.Nachtab),9),0)))</f>
        <v>0</v>
      </c>
      <c r="S73" s="256" t="n">
        <f aca="false">IF(S$12=0,0,IF(OR(T.50_Vetsuisse,T.ServiceCenterIrchel),ROUND(S14-S13+MAX(0,T.Nachtab-MAX(T.Nachtbis,S14))-MAX(0,T.Nachtab-MAX(S13,T.Nachtbis))+(S13&gt;S14)*(1+T.Nachtbis-T.Nachtab)+S16-S15+MAX(0,T.Nachtab-MAX(T.Nachtbis,S16))-MAX(0,T.Nachtab-MAX(S15,T.Nachtbis))+(S15&gt;S16)*(1+T.Nachtbis-T.Nachtab)+S18-S17+MAX(0,T.Nachtab-MAX(T.Nachtbis,S18))-MAX(0,T.Nachtab-MAX(S17,T.Nachtbis))+(S17&gt;S18)*(1+T.Nachtbis-T.Nachtab)+S20-S19+MAX(0,T.Nachtab-MAX(T.Nachtbis,S20))-MAX(0,T.Nachtab-MAX(S19,T.Nachtbis))+(S19&gt;S20)*(1+T.Nachtbis-T.Nachtab)+S22-S21+MAX(0,T.Nachtab-MAX(T.Nachtbis,S22))-MAX(0,T.Nachtab-MAX(S21,T.Nachtbis))+(S21&gt;S22)*(1+T.Nachtbis-T.Nachtab),9), IF(AND(WEEKDAY(S$10,2)&lt;6,S$11&lt;&gt;0),ROUND(S36-S35+MAX(0,T.Nachtab-MAX(T.Nachtbis,S36))-MAX(0,T.Nachtab-MAX(S35,T.Nachtbis))+(S35&gt;S36)*(1+T.Nachtbis-T.Nachtab)+S38-S37+MAX(0,T.Nachtab-MAX(T.Nachtbis,S38))-MAX(0,T.Nachtab-MAX(S37,T.Nachtbis))+(S37&gt;S38)*(1+T.Nachtbis-T.Nachtab)+S40-S39+MAX(0,T.Nachtab-MAX(T.Nachtbis,S40))-MAX(0,T.Nachtab-MAX(S39,T.Nachtbis))+(S39&gt;S40)*(1+T.Nachtbis-T.Nachtab)+S42-S41+MAX(0,T.Nachtab-MAX(T.Nachtbis,S42))-MAX(0,T.Nachtab-MAX(S41,T.Nachtbis))+(S41&gt;S42)*(1+T.Nachtbis-T.Nachtab)+S44-S43+MAX(0,T.Nachtab-MAX(T.Nachtbis,S44))-MAX(0,T.Nachtab-MAX(S43,T.Nachtbis))+(S43&gt;S44)*(1+T.Nachtbis-T.Nachtab),9),0)))</f>
        <v>0</v>
      </c>
      <c r="T73" s="256" t="n">
        <f aca="false">IF(T$12=0,0,IF(OR(T.50_Vetsuisse,T.ServiceCenterIrchel),ROUND(T14-T13+MAX(0,T.Nachtab-MAX(T.Nachtbis,T14))-MAX(0,T.Nachtab-MAX(T13,T.Nachtbis))+(T13&gt;T14)*(1+T.Nachtbis-T.Nachtab)+T16-T15+MAX(0,T.Nachtab-MAX(T.Nachtbis,T16))-MAX(0,T.Nachtab-MAX(T15,T.Nachtbis))+(T15&gt;T16)*(1+T.Nachtbis-T.Nachtab)+T18-T17+MAX(0,T.Nachtab-MAX(T.Nachtbis,T18))-MAX(0,T.Nachtab-MAX(T17,T.Nachtbis))+(T17&gt;T18)*(1+T.Nachtbis-T.Nachtab)+T20-T19+MAX(0,T.Nachtab-MAX(T.Nachtbis,T20))-MAX(0,T.Nachtab-MAX(T19,T.Nachtbis))+(T19&gt;T20)*(1+T.Nachtbis-T.Nachtab)+T22-T21+MAX(0,T.Nachtab-MAX(T.Nachtbis,T22))-MAX(0,T.Nachtab-MAX(T21,T.Nachtbis))+(T21&gt;T22)*(1+T.Nachtbis-T.Nachtab),9), IF(AND(WEEKDAY(T$10,2)&lt;6,T$11&lt;&gt;0),ROUND(T36-T35+MAX(0,T.Nachtab-MAX(T.Nachtbis,T36))-MAX(0,T.Nachtab-MAX(T35,T.Nachtbis))+(T35&gt;T36)*(1+T.Nachtbis-T.Nachtab)+T38-T37+MAX(0,T.Nachtab-MAX(T.Nachtbis,T38))-MAX(0,T.Nachtab-MAX(T37,T.Nachtbis))+(T37&gt;T38)*(1+T.Nachtbis-T.Nachtab)+T40-T39+MAX(0,T.Nachtab-MAX(T.Nachtbis,T40))-MAX(0,T.Nachtab-MAX(T39,T.Nachtbis))+(T39&gt;T40)*(1+T.Nachtbis-T.Nachtab)+T42-T41+MAX(0,T.Nachtab-MAX(T.Nachtbis,T42))-MAX(0,T.Nachtab-MAX(T41,T.Nachtbis))+(T41&gt;T42)*(1+T.Nachtbis-T.Nachtab)+T44-T43+MAX(0,T.Nachtab-MAX(T.Nachtbis,T44))-MAX(0,T.Nachtab-MAX(T43,T.Nachtbis))+(T43&gt;T44)*(1+T.Nachtbis-T.Nachtab),9),0)))</f>
        <v>0</v>
      </c>
      <c r="U73" s="256" t="n">
        <f aca="false">IF(U$12=0,0,IF(OR(T.50_Vetsuisse,T.ServiceCenterIrchel),ROUND(U14-U13+MAX(0,T.Nachtab-MAX(T.Nachtbis,U14))-MAX(0,T.Nachtab-MAX(U13,T.Nachtbis))+(U13&gt;U14)*(1+T.Nachtbis-T.Nachtab)+U16-U15+MAX(0,T.Nachtab-MAX(T.Nachtbis,U16))-MAX(0,T.Nachtab-MAX(U15,T.Nachtbis))+(U15&gt;U16)*(1+T.Nachtbis-T.Nachtab)+U18-U17+MAX(0,T.Nachtab-MAX(T.Nachtbis,U18))-MAX(0,T.Nachtab-MAX(U17,T.Nachtbis))+(U17&gt;U18)*(1+T.Nachtbis-T.Nachtab)+U20-U19+MAX(0,T.Nachtab-MAX(T.Nachtbis,U20))-MAX(0,T.Nachtab-MAX(U19,T.Nachtbis))+(U19&gt;U20)*(1+T.Nachtbis-T.Nachtab)+U22-U21+MAX(0,T.Nachtab-MAX(T.Nachtbis,U22))-MAX(0,T.Nachtab-MAX(U21,T.Nachtbis))+(U21&gt;U22)*(1+T.Nachtbis-T.Nachtab),9), IF(AND(WEEKDAY(U$10,2)&lt;6,U$11&lt;&gt;0),ROUND(U36-U35+MAX(0,T.Nachtab-MAX(T.Nachtbis,U36))-MAX(0,T.Nachtab-MAX(U35,T.Nachtbis))+(U35&gt;U36)*(1+T.Nachtbis-T.Nachtab)+U38-U37+MAX(0,T.Nachtab-MAX(T.Nachtbis,U38))-MAX(0,T.Nachtab-MAX(U37,T.Nachtbis))+(U37&gt;U38)*(1+T.Nachtbis-T.Nachtab)+U40-U39+MAX(0,T.Nachtab-MAX(T.Nachtbis,U40))-MAX(0,T.Nachtab-MAX(U39,T.Nachtbis))+(U39&gt;U40)*(1+T.Nachtbis-T.Nachtab)+U42-U41+MAX(0,T.Nachtab-MAX(T.Nachtbis,U42))-MAX(0,T.Nachtab-MAX(U41,T.Nachtbis))+(U41&gt;U42)*(1+T.Nachtbis-T.Nachtab)+U44-U43+MAX(0,T.Nachtab-MAX(T.Nachtbis,U44))-MAX(0,T.Nachtab-MAX(U43,T.Nachtbis))+(U43&gt;U44)*(1+T.Nachtbis-T.Nachtab),9),0)))</f>
        <v>0</v>
      </c>
      <c r="V73" s="256" t="n">
        <f aca="false">IF(V$12=0,0,IF(OR(T.50_Vetsuisse,T.ServiceCenterIrchel),ROUND(V14-V13+MAX(0,T.Nachtab-MAX(T.Nachtbis,V14))-MAX(0,T.Nachtab-MAX(V13,T.Nachtbis))+(V13&gt;V14)*(1+T.Nachtbis-T.Nachtab)+V16-V15+MAX(0,T.Nachtab-MAX(T.Nachtbis,V16))-MAX(0,T.Nachtab-MAX(V15,T.Nachtbis))+(V15&gt;V16)*(1+T.Nachtbis-T.Nachtab)+V18-V17+MAX(0,T.Nachtab-MAX(T.Nachtbis,V18))-MAX(0,T.Nachtab-MAX(V17,T.Nachtbis))+(V17&gt;V18)*(1+T.Nachtbis-T.Nachtab)+V20-V19+MAX(0,T.Nachtab-MAX(T.Nachtbis,V20))-MAX(0,T.Nachtab-MAX(V19,T.Nachtbis))+(V19&gt;V20)*(1+T.Nachtbis-T.Nachtab)+V22-V21+MAX(0,T.Nachtab-MAX(T.Nachtbis,V22))-MAX(0,T.Nachtab-MAX(V21,T.Nachtbis))+(V21&gt;V22)*(1+T.Nachtbis-T.Nachtab),9), IF(AND(WEEKDAY(V$10,2)&lt;6,V$11&lt;&gt;0),ROUND(V36-V35+MAX(0,T.Nachtab-MAX(T.Nachtbis,V36))-MAX(0,T.Nachtab-MAX(V35,T.Nachtbis))+(V35&gt;V36)*(1+T.Nachtbis-T.Nachtab)+V38-V37+MAX(0,T.Nachtab-MAX(T.Nachtbis,V38))-MAX(0,T.Nachtab-MAX(V37,T.Nachtbis))+(V37&gt;V38)*(1+T.Nachtbis-T.Nachtab)+V40-V39+MAX(0,T.Nachtab-MAX(T.Nachtbis,V40))-MAX(0,T.Nachtab-MAX(V39,T.Nachtbis))+(V39&gt;V40)*(1+T.Nachtbis-T.Nachtab)+V42-V41+MAX(0,T.Nachtab-MAX(T.Nachtbis,V42))-MAX(0,T.Nachtab-MAX(V41,T.Nachtbis))+(V41&gt;V42)*(1+T.Nachtbis-T.Nachtab)+V44-V43+MAX(0,T.Nachtab-MAX(T.Nachtbis,V44))-MAX(0,T.Nachtab-MAX(V43,T.Nachtbis))+(V43&gt;V44)*(1+T.Nachtbis-T.Nachtab),9),0)))</f>
        <v>0</v>
      </c>
      <c r="W73" s="256" t="n">
        <f aca="false">IF(W$12=0,0,IF(OR(T.50_Vetsuisse,T.ServiceCenterIrchel),ROUND(W14-W13+MAX(0,T.Nachtab-MAX(T.Nachtbis,W14))-MAX(0,T.Nachtab-MAX(W13,T.Nachtbis))+(W13&gt;W14)*(1+T.Nachtbis-T.Nachtab)+W16-W15+MAX(0,T.Nachtab-MAX(T.Nachtbis,W16))-MAX(0,T.Nachtab-MAX(W15,T.Nachtbis))+(W15&gt;W16)*(1+T.Nachtbis-T.Nachtab)+W18-W17+MAX(0,T.Nachtab-MAX(T.Nachtbis,W18))-MAX(0,T.Nachtab-MAX(W17,T.Nachtbis))+(W17&gt;W18)*(1+T.Nachtbis-T.Nachtab)+W20-W19+MAX(0,T.Nachtab-MAX(T.Nachtbis,W20))-MAX(0,T.Nachtab-MAX(W19,T.Nachtbis))+(W19&gt;W20)*(1+T.Nachtbis-T.Nachtab)+W22-W21+MAX(0,T.Nachtab-MAX(T.Nachtbis,W22))-MAX(0,T.Nachtab-MAX(W21,T.Nachtbis))+(W21&gt;W22)*(1+T.Nachtbis-T.Nachtab),9), IF(AND(WEEKDAY(W$10,2)&lt;6,W$11&lt;&gt;0),ROUND(W36-W35+MAX(0,T.Nachtab-MAX(T.Nachtbis,W36))-MAX(0,T.Nachtab-MAX(W35,T.Nachtbis))+(W35&gt;W36)*(1+T.Nachtbis-T.Nachtab)+W38-W37+MAX(0,T.Nachtab-MAX(T.Nachtbis,W38))-MAX(0,T.Nachtab-MAX(W37,T.Nachtbis))+(W37&gt;W38)*(1+T.Nachtbis-T.Nachtab)+W40-W39+MAX(0,T.Nachtab-MAX(T.Nachtbis,W40))-MAX(0,T.Nachtab-MAX(W39,T.Nachtbis))+(W39&gt;W40)*(1+T.Nachtbis-T.Nachtab)+W42-W41+MAX(0,T.Nachtab-MAX(T.Nachtbis,W42))-MAX(0,T.Nachtab-MAX(W41,T.Nachtbis))+(W41&gt;W42)*(1+T.Nachtbis-T.Nachtab)+W44-W43+MAX(0,T.Nachtab-MAX(T.Nachtbis,W44))-MAX(0,T.Nachtab-MAX(W43,T.Nachtbis))+(W43&gt;W44)*(1+T.Nachtbis-T.Nachtab),9),0)))</f>
        <v>0</v>
      </c>
      <c r="X73" s="256" t="n">
        <f aca="false">IF(X$12=0,0,IF(OR(T.50_Vetsuisse,T.ServiceCenterIrchel),ROUND(X14-X13+MAX(0,T.Nachtab-MAX(T.Nachtbis,X14))-MAX(0,T.Nachtab-MAX(X13,T.Nachtbis))+(X13&gt;X14)*(1+T.Nachtbis-T.Nachtab)+X16-X15+MAX(0,T.Nachtab-MAX(T.Nachtbis,X16))-MAX(0,T.Nachtab-MAX(X15,T.Nachtbis))+(X15&gt;X16)*(1+T.Nachtbis-T.Nachtab)+X18-X17+MAX(0,T.Nachtab-MAX(T.Nachtbis,X18))-MAX(0,T.Nachtab-MAX(X17,T.Nachtbis))+(X17&gt;X18)*(1+T.Nachtbis-T.Nachtab)+X20-X19+MAX(0,T.Nachtab-MAX(T.Nachtbis,X20))-MAX(0,T.Nachtab-MAX(X19,T.Nachtbis))+(X19&gt;X20)*(1+T.Nachtbis-T.Nachtab)+X22-X21+MAX(0,T.Nachtab-MAX(T.Nachtbis,X22))-MAX(0,T.Nachtab-MAX(X21,T.Nachtbis))+(X21&gt;X22)*(1+T.Nachtbis-T.Nachtab),9), IF(AND(WEEKDAY(X$10,2)&lt;6,X$11&lt;&gt;0),ROUND(X36-X35+MAX(0,T.Nachtab-MAX(T.Nachtbis,X36))-MAX(0,T.Nachtab-MAX(X35,T.Nachtbis))+(X35&gt;X36)*(1+T.Nachtbis-T.Nachtab)+X38-X37+MAX(0,T.Nachtab-MAX(T.Nachtbis,X38))-MAX(0,T.Nachtab-MAX(X37,T.Nachtbis))+(X37&gt;X38)*(1+T.Nachtbis-T.Nachtab)+X40-X39+MAX(0,T.Nachtab-MAX(T.Nachtbis,X40))-MAX(0,T.Nachtab-MAX(X39,T.Nachtbis))+(X39&gt;X40)*(1+T.Nachtbis-T.Nachtab)+X42-X41+MAX(0,T.Nachtab-MAX(T.Nachtbis,X42))-MAX(0,T.Nachtab-MAX(X41,T.Nachtbis))+(X41&gt;X42)*(1+T.Nachtbis-T.Nachtab)+X44-X43+MAX(0,T.Nachtab-MAX(T.Nachtbis,X44))-MAX(0,T.Nachtab-MAX(X43,T.Nachtbis))+(X43&gt;X44)*(1+T.Nachtbis-T.Nachtab),9),0)))</f>
        <v>0</v>
      </c>
      <c r="Y73" s="256" t="n">
        <f aca="false">IF(Y$12=0,0,IF(OR(T.50_Vetsuisse,T.ServiceCenterIrchel),ROUND(Y14-Y13+MAX(0,T.Nachtab-MAX(T.Nachtbis,Y14))-MAX(0,T.Nachtab-MAX(Y13,T.Nachtbis))+(Y13&gt;Y14)*(1+T.Nachtbis-T.Nachtab)+Y16-Y15+MAX(0,T.Nachtab-MAX(T.Nachtbis,Y16))-MAX(0,T.Nachtab-MAX(Y15,T.Nachtbis))+(Y15&gt;Y16)*(1+T.Nachtbis-T.Nachtab)+Y18-Y17+MAX(0,T.Nachtab-MAX(T.Nachtbis,Y18))-MAX(0,T.Nachtab-MAX(Y17,T.Nachtbis))+(Y17&gt;Y18)*(1+T.Nachtbis-T.Nachtab)+Y20-Y19+MAX(0,T.Nachtab-MAX(T.Nachtbis,Y20))-MAX(0,T.Nachtab-MAX(Y19,T.Nachtbis))+(Y19&gt;Y20)*(1+T.Nachtbis-T.Nachtab)+Y22-Y21+MAX(0,T.Nachtab-MAX(T.Nachtbis,Y22))-MAX(0,T.Nachtab-MAX(Y21,T.Nachtbis))+(Y21&gt;Y22)*(1+T.Nachtbis-T.Nachtab),9), IF(AND(WEEKDAY(Y$10,2)&lt;6,Y$11&lt;&gt;0),ROUND(Y36-Y35+MAX(0,T.Nachtab-MAX(T.Nachtbis,Y36))-MAX(0,T.Nachtab-MAX(Y35,T.Nachtbis))+(Y35&gt;Y36)*(1+T.Nachtbis-T.Nachtab)+Y38-Y37+MAX(0,T.Nachtab-MAX(T.Nachtbis,Y38))-MAX(0,T.Nachtab-MAX(Y37,T.Nachtbis))+(Y37&gt;Y38)*(1+T.Nachtbis-T.Nachtab)+Y40-Y39+MAX(0,T.Nachtab-MAX(T.Nachtbis,Y40))-MAX(0,T.Nachtab-MAX(Y39,T.Nachtbis))+(Y39&gt;Y40)*(1+T.Nachtbis-T.Nachtab)+Y42-Y41+MAX(0,T.Nachtab-MAX(T.Nachtbis,Y42))-MAX(0,T.Nachtab-MAX(Y41,T.Nachtbis))+(Y41&gt;Y42)*(1+T.Nachtbis-T.Nachtab)+Y44-Y43+MAX(0,T.Nachtab-MAX(T.Nachtbis,Y44))-MAX(0,T.Nachtab-MAX(Y43,T.Nachtbis))+(Y43&gt;Y44)*(1+T.Nachtbis-T.Nachtab),9),0)))</f>
        <v>0</v>
      </c>
      <c r="Z73" s="256" t="n">
        <f aca="false">IF(Z$12=0,0,IF(OR(T.50_Vetsuisse,T.ServiceCenterIrchel),ROUND(Z14-Z13+MAX(0,T.Nachtab-MAX(T.Nachtbis,Z14))-MAX(0,T.Nachtab-MAX(Z13,T.Nachtbis))+(Z13&gt;Z14)*(1+T.Nachtbis-T.Nachtab)+Z16-Z15+MAX(0,T.Nachtab-MAX(T.Nachtbis,Z16))-MAX(0,T.Nachtab-MAX(Z15,T.Nachtbis))+(Z15&gt;Z16)*(1+T.Nachtbis-T.Nachtab)+Z18-Z17+MAX(0,T.Nachtab-MAX(T.Nachtbis,Z18))-MAX(0,T.Nachtab-MAX(Z17,T.Nachtbis))+(Z17&gt;Z18)*(1+T.Nachtbis-T.Nachtab)+Z20-Z19+MAX(0,T.Nachtab-MAX(T.Nachtbis,Z20))-MAX(0,T.Nachtab-MAX(Z19,T.Nachtbis))+(Z19&gt;Z20)*(1+T.Nachtbis-T.Nachtab)+Z22-Z21+MAX(0,T.Nachtab-MAX(T.Nachtbis,Z22))-MAX(0,T.Nachtab-MAX(Z21,T.Nachtbis))+(Z21&gt;Z22)*(1+T.Nachtbis-T.Nachtab),9), IF(AND(WEEKDAY(Z$10,2)&lt;6,Z$11&lt;&gt;0),ROUND(Z36-Z35+MAX(0,T.Nachtab-MAX(T.Nachtbis,Z36))-MAX(0,T.Nachtab-MAX(Z35,T.Nachtbis))+(Z35&gt;Z36)*(1+T.Nachtbis-T.Nachtab)+Z38-Z37+MAX(0,T.Nachtab-MAX(T.Nachtbis,Z38))-MAX(0,T.Nachtab-MAX(Z37,T.Nachtbis))+(Z37&gt;Z38)*(1+T.Nachtbis-T.Nachtab)+Z40-Z39+MAX(0,T.Nachtab-MAX(T.Nachtbis,Z40))-MAX(0,T.Nachtab-MAX(Z39,T.Nachtbis))+(Z39&gt;Z40)*(1+T.Nachtbis-T.Nachtab)+Z42-Z41+MAX(0,T.Nachtab-MAX(T.Nachtbis,Z42))-MAX(0,T.Nachtab-MAX(Z41,T.Nachtbis))+(Z41&gt;Z42)*(1+T.Nachtbis-T.Nachtab)+Z44-Z43+MAX(0,T.Nachtab-MAX(T.Nachtbis,Z44))-MAX(0,T.Nachtab-MAX(Z43,T.Nachtbis))+(Z43&gt;Z44)*(1+T.Nachtbis-T.Nachtab),9),0)))</f>
        <v>0</v>
      </c>
      <c r="AA73" s="256" t="n">
        <f aca="false">IF(AA$12=0,0,IF(OR(T.50_Vetsuisse,T.ServiceCenterIrchel),ROUND(AA14-AA13+MAX(0,T.Nachtab-MAX(T.Nachtbis,AA14))-MAX(0,T.Nachtab-MAX(AA13,T.Nachtbis))+(AA13&gt;AA14)*(1+T.Nachtbis-T.Nachtab)+AA16-AA15+MAX(0,T.Nachtab-MAX(T.Nachtbis,AA16))-MAX(0,T.Nachtab-MAX(AA15,T.Nachtbis))+(AA15&gt;AA16)*(1+T.Nachtbis-T.Nachtab)+AA18-AA17+MAX(0,T.Nachtab-MAX(T.Nachtbis,AA18))-MAX(0,T.Nachtab-MAX(AA17,T.Nachtbis))+(AA17&gt;AA18)*(1+T.Nachtbis-T.Nachtab)+AA20-AA19+MAX(0,T.Nachtab-MAX(T.Nachtbis,AA20))-MAX(0,T.Nachtab-MAX(AA19,T.Nachtbis))+(AA19&gt;AA20)*(1+T.Nachtbis-T.Nachtab)+AA22-AA21+MAX(0,T.Nachtab-MAX(T.Nachtbis,AA22))-MAX(0,T.Nachtab-MAX(AA21,T.Nachtbis))+(AA21&gt;AA22)*(1+T.Nachtbis-T.Nachtab),9), IF(AND(WEEKDAY(AA$10,2)&lt;6,AA$11&lt;&gt;0),ROUND(AA36-AA35+MAX(0,T.Nachtab-MAX(T.Nachtbis,AA36))-MAX(0,T.Nachtab-MAX(AA35,T.Nachtbis))+(AA35&gt;AA36)*(1+T.Nachtbis-T.Nachtab)+AA38-AA37+MAX(0,T.Nachtab-MAX(T.Nachtbis,AA38))-MAX(0,T.Nachtab-MAX(AA37,T.Nachtbis))+(AA37&gt;AA38)*(1+T.Nachtbis-T.Nachtab)+AA40-AA39+MAX(0,T.Nachtab-MAX(T.Nachtbis,AA40))-MAX(0,T.Nachtab-MAX(AA39,T.Nachtbis))+(AA39&gt;AA40)*(1+T.Nachtbis-T.Nachtab)+AA42-AA41+MAX(0,T.Nachtab-MAX(T.Nachtbis,AA42))-MAX(0,T.Nachtab-MAX(AA41,T.Nachtbis))+(AA41&gt;AA42)*(1+T.Nachtbis-T.Nachtab)+AA44-AA43+MAX(0,T.Nachtab-MAX(T.Nachtbis,AA44))-MAX(0,T.Nachtab-MAX(AA43,T.Nachtbis))+(AA43&gt;AA44)*(1+T.Nachtbis-T.Nachtab),9),0)))</f>
        <v>0</v>
      </c>
      <c r="AB73" s="256" t="n">
        <f aca="false">IF(AB$12=0,0,IF(OR(T.50_Vetsuisse,T.ServiceCenterIrchel),ROUND(AB14-AB13+MAX(0,T.Nachtab-MAX(T.Nachtbis,AB14))-MAX(0,T.Nachtab-MAX(AB13,T.Nachtbis))+(AB13&gt;AB14)*(1+T.Nachtbis-T.Nachtab)+AB16-AB15+MAX(0,T.Nachtab-MAX(T.Nachtbis,AB16))-MAX(0,T.Nachtab-MAX(AB15,T.Nachtbis))+(AB15&gt;AB16)*(1+T.Nachtbis-T.Nachtab)+AB18-AB17+MAX(0,T.Nachtab-MAX(T.Nachtbis,AB18))-MAX(0,T.Nachtab-MAX(AB17,T.Nachtbis))+(AB17&gt;AB18)*(1+T.Nachtbis-T.Nachtab)+AB20-AB19+MAX(0,T.Nachtab-MAX(T.Nachtbis,AB20))-MAX(0,T.Nachtab-MAX(AB19,T.Nachtbis))+(AB19&gt;AB20)*(1+T.Nachtbis-T.Nachtab)+AB22-AB21+MAX(0,T.Nachtab-MAX(T.Nachtbis,AB22))-MAX(0,T.Nachtab-MAX(AB21,T.Nachtbis))+(AB21&gt;AB22)*(1+T.Nachtbis-T.Nachtab),9), IF(AND(WEEKDAY(AB$10,2)&lt;6,AB$11&lt;&gt;0),ROUND(AB36-AB35+MAX(0,T.Nachtab-MAX(T.Nachtbis,AB36))-MAX(0,T.Nachtab-MAX(AB35,T.Nachtbis))+(AB35&gt;AB36)*(1+T.Nachtbis-T.Nachtab)+AB38-AB37+MAX(0,T.Nachtab-MAX(T.Nachtbis,AB38))-MAX(0,T.Nachtab-MAX(AB37,T.Nachtbis))+(AB37&gt;AB38)*(1+T.Nachtbis-T.Nachtab)+AB40-AB39+MAX(0,T.Nachtab-MAX(T.Nachtbis,AB40))-MAX(0,T.Nachtab-MAX(AB39,T.Nachtbis))+(AB39&gt;AB40)*(1+T.Nachtbis-T.Nachtab)+AB42-AB41+MAX(0,T.Nachtab-MAX(T.Nachtbis,AB42))-MAX(0,T.Nachtab-MAX(AB41,T.Nachtbis))+(AB41&gt;AB42)*(1+T.Nachtbis-T.Nachtab)+AB44-AB43+MAX(0,T.Nachtab-MAX(T.Nachtbis,AB44))-MAX(0,T.Nachtab-MAX(AB43,T.Nachtbis))+(AB43&gt;AB44)*(1+T.Nachtbis-T.Nachtab),9),0)))</f>
        <v>0</v>
      </c>
      <c r="AC73" s="256" t="n">
        <f aca="false">IF(AC$12=0,0,IF(OR(T.50_Vetsuisse,T.ServiceCenterIrchel),ROUND(AC14-AC13+MAX(0,T.Nachtab-MAX(T.Nachtbis,AC14))-MAX(0,T.Nachtab-MAX(AC13,T.Nachtbis))+(AC13&gt;AC14)*(1+T.Nachtbis-T.Nachtab)+AC16-AC15+MAX(0,T.Nachtab-MAX(T.Nachtbis,AC16))-MAX(0,T.Nachtab-MAX(AC15,T.Nachtbis))+(AC15&gt;AC16)*(1+T.Nachtbis-T.Nachtab)+AC18-AC17+MAX(0,T.Nachtab-MAX(T.Nachtbis,AC18))-MAX(0,T.Nachtab-MAX(AC17,T.Nachtbis))+(AC17&gt;AC18)*(1+T.Nachtbis-T.Nachtab)+AC20-AC19+MAX(0,T.Nachtab-MAX(T.Nachtbis,AC20))-MAX(0,T.Nachtab-MAX(AC19,T.Nachtbis))+(AC19&gt;AC20)*(1+T.Nachtbis-T.Nachtab)+AC22-AC21+MAX(0,T.Nachtab-MAX(T.Nachtbis,AC22))-MAX(0,T.Nachtab-MAX(AC21,T.Nachtbis))+(AC21&gt;AC22)*(1+T.Nachtbis-T.Nachtab),9), IF(AND(WEEKDAY(AC$10,2)&lt;6,AC$11&lt;&gt;0),ROUND(AC36-AC35+MAX(0,T.Nachtab-MAX(T.Nachtbis,AC36))-MAX(0,T.Nachtab-MAX(AC35,T.Nachtbis))+(AC35&gt;AC36)*(1+T.Nachtbis-T.Nachtab)+AC38-AC37+MAX(0,T.Nachtab-MAX(T.Nachtbis,AC38))-MAX(0,T.Nachtab-MAX(AC37,T.Nachtbis))+(AC37&gt;AC38)*(1+T.Nachtbis-T.Nachtab)+AC40-AC39+MAX(0,T.Nachtab-MAX(T.Nachtbis,AC40))-MAX(0,T.Nachtab-MAX(AC39,T.Nachtbis))+(AC39&gt;AC40)*(1+T.Nachtbis-T.Nachtab)+AC42-AC41+MAX(0,T.Nachtab-MAX(T.Nachtbis,AC42))-MAX(0,T.Nachtab-MAX(AC41,T.Nachtbis))+(AC41&gt;AC42)*(1+T.Nachtbis-T.Nachtab)+AC44-AC43+MAX(0,T.Nachtab-MAX(T.Nachtbis,AC44))-MAX(0,T.Nachtab-MAX(AC43,T.Nachtbis))+(AC43&gt;AC44)*(1+T.Nachtbis-T.Nachtab),9),0)))</f>
        <v>0</v>
      </c>
      <c r="AD73" s="256" t="n">
        <f aca="false">IF(AD$12=0,0,IF(OR(T.50_Vetsuisse,T.ServiceCenterIrchel),ROUND(AD14-AD13+MAX(0,T.Nachtab-MAX(T.Nachtbis,AD14))-MAX(0,T.Nachtab-MAX(AD13,T.Nachtbis))+(AD13&gt;AD14)*(1+T.Nachtbis-T.Nachtab)+AD16-AD15+MAX(0,T.Nachtab-MAX(T.Nachtbis,AD16))-MAX(0,T.Nachtab-MAX(AD15,T.Nachtbis))+(AD15&gt;AD16)*(1+T.Nachtbis-T.Nachtab)+AD18-AD17+MAX(0,T.Nachtab-MAX(T.Nachtbis,AD18))-MAX(0,T.Nachtab-MAX(AD17,T.Nachtbis))+(AD17&gt;AD18)*(1+T.Nachtbis-T.Nachtab)+AD20-AD19+MAX(0,T.Nachtab-MAX(T.Nachtbis,AD20))-MAX(0,T.Nachtab-MAX(AD19,T.Nachtbis))+(AD19&gt;AD20)*(1+T.Nachtbis-T.Nachtab)+AD22-AD21+MAX(0,T.Nachtab-MAX(T.Nachtbis,AD22))-MAX(0,T.Nachtab-MAX(AD21,T.Nachtbis))+(AD21&gt;AD22)*(1+T.Nachtbis-T.Nachtab),9), IF(AND(WEEKDAY(AD$10,2)&lt;6,AD$11&lt;&gt;0),ROUND(AD36-AD35+MAX(0,T.Nachtab-MAX(T.Nachtbis,AD36))-MAX(0,T.Nachtab-MAX(AD35,T.Nachtbis))+(AD35&gt;AD36)*(1+T.Nachtbis-T.Nachtab)+AD38-AD37+MAX(0,T.Nachtab-MAX(T.Nachtbis,AD38))-MAX(0,T.Nachtab-MAX(AD37,T.Nachtbis))+(AD37&gt;AD38)*(1+T.Nachtbis-T.Nachtab)+AD40-AD39+MAX(0,T.Nachtab-MAX(T.Nachtbis,AD40))-MAX(0,T.Nachtab-MAX(AD39,T.Nachtbis))+(AD39&gt;AD40)*(1+T.Nachtbis-T.Nachtab)+AD42-AD41+MAX(0,T.Nachtab-MAX(T.Nachtbis,AD42))-MAX(0,T.Nachtab-MAX(AD41,T.Nachtbis))+(AD41&gt;AD42)*(1+T.Nachtbis-T.Nachtab)+AD44-AD43+MAX(0,T.Nachtab-MAX(T.Nachtbis,AD44))-MAX(0,T.Nachtab-MAX(AD43,T.Nachtbis))+(AD43&gt;AD44)*(1+T.Nachtbis-T.Nachtab),9),0)))</f>
        <v>0</v>
      </c>
      <c r="AE73" s="256" t="n">
        <f aca="false">IF(AE$12=0,0,IF(OR(T.50_Vetsuisse,T.ServiceCenterIrchel),ROUND(AE14-AE13+MAX(0,T.Nachtab-MAX(T.Nachtbis,AE14))-MAX(0,T.Nachtab-MAX(AE13,T.Nachtbis))+(AE13&gt;AE14)*(1+T.Nachtbis-T.Nachtab)+AE16-AE15+MAX(0,T.Nachtab-MAX(T.Nachtbis,AE16))-MAX(0,T.Nachtab-MAX(AE15,T.Nachtbis))+(AE15&gt;AE16)*(1+T.Nachtbis-T.Nachtab)+AE18-AE17+MAX(0,T.Nachtab-MAX(T.Nachtbis,AE18))-MAX(0,T.Nachtab-MAX(AE17,T.Nachtbis))+(AE17&gt;AE18)*(1+T.Nachtbis-T.Nachtab)+AE20-AE19+MAX(0,T.Nachtab-MAX(T.Nachtbis,AE20))-MAX(0,T.Nachtab-MAX(AE19,T.Nachtbis))+(AE19&gt;AE20)*(1+T.Nachtbis-T.Nachtab)+AE22-AE21+MAX(0,T.Nachtab-MAX(T.Nachtbis,AE22))-MAX(0,T.Nachtab-MAX(AE21,T.Nachtbis))+(AE21&gt;AE22)*(1+T.Nachtbis-T.Nachtab),9), IF(AND(WEEKDAY(AE$10,2)&lt;6,AE$11&lt;&gt;0),ROUND(AE36-AE35+MAX(0,T.Nachtab-MAX(T.Nachtbis,AE36))-MAX(0,T.Nachtab-MAX(AE35,T.Nachtbis))+(AE35&gt;AE36)*(1+T.Nachtbis-T.Nachtab)+AE38-AE37+MAX(0,T.Nachtab-MAX(T.Nachtbis,AE38))-MAX(0,T.Nachtab-MAX(AE37,T.Nachtbis))+(AE37&gt;AE38)*(1+T.Nachtbis-T.Nachtab)+AE40-AE39+MAX(0,T.Nachtab-MAX(T.Nachtbis,AE40))-MAX(0,T.Nachtab-MAX(AE39,T.Nachtbis))+(AE39&gt;AE40)*(1+T.Nachtbis-T.Nachtab)+AE42-AE41+MAX(0,T.Nachtab-MAX(T.Nachtbis,AE42))-MAX(0,T.Nachtab-MAX(AE41,T.Nachtbis))+(AE41&gt;AE42)*(1+T.Nachtbis-T.Nachtab)+AE44-AE43+MAX(0,T.Nachtab-MAX(T.Nachtbis,AE44))-MAX(0,T.Nachtab-MAX(AE43,T.Nachtbis))+(AE43&gt;AE44)*(1+T.Nachtbis-T.Nachtab),9),0)))</f>
        <v>0</v>
      </c>
      <c r="AF73" s="168" t="str">
        <f aca="false">A73</f>
        <v>Night shift</v>
      </c>
      <c r="AG73" s="197"/>
      <c r="AH73" s="207" t="n">
        <f aca="false">SUM(B73:AE73)</f>
        <v>0</v>
      </c>
      <c r="AI73" s="198" t="n">
        <f aca="false">IF(OR(T.50_Vetsuisse,T.ServiceCenterIrchel),AH69, IFERROR(SUMPRODUCT((B77:AE77&gt;0)*(B77:AE77&lt;&gt;"")),0))</f>
        <v>0</v>
      </c>
      <c r="AJ73" s="192"/>
      <c r="AK73" s="216" t="n">
        <f aca="false">IF(EB.Anwendung&lt;&gt;"",IF(MONTH(Monat.Tag1)=1,0,IF(MONTH(Monat.Tag1)=2,January!Monat.NDUeVM,IF(MONTH(Monat.Tag1)=3,February!Monat.NDUeVM,IF(MONTH(Monat.Tag1)=4,March!Monat.NDUeVM,IF(MONTH(Monat.Tag1)=5,Monat.NDUeVM,IF(MONTH(Monat.Tag1)=6,May!Monat.NDUeVM,IF(MONTH(Monat.Tag1)=7,June!Monat.NDUeVM,IF(MONTH(Monat.Tag1)=8,July!Monat.NDUeVM,IF(MONTH(Monat.Tag1)=9,August!Monat.NDUeVM,IF(MONTH(Monat.Tag1)=10,September!Monat.NDUeVM,IF(MONTH(Monat.Tag1)=11,October!Monat.NDUeVM,IF(MONTH(Monat.Tag1)=12,November!Monat.NDUeVM,"")))))))))))),"")</f>
        <v>0</v>
      </c>
      <c r="AL73" s="172"/>
      <c r="AM73" s="217" t="n">
        <f aca="false">AH73+AK73</f>
        <v>0</v>
      </c>
      <c r="AN73" s="171"/>
      <c r="AO73" s="171"/>
      <c r="AP73" s="39"/>
    </row>
    <row r="74" s="148" customFormat="true" ht="3.75" hidden="true" customHeight="true" outlineLevel="0" collapsed="false">
      <c r="A74" s="186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168"/>
      <c r="AG74" s="146"/>
      <c r="AH74" s="179"/>
      <c r="AI74" s="180"/>
      <c r="AJ74" s="172"/>
      <c r="AK74" s="172"/>
      <c r="AL74" s="172"/>
      <c r="AM74" s="171"/>
      <c r="AN74" s="172"/>
      <c r="AO74" s="172"/>
      <c r="AP74" s="39"/>
    </row>
    <row r="75" s="148" customFormat="true" ht="16.5" hidden="true" customHeight="true" outlineLevel="1" collapsed="false">
      <c r="A75" s="181" t="s">
        <v>160</v>
      </c>
      <c r="B75" s="182" t="n">
        <f aca="false">IF(B73&gt;0,ROUND(B73- IF(B13&lt;T.Nachtbis,MIN(T.Nachtbis-B13,B14-B13)+IF(B15&lt;T.Nachtbis,MIN(T.Nachtbis-B15,B16-B15)+IF(B17&lt;T.Nachtbis,MIN(T.Nachtbis-B17,B18-B17)+IF(B19&lt;T.Nachtbis,MIN(T.Nachtbis-B19,B20-B19)+IF(B21&lt;T.Nachtbis,MIN(T.Nachtbis-B21,B22-B21),0),0),0),0),0),9),0)</f>
        <v>0</v>
      </c>
      <c r="C75" s="182" t="n">
        <f aca="false">IF(C73&gt;0,ROUND(C73- IF(C13&lt;T.Nachtbis,MIN(T.Nachtbis-C13,C14-C13)+IF(C15&lt;T.Nachtbis,MIN(T.Nachtbis-C15,C16-C15)+IF(C17&lt;T.Nachtbis,MIN(T.Nachtbis-C17,C18-C17)+IF(C19&lt;T.Nachtbis,MIN(T.Nachtbis-C19,C20-C19)+IF(C21&lt;T.Nachtbis,MIN(T.Nachtbis-C21,C22-C21),0),0),0),0),0),9),0)</f>
        <v>0</v>
      </c>
      <c r="D75" s="182" t="n">
        <f aca="false">IF(D73&gt;0,ROUND(D73- IF(D13&lt;T.Nachtbis,MIN(T.Nachtbis-D13,D14-D13)+IF(D15&lt;T.Nachtbis,MIN(T.Nachtbis-D15,D16-D15)+IF(D17&lt;T.Nachtbis,MIN(T.Nachtbis-D17,D18-D17)+IF(D19&lt;T.Nachtbis,MIN(T.Nachtbis-D19,D20-D19)+IF(D21&lt;T.Nachtbis,MIN(T.Nachtbis-D21,D22-D21),0),0),0),0),0),9),0)</f>
        <v>0</v>
      </c>
      <c r="E75" s="182" t="n">
        <f aca="false">IF(E73&gt;0,ROUND(E73- IF(E13&lt;T.Nachtbis,MIN(T.Nachtbis-E13,E14-E13)+IF(E15&lt;T.Nachtbis,MIN(T.Nachtbis-E15,E16-E15)+IF(E17&lt;T.Nachtbis,MIN(T.Nachtbis-E17,E18-E17)+IF(E19&lt;T.Nachtbis,MIN(T.Nachtbis-E19,E20-E19)+IF(E21&lt;T.Nachtbis,MIN(T.Nachtbis-E21,E22-E21),0),0),0),0),0),9),0)</f>
        <v>0</v>
      </c>
      <c r="F75" s="182" t="n">
        <f aca="false">IF(F73&gt;0,ROUND(F73- IF(F13&lt;T.Nachtbis,MIN(T.Nachtbis-F13,F14-F13)+IF(F15&lt;T.Nachtbis,MIN(T.Nachtbis-F15,F16-F15)+IF(F17&lt;T.Nachtbis,MIN(T.Nachtbis-F17,F18-F17)+IF(F19&lt;T.Nachtbis,MIN(T.Nachtbis-F19,F20-F19)+IF(F21&lt;T.Nachtbis,MIN(T.Nachtbis-F21,F22-F21),0),0),0),0),0),9),0)</f>
        <v>0</v>
      </c>
      <c r="G75" s="182" t="n">
        <f aca="false">IF(G73&gt;0,ROUND(G73- IF(G13&lt;T.Nachtbis,MIN(T.Nachtbis-G13,G14-G13)+IF(G15&lt;T.Nachtbis,MIN(T.Nachtbis-G15,G16-G15)+IF(G17&lt;T.Nachtbis,MIN(T.Nachtbis-G17,G18-G17)+IF(G19&lt;T.Nachtbis,MIN(T.Nachtbis-G19,G20-G19)+IF(G21&lt;T.Nachtbis,MIN(T.Nachtbis-G21,G22-G21),0),0),0),0),0),9),0)</f>
        <v>0</v>
      </c>
      <c r="H75" s="182" t="n">
        <f aca="false">IF(H73&gt;0,ROUND(H73- IF(H13&lt;T.Nachtbis,MIN(T.Nachtbis-H13,H14-H13)+IF(H15&lt;T.Nachtbis,MIN(T.Nachtbis-H15,H16-H15)+IF(H17&lt;T.Nachtbis,MIN(T.Nachtbis-H17,H18-H17)+IF(H19&lt;T.Nachtbis,MIN(T.Nachtbis-H19,H20-H19)+IF(H21&lt;T.Nachtbis,MIN(T.Nachtbis-H21,H22-H21),0),0),0),0),0),9),0)</f>
        <v>0</v>
      </c>
      <c r="I75" s="182" t="n">
        <f aca="false">IF(I73&gt;0,ROUND(I73- IF(I13&lt;T.Nachtbis,MIN(T.Nachtbis-I13,I14-I13)+IF(I15&lt;T.Nachtbis,MIN(T.Nachtbis-I15,I16-I15)+IF(I17&lt;T.Nachtbis,MIN(T.Nachtbis-I17,I18-I17)+IF(I19&lt;T.Nachtbis,MIN(T.Nachtbis-I19,I20-I19)+IF(I21&lt;T.Nachtbis,MIN(T.Nachtbis-I21,I22-I21),0),0),0),0),0),9),0)</f>
        <v>0</v>
      </c>
      <c r="J75" s="182" t="n">
        <f aca="false">IF(J73&gt;0,ROUND(J73- IF(J13&lt;T.Nachtbis,MIN(T.Nachtbis-J13,J14-J13)+IF(J15&lt;T.Nachtbis,MIN(T.Nachtbis-J15,J16-J15)+IF(J17&lt;T.Nachtbis,MIN(T.Nachtbis-J17,J18-J17)+IF(J19&lt;T.Nachtbis,MIN(T.Nachtbis-J19,J20-J19)+IF(J21&lt;T.Nachtbis,MIN(T.Nachtbis-J21,J22-J21),0),0),0),0),0),9),0)</f>
        <v>0</v>
      </c>
      <c r="K75" s="182" t="n">
        <f aca="false">IF(K73&gt;0,ROUND(K73- IF(K13&lt;T.Nachtbis,MIN(T.Nachtbis-K13,K14-K13)+IF(K15&lt;T.Nachtbis,MIN(T.Nachtbis-K15,K16-K15)+IF(K17&lt;T.Nachtbis,MIN(T.Nachtbis-K17,K18-K17)+IF(K19&lt;T.Nachtbis,MIN(T.Nachtbis-K19,K20-K19)+IF(K21&lt;T.Nachtbis,MIN(T.Nachtbis-K21,K22-K21),0),0),0),0),0),9),0)</f>
        <v>0</v>
      </c>
      <c r="L75" s="182" t="n">
        <f aca="false">IF(L73&gt;0,ROUND(L73- IF(L13&lt;T.Nachtbis,MIN(T.Nachtbis-L13,L14-L13)+IF(L15&lt;T.Nachtbis,MIN(T.Nachtbis-L15,L16-L15)+IF(L17&lt;T.Nachtbis,MIN(T.Nachtbis-L17,L18-L17)+IF(L19&lt;T.Nachtbis,MIN(T.Nachtbis-L19,L20-L19)+IF(L21&lt;T.Nachtbis,MIN(T.Nachtbis-L21,L22-L21),0),0),0),0),0),9),0)</f>
        <v>0</v>
      </c>
      <c r="M75" s="182" t="n">
        <f aca="false">IF(M73&gt;0,ROUND(M73- IF(M13&lt;T.Nachtbis,MIN(T.Nachtbis-M13,M14-M13)+IF(M15&lt;T.Nachtbis,MIN(T.Nachtbis-M15,M16-M15)+IF(M17&lt;T.Nachtbis,MIN(T.Nachtbis-M17,M18-M17)+IF(M19&lt;T.Nachtbis,MIN(T.Nachtbis-M19,M20-M19)+IF(M21&lt;T.Nachtbis,MIN(T.Nachtbis-M21,M22-M21),0),0),0),0),0),9),0)</f>
        <v>0</v>
      </c>
      <c r="N75" s="182" t="n">
        <f aca="false">IF(N73&gt;0,ROUND(N73- IF(N13&lt;T.Nachtbis,MIN(T.Nachtbis-N13,N14-N13)+IF(N15&lt;T.Nachtbis,MIN(T.Nachtbis-N15,N16-N15)+IF(N17&lt;T.Nachtbis,MIN(T.Nachtbis-N17,N18-N17)+IF(N19&lt;T.Nachtbis,MIN(T.Nachtbis-N19,N20-N19)+IF(N21&lt;T.Nachtbis,MIN(T.Nachtbis-N21,N22-N21),0),0),0),0),0),9),0)</f>
        <v>0</v>
      </c>
      <c r="O75" s="182" t="n">
        <f aca="false">IF(O73&gt;0,ROUND(O73- IF(O13&lt;T.Nachtbis,MIN(T.Nachtbis-O13,O14-O13)+IF(O15&lt;T.Nachtbis,MIN(T.Nachtbis-O15,O16-O15)+IF(O17&lt;T.Nachtbis,MIN(T.Nachtbis-O17,O18-O17)+IF(O19&lt;T.Nachtbis,MIN(T.Nachtbis-O19,O20-O19)+IF(O21&lt;T.Nachtbis,MIN(T.Nachtbis-O21,O22-O21),0),0),0),0),0),9),0)</f>
        <v>0</v>
      </c>
      <c r="P75" s="182" t="n">
        <f aca="false">IF(P73&gt;0,ROUND(P73- IF(P13&lt;T.Nachtbis,MIN(T.Nachtbis-P13,P14-P13)+IF(P15&lt;T.Nachtbis,MIN(T.Nachtbis-P15,P16-P15)+IF(P17&lt;T.Nachtbis,MIN(T.Nachtbis-P17,P18-P17)+IF(P19&lt;T.Nachtbis,MIN(T.Nachtbis-P19,P20-P19)+IF(P21&lt;T.Nachtbis,MIN(T.Nachtbis-P21,P22-P21),0),0),0),0),0),9),0)</f>
        <v>0</v>
      </c>
      <c r="Q75" s="182" t="n">
        <f aca="false">IF(Q73&gt;0,ROUND(Q73- IF(Q13&lt;T.Nachtbis,MIN(T.Nachtbis-Q13,Q14-Q13)+IF(Q15&lt;T.Nachtbis,MIN(T.Nachtbis-Q15,Q16-Q15)+IF(Q17&lt;T.Nachtbis,MIN(T.Nachtbis-Q17,Q18-Q17)+IF(Q19&lt;T.Nachtbis,MIN(T.Nachtbis-Q19,Q20-Q19)+IF(Q21&lt;T.Nachtbis,MIN(T.Nachtbis-Q21,Q22-Q21),0),0),0),0),0),9),0)</f>
        <v>0</v>
      </c>
      <c r="R75" s="182" t="n">
        <f aca="false">IF(R73&gt;0,ROUND(R73- IF(R13&lt;T.Nachtbis,MIN(T.Nachtbis-R13,R14-R13)+IF(R15&lt;T.Nachtbis,MIN(T.Nachtbis-R15,R16-R15)+IF(R17&lt;T.Nachtbis,MIN(T.Nachtbis-R17,R18-R17)+IF(R19&lt;T.Nachtbis,MIN(T.Nachtbis-R19,R20-R19)+IF(R21&lt;T.Nachtbis,MIN(T.Nachtbis-R21,R22-R21),0),0),0),0),0),9),0)</f>
        <v>0</v>
      </c>
      <c r="S75" s="182" t="n">
        <f aca="false">IF(S73&gt;0,ROUND(S73- IF(S13&lt;T.Nachtbis,MIN(T.Nachtbis-S13,S14-S13)+IF(S15&lt;T.Nachtbis,MIN(T.Nachtbis-S15,S16-S15)+IF(S17&lt;T.Nachtbis,MIN(T.Nachtbis-S17,S18-S17)+IF(S19&lt;T.Nachtbis,MIN(T.Nachtbis-S19,S20-S19)+IF(S21&lt;T.Nachtbis,MIN(T.Nachtbis-S21,S22-S21),0),0),0),0),0),9),0)</f>
        <v>0</v>
      </c>
      <c r="T75" s="182" t="n">
        <f aca="false">IF(T73&gt;0,ROUND(T73- IF(T13&lt;T.Nachtbis,MIN(T.Nachtbis-T13,T14-T13)+IF(T15&lt;T.Nachtbis,MIN(T.Nachtbis-T15,T16-T15)+IF(T17&lt;T.Nachtbis,MIN(T.Nachtbis-T17,T18-T17)+IF(T19&lt;T.Nachtbis,MIN(T.Nachtbis-T19,T20-T19)+IF(T21&lt;T.Nachtbis,MIN(T.Nachtbis-T21,T22-T21),0),0),0),0),0),9),0)</f>
        <v>0</v>
      </c>
      <c r="U75" s="182" t="n">
        <f aca="false">IF(U73&gt;0,ROUND(U73- IF(U13&lt;T.Nachtbis,MIN(T.Nachtbis-U13,U14-U13)+IF(U15&lt;T.Nachtbis,MIN(T.Nachtbis-U15,U16-U15)+IF(U17&lt;T.Nachtbis,MIN(T.Nachtbis-U17,U18-U17)+IF(U19&lt;T.Nachtbis,MIN(T.Nachtbis-U19,U20-U19)+IF(U21&lt;T.Nachtbis,MIN(T.Nachtbis-U21,U22-U21),0),0),0),0),0),9),0)</f>
        <v>0</v>
      </c>
      <c r="V75" s="182" t="n">
        <f aca="false">IF(V73&gt;0,ROUND(V73- IF(V13&lt;T.Nachtbis,MIN(T.Nachtbis-V13,V14-V13)+IF(V15&lt;T.Nachtbis,MIN(T.Nachtbis-V15,V16-V15)+IF(V17&lt;T.Nachtbis,MIN(T.Nachtbis-V17,V18-V17)+IF(V19&lt;T.Nachtbis,MIN(T.Nachtbis-V19,V20-V19)+IF(V21&lt;T.Nachtbis,MIN(T.Nachtbis-V21,V22-V21),0),0),0),0),0),9),0)</f>
        <v>0</v>
      </c>
      <c r="W75" s="182" t="n">
        <f aca="false">IF(W73&gt;0,ROUND(W73- IF(W13&lt;T.Nachtbis,MIN(T.Nachtbis-W13,W14-W13)+IF(W15&lt;T.Nachtbis,MIN(T.Nachtbis-W15,W16-W15)+IF(W17&lt;T.Nachtbis,MIN(T.Nachtbis-W17,W18-W17)+IF(W19&lt;T.Nachtbis,MIN(T.Nachtbis-W19,W20-W19)+IF(W21&lt;T.Nachtbis,MIN(T.Nachtbis-W21,W22-W21),0),0),0),0),0),9),0)</f>
        <v>0</v>
      </c>
      <c r="X75" s="182" t="n">
        <f aca="false">IF(X73&gt;0,ROUND(X73- IF(X13&lt;T.Nachtbis,MIN(T.Nachtbis-X13,X14-X13)+IF(X15&lt;T.Nachtbis,MIN(T.Nachtbis-X15,X16-X15)+IF(X17&lt;T.Nachtbis,MIN(T.Nachtbis-X17,X18-X17)+IF(X19&lt;T.Nachtbis,MIN(T.Nachtbis-X19,X20-X19)+IF(X21&lt;T.Nachtbis,MIN(T.Nachtbis-X21,X22-X21),0),0),0),0),0),9),0)</f>
        <v>0</v>
      </c>
      <c r="Y75" s="182" t="n">
        <f aca="false">IF(Y73&gt;0,ROUND(Y73- IF(Y13&lt;T.Nachtbis,MIN(T.Nachtbis-Y13,Y14-Y13)+IF(Y15&lt;T.Nachtbis,MIN(T.Nachtbis-Y15,Y16-Y15)+IF(Y17&lt;T.Nachtbis,MIN(T.Nachtbis-Y17,Y18-Y17)+IF(Y19&lt;T.Nachtbis,MIN(T.Nachtbis-Y19,Y20-Y19)+IF(Y21&lt;T.Nachtbis,MIN(T.Nachtbis-Y21,Y22-Y21),0),0),0),0),0),9),0)</f>
        <v>0</v>
      </c>
      <c r="Z75" s="182" t="n">
        <f aca="false">IF(Z73&gt;0,ROUND(Z73- IF(Z13&lt;T.Nachtbis,MIN(T.Nachtbis-Z13,Z14-Z13)+IF(Z15&lt;T.Nachtbis,MIN(T.Nachtbis-Z15,Z16-Z15)+IF(Z17&lt;T.Nachtbis,MIN(T.Nachtbis-Z17,Z18-Z17)+IF(Z19&lt;T.Nachtbis,MIN(T.Nachtbis-Z19,Z20-Z19)+IF(Z21&lt;T.Nachtbis,MIN(T.Nachtbis-Z21,Z22-Z21),0),0),0),0),0),9),0)</f>
        <v>0</v>
      </c>
      <c r="AA75" s="182" t="n">
        <f aca="false">IF(AA73&gt;0,ROUND(AA73- IF(AA13&lt;T.Nachtbis,MIN(T.Nachtbis-AA13,AA14-AA13)+IF(AA15&lt;T.Nachtbis,MIN(T.Nachtbis-AA15,AA16-AA15)+IF(AA17&lt;T.Nachtbis,MIN(T.Nachtbis-AA17,AA18-AA17)+IF(AA19&lt;T.Nachtbis,MIN(T.Nachtbis-AA19,AA20-AA19)+IF(AA21&lt;T.Nachtbis,MIN(T.Nachtbis-AA21,AA22-AA21),0),0),0),0),0),9),0)</f>
        <v>0</v>
      </c>
      <c r="AB75" s="182" t="n">
        <f aca="false">IF(AB73&gt;0,ROUND(AB73- IF(AB13&lt;T.Nachtbis,MIN(T.Nachtbis-AB13,AB14-AB13)+IF(AB15&lt;T.Nachtbis,MIN(T.Nachtbis-AB15,AB16-AB15)+IF(AB17&lt;T.Nachtbis,MIN(T.Nachtbis-AB17,AB18-AB17)+IF(AB19&lt;T.Nachtbis,MIN(T.Nachtbis-AB19,AB20-AB19)+IF(AB21&lt;T.Nachtbis,MIN(T.Nachtbis-AB21,AB22-AB21),0),0),0),0),0),9),0)</f>
        <v>0</v>
      </c>
      <c r="AC75" s="182" t="n">
        <f aca="false">IF(AC73&gt;0,ROUND(AC73- IF(AC13&lt;T.Nachtbis,MIN(T.Nachtbis-AC13,AC14-AC13)+IF(AC15&lt;T.Nachtbis,MIN(T.Nachtbis-AC15,AC16-AC15)+IF(AC17&lt;T.Nachtbis,MIN(T.Nachtbis-AC17,AC18-AC17)+IF(AC19&lt;T.Nachtbis,MIN(T.Nachtbis-AC19,AC20-AC19)+IF(AC21&lt;T.Nachtbis,MIN(T.Nachtbis-AC21,AC22-AC21),0),0),0),0),0),9),0)</f>
        <v>0</v>
      </c>
      <c r="AD75" s="182" t="n">
        <f aca="false">IF(AD73&gt;0,ROUND(AD73- IF(AD13&lt;T.Nachtbis,MIN(T.Nachtbis-AD13,AD14-AD13)+IF(AD15&lt;T.Nachtbis,MIN(T.Nachtbis-AD15,AD16-AD15)+IF(AD17&lt;T.Nachtbis,MIN(T.Nachtbis-AD17,AD18-AD17)+IF(AD19&lt;T.Nachtbis,MIN(T.Nachtbis-AD19,AD20-AD19)+IF(AD21&lt;T.Nachtbis,MIN(T.Nachtbis-AD21,AD22-AD21),0),0),0),0),0),9),0)</f>
        <v>0</v>
      </c>
      <c r="AE75" s="182" t="n">
        <f aca="false">IF(AE73&gt;0,ROUND(AE73- IF(AE13&lt;T.Nachtbis,MIN(T.Nachtbis-AE13,AE14-AE13)+IF(AE15&lt;T.Nachtbis,MIN(T.Nachtbis-AE15,AE16-AE15)+IF(AE17&lt;T.Nachtbis,MIN(T.Nachtbis-AE17,AE18-AE17)+IF(AE19&lt;T.Nachtbis,MIN(T.Nachtbis-AE19,AE20-AE19)+IF(AE21&lt;T.Nachtbis,MIN(T.Nachtbis-AE21,AE22-AE21),0),0),0),0),0),9),0)</f>
        <v>0</v>
      </c>
      <c r="AF75" s="183" t="str">
        <f aca="false">A75</f>
        <v>Total NS hours today</v>
      </c>
      <c r="AG75" s="146"/>
      <c r="AH75" s="179"/>
      <c r="AI75" s="180"/>
      <c r="AJ75" s="172"/>
      <c r="AK75" s="172"/>
      <c r="AL75" s="172"/>
      <c r="AM75" s="171"/>
      <c r="AN75" s="172"/>
      <c r="AO75" s="172"/>
      <c r="AP75" s="39"/>
    </row>
    <row r="76" s="148" customFormat="true" ht="16.5" hidden="true" customHeight="true" outlineLevel="1" collapsed="false">
      <c r="A76" s="181" t="s">
        <v>161</v>
      </c>
      <c r="B76" s="193" t="n">
        <f aca="false">B73-B75</f>
        <v>0</v>
      </c>
      <c r="C76" s="193" t="n">
        <f aca="false">C73-C75</f>
        <v>0</v>
      </c>
      <c r="D76" s="193" t="n">
        <f aca="false">D73-D75</f>
        <v>0</v>
      </c>
      <c r="E76" s="193" t="n">
        <f aca="false">E73-E75</f>
        <v>0</v>
      </c>
      <c r="F76" s="193" t="n">
        <f aca="false">F73-F75</f>
        <v>0</v>
      </c>
      <c r="G76" s="193" t="n">
        <f aca="false">G73-G75</f>
        <v>0</v>
      </c>
      <c r="H76" s="193" t="n">
        <f aca="false">H73-H75</f>
        <v>0</v>
      </c>
      <c r="I76" s="193" t="n">
        <f aca="false">I73-I75</f>
        <v>0</v>
      </c>
      <c r="J76" s="193" t="n">
        <f aca="false">J73-J75</f>
        <v>0</v>
      </c>
      <c r="K76" s="193" t="n">
        <f aca="false">K73-K75</f>
        <v>0</v>
      </c>
      <c r="L76" s="193" t="n">
        <f aca="false">L73-L75</f>
        <v>0</v>
      </c>
      <c r="M76" s="193" t="n">
        <f aca="false">M73-M75</f>
        <v>0</v>
      </c>
      <c r="N76" s="193" t="n">
        <f aca="false">N73-N75</f>
        <v>0</v>
      </c>
      <c r="O76" s="193" t="n">
        <f aca="false">O73-O75</f>
        <v>0</v>
      </c>
      <c r="P76" s="193" t="n">
        <f aca="false">P73-P75</f>
        <v>0</v>
      </c>
      <c r="Q76" s="193" t="n">
        <f aca="false">Q73-Q75</f>
        <v>0</v>
      </c>
      <c r="R76" s="193" t="n">
        <f aca="false">R73-R75</f>
        <v>0</v>
      </c>
      <c r="S76" s="193" t="n">
        <f aca="false">S73-S75</f>
        <v>0</v>
      </c>
      <c r="T76" s="193" t="n">
        <f aca="false">T73-T75</f>
        <v>0</v>
      </c>
      <c r="U76" s="193" t="n">
        <f aca="false">U73-U75</f>
        <v>0</v>
      </c>
      <c r="V76" s="193" t="n">
        <f aca="false">V73-V75</f>
        <v>0</v>
      </c>
      <c r="W76" s="193" t="n">
        <f aca="false">W73-W75</f>
        <v>0</v>
      </c>
      <c r="X76" s="193" t="n">
        <f aca="false">X73-X75</f>
        <v>0</v>
      </c>
      <c r="Y76" s="193" t="n">
        <f aca="false">Y73-Y75</f>
        <v>0</v>
      </c>
      <c r="Z76" s="193" t="n">
        <f aca="false">Z73-Z75</f>
        <v>0</v>
      </c>
      <c r="AA76" s="193" t="n">
        <f aca="false">AA73-AA75</f>
        <v>0</v>
      </c>
      <c r="AB76" s="193" t="n">
        <f aca="false">AB73-AB75</f>
        <v>0</v>
      </c>
      <c r="AC76" s="193" t="n">
        <f aca="false">AC73-AC75</f>
        <v>0</v>
      </c>
      <c r="AD76" s="193" t="n">
        <f aca="false">AD73-AD75</f>
        <v>0</v>
      </c>
      <c r="AE76" s="193" t="n">
        <f aca="false">AE73-AE75</f>
        <v>0</v>
      </c>
      <c r="AF76" s="183" t="str">
        <f aca="false">A76</f>
        <v>Total NS hours yesterday</v>
      </c>
      <c r="AG76" s="146"/>
      <c r="AH76" s="179"/>
      <c r="AI76" s="180"/>
      <c r="AJ76" s="172"/>
      <c r="AK76" s="172"/>
      <c r="AL76" s="199" t="n">
        <f aca="false">IF(EB.Anwendung&lt;&gt;"",IF(MONTH(Monat.Tag1)=12,0,IF(MONTH(Monat.Tag1)=1,February!Monat.NDgesternTag1,IF(MONTH(Monat.Tag1)=2,March!Monat.NDgesternTag1,IF(MONTH(Monat.Tag1)=3,Monat.NDgesternTag1,IF(MONTH(Monat.Tag1)=4,May!Monat.NDgesternTag1,IF(MONTH(Monat.Tag1)=5,June!Monat.NDgesternTag1,IF(MONTH(Monat.Tag1)=6,July!Monat.NDgesternTag1,IF(MONTH(Monat.Tag1)=7,August!Monat.NDgesternTag1,IF(MONTH(Monat.Tag1)=8,September!Monat.NDgesternTag1,IF(MONTH(Monat.Tag1)=9,October!Monat.NDgesternTag1,IF(MONTH(Monat.Tag1)=10,November!Monat.NDgesternTag1,IF(MONTH(Monat.Tag1)=11,December!Monat.NDgesternTag1,"")))))))))))),"")</f>
        <v>0</v>
      </c>
      <c r="AM76" s="171"/>
      <c r="AN76" s="172"/>
      <c r="AO76" s="172"/>
      <c r="AP76" s="39"/>
    </row>
    <row r="77" s="148" customFormat="true" ht="16.5" hidden="true" customHeight="true" outlineLevel="1" collapsed="false">
      <c r="A77" s="181" t="s">
        <v>162</v>
      </c>
      <c r="B77" s="182" t="n">
        <f aca="false">B75+IF(B$10=EOMONTH(B$10,0),$AL76,C76)</f>
        <v>0</v>
      </c>
      <c r="C77" s="182" t="n">
        <f aca="false">C75+IF(C$10=EOMONTH(C$10,0),$AL76,D76)</f>
        <v>0</v>
      </c>
      <c r="D77" s="182" t="n">
        <f aca="false">D75+IF(D$10=EOMONTH(D$10,0),$AL76,E76)</f>
        <v>0</v>
      </c>
      <c r="E77" s="182" t="n">
        <f aca="false">E75+IF(E$10=EOMONTH(E$10,0),$AL76,F76)</f>
        <v>0</v>
      </c>
      <c r="F77" s="182" t="n">
        <f aca="false">F75+IF(F$10=EOMONTH(F$10,0),$AL76,G76)</f>
        <v>0</v>
      </c>
      <c r="G77" s="182" t="n">
        <f aca="false">G75+IF(G$10=EOMONTH(G$10,0),$AL76,H76)</f>
        <v>0</v>
      </c>
      <c r="H77" s="182" t="n">
        <f aca="false">H75+IF(H$10=EOMONTH(H$10,0),$AL76,I76)</f>
        <v>0</v>
      </c>
      <c r="I77" s="182" t="n">
        <f aca="false">I75+IF(I$10=EOMONTH(I$10,0),$AL76,J76)</f>
        <v>0</v>
      </c>
      <c r="J77" s="182" t="n">
        <f aca="false">J75+IF(J$10=EOMONTH(J$10,0),$AL76,K76)</f>
        <v>0</v>
      </c>
      <c r="K77" s="182" t="n">
        <f aca="false">K75+IF(K$10=EOMONTH(K$10,0),$AL76,L76)</f>
        <v>0</v>
      </c>
      <c r="L77" s="182" t="n">
        <f aca="false">L75+IF(L$10=EOMONTH(L$10,0),$AL76,M76)</f>
        <v>0</v>
      </c>
      <c r="M77" s="182" t="n">
        <f aca="false">M75+IF(M$10=EOMONTH(M$10,0),$AL76,N76)</f>
        <v>0</v>
      </c>
      <c r="N77" s="182" t="n">
        <f aca="false">N75+IF(N$10=EOMONTH(N$10,0),$AL76,O76)</f>
        <v>0</v>
      </c>
      <c r="O77" s="182" t="n">
        <f aca="false">O75+IF(O$10=EOMONTH(O$10,0),$AL76,P76)</f>
        <v>0</v>
      </c>
      <c r="P77" s="182" t="n">
        <f aca="false">P75+IF(P$10=EOMONTH(P$10,0),$AL76,Q76)</f>
        <v>0</v>
      </c>
      <c r="Q77" s="182" t="n">
        <f aca="false">Q75+IF(Q$10=EOMONTH(Q$10,0),$AL76,R76)</f>
        <v>0</v>
      </c>
      <c r="R77" s="182" t="n">
        <f aca="false">R75+IF(R$10=EOMONTH(R$10,0),$AL76,S76)</f>
        <v>0</v>
      </c>
      <c r="S77" s="182" t="n">
        <f aca="false">S75+IF(S$10=EOMONTH(S$10,0),$AL76,T76)</f>
        <v>0</v>
      </c>
      <c r="T77" s="182" t="n">
        <f aca="false">T75+IF(T$10=EOMONTH(T$10,0),$AL76,U76)</f>
        <v>0</v>
      </c>
      <c r="U77" s="182" t="n">
        <f aca="false">U75+IF(U$10=EOMONTH(U$10,0),$AL76,V76)</f>
        <v>0</v>
      </c>
      <c r="V77" s="182" t="n">
        <f aca="false">V75+IF(V$10=EOMONTH(V$10,0),$AL76,W76)</f>
        <v>0</v>
      </c>
      <c r="W77" s="182" t="n">
        <f aca="false">W75+IF(W$10=EOMONTH(W$10,0),$AL76,X76)</f>
        <v>0</v>
      </c>
      <c r="X77" s="182" t="n">
        <f aca="false">X75+IF(X$10=EOMONTH(X$10,0),$AL76,Y76)</f>
        <v>0</v>
      </c>
      <c r="Y77" s="182" t="n">
        <f aca="false">Y75+IF(Y$10=EOMONTH(Y$10,0),$AL76,Z76)</f>
        <v>0</v>
      </c>
      <c r="Z77" s="182" t="n">
        <f aca="false">Z75+IF(Z$10=EOMONTH(Z$10,0),$AL76,AA76)</f>
        <v>0</v>
      </c>
      <c r="AA77" s="182" t="n">
        <f aca="false">AA75+IF(AA$10=EOMONTH(AA$10,0),$AL76,AB76)</f>
        <v>0</v>
      </c>
      <c r="AB77" s="182" t="n">
        <f aca="false">AB75+IF(AB$10=EOMONTH(AB$10,0),$AL76,AC76)</f>
        <v>0</v>
      </c>
      <c r="AC77" s="182" t="n">
        <f aca="false">AC75+IF(AC$10=EOMONTH(AC$10,0),$AL76,AD76)</f>
        <v>0</v>
      </c>
      <c r="AD77" s="182" t="n">
        <f aca="false">AD75+IF(AD$10=EOMONTH(AD$10,0),$AL76,AE76)</f>
        <v>0</v>
      </c>
      <c r="AE77" s="182" t="n">
        <f aca="false">AE75+IF(AE$10=EOMONTH(AE$10,0),$AL76,#REF!)</f>
        <v>0</v>
      </c>
      <c r="AF77" s="183" t="str">
        <f aca="false">A77</f>
        <v>Total NS hours</v>
      </c>
      <c r="AG77" s="184"/>
      <c r="AH77" s="185" t="n">
        <f aca="false">SUM(B77:AE77)</f>
        <v>0</v>
      </c>
      <c r="AI77" s="180"/>
      <c r="AJ77" s="172"/>
      <c r="AK77" s="172"/>
      <c r="AL77" s="172"/>
      <c r="AM77" s="171"/>
      <c r="AN77" s="172"/>
      <c r="AO77" s="172"/>
      <c r="AP77" s="39"/>
    </row>
    <row r="78" s="148" customFormat="true" ht="3.75" hidden="true" customHeight="true" outlineLevel="0" collapsed="false">
      <c r="A78" s="186"/>
      <c r="B78" s="187"/>
      <c r="C78" s="187"/>
      <c r="D78" s="187"/>
      <c r="E78" s="187"/>
      <c r="F78" s="187"/>
      <c r="G78" s="187"/>
      <c r="H78" s="187"/>
      <c r="I78" s="187"/>
      <c r="J78" s="187"/>
      <c r="K78" s="187"/>
      <c r="L78" s="187"/>
      <c r="M78" s="187"/>
      <c r="N78" s="187"/>
      <c r="O78" s="187"/>
      <c r="P78" s="187"/>
      <c r="Q78" s="187"/>
      <c r="R78" s="187"/>
      <c r="S78" s="187"/>
      <c r="T78" s="187"/>
      <c r="U78" s="187"/>
      <c r="V78" s="187"/>
      <c r="W78" s="187"/>
      <c r="X78" s="187"/>
      <c r="Y78" s="187"/>
      <c r="Z78" s="187"/>
      <c r="AA78" s="187"/>
      <c r="AB78" s="187"/>
      <c r="AC78" s="187"/>
      <c r="AD78" s="187"/>
      <c r="AE78" s="187"/>
      <c r="AF78" s="168"/>
      <c r="AG78" s="202"/>
      <c r="AH78" s="188"/>
      <c r="AI78" s="180"/>
      <c r="AJ78" s="172"/>
      <c r="AK78" s="172"/>
      <c r="AL78" s="172"/>
      <c r="AM78" s="171"/>
      <c r="AN78" s="172"/>
      <c r="AO78" s="172"/>
      <c r="AP78" s="39"/>
    </row>
    <row r="79" s="148" customFormat="true" ht="15" hidden="true" customHeight="true" outlineLevel="1" collapsed="false">
      <c r="A79" s="175" t="s">
        <v>84</v>
      </c>
      <c r="B79" s="256" t="n">
        <f aca="false">IF(AND(T.50_Vetsuisse,B70&gt;24),ROUND(B73*T.50_VetsuisseZZSND,9), IF(AND(T.ServiceCenterIrchel,B69&gt;0,B77&gt;=ROUND(1/24*8,9)),ROUND(B77*T.ServiceCenterIrchelZZSND,9),))</f>
        <v>0</v>
      </c>
      <c r="C79" s="256" t="n">
        <f aca="false">IF(AND(T.50_Vetsuisse,C70&gt;24),ROUND(C73*T.50_VetsuisseZZSND,9), IF(AND(T.ServiceCenterIrchel,C69&gt;0,C77&gt;=ROUND(1/24*8,9)),ROUND(C77*T.ServiceCenterIrchelZZSND,9),))</f>
        <v>0</v>
      </c>
      <c r="D79" s="256" t="n">
        <f aca="false">IF(AND(T.50_Vetsuisse,D70&gt;24),ROUND(D73*T.50_VetsuisseZZSND,9), IF(AND(T.ServiceCenterIrchel,D69&gt;0,D77&gt;=ROUND(1/24*8,9)),ROUND(D77*T.ServiceCenterIrchelZZSND,9),))</f>
        <v>0</v>
      </c>
      <c r="E79" s="256" t="n">
        <f aca="false">IF(AND(T.50_Vetsuisse,E70&gt;24),ROUND(E73*T.50_VetsuisseZZSND,9), IF(AND(T.ServiceCenterIrchel,E69&gt;0,E77&gt;=ROUND(1/24*8,9)),ROUND(E77*T.ServiceCenterIrchelZZSND,9),))</f>
        <v>0</v>
      </c>
      <c r="F79" s="256" t="n">
        <f aca="false">IF(AND(T.50_Vetsuisse,F70&gt;24),ROUND(F73*T.50_VetsuisseZZSND,9), IF(AND(T.ServiceCenterIrchel,F69&gt;0,F77&gt;=ROUND(1/24*8,9)),ROUND(F77*T.ServiceCenterIrchelZZSND,9),))</f>
        <v>0</v>
      </c>
      <c r="G79" s="256" t="n">
        <f aca="false">IF(AND(T.50_Vetsuisse,G70&gt;24),ROUND(G73*T.50_VetsuisseZZSND,9), IF(AND(T.ServiceCenterIrchel,G69&gt;0,G77&gt;=ROUND(1/24*8,9)),ROUND(G77*T.ServiceCenterIrchelZZSND,9),))</f>
        <v>0</v>
      </c>
      <c r="H79" s="256" t="n">
        <f aca="false">IF(AND(T.50_Vetsuisse,H70&gt;24),ROUND(H73*T.50_VetsuisseZZSND,9), IF(AND(T.ServiceCenterIrchel,H69&gt;0,H77&gt;=ROUND(1/24*8,9)),ROUND(H77*T.ServiceCenterIrchelZZSND,9),))</f>
        <v>0</v>
      </c>
      <c r="I79" s="256" t="n">
        <f aca="false">IF(AND(T.50_Vetsuisse,I70&gt;24),ROUND(I73*T.50_VetsuisseZZSND,9), IF(AND(T.ServiceCenterIrchel,I69&gt;0,I77&gt;=ROUND(1/24*8,9)),ROUND(I77*T.ServiceCenterIrchelZZSND,9),))</f>
        <v>0</v>
      </c>
      <c r="J79" s="256" t="n">
        <f aca="false">IF(AND(T.50_Vetsuisse,J70&gt;24),ROUND(J73*T.50_VetsuisseZZSND,9), IF(AND(T.ServiceCenterIrchel,J69&gt;0,J77&gt;=ROUND(1/24*8,9)),ROUND(J77*T.ServiceCenterIrchelZZSND,9),))</f>
        <v>0</v>
      </c>
      <c r="K79" s="256" t="n">
        <f aca="false">IF(AND(T.50_Vetsuisse,K70&gt;24),ROUND(K73*T.50_VetsuisseZZSND,9), IF(AND(T.ServiceCenterIrchel,K69&gt;0,K77&gt;=ROUND(1/24*8,9)),ROUND(K77*T.ServiceCenterIrchelZZSND,9),))</f>
        <v>0</v>
      </c>
      <c r="L79" s="256" t="n">
        <f aca="false">IF(AND(T.50_Vetsuisse,L70&gt;24),ROUND(L73*T.50_VetsuisseZZSND,9), IF(AND(T.ServiceCenterIrchel,L69&gt;0,L77&gt;=ROUND(1/24*8,9)),ROUND(L77*T.ServiceCenterIrchelZZSND,9),))</f>
        <v>0</v>
      </c>
      <c r="M79" s="256" t="n">
        <f aca="false">IF(AND(T.50_Vetsuisse,M70&gt;24),ROUND(M73*T.50_VetsuisseZZSND,9), IF(AND(T.ServiceCenterIrchel,M69&gt;0,M77&gt;=ROUND(1/24*8,9)),ROUND(M77*T.ServiceCenterIrchelZZSND,9),))</f>
        <v>0</v>
      </c>
      <c r="N79" s="256" t="n">
        <f aca="false">IF(AND(T.50_Vetsuisse,N70&gt;24),ROUND(N73*T.50_VetsuisseZZSND,9), IF(AND(T.ServiceCenterIrchel,N69&gt;0,N77&gt;=ROUND(1/24*8,9)),ROUND(N77*T.ServiceCenterIrchelZZSND,9),))</f>
        <v>0</v>
      </c>
      <c r="O79" s="256" t="n">
        <f aca="false">IF(AND(T.50_Vetsuisse,O70&gt;24),ROUND(O73*T.50_VetsuisseZZSND,9), IF(AND(T.ServiceCenterIrchel,O69&gt;0,O77&gt;=ROUND(1/24*8,9)),ROUND(O77*T.ServiceCenterIrchelZZSND,9),))</f>
        <v>0</v>
      </c>
      <c r="P79" s="256" t="n">
        <f aca="false">IF(AND(T.50_Vetsuisse,P70&gt;24),ROUND(P73*T.50_VetsuisseZZSND,9), IF(AND(T.ServiceCenterIrchel,P69&gt;0,P77&gt;=ROUND(1/24*8,9)),ROUND(P77*T.ServiceCenterIrchelZZSND,9),))</f>
        <v>0</v>
      </c>
      <c r="Q79" s="256" t="n">
        <f aca="false">IF(AND(T.50_Vetsuisse,Q70&gt;24),ROUND(Q73*T.50_VetsuisseZZSND,9), IF(AND(T.ServiceCenterIrchel,Q69&gt;0,Q77&gt;=ROUND(1/24*8,9)),ROUND(Q77*T.ServiceCenterIrchelZZSND,9),))</f>
        <v>0</v>
      </c>
      <c r="R79" s="256" t="n">
        <f aca="false">IF(AND(T.50_Vetsuisse,R70&gt;24),ROUND(R73*T.50_VetsuisseZZSND,9), IF(AND(T.ServiceCenterIrchel,R69&gt;0,R77&gt;=ROUND(1/24*8,9)),ROUND(R77*T.ServiceCenterIrchelZZSND,9),))</f>
        <v>0</v>
      </c>
      <c r="S79" s="256" t="n">
        <f aca="false">IF(AND(T.50_Vetsuisse,S70&gt;24),ROUND(S73*T.50_VetsuisseZZSND,9), IF(AND(T.ServiceCenterIrchel,S69&gt;0,S77&gt;=ROUND(1/24*8,9)),ROUND(S77*T.ServiceCenterIrchelZZSND,9),))</f>
        <v>0</v>
      </c>
      <c r="T79" s="256" t="n">
        <f aca="false">IF(AND(T.50_Vetsuisse,T70&gt;24),ROUND(T73*T.50_VetsuisseZZSND,9), IF(AND(T.ServiceCenterIrchel,T69&gt;0,T77&gt;=ROUND(1/24*8,9)),ROUND(T77*T.ServiceCenterIrchelZZSND,9),))</f>
        <v>0</v>
      </c>
      <c r="U79" s="256" t="n">
        <f aca="false">IF(AND(T.50_Vetsuisse,U70&gt;24),ROUND(U73*T.50_VetsuisseZZSND,9), IF(AND(T.ServiceCenterIrchel,U69&gt;0,U77&gt;=ROUND(1/24*8,9)),ROUND(U77*T.ServiceCenterIrchelZZSND,9),))</f>
        <v>0</v>
      </c>
      <c r="V79" s="256" t="n">
        <f aca="false">IF(AND(T.50_Vetsuisse,V70&gt;24),ROUND(V73*T.50_VetsuisseZZSND,9), IF(AND(T.ServiceCenterIrchel,V69&gt;0,V77&gt;=ROUND(1/24*8,9)),ROUND(V77*T.ServiceCenterIrchelZZSND,9),))</f>
        <v>0</v>
      </c>
      <c r="W79" s="256" t="n">
        <f aca="false">IF(AND(T.50_Vetsuisse,W70&gt;24),ROUND(W73*T.50_VetsuisseZZSND,9), IF(AND(T.ServiceCenterIrchel,W69&gt;0,W77&gt;=ROUND(1/24*8,9)),ROUND(W77*T.ServiceCenterIrchelZZSND,9),))</f>
        <v>0</v>
      </c>
      <c r="X79" s="256" t="n">
        <f aca="false">IF(AND(T.50_Vetsuisse,X70&gt;24),ROUND(X73*T.50_VetsuisseZZSND,9), IF(AND(T.ServiceCenterIrchel,X69&gt;0,X77&gt;=ROUND(1/24*8,9)),ROUND(X77*T.ServiceCenterIrchelZZSND,9),))</f>
        <v>0</v>
      </c>
      <c r="Y79" s="256" t="n">
        <f aca="false">IF(AND(T.50_Vetsuisse,Y70&gt;24),ROUND(Y73*T.50_VetsuisseZZSND,9), IF(AND(T.ServiceCenterIrchel,Y69&gt;0,Y77&gt;=ROUND(1/24*8,9)),ROUND(Y77*T.ServiceCenterIrchelZZSND,9),))</f>
        <v>0</v>
      </c>
      <c r="Z79" s="256" t="n">
        <f aca="false">IF(AND(T.50_Vetsuisse,Z70&gt;24),ROUND(Z73*T.50_VetsuisseZZSND,9), IF(AND(T.ServiceCenterIrchel,Z69&gt;0,Z77&gt;=ROUND(1/24*8,9)),ROUND(Z77*T.ServiceCenterIrchelZZSND,9),))</f>
        <v>0</v>
      </c>
      <c r="AA79" s="256" t="n">
        <f aca="false">IF(AND(T.50_Vetsuisse,AA70&gt;24),ROUND(AA73*T.50_VetsuisseZZSND,9), IF(AND(T.ServiceCenterIrchel,AA69&gt;0,AA77&gt;=ROUND(1/24*8,9)),ROUND(AA77*T.ServiceCenterIrchelZZSND,9),))</f>
        <v>0</v>
      </c>
      <c r="AB79" s="256" t="n">
        <f aca="false">IF(AND(T.50_Vetsuisse,AB70&gt;24),ROUND(AB73*T.50_VetsuisseZZSND,9), IF(AND(T.ServiceCenterIrchel,AB69&gt;0,AB77&gt;=ROUND(1/24*8,9)),ROUND(AB77*T.ServiceCenterIrchelZZSND,9),))</f>
        <v>0</v>
      </c>
      <c r="AC79" s="256" t="n">
        <f aca="false">IF(AND(T.50_Vetsuisse,AC70&gt;24),ROUND(AC73*T.50_VetsuisseZZSND,9), IF(AND(T.ServiceCenterIrchel,AC69&gt;0,AC77&gt;=ROUND(1/24*8,9)),ROUND(AC77*T.ServiceCenterIrchelZZSND,9),))</f>
        <v>0</v>
      </c>
      <c r="AD79" s="256" t="n">
        <f aca="false">IF(AND(T.50_Vetsuisse,AD70&gt;24),ROUND(AD73*T.50_VetsuisseZZSND,9), IF(AND(T.ServiceCenterIrchel,AD69&gt;0,AD77&gt;=ROUND(1/24*8,9)),ROUND(AD77*T.ServiceCenterIrchelZZSND,9),))</f>
        <v>0</v>
      </c>
      <c r="AE79" s="256" t="n">
        <f aca="false">IF(AND(T.50_Vetsuisse,AE70&gt;24),ROUND(AE73*T.50_VetsuisseZZSND,9), IF(AND(T.ServiceCenterIrchel,AE69&gt;0,AE77&gt;=ROUND(1/24*8,9)),ROUND(AE77*T.ServiceCenterIrchelZZSND,9),))</f>
        <v>0</v>
      </c>
      <c r="AF79" s="168" t="str">
        <f aca="false">A79</f>
        <v>Time supplement night shift</v>
      </c>
      <c r="AG79" s="250"/>
      <c r="AH79" s="207" t="n">
        <f aca="false">SUM(B79:AE79)</f>
        <v>0</v>
      </c>
      <c r="AI79" s="33"/>
      <c r="AJ79" s="192"/>
      <c r="AK79" s="216" t="n">
        <f aca="false">IF(EB.Anwendung&lt;&gt;"",IF(MONTH(Monat.Tag1)=1,EB.ZZNd,IF(MONTH(Monat.Tag1)=2,January!Monat.ZZNdUe,IF(MONTH(Monat.Tag1)=3,February!Monat.ZZNdUe,IF(MONTH(Monat.Tag1)=4,March!Monat.ZZNdUe,IF(MONTH(Monat.Tag1)=5,Monat.ZZNdUe,IF(MONTH(Monat.Tag1)=6,May!Monat.ZZNdUe,IF(MONTH(Monat.Tag1)=7,June!Monat.ZZNdUe,IF(MONTH(Monat.Tag1)=8,July!Monat.ZZNdUe,IF(MONTH(Monat.Tag1)=9,August!Monat.ZZNdUe,IF(MONTH(Monat.Tag1)=10,September!Monat.ZZNdUe,IF(MONTH(Monat.Tag1)=11,October!Monat.ZZNdUe,IF(MONTH(Monat.Tag1)=12,November!Monat.ZZNdUe,"")))))))))))),"")</f>
        <v>0</v>
      </c>
      <c r="AL79" s="172"/>
      <c r="AM79" s="217" t="n">
        <f aca="false">AH79+AK79-AH71</f>
        <v>0</v>
      </c>
      <c r="AN79" s="217" t="n">
        <f aca="true">OFFSET(Jahr.ZZSNDSaldo,-13+MONTH(Monat.Tag1),0,1,1)</f>
        <v>0</v>
      </c>
      <c r="AO79" s="217" t="n">
        <f aca="false">Jahr.ZZSNDSaldo</f>
        <v>0</v>
      </c>
      <c r="AP79" s="39"/>
    </row>
    <row r="80" s="148" customFormat="true" ht="15" hidden="true" customHeight="true" outlineLevel="1" collapsed="false">
      <c r="A80" s="175" t="s">
        <v>163</v>
      </c>
      <c r="B80" s="256" t="str">
        <f aca="false">IF(T.50_Vetsuisse,IF(OR(B$12=0,B$11=0,WEEKDAY(B$10,2)&gt;5),0,ROUND(MAX(0,T.Abendbis-MAX(B13,T.Abendab))-MAX(0,T.Abendbis-MAX(T.Abendab,B14))+(B13&gt;B14)*(1+T.Abendab-T.Abendbis)+MAX(0,T.Abendbis-MAX(B15,T.Abendab))-MAX(0,T.Abendbis-MAX(T.Abendab,B16))+(B15&gt;B16)*(1+T.Abendab-T.Abendbis)+MAX(0,T.Abendbis-MAX(B17,T.Abendab))-MAX(0,T.Abendbis-MAX(T.Abendab,B18))+(B17&gt;B18)*(1+T.Abendab-T.Abendbis)+MAX(0,T.Abendbis-MAX(B19,T.Abendab))-MAX(0,T.Abendbis-MAX(T.Abendab,B20))+(B19&gt;B20)*(1+T.Abendab-T.Abendbis)+MAX(0,T.Abendbis-MAX(B21,T.Abendab))-MAX(0,T.Abendbis-MAX(T.Abendab,B22))+(B21&gt;B22)*(1+T.Abendab-T.Abendbis),9)),"")</f>
        <v/>
      </c>
      <c r="C80" s="256" t="str">
        <f aca="false">IF(T.50_Vetsuisse,IF(OR(C$12=0,C$11=0,WEEKDAY(C$10,2)&gt;5),0,ROUND(MAX(0,T.Abendbis-MAX(C13,T.Abendab))-MAX(0,T.Abendbis-MAX(T.Abendab,C14))+(C13&gt;C14)*(1+T.Abendab-T.Abendbis)+MAX(0,T.Abendbis-MAX(C15,T.Abendab))-MAX(0,T.Abendbis-MAX(T.Abendab,C16))+(C15&gt;C16)*(1+T.Abendab-T.Abendbis)+MAX(0,T.Abendbis-MAX(C17,T.Abendab))-MAX(0,T.Abendbis-MAX(T.Abendab,C18))+(C17&gt;C18)*(1+T.Abendab-T.Abendbis)+MAX(0,T.Abendbis-MAX(C19,T.Abendab))-MAX(0,T.Abendbis-MAX(T.Abendab,C20))+(C19&gt;C20)*(1+T.Abendab-T.Abendbis)+MAX(0,T.Abendbis-MAX(C21,T.Abendab))-MAX(0,T.Abendbis-MAX(T.Abendab,C22))+(C21&gt;C22)*(1+T.Abendab-T.Abendbis),9)),"")</f>
        <v/>
      </c>
      <c r="D80" s="256" t="str">
        <f aca="false">IF(T.50_Vetsuisse,IF(OR(D$12=0,D$11=0,WEEKDAY(D$10,2)&gt;5),0,ROUND(MAX(0,T.Abendbis-MAX(D13,T.Abendab))-MAX(0,T.Abendbis-MAX(T.Abendab,D14))+(D13&gt;D14)*(1+T.Abendab-T.Abendbis)+MAX(0,T.Abendbis-MAX(D15,T.Abendab))-MAX(0,T.Abendbis-MAX(T.Abendab,D16))+(D15&gt;D16)*(1+T.Abendab-T.Abendbis)+MAX(0,T.Abendbis-MAX(D17,T.Abendab))-MAX(0,T.Abendbis-MAX(T.Abendab,D18))+(D17&gt;D18)*(1+T.Abendab-T.Abendbis)+MAX(0,T.Abendbis-MAX(D19,T.Abendab))-MAX(0,T.Abendbis-MAX(T.Abendab,D20))+(D19&gt;D20)*(1+T.Abendab-T.Abendbis)+MAX(0,T.Abendbis-MAX(D21,T.Abendab))-MAX(0,T.Abendbis-MAX(T.Abendab,D22))+(D21&gt;D22)*(1+T.Abendab-T.Abendbis),9)),"")</f>
        <v/>
      </c>
      <c r="E80" s="256" t="str">
        <f aca="false">IF(T.50_Vetsuisse,IF(OR(E$12=0,E$11=0,WEEKDAY(E$10,2)&gt;5),0,ROUND(MAX(0,T.Abendbis-MAX(E13,T.Abendab))-MAX(0,T.Abendbis-MAX(T.Abendab,E14))+(E13&gt;E14)*(1+T.Abendab-T.Abendbis)+MAX(0,T.Abendbis-MAX(E15,T.Abendab))-MAX(0,T.Abendbis-MAX(T.Abendab,E16))+(E15&gt;E16)*(1+T.Abendab-T.Abendbis)+MAX(0,T.Abendbis-MAX(E17,T.Abendab))-MAX(0,T.Abendbis-MAX(T.Abendab,E18))+(E17&gt;E18)*(1+T.Abendab-T.Abendbis)+MAX(0,T.Abendbis-MAX(E19,T.Abendab))-MAX(0,T.Abendbis-MAX(T.Abendab,E20))+(E19&gt;E20)*(1+T.Abendab-T.Abendbis)+MAX(0,T.Abendbis-MAX(E21,T.Abendab))-MAX(0,T.Abendbis-MAX(T.Abendab,E22))+(E21&gt;E22)*(1+T.Abendab-T.Abendbis),9)),"")</f>
        <v/>
      </c>
      <c r="F80" s="256" t="str">
        <f aca="false">IF(T.50_Vetsuisse,IF(OR(F$12=0,F$11=0,WEEKDAY(F$10,2)&gt;5),0,ROUND(MAX(0,T.Abendbis-MAX(F13,T.Abendab))-MAX(0,T.Abendbis-MAX(T.Abendab,F14))+(F13&gt;F14)*(1+T.Abendab-T.Abendbis)+MAX(0,T.Abendbis-MAX(F15,T.Abendab))-MAX(0,T.Abendbis-MAX(T.Abendab,F16))+(F15&gt;F16)*(1+T.Abendab-T.Abendbis)+MAX(0,T.Abendbis-MAX(F17,T.Abendab))-MAX(0,T.Abendbis-MAX(T.Abendab,F18))+(F17&gt;F18)*(1+T.Abendab-T.Abendbis)+MAX(0,T.Abendbis-MAX(F19,T.Abendab))-MAX(0,T.Abendbis-MAX(T.Abendab,F20))+(F19&gt;F20)*(1+T.Abendab-T.Abendbis)+MAX(0,T.Abendbis-MAX(F21,T.Abendab))-MAX(0,T.Abendbis-MAX(T.Abendab,F22))+(F21&gt;F22)*(1+T.Abendab-T.Abendbis),9)),"")</f>
        <v/>
      </c>
      <c r="G80" s="256" t="str">
        <f aca="false">IF(T.50_Vetsuisse,IF(OR(G$12=0,G$11=0,WEEKDAY(G$10,2)&gt;5),0,ROUND(MAX(0,T.Abendbis-MAX(G13,T.Abendab))-MAX(0,T.Abendbis-MAX(T.Abendab,G14))+(G13&gt;G14)*(1+T.Abendab-T.Abendbis)+MAX(0,T.Abendbis-MAX(G15,T.Abendab))-MAX(0,T.Abendbis-MAX(T.Abendab,G16))+(G15&gt;G16)*(1+T.Abendab-T.Abendbis)+MAX(0,T.Abendbis-MAX(G17,T.Abendab))-MAX(0,T.Abendbis-MAX(T.Abendab,G18))+(G17&gt;G18)*(1+T.Abendab-T.Abendbis)+MAX(0,T.Abendbis-MAX(G19,T.Abendab))-MAX(0,T.Abendbis-MAX(T.Abendab,G20))+(G19&gt;G20)*(1+T.Abendab-T.Abendbis)+MAX(0,T.Abendbis-MAX(G21,T.Abendab))-MAX(0,T.Abendbis-MAX(T.Abendab,G22))+(G21&gt;G22)*(1+T.Abendab-T.Abendbis),9)),"")</f>
        <v/>
      </c>
      <c r="H80" s="256" t="str">
        <f aca="false">IF(T.50_Vetsuisse,IF(OR(H$12=0,H$11=0,WEEKDAY(H$10,2)&gt;5),0,ROUND(MAX(0,T.Abendbis-MAX(H13,T.Abendab))-MAX(0,T.Abendbis-MAX(T.Abendab,H14))+(H13&gt;H14)*(1+T.Abendab-T.Abendbis)+MAX(0,T.Abendbis-MAX(H15,T.Abendab))-MAX(0,T.Abendbis-MAX(T.Abendab,H16))+(H15&gt;H16)*(1+T.Abendab-T.Abendbis)+MAX(0,T.Abendbis-MAX(H17,T.Abendab))-MAX(0,T.Abendbis-MAX(T.Abendab,H18))+(H17&gt;H18)*(1+T.Abendab-T.Abendbis)+MAX(0,T.Abendbis-MAX(H19,T.Abendab))-MAX(0,T.Abendbis-MAX(T.Abendab,H20))+(H19&gt;H20)*(1+T.Abendab-T.Abendbis)+MAX(0,T.Abendbis-MAX(H21,T.Abendab))-MAX(0,T.Abendbis-MAX(T.Abendab,H22))+(H21&gt;H22)*(1+T.Abendab-T.Abendbis),9)),"")</f>
        <v/>
      </c>
      <c r="I80" s="256" t="str">
        <f aca="false">IF(T.50_Vetsuisse,IF(OR(I$12=0,I$11=0,WEEKDAY(I$10,2)&gt;5),0,ROUND(MAX(0,T.Abendbis-MAX(I13,T.Abendab))-MAX(0,T.Abendbis-MAX(T.Abendab,I14))+(I13&gt;I14)*(1+T.Abendab-T.Abendbis)+MAX(0,T.Abendbis-MAX(I15,T.Abendab))-MAX(0,T.Abendbis-MAX(T.Abendab,I16))+(I15&gt;I16)*(1+T.Abendab-T.Abendbis)+MAX(0,T.Abendbis-MAX(I17,T.Abendab))-MAX(0,T.Abendbis-MAX(T.Abendab,I18))+(I17&gt;I18)*(1+T.Abendab-T.Abendbis)+MAX(0,T.Abendbis-MAX(I19,T.Abendab))-MAX(0,T.Abendbis-MAX(T.Abendab,I20))+(I19&gt;I20)*(1+T.Abendab-T.Abendbis)+MAX(0,T.Abendbis-MAX(I21,T.Abendab))-MAX(0,T.Abendbis-MAX(T.Abendab,I22))+(I21&gt;I22)*(1+T.Abendab-T.Abendbis),9)),"")</f>
        <v/>
      </c>
      <c r="J80" s="256" t="str">
        <f aca="false">IF(T.50_Vetsuisse,IF(OR(J$12=0,J$11=0,WEEKDAY(J$10,2)&gt;5),0,ROUND(MAX(0,T.Abendbis-MAX(J13,T.Abendab))-MAX(0,T.Abendbis-MAX(T.Abendab,J14))+(J13&gt;J14)*(1+T.Abendab-T.Abendbis)+MAX(0,T.Abendbis-MAX(J15,T.Abendab))-MAX(0,T.Abendbis-MAX(T.Abendab,J16))+(J15&gt;J16)*(1+T.Abendab-T.Abendbis)+MAX(0,T.Abendbis-MAX(J17,T.Abendab))-MAX(0,T.Abendbis-MAX(T.Abendab,J18))+(J17&gt;J18)*(1+T.Abendab-T.Abendbis)+MAX(0,T.Abendbis-MAX(J19,T.Abendab))-MAX(0,T.Abendbis-MAX(T.Abendab,J20))+(J19&gt;J20)*(1+T.Abendab-T.Abendbis)+MAX(0,T.Abendbis-MAX(J21,T.Abendab))-MAX(0,T.Abendbis-MAX(T.Abendab,J22))+(J21&gt;J22)*(1+T.Abendab-T.Abendbis),9)),"")</f>
        <v/>
      </c>
      <c r="K80" s="256" t="str">
        <f aca="false">IF(T.50_Vetsuisse,IF(OR(K$12=0,K$11=0,WEEKDAY(K$10,2)&gt;5),0,ROUND(MAX(0,T.Abendbis-MAX(K13,T.Abendab))-MAX(0,T.Abendbis-MAX(T.Abendab,K14))+(K13&gt;K14)*(1+T.Abendab-T.Abendbis)+MAX(0,T.Abendbis-MAX(K15,T.Abendab))-MAX(0,T.Abendbis-MAX(T.Abendab,K16))+(K15&gt;K16)*(1+T.Abendab-T.Abendbis)+MAX(0,T.Abendbis-MAX(K17,T.Abendab))-MAX(0,T.Abendbis-MAX(T.Abendab,K18))+(K17&gt;K18)*(1+T.Abendab-T.Abendbis)+MAX(0,T.Abendbis-MAX(K19,T.Abendab))-MAX(0,T.Abendbis-MAX(T.Abendab,K20))+(K19&gt;K20)*(1+T.Abendab-T.Abendbis)+MAX(0,T.Abendbis-MAX(K21,T.Abendab))-MAX(0,T.Abendbis-MAX(T.Abendab,K22))+(K21&gt;K22)*(1+T.Abendab-T.Abendbis),9)),"")</f>
        <v/>
      </c>
      <c r="L80" s="256" t="str">
        <f aca="false">IF(T.50_Vetsuisse,IF(OR(L$12=0,L$11=0,WEEKDAY(L$10,2)&gt;5),0,ROUND(MAX(0,T.Abendbis-MAX(L13,T.Abendab))-MAX(0,T.Abendbis-MAX(T.Abendab,L14))+(L13&gt;L14)*(1+T.Abendab-T.Abendbis)+MAX(0,T.Abendbis-MAX(L15,T.Abendab))-MAX(0,T.Abendbis-MAX(T.Abendab,L16))+(L15&gt;L16)*(1+T.Abendab-T.Abendbis)+MAX(0,T.Abendbis-MAX(L17,T.Abendab))-MAX(0,T.Abendbis-MAX(T.Abendab,L18))+(L17&gt;L18)*(1+T.Abendab-T.Abendbis)+MAX(0,T.Abendbis-MAX(L19,T.Abendab))-MAX(0,T.Abendbis-MAX(T.Abendab,L20))+(L19&gt;L20)*(1+T.Abendab-T.Abendbis)+MAX(0,T.Abendbis-MAX(L21,T.Abendab))-MAX(0,T.Abendbis-MAX(T.Abendab,L22))+(L21&gt;L22)*(1+T.Abendab-T.Abendbis),9)),"")</f>
        <v/>
      </c>
      <c r="M80" s="256" t="str">
        <f aca="false">IF(T.50_Vetsuisse,IF(OR(M$12=0,M$11=0,WEEKDAY(M$10,2)&gt;5),0,ROUND(MAX(0,T.Abendbis-MAX(M13,T.Abendab))-MAX(0,T.Abendbis-MAX(T.Abendab,M14))+(M13&gt;M14)*(1+T.Abendab-T.Abendbis)+MAX(0,T.Abendbis-MAX(M15,T.Abendab))-MAX(0,T.Abendbis-MAX(T.Abendab,M16))+(M15&gt;M16)*(1+T.Abendab-T.Abendbis)+MAX(0,T.Abendbis-MAX(M17,T.Abendab))-MAX(0,T.Abendbis-MAX(T.Abendab,M18))+(M17&gt;M18)*(1+T.Abendab-T.Abendbis)+MAX(0,T.Abendbis-MAX(M19,T.Abendab))-MAX(0,T.Abendbis-MAX(T.Abendab,M20))+(M19&gt;M20)*(1+T.Abendab-T.Abendbis)+MAX(0,T.Abendbis-MAX(M21,T.Abendab))-MAX(0,T.Abendbis-MAX(T.Abendab,M22))+(M21&gt;M22)*(1+T.Abendab-T.Abendbis),9)),"")</f>
        <v/>
      </c>
      <c r="N80" s="256" t="str">
        <f aca="false">IF(T.50_Vetsuisse,IF(OR(N$12=0,N$11=0,WEEKDAY(N$10,2)&gt;5),0,ROUND(MAX(0,T.Abendbis-MAX(N13,T.Abendab))-MAX(0,T.Abendbis-MAX(T.Abendab,N14))+(N13&gt;N14)*(1+T.Abendab-T.Abendbis)+MAX(0,T.Abendbis-MAX(N15,T.Abendab))-MAX(0,T.Abendbis-MAX(T.Abendab,N16))+(N15&gt;N16)*(1+T.Abendab-T.Abendbis)+MAX(0,T.Abendbis-MAX(N17,T.Abendab))-MAX(0,T.Abendbis-MAX(T.Abendab,N18))+(N17&gt;N18)*(1+T.Abendab-T.Abendbis)+MAX(0,T.Abendbis-MAX(N19,T.Abendab))-MAX(0,T.Abendbis-MAX(T.Abendab,N20))+(N19&gt;N20)*(1+T.Abendab-T.Abendbis)+MAX(0,T.Abendbis-MAX(N21,T.Abendab))-MAX(0,T.Abendbis-MAX(T.Abendab,N22))+(N21&gt;N22)*(1+T.Abendab-T.Abendbis),9)),"")</f>
        <v/>
      </c>
      <c r="O80" s="256" t="str">
        <f aca="false">IF(T.50_Vetsuisse,IF(OR(O$12=0,O$11=0,WEEKDAY(O$10,2)&gt;5),0,ROUND(MAX(0,T.Abendbis-MAX(O13,T.Abendab))-MAX(0,T.Abendbis-MAX(T.Abendab,O14))+(O13&gt;O14)*(1+T.Abendab-T.Abendbis)+MAX(0,T.Abendbis-MAX(O15,T.Abendab))-MAX(0,T.Abendbis-MAX(T.Abendab,O16))+(O15&gt;O16)*(1+T.Abendab-T.Abendbis)+MAX(0,T.Abendbis-MAX(O17,T.Abendab))-MAX(0,T.Abendbis-MAX(T.Abendab,O18))+(O17&gt;O18)*(1+T.Abendab-T.Abendbis)+MAX(0,T.Abendbis-MAX(O19,T.Abendab))-MAX(0,T.Abendbis-MAX(T.Abendab,O20))+(O19&gt;O20)*(1+T.Abendab-T.Abendbis)+MAX(0,T.Abendbis-MAX(O21,T.Abendab))-MAX(0,T.Abendbis-MAX(T.Abendab,O22))+(O21&gt;O22)*(1+T.Abendab-T.Abendbis),9)),"")</f>
        <v/>
      </c>
      <c r="P80" s="256" t="str">
        <f aca="false">IF(T.50_Vetsuisse,IF(OR(P$12=0,P$11=0,WEEKDAY(P$10,2)&gt;5),0,ROUND(MAX(0,T.Abendbis-MAX(P13,T.Abendab))-MAX(0,T.Abendbis-MAX(T.Abendab,P14))+(P13&gt;P14)*(1+T.Abendab-T.Abendbis)+MAX(0,T.Abendbis-MAX(P15,T.Abendab))-MAX(0,T.Abendbis-MAX(T.Abendab,P16))+(P15&gt;P16)*(1+T.Abendab-T.Abendbis)+MAX(0,T.Abendbis-MAX(P17,T.Abendab))-MAX(0,T.Abendbis-MAX(T.Abendab,P18))+(P17&gt;P18)*(1+T.Abendab-T.Abendbis)+MAX(0,T.Abendbis-MAX(P19,T.Abendab))-MAX(0,T.Abendbis-MAX(T.Abendab,P20))+(P19&gt;P20)*(1+T.Abendab-T.Abendbis)+MAX(0,T.Abendbis-MAX(P21,T.Abendab))-MAX(0,T.Abendbis-MAX(T.Abendab,P22))+(P21&gt;P22)*(1+T.Abendab-T.Abendbis),9)),"")</f>
        <v/>
      </c>
      <c r="Q80" s="256" t="str">
        <f aca="false">IF(T.50_Vetsuisse,IF(OR(Q$12=0,Q$11=0,WEEKDAY(Q$10,2)&gt;5),0,ROUND(MAX(0,T.Abendbis-MAX(Q13,T.Abendab))-MAX(0,T.Abendbis-MAX(T.Abendab,Q14))+(Q13&gt;Q14)*(1+T.Abendab-T.Abendbis)+MAX(0,T.Abendbis-MAX(Q15,T.Abendab))-MAX(0,T.Abendbis-MAX(T.Abendab,Q16))+(Q15&gt;Q16)*(1+T.Abendab-T.Abendbis)+MAX(0,T.Abendbis-MAX(Q17,T.Abendab))-MAX(0,T.Abendbis-MAX(T.Abendab,Q18))+(Q17&gt;Q18)*(1+T.Abendab-T.Abendbis)+MAX(0,T.Abendbis-MAX(Q19,T.Abendab))-MAX(0,T.Abendbis-MAX(T.Abendab,Q20))+(Q19&gt;Q20)*(1+T.Abendab-T.Abendbis)+MAX(0,T.Abendbis-MAX(Q21,T.Abendab))-MAX(0,T.Abendbis-MAX(T.Abendab,Q22))+(Q21&gt;Q22)*(1+T.Abendab-T.Abendbis),9)),"")</f>
        <v/>
      </c>
      <c r="R80" s="256" t="str">
        <f aca="false">IF(T.50_Vetsuisse,IF(OR(R$12=0,R$11=0,WEEKDAY(R$10,2)&gt;5),0,ROUND(MAX(0,T.Abendbis-MAX(R13,T.Abendab))-MAX(0,T.Abendbis-MAX(T.Abendab,R14))+(R13&gt;R14)*(1+T.Abendab-T.Abendbis)+MAX(0,T.Abendbis-MAX(R15,T.Abendab))-MAX(0,T.Abendbis-MAX(T.Abendab,R16))+(R15&gt;R16)*(1+T.Abendab-T.Abendbis)+MAX(0,T.Abendbis-MAX(R17,T.Abendab))-MAX(0,T.Abendbis-MAX(T.Abendab,R18))+(R17&gt;R18)*(1+T.Abendab-T.Abendbis)+MAX(0,T.Abendbis-MAX(R19,T.Abendab))-MAX(0,T.Abendbis-MAX(T.Abendab,R20))+(R19&gt;R20)*(1+T.Abendab-T.Abendbis)+MAX(0,T.Abendbis-MAX(R21,T.Abendab))-MAX(0,T.Abendbis-MAX(T.Abendab,R22))+(R21&gt;R22)*(1+T.Abendab-T.Abendbis),9)),"")</f>
        <v/>
      </c>
      <c r="S80" s="256" t="str">
        <f aca="false">IF(T.50_Vetsuisse,IF(OR(S$12=0,S$11=0,WEEKDAY(S$10,2)&gt;5),0,ROUND(MAX(0,T.Abendbis-MAX(S13,T.Abendab))-MAX(0,T.Abendbis-MAX(T.Abendab,S14))+(S13&gt;S14)*(1+T.Abendab-T.Abendbis)+MAX(0,T.Abendbis-MAX(S15,T.Abendab))-MAX(0,T.Abendbis-MAX(T.Abendab,S16))+(S15&gt;S16)*(1+T.Abendab-T.Abendbis)+MAX(0,T.Abendbis-MAX(S17,T.Abendab))-MAX(0,T.Abendbis-MAX(T.Abendab,S18))+(S17&gt;S18)*(1+T.Abendab-T.Abendbis)+MAX(0,T.Abendbis-MAX(S19,T.Abendab))-MAX(0,T.Abendbis-MAX(T.Abendab,S20))+(S19&gt;S20)*(1+T.Abendab-T.Abendbis)+MAX(0,T.Abendbis-MAX(S21,T.Abendab))-MAX(0,T.Abendbis-MAX(T.Abendab,S22))+(S21&gt;S22)*(1+T.Abendab-T.Abendbis),9)),"")</f>
        <v/>
      </c>
      <c r="T80" s="256" t="str">
        <f aca="false">IF(T.50_Vetsuisse,IF(OR(T$12=0,T$11=0,WEEKDAY(T$10,2)&gt;5),0,ROUND(MAX(0,T.Abendbis-MAX(T13,T.Abendab))-MAX(0,T.Abendbis-MAX(T.Abendab,T14))+(T13&gt;T14)*(1+T.Abendab-T.Abendbis)+MAX(0,T.Abendbis-MAX(T15,T.Abendab))-MAX(0,T.Abendbis-MAX(T.Abendab,T16))+(T15&gt;T16)*(1+T.Abendab-T.Abendbis)+MAX(0,T.Abendbis-MAX(T17,T.Abendab))-MAX(0,T.Abendbis-MAX(T.Abendab,T18))+(T17&gt;T18)*(1+T.Abendab-T.Abendbis)+MAX(0,T.Abendbis-MAX(T19,T.Abendab))-MAX(0,T.Abendbis-MAX(T.Abendab,T20))+(T19&gt;T20)*(1+T.Abendab-T.Abendbis)+MAX(0,T.Abendbis-MAX(T21,T.Abendab))-MAX(0,T.Abendbis-MAX(T.Abendab,T22))+(T21&gt;T22)*(1+T.Abendab-T.Abendbis),9)),"")</f>
        <v/>
      </c>
      <c r="U80" s="256" t="str">
        <f aca="false">IF(T.50_Vetsuisse,IF(OR(U$12=0,U$11=0,WEEKDAY(U$10,2)&gt;5),0,ROUND(MAX(0,T.Abendbis-MAX(U13,T.Abendab))-MAX(0,T.Abendbis-MAX(T.Abendab,U14))+(U13&gt;U14)*(1+T.Abendab-T.Abendbis)+MAX(0,T.Abendbis-MAX(U15,T.Abendab))-MAX(0,T.Abendbis-MAX(T.Abendab,U16))+(U15&gt;U16)*(1+T.Abendab-T.Abendbis)+MAX(0,T.Abendbis-MAX(U17,T.Abendab))-MAX(0,T.Abendbis-MAX(T.Abendab,U18))+(U17&gt;U18)*(1+T.Abendab-T.Abendbis)+MAX(0,T.Abendbis-MAX(U19,T.Abendab))-MAX(0,T.Abendbis-MAX(T.Abendab,U20))+(U19&gt;U20)*(1+T.Abendab-T.Abendbis)+MAX(0,T.Abendbis-MAX(U21,T.Abendab))-MAX(0,T.Abendbis-MAX(T.Abendab,U22))+(U21&gt;U22)*(1+T.Abendab-T.Abendbis),9)),"")</f>
        <v/>
      </c>
      <c r="V80" s="256" t="str">
        <f aca="false">IF(T.50_Vetsuisse,IF(OR(V$12=0,V$11=0,WEEKDAY(V$10,2)&gt;5),0,ROUND(MAX(0,T.Abendbis-MAX(V13,T.Abendab))-MAX(0,T.Abendbis-MAX(T.Abendab,V14))+(V13&gt;V14)*(1+T.Abendab-T.Abendbis)+MAX(0,T.Abendbis-MAX(V15,T.Abendab))-MAX(0,T.Abendbis-MAX(T.Abendab,V16))+(V15&gt;V16)*(1+T.Abendab-T.Abendbis)+MAX(0,T.Abendbis-MAX(V17,T.Abendab))-MAX(0,T.Abendbis-MAX(T.Abendab,V18))+(V17&gt;V18)*(1+T.Abendab-T.Abendbis)+MAX(0,T.Abendbis-MAX(V19,T.Abendab))-MAX(0,T.Abendbis-MAX(T.Abendab,V20))+(V19&gt;V20)*(1+T.Abendab-T.Abendbis)+MAX(0,T.Abendbis-MAX(V21,T.Abendab))-MAX(0,T.Abendbis-MAX(T.Abendab,V22))+(V21&gt;V22)*(1+T.Abendab-T.Abendbis),9)),"")</f>
        <v/>
      </c>
      <c r="W80" s="256" t="str">
        <f aca="false">IF(T.50_Vetsuisse,IF(OR(W$12=0,W$11=0,WEEKDAY(W$10,2)&gt;5),0,ROUND(MAX(0,T.Abendbis-MAX(W13,T.Abendab))-MAX(0,T.Abendbis-MAX(T.Abendab,W14))+(W13&gt;W14)*(1+T.Abendab-T.Abendbis)+MAX(0,T.Abendbis-MAX(W15,T.Abendab))-MAX(0,T.Abendbis-MAX(T.Abendab,W16))+(W15&gt;W16)*(1+T.Abendab-T.Abendbis)+MAX(0,T.Abendbis-MAX(W17,T.Abendab))-MAX(0,T.Abendbis-MAX(T.Abendab,W18))+(W17&gt;W18)*(1+T.Abendab-T.Abendbis)+MAX(0,T.Abendbis-MAX(W19,T.Abendab))-MAX(0,T.Abendbis-MAX(T.Abendab,W20))+(W19&gt;W20)*(1+T.Abendab-T.Abendbis)+MAX(0,T.Abendbis-MAX(W21,T.Abendab))-MAX(0,T.Abendbis-MAX(T.Abendab,W22))+(W21&gt;W22)*(1+T.Abendab-T.Abendbis),9)),"")</f>
        <v/>
      </c>
      <c r="X80" s="256" t="str">
        <f aca="false">IF(T.50_Vetsuisse,IF(OR(X$12=0,X$11=0,WEEKDAY(X$10,2)&gt;5),0,ROUND(MAX(0,T.Abendbis-MAX(X13,T.Abendab))-MAX(0,T.Abendbis-MAX(T.Abendab,X14))+(X13&gt;X14)*(1+T.Abendab-T.Abendbis)+MAX(0,T.Abendbis-MAX(X15,T.Abendab))-MAX(0,T.Abendbis-MAX(T.Abendab,X16))+(X15&gt;X16)*(1+T.Abendab-T.Abendbis)+MAX(0,T.Abendbis-MAX(X17,T.Abendab))-MAX(0,T.Abendbis-MAX(T.Abendab,X18))+(X17&gt;X18)*(1+T.Abendab-T.Abendbis)+MAX(0,T.Abendbis-MAX(X19,T.Abendab))-MAX(0,T.Abendbis-MAX(T.Abendab,X20))+(X19&gt;X20)*(1+T.Abendab-T.Abendbis)+MAX(0,T.Abendbis-MAX(X21,T.Abendab))-MAX(0,T.Abendbis-MAX(T.Abendab,X22))+(X21&gt;X22)*(1+T.Abendab-T.Abendbis),9)),"")</f>
        <v/>
      </c>
      <c r="Y80" s="256" t="str">
        <f aca="false">IF(T.50_Vetsuisse,IF(OR(Y$12=0,Y$11=0,WEEKDAY(Y$10,2)&gt;5),0,ROUND(MAX(0,T.Abendbis-MAX(Y13,T.Abendab))-MAX(0,T.Abendbis-MAX(T.Abendab,Y14))+(Y13&gt;Y14)*(1+T.Abendab-T.Abendbis)+MAX(0,T.Abendbis-MAX(Y15,T.Abendab))-MAX(0,T.Abendbis-MAX(T.Abendab,Y16))+(Y15&gt;Y16)*(1+T.Abendab-T.Abendbis)+MAX(0,T.Abendbis-MAX(Y17,T.Abendab))-MAX(0,T.Abendbis-MAX(T.Abendab,Y18))+(Y17&gt;Y18)*(1+T.Abendab-T.Abendbis)+MAX(0,T.Abendbis-MAX(Y19,T.Abendab))-MAX(0,T.Abendbis-MAX(T.Abendab,Y20))+(Y19&gt;Y20)*(1+T.Abendab-T.Abendbis)+MAX(0,T.Abendbis-MAX(Y21,T.Abendab))-MAX(0,T.Abendbis-MAX(T.Abendab,Y22))+(Y21&gt;Y22)*(1+T.Abendab-T.Abendbis),9)),"")</f>
        <v/>
      </c>
      <c r="Z80" s="256" t="str">
        <f aca="false">IF(T.50_Vetsuisse,IF(OR(Z$12=0,Z$11=0,WEEKDAY(Z$10,2)&gt;5),0,ROUND(MAX(0,T.Abendbis-MAX(Z13,T.Abendab))-MAX(0,T.Abendbis-MAX(T.Abendab,Z14))+(Z13&gt;Z14)*(1+T.Abendab-T.Abendbis)+MAX(0,T.Abendbis-MAX(Z15,T.Abendab))-MAX(0,T.Abendbis-MAX(T.Abendab,Z16))+(Z15&gt;Z16)*(1+T.Abendab-T.Abendbis)+MAX(0,T.Abendbis-MAX(Z17,T.Abendab))-MAX(0,T.Abendbis-MAX(T.Abendab,Z18))+(Z17&gt;Z18)*(1+T.Abendab-T.Abendbis)+MAX(0,T.Abendbis-MAX(Z19,T.Abendab))-MAX(0,T.Abendbis-MAX(T.Abendab,Z20))+(Z19&gt;Z20)*(1+T.Abendab-T.Abendbis)+MAX(0,T.Abendbis-MAX(Z21,T.Abendab))-MAX(0,T.Abendbis-MAX(T.Abendab,Z22))+(Z21&gt;Z22)*(1+T.Abendab-T.Abendbis),9)),"")</f>
        <v/>
      </c>
      <c r="AA80" s="256" t="str">
        <f aca="false">IF(T.50_Vetsuisse,IF(OR(AA$12=0,AA$11=0,WEEKDAY(AA$10,2)&gt;5),0,ROUND(MAX(0,T.Abendbis-MAX(AA13,T.Abendab))-MAX(0,T.Abendbis-MAX(T.Abendab,AA14))+(AA13&gt;AA14)*(1+T.Abendab-T.Abendbis)+MAX(0,T.Abendbis-MAX(AA15,T.Abendab))-MAX(0,T.Abendbis-MAX(T.Abendab,AA16))+(AA15&gt;AA16)*(1+T.Abendab-T.Abendbis)+MAX(0,T.Abendbis-MAX(AA17,T.Abendab))-MAX(0,T.Abendbis-MAX(T.Abendab,AA18))+(AA17&gt;AA18)*(1+T.Abendab-T.Abendbis)+MAX(0,T.Abendbis-MAX(AA19,T.Abendab))-MAX(0,T.Abendbis-MAX(T.Abendab,AA20))+(AA19&gt;AA20)*(1+T.Abendab-T.Abendbis)+MAX(0,T.Abendbis-MAX(AA21,T.Abendab))-MAX(0,T.Abendbis-MAX(T.Abendab,AA22))+(AA21&gt;AA22)*(1+T.Abendab-T.Abendbis),9)),"")</f>
        <v/>
      </c>
      <c r="AB80" s="256" t="str">
        <f aca="false">IF(T.50_Vetsuisse,IF(OR(AB$12=0,AB$11=0,WEEKDAY(AB$10,2)&gt;5),0,ROUND(MAX(0,T.Abendbis-MAX(AB13,T.Abendab))-MAX(0,T.Abendbis-MAX(T.Abendab,AB14))+(AB13&gt;AB14)*(1+T.Abendab-T.Abendbis)+MAX(0,T.Abendbis-MAX(AB15,T.Abendab))-MAX(0,T.Abendbis-MAX(T.Abendab,AB16))+(AB15&gt;AB16)*(1+T.Abendab-T.Abendbis)+MAX(0,T.Abendbis-MAX(AB17,T.Abendab))-MAX(0,T.Abendbis-MAX(T.Abendab,AB18))+(AB17&gt;AB18)*(1+T.Abendab-T.Abendbis)+MAX(0,T.Abendbis-MAX(AB19,T.Abendab))-MAX(0,T.Abendbis-MAX(T.Abendab,AB20))+(AB19&gt;AB20)*(1+T.Abendab-T.Abendbis)+MAX(0,T.Abendbis-MAX(AB21,T.Abendab))-MAX(0,T.Abendbis-MAX(T.Abendab,AB22))+(AB21&gt;AB22)*(1+T.Abendab-T.Abendbis),9)),"")</f>
        <v/>
      </c>
      <c r="AC80" s="256" t="str">
        <f aca="false">IF(T.50_Vetsuisse,IF(OR(AC$12=0,AC$11=0,WEEKDAY(AC$10,2)&gt;5),0,ROUND(MAX(0,T.Abendbis-MAX(AC13,T.Abendab))-MAX(0,T.Abendbis-MAX(T.Abendab,AC14))+(AC13&gt;AC14)*(1+T.Abendab-T.Abendbis)+MAX(0,T.Abendbis-MAX(AC15,T.Abendab))-MAX(0,T.Abendbis-MAX(T.Abendab,AC16))+(AC15&gt;AC16)*(1+T.Abendab-T.Abendbis)+MAX(0,T.Abendbis-MAX(AC17,T.Abendab))-MAX(0,T.Abendbis-MAX(T.Abendab,AC18))+(AC17&gt;AC18)*(1+T.Abendab-T.Abendbis)+MAX(0,T.Abendbis-MAX(AC19,T.Abendab))-MAX(0,T.Abendbis-MAX(T.Abendab,AC20))+(AC19&gt;AC20)*(1+T.Abendab-T.Abendbis)+MAX(0,T.Abendbis-MAX(AC21,T.Abendab))-MAX(0,T.Abendbis-MAX(T.Abendab,AC22))+(AC21&gt;AC22)*(1+T.Abendab-T.Abendbis),9)),"")</f>
        <v/>
      </c>
      <c r="AD80" s="256" t="str">
        <f aca="false">IF(T.50_Vetsuisse,IF(OR(AD$12=0,AD$11=0,WEEKDAY(AD$10,2)&gt;5),0,ROUND(MAX(0,T.Abendbis-MAX(AD13,T.Abendab))-MAX(0,T.Abendbis-MAX(T.Abendab,AD14))+(AD13&gt;AD14)*(1+T.Abendab-T.Abendbis)+MAX(0,T.Abendbis-MAX(AD15,T.Abendab))-MAX(0,T.Abendbis-MAX(T.Abendab,AD16))+(AD15&gt;AD16)*(1+T.Abendab-T.Abendbis)+MAX(0,T.Abendbis-MAX(AD17,T.Abendab))-MAX(0,T.Abendbis-MAX(T.Abendab,AD18))+(AD17&gt;AD18)*(1+T.Abendab-T.Abendbis)+MAX(0,T.Abendbis-MAX(AD19,T.Abendab))-MAX(0,T.Abendbis-MAX(T.Abendab,AD20))+(AD19&gt;AD20)*(1+T.Abendab-T.Abendbis)+MAX(0,T.Abendbis-MAX(AD21,T.Abendab))-MAX(0,T.Abendbis-MAX(T.Abendab,AD22))+(AD21&gt;AD22)*(1+T.Abendab-T.Abendbis),9)),"")</f>
        <v/>
      </c>
      <c r="AE80" s="256" t="str">
        <f aca="false">IF(T.50_Vetsuisse,IF(OR(AE$12=0,AE$11=0,WEEKDAY(AE$10,2)&gt;5),0,ROUND(MAX(0,T.Abendbis-MAX(AE13,T.Abendab))-MAX(0,T.Abendbis-MAX(T.Abendab,AE14))+(AE13&gt;AE14)*(1+T.Abendab-T.Abendbis)+MAX(0,T.Abendbis-MAX(AE15,T.Abendab))-MAX(0,T.Abendbis-MAX(T.Abendab,AE16))+(AE15&gt;AE16)*(1+T.Abendab-T.Abendbis)+MAX(0,T.Abendbis-MAX(AE17,T.Abendab))-MAX(0,T.Abendbis-MAX(T.Abendab,AE18))+(AE17&gt;AE18)*(1+T.Abendab-T.Abendbis)+MAX(0,T.Abendbis-MAX(AE19,T.Abendab))-MAX(0,T.Abendbis-MAX(T.Abendab,AE20))+(AE19&gt;AE20)*(1+T.Abendab-T.Abendbis)+MAX(0,T.Abendbis-MAX(AE21,T.Abendab))-MAX(0,T.Abendbis-MAX(T.Abendab,AE22))+(AE21&gt;AE22)*(1+T.Abendab-T.Abendbis),9)),"")</f>
        <v/>
      </c>
      <c r="AF80" s="168" t="str">
        <f aca="false">A80</f>
        <v>Evening work</v>
      </c>
      <c r="AG80" s="250"/>
      <c r="AH80" s="207" t="n">
        <f aca="false">SUM(B80:AE80)</f>
        <v>0</v>
      </c>
      <c r="AI80" s="33"/>
      <c r="AJ80" s="192"/>
      <c r="AK80" s="216" t="n">
        <f aca="false">IF(EB.Anwendung&lt;&gt;"",IF(MONTH(Monat.Tag1)=1,0,IF(MONTH(Monat.Tag1)=2,January!Monat.AAUeVM,IF(MONTH(Monat.Tag1)=3,February!Monat.AAUeVM,IF(MONTH(Monat.Tag1)=4,March!Monat.AAUeVM,IF(MONTH(Monat.Tag1)=5,Monat.AAUeVM,IF(MONTH(Monat.Tag1)=6,May!Monat.AAUeVM,IF(MONTH(Monat.Tag1)=7,June!Monat.AAUeVM,IF(MONTH(Monat.Tag1)=8,July!Monat.AAUeVM,IF(MONTH(Monat.Tag1)=9,August!Monat.AAUeVM,IF(MONTH(Monat.Tag1)=10,September!Monat.AAUeVM,IF(MONTH(Monat.Tag1)=11,October!Monat.AAUeVM,IF(MONTH(Monat.Tag1)=12,November!Monat.AAUeVM,"")))))))))))),"")</f>
        <v>0</v>
      </c>
      <c r="AL80" s="172"/>
      <c r="AM80" s="217" t="n">
        <f aca="false">AH80+AK80</f>
        <v>0</v>
      </c>
      <c r="AN80" s="171"/>
      <c r="AO80" s="171"/>
      <c r="AP80" s="39"/>
    </row>
    <row r="81" s="148" customFormat="true" ht="15" hidden="false" customHeight="true" outlineLevel="1" collapsed="false">
      <c r="A81" s="175" t="s">
        <v>164</v>
      </c>
      <c r="B81" s="256" t="n">
        <f aca="true">IF(EB.Wochenarbeitszeit=50/24,"",IF(B$12=0,0,IF(OR(WEEKDAY(B$10,2)&gt;5,B$11=0),IF(NOT(B$34=INDEX(T.Pikett.Bereich,1)),1,0),IF(WEEKDAY(B$10,2)&lt;6,IF(AND(OR(B$34=INDEX(T.Pikett.Bereich,2),B$34=INDEX(T.Pikett.Bereich,3)),B$11=1),8/24,0))+IF(WEEKDAY(B$10,2)&lt;6,IF(AND(OR(B$34=INDEX(T.Pikett.Bereich,2),B$34=INDEX(T.Pikett.Bereich,3)),B$11=6/8.4),10/24,0)) +IF(WEEKDAY(B$10,2)&lt;6,IF(AND(OR(B$34=INDEX(T.Pikett.Bereich,2),B$34=INDEX(T.Pikett.Bereich,3)),B$11=0.5),0.5,0)) +IF(AND(B$34=INDEX(T.Pikett.Bereich,4),B$11=6/8.4),0.75,0)+IF(AND(B$34=INDEX(T.Pikett.Bereich,4),B$11=1),16/24,0) +IF(AND(B$34=INDEX(T.Pikett.Bereich,4),B$11=0.5),20/24,0))))</f>
        <v>0</v>
      </c>
      <c r="C81" s="256" t="n">
        <f aca="true">IF(EB.Wochenarbeitszeit=50/24,"",IF(C$12=0,0,IF(OR(WEEKDAY(C$10,2)&gt;5,C$11=0),IF(NOT(C$34=INDEX(T.Pikett.Bereich,1)),1,0),IF(WEEKDAY(C$10,2)&lt;6,IF(AND(OR(C$34=INDEX(T.Pikett.Bereich,2),C$34=INDEX(T.Pikett.Bereich,3)),C$11=1),8/24,0))+IF(WEEKDAY(C$10,2)&lt;6,IF(AND(OR(C$34=INDEX(T.Pikett.Bereich,2),C$34=INDEX(T.Pikett.Bereich,3)),C$11=6/8.4),10/24,0)) +IF(WEEKDAY(C$10,2)&lt;6,IF(AND(OR(C$34=INDEX(T.Pikett.Bereich,2),C$34=INDEX(T.Pikett.Bereich,3)),C$11=0.5),0.5,0)) +IF(AND(C$34=INDEX(T.Pikett.Bereich,4),C$11=6/8.4),0.75,0)+IF(AND(C$34=INDEX(T.Pikett.Bereich,4),C$11=1),16/24,0) +IF(AND(C$34=INDEX(T.Pikett.Bereich,4),C$11=0.5),20/24,0))))</f>
        <v>0</v>
      </c>
      <c r="D81" s="256" t="n">
        <f aca="true">IF(EB.Wochenarbeitszeit=50/24,"",IF(D$12=0,0,IF(OR(WEEKDAY(D$10,2)&gt;5,D$11=0),IF(NOT(D$34=INDEX(T.Pikett.Bereich,1)),1,0),IF(WEEKDAY(D$10,2)&lt;6,IF(AND(OR(D$34=INDEX(T.Pikett.Bereich,2),D$34=INDEX(T.Pikett.Bereich,3)),D$11=1),8/24,0))+IF(WEEKDAY(D$10,2)&lt;6,IF(AND(OR(D$34=INDEX(T.Pikett.Bereich,2),D$34=INDEX(T.Pikett.Bereich,3)),D$11=6/8.4),10/24,0)) +IF(WEEKDAY(D$10,2)&lt;6,IF(AND(OR(D$34=INDEX(T.Pikett.Bereich,2),D$34=INDEX(T.Pikett.Bereich,3)),D$11=0.5),0.5,0)) +IF(AND(D$34=INDEX(T.Pikett.Bereich,4),D$11=6/8.4),0.75,0)+IF(AND(D$34=INDEX(T.Pikett.Bereich,4),D$11=1),16/24,0) +IF(AND(D$34=INDEX(T.Pikett.Bereich,4),D$11=0.5),20/24,0))))</f>
        <v>0</v>
      </c>
      <c r="E81" s="256" t="n">
        <f aca="true">IF(EB.Wochenarbeitszeit=50/24,"",IF(E$12=0,0,IF(OR(WEEKDAY(E$10,2)&gt;5,E$11=0),IF(NOT(E$34=INDEX(T.Pikett.Bereich,1)),1,0),IF(WEEKDAY(E$10,2)&lt;6,IF(AND(OR(E$34=INDEX(T.Pikett.Bereich,2),E$34=INDEX(T.Pikett.Bereich,3)),E$11=1),8/24,0))+IF(WEEKDAY(E$10,2)&lt;6,IF(AND(OR(E$34=INDEX(T.Pikett.Bereich,2),E$34=INDEX(T.Pikett.Bereich,3)),E$11=6/8.4),10/24,0)) +IF(WEEKDAY(E$10,2)&lt;6,IF(AND(OR(E$34=INDEX(T.Pikett.Bereich,2),E$34=INDEX(T.Pikett.Bereich,3)),E$11=0.5),0.5,0)) +IF(AND(E$34=INDEX(T.Pikett.Bereich,4),E$11=6/8.4),0.75,0)+IF(AND(E$34=INDEX(T.Pikett.Bereich,4),E$11=1),16/24,0) +IF(AND(E$34=INDEX(T.Pikett.Bereich,4),E$11=0.5),20/24,0))))</f>
        <v>0</v>
      </c>
      <c r="F81" s="256" t="n">
        <f aca="true">IF(EB.Wochenarbeitszeit=50/24,"",IF(F$12=0,0,IF(OR(WEEKDAY(F$10,2)&gt;5,F$11=0),IF(NOT(F$34=INDEX(T.Pikett.Bereich,1)),1,0),IF(WEEKDAY(F$10,2)&lt;6,IF(AND(OR(F$34=INDEX(T.Pikett.Bereich,2),F$34=INDEX(T.Pikett.Bereich,3)),F$11=1),8/24,0))+IF(WEEKDAY(F$10,2)&lt;6,IF(AND(OR(F$34=INDEX(T.Pikett.Bereich,2),F$34=INDEX(T.Pikett.Bereich,3)),F$11=6/8.4),10/24,0)) +IF(WEEKDAY(F$10,2)&lt;6,IF(AND(OR(F$34=INDEX(T.Pikett.Bereich,2),F$34=INDEX(T.Pikett.Bereich,3)),F$11=0.5),0.5,0)) +IF(AND(F$34=INDEX(T.Pikett.Bereich,4),F$11=6/8.4),0.75,0)+IF(AND(F$34=INDEX(T.Pikett.Bereich,4),F$11=1),16/24,0) +IF(AND(F$34=INDEX(T.Pikett.Bereich,4),F$11=0.5),20/24,0))))</f>
        <v>0</v>
      </c>
      <c r="G81" s="256" t="n">
        <f aca="true">IF(EB.Wochenarbeitszeit=50/24,"",IF(G$12=0,0,IF(OR(WEEKDAY(G$10,2)&gt;5,G$11=0),IF(NOT(G$34=INDEX(T.Pikett.Bereich,1)),1,0),IF(WEEKDAY(G$10,2)&lt;6,IF(AND(OR(G$34=INDEX(T.Pikett.Bereich,2),G$34=INDEX(T.Pikett.Bereich,3)),G$11=1),8/24,0))+IF(WEEKDAY(G$10,2)&lt;6,IF(AND(OR(G$34=INDEX(T.Pikett.Bereich,2),G$34=INDEX(T.Pikett.Bereich,3)),G$11=6/8.4),10/24,0)) +IF(WEEKDAY(G$10,2)&lt;6,IF(AND(OR(G$34=INDEX(T.Pikett.Bereich,2),G$34=INDEX(T.Pikett.Bereich,3)),G$11=0.5),0.5,0)) +IF(AND(G$34=INDEX(T.Pikett.Bereich,4),G$11=6/8.4),0.75,0)+IF(AND(G$34=INDEX(T.Pikett.Bereich,4),G$11=1),16/24,0) +IF(AND(G$34=INDEX(T.Pikett.Bereich,4),G$11=0.5),20/24,0))))</f>
        <v>0</v>
      </c>
      <c r="H81" s="256" t="n">
        <f aca="true">IF(EB.Wochenarbeitszeit=50/24,"",IF(H$12=0,0,IF(OR(WEEKDAY(H$10,2)&gt;5,H$11=0),IF(NOT(H$34=INDEX(T.Pikett.Bereich,1)),1,0),IF(WEEKDAY(H$10,2)&lt;6,IF(AND(OR(H$34=INDEX(T.Pikett.Bereich,2),H$34=INDEX(T.Pikett.Bereich,3)),H$11=1),8/24,0))+IF(WEEKDAY(H$10,2)&lt;6,IF(AND(OR(H$34=INDEX(T.Pikett.Bereich,2),H$34=INDEX(T.Pikett.Bereich,3)),H$11=6/8.4),10/24,0)) +IF(WEEKDAY(H$10,2)&lt;6,IF(AND(OR(H$34=INDEX(T.Pikett.Bereich,2),H$34=INDEX(T.Pikett.Bereich,3)),H$11=0.5),0.5,0)) +IF(AND(H$34=INDEX(T.Pikett.Bereich,4),H$11=6/8.4),0.75,0)+IF(AND(H$34=INDEX(T.Pikett.Bereich,4),H$11=1),16/24,0) +IF(AND(H$34=INDEX(T.Pikett.Bereich,4),H$11=0.5),20/24,0))))</f>
        <v>0</v>
      </c>
      <c r="I81" s="256" t="n">
        <f aca="true">IF(EB.Wochenarbeitszeit=50/24,"",IF(I$12=0,0,IF(OR(WEEKDAY(I$10,2)&gt;5,I$11=0),IF(NOT(I$34=INDEX(T.Pikett.Bereich,1)),1,0),IF(WEEKDAY(I$10,2)&lt;6,IF(AND(OR(I$34=INDEX(T.Pikett.Bereich,2),I$34=INDEX(T.Pikett.Bereich,3)),I$11=1),8/24,0))+IF(WEEKDAY(I$10,2)&lt;6,IF(AND(OR(I$34=INDEX(T.Pikett.Bereich,2),I$34=INDEX(T.Pikett.Bereich,3)),I$11=6/8.4),10/24,0)) +IF(WEEKDAY(I$10,2)&lt;6,IF(AND(OR(I$34=INDEX(T.Pikett.Bereich,2),I$34=INDEX(T.Pikett.Bereich,3)),I$11=0.5),0.5,0)) +IF(AND(I$34=INDEX(T.Pikett.Bereich,4),I$11=6/8.4),0.75,0)+IF(AND(I$34=INDEX(T.Pikett.Bereich,4),I$11=1),16/24,0) +IF(AND(I$34=INDEX(T.Pikett.Bereich,4),I$11=0.5),20/24,0))))</f>
        <v>0</v>
      </c>
      <c r="J81" s="256" t="n">
        <f aca="true">IF(EB.Wochenarbeitszeit=50/24,"",IF(J$12=0,0,IF(OR(WEEKDAY(J$10,2)&gt;5,J$11=0),IF(NOT(J$34=INDEX(T.Pikett.Bereich,1)),1,0),IF(WEEKDAY(J$10,2)&lt;6,IF(AND(OR(J$34=INDEX(T.Pikett.Bereich,2),J$34=INDEX(T.Pikett.Bereich,3)),J$11=1),8/24,0))+IF(WEEKDAY(J$10,2)&lt;6,IF(AND(OR(J$34=INDEX(T.Pikett.Bereich,2),J$34=INDEX(T.Pikett.Bereich,3)),J$11=6/8.4),10/24,0)) +IF(WEEKDAY(J$10,2)&lt;6,IF(AND(OR(J$34=INDEX(T.Pikett.Bereich,2),J$34=INDEX(T.Pikett.Bereich,3)),J$11=0.5),0.5,0)) +IF(AND(J$34=INDEX(T.Pikett.Bereich,4),J$11=6/8.4),0.75,0)+IF(AND(J$34=INDEX(T.Pikett.Bereich,4),J$11=1),16/24,0) +IF(AND(J$34=INDEX(T.Pikett.Bereich,4),J$11=0.5),20/24,0))))</f>
        <v>0</v>
      </c>
      <c r="K81" s="256" t="n">
        <f aca="true">IF(EB.Wochenarbeitszeit=50/24,"",IF(K$12=0,0,IF(OR(WEEKDAY(K$10,2)&gt;5,K$11=0),IF(NOT(K$34=INDEX(T.Pikett.Bereich,1)),1,0),IF(WEEKDAY(K$10,2)&lt;6,IF(AND(OR(K$34=INDEX(T.Pikett.Bereich,2),K$34=INDEX(T.Pikett.Bereich,3)),K$11=1),8/24,0))+IF(WEEKDAY(K$10,2)&lt;6,IF(AND(OR(K$34=INDEX(T.Pikett.Bereich,2),K$34=INDEX(T.Pikett.Bereich,3)),K$11=6/8.4),10/24,0)) +IF(WEEKDAY(K$10,2)&lt;6,IF(AND(OR(K$34=INDEX(T.Pikett.Bereich,2),K$34=INDEX(T.Pikett.Bereich,3)),K$11=0.5),0.5,0)) +IF(AND(K$34=INDEX(T.Pikett.Bereich,4),K$11=6/8.4),0.75,0)+IF(AND(K$34=INDEX(T.Pikett.Bereich,4),K$11=1),16/24,0) +IF(AND(K$34=INDEX(T.Pikett.Bereich,4),K$11=0.5),20/24,0))))</f>
        <v>0</v>
      </c>
      <c r="L81" s="256" t="n">
        <f aca="true">IF(EB.Wochenarbeitszeit=50/24,"",IF(L$12=0,0,IF(OR(WEEKDAY(L$10,2)&gt;5,L$11=0),IF(NOT(L$34=INDEX(T.Pikett.Bereich,1)),1,0),IF(WEEKDAY(L$10,2)&lt;6,IF(AND(OR(L$34=INDEX(T.Pikett.Bereich,2),L$34=INDEX(T.Pikett.Bereich,3)),L$11=1),8/24,0))+IF(WEEKDAY(L$10,2)&lt;6,IF(AND(OR(L$34=INDEX(T.Pikett.Bereich,2),L$34=INDEX(T.Pikett.Bereich,3)),L$11=6/8.4),10/24,0)) +IF(WEEKDAY(L$10,2)&lt;6,IF(AND(OR(L$34=INDEX(T.Pikett.Bereich,2),L$34=INDEX(T.Pikett.Bereich,3)),L$11=0.5),0.5,0)) +IF(AND(L$34=INDEX(T.Pikett.Bereich,4),L$11=6/8.4),0.75,0)+IF(AND(L$34=INDEX(T.Pikett.Bereich,4),L$11=1),16/24,0) +IF(AND(L$34=INDEX(T.Pikett.Bereich,4),L$11=0.5),20/24,0))))</f>
        <v>0</v>
      </c>
      <c r="M81" s="256" t="n">
        <f aca="true">IF(EB.Wochenarbeitszeit=50/24,"",IF(M$12=0,0,IF(OR(WEEKDAY(M$10,2)&gt;5,M$11=0),IF(NOT(M$34=INDEX(T.Pikett.Bereich,1)),1,0),IF(WEEKDAY(M$10,2)&lt;6,IF(AND(OR(M$34=INDEX(T.Pikett.Bereich,2),M$34=INDEX(T.Pikett.Bereich,3)),M$11=1),8/24,0))+IF(WEEKDAY(M$10,2)&lt;6,IF(AND(OR(M$34=INDEX(T.Pikett.Bereich,2),M$34=INDEX(T.Pikett.Bereich,3)),M$11=6/8.4),10/24,0)) +IF(WEEKDAY(M$10,2)&lt;6,IF(AND(OR(M$34=INDEX(T.Pikett.Bereich,2),M$34=INDEX(T.Pikett.Bereich,3)),M$11=0.5),0.5,0)) +IF(AND(M$34=INDEX(T.Pikett.Bereich,4),M$11=6/8.4),0.75,0)+IF(AND(M$34=INDEX(T.Pikett.Bereich,4),M$11=1),16/24,0) +IF(AND(M$34=INDEX(T.Pikett.Bereich,4),M$11=0.5),20/24,0))))</f>
        <v>0</v>
      </c>
      <c r="N81" s="256" t="n">
        <f aca="true">IF(EB.Wochenarbeitszeit=50/24,"",IF(N$12=0,0,IF(OR(WEEKDAY(N$10,2)&gt;5,N$11=0),IF(NOT(N$34=INDEX(T.Pikett.Bereich,1)),1,0),IF(WEEKDAY(N$10,2)&lt;6,IF(AND(OR(N$34=INDEX(T.Pikett.Bereich,2),N$34=INDEX(T.Pikett.Bereich,3)),N$11=1),8/24,0))+IF(WEEKDAY(N$10,2)&lt;6,IF(AND(OR(N$34=INDEX(T.Pikett.Bereich,2),N$34=INDEX(T.Pikett.Bereich,3)),N$11=6/8.4),10/24,0)) +IF(WEEKDAY(N$10,2)&lt;6,IF(AND(OR(N$34=INDEX(T.Pikett.Bereich,2),N$34=INDEX(T.Pikett.Bereich,3)),N$11=0.5),0.5,0)) +IF(AND(N$34=INDEX(T.Pikett.Bereich,4),N$11=6/8.4),0.75,0)+IF(AND(N$34=INDEX(T.Pikett.Bereich,4),N$11=1),16/24,0) +IF(AND(N$34=INDEX(T.Pikett.Bereich,4),N$11=0.5),20/24,0))))</f>
        <v>0</v>
      </c>
      <c r="O81" s="256" t="n">
        <f aca="true">IF(EB.Wochenarbeitszeit=50/24,"",IF(O$12=0,0,IF(OR(WEEKDAY(O$10,2)&gt;5,O$11=0),IF(NOT(O$34=INDEX(T.Pikett.Bereich,1)),1,0),IF(WEEKDAY(O$10,2)&lt;6,IF(AND(OR(O$34=INDEX(T.Pikett.Bereich,2),O$34=INDEX(T.Pikett.Bereich,3)),O$11=1),8/24,0))+IF(WEEKDAY(O$10,2)&lt;6,IF(AND(OR(O$34=INDEX(T.Pikett.Bereich,2),O$34=INDEX(T.Pikett.Bereich,3)),O$11=6/8.4),10/24,0)) +IF(WEEKDAY(O$10,2)&lt;6,IF(AND(OR(O$34=INDEX(T.Pikett.Bereich,2),O$34=INDEX(T.Pikett.Bereich,3)),O$11=0.5),0.5,0)) +IF(AND(O$34=INDEX(T.Pikett.Bereich,4),O$11=6/8.4),0.75,0)+IF(AND(O$34=INDEX(T.Pikett.Bereich,4),O$11=1),16/24,0) +IF(AND(O$34=INDEX(T.Pikett.Bereich,4),O$11=0.5),20/24,0))))</f>
        <v>0</v>
      </c>
      <c r="P81" s="256" t="n">
        <f aca="true">IF(EB.Wochenarbeitszeit=50/24,"",IF(P$12=0,0,IF(OR(WEEKDAY(P$10,2)&gt;5,P$11=0),IF(NOT(P$34=INDEX(T.Pikett.Bereich,1)),1,0),IF(WEEKDAY(P$10,2)&lt;6,IF(AND(OR(P$34=INDEX(T.Pikett.Bereich,2),P$34=INDEX(T.Pikett.Bereich,3)),P$11=1),8/24,0))+IF(WEEKDAY(P$10,2)&lt;6,IF(AND(OR(P$34=INDEX(T.Pikett.Bereich,2),P$34=INDEX(T.Pikett.Bereich,3)),P$11=6/8.4),10/24,0)) +IF(WEEKDAY(P$10,2)&lt;6,IF(AND(OR(P$34=INDEX(T.Pikett.Bereich,2),P$34=INDEX(T.Pikett.Bereich,3)),P$11=0.5),0.5,0)) +IF(AND(P$34=INDEX(T.Pikett.Bereich,4),P$11=6/8.4),0.75,0)+IF(AND(P$34=INDEX(T.Pikett.Bereich,4),P$11=1),16/24,0) +IF(AND(P$34=INDEX(T.Pikett.Bereich,4),P$11=0.5),20/24,0))))</f>
        <v>0</v>
      </c>
      <c r="Q81" s="256" t="n">
        <f aca="true">IF(EB.Wochenarbeitszeit=50/24,"",IF(Q$12=0,0,IF(OR(WEEKDAY(Q$10,2)&gt;5,Q$11=0),IF(NOT(Q$34=INDEX(T.Pikett.Bereich,1)),1,0),IF(WEEKDAY(Q$10,2)&lt;6,IF(AND(OR(Q$34=INDEX(T.Pikett.Bereich,2),Q$34=INDEX(T.Pikett.Bereich,3)),Q$11=1),8/24,0))+IF(WEEKDAY(Q$10,2)&lt;6,IF(AND(OR(Q$34=INDEX(T.Pikett.Bereich,2),Q$34=INDEX(T.Pikett.Bereich,3)),Q$11=6/8.4),10/24,0)) +IF(WEEKDAY(Q$10,2)&lt;6,IF(AND(OR(Q$34=INDEX(T.Pikett.Bereich,2),Q$34=INDEX(T.Pikett.Bereich,3)),Q$11=0.5),0.5,0)) +IF(AND(Q$34=INDEX(T.Pikett.Bereich,4),Q$11=6/8.4),0.75,0)+IF(AND(Q$34=INDEX(T.Pikett.Bereich,4),Q$11=1),16/24,0) +IF(AND(Q$34=INDEX(T.Pikett.Bereich,4),Q$11=0.5),20/24,0))))</f>
        <v>0</v>
      </c>
      <c r="R81" s="256" t="n">
        <f aca="true">IF(EB.Wochenarbeitszeit=50/24,"",IF(R$12=0,0,IF(OR(WEEKDAY(R$10,2)&gt;5,R$11=0),IF(NOT(R$34=INDEX(T.Pikett.Bereich,1)),1,0),IF(WEEKDAY(R$10,2)&lt;6,IF(AND(OR(R$34=INDEX(T.Pikett.Bereich,2),R$34=INDEX(T.Pikett.Bereich,3)),R$11=1),8/24,0))+IF(WEEKDAY(R$10,2)&lt;6,IF(AND(OR(R$34=INDEX(T.Pikett.Bereich,2),R$34=INDEX(T.Pikett.Bereich,3)),R$11=6/8.4),10/24,0)) +IF(WEEKDAY(R$10,2)&lt;6,IF(AND(OR(R$34=INDEX(T.Pikett.Bereich,2),R$34=INDEX(T.Pikett.Bereich,3)),R$11=0.5),0.5,0)) +IF(AND(R$34=INDEX(T.Pikett.Bereich,4),R$11=6/8.4),0.75,0)+IF(AND(R$34=INDEX(T.Pikett.Bereich,4),R$11=1),16/24,0) +IF(AND(R$34=INDEX(T.Pikett.Bereich,4),R$11=0.5),20/24,0))))</f>
        <v>0</v>
      </c>
      <c r="S81" s="256" t="n">
        <f aca="true">IF(EB.Wochenarbeitszeit=50/24,"",IF(S$12=0,0,IF(OR(WEEKDAY(S$10,2)&gt;5,S$11=0),IF(NOT(S$34=INDEX(T.Pikett.Bereich,1)),1,0),IF(WEEKDAY(S$10,2)&lt;6,IF(AND(OR(S$34=INDEX(T.Pikett.Bereich,2),S$34=INDEX(T.Pikett.Bereich,3)),S$11=1),8/24,0))+IF(WEEKDAY(S$10,2)&lt;6,IF(AND(OR(S$34=INDEX(T.Pikett.Bereich,2),S$34=INDEX(T.Pikett.Bereich,3)),S$11=6/8.4),10/24,0)) +IF(WEEKDAY(S$10,2)&lt;6,IF(AND(OR(S$34=INDEX(T.Pikett.Bereich,2),S$34=INDEX(T.Pikett.Bereich,3)),S$11=0.5),0.5,0)) +IF(AND(S$34=INDEX(T.Pikett.Bereich,4),S$11=6/8.4),0.75,0)+IF(AND(S$34=INDEX(T.Pikett.Bereich,4),S$11=1),16/24,0) +IF(AND(S$34=INDEX(T.Pikett.Bereich,4),S$11=0.5),20/24,0))))</f>
        <v>0</v>
      </c>
      <c r="T81" s="256" t="n">
        <f aca="true">IF(EB.Wochenarbeitszeit=50/24,"",IF(T$12=0,0,IF(OR(WEEKDAY(T$10,2)&gt;5,T$11=0),IF(NOT(T$34=INDEX(T.Pikett.Bereich,1)),1,0),IF(WEEKDAY(T$10,2)&lt;6,IF(AND(OR(T$34=INDEX(T.Pikett.Bereich,2),T$34=INDEX(T.Pikett.Bereich,3)),T$11=1),8/24,0))+IF(WEEKDAY(T$10,2)&lt;6,IF(AND(OR(T$34=INDEX(T.Pikett.Bereich,2),T$34=INDEX(T.Pikett.Bereich,3)),T$11=6/8.4),10/24,0)) +IF(WEEKDAY(T$10,2)&lt;6,IF(AND(OR(T$34=INDEX(T.Pikett.Bereich,2),T$34=INDEX(T.Pikett.Bereich,3)),T$11=0.5),0.5,0)) +IF(AND(T$34=INDEX(T.Pikett.Bereich,4),T$11=6/8.4),0.75,0)+IF(AND(T$34=INDEX(T.Pikett.Bereich,4),T$11=1),16/24,0) +IF(AND(T$34=INDEX(T.Pikett.Bereich,4),T$11=0.5),20/24,0))))</f>
        <v>0</v>
      </c>
      <c r="U81" s="256" t="n">
        <f aca="true">IF(EB.Wochenarbeitszeit=50/24,"",IF(U$12=0,0,IF(OR(WEEKDAY(U$10,2)&gt;5,U$11=0),IF(NOT(U$34=INDEX(T.Pikett.Bereich,1)),1,0),IF(WEEKDAY(U$10,2)&lt;6,IF(AND(OR(U$34=INDEX(T.Pikett.Bereich,2),U$34=INDEX(T.Pikett.Bereich,3)),U$11=1),8/24,0))+IF(WEEKDAY(U$10,2)&lt;6,IF(AND(OR(U$34=INDEX(T.Pikett.Bereich,2),U$34=INDEX(T.Pikett.Bereich,3)),U$11=6/8.4),10/24,0)) +IF(WEEKDAY(U$10,2)&lt;6,IF(AND(OR(U$34=INDEX(T.Pikett.Bereich,2),U$34=INDEX(T.Pikett.Bereich,3)),U$11=0.5),0.5,0)) +IF(AND(U$34=INDEX(T.Pikett.Bereich,4),U$11=6/8.4),0.75,0)+IF(AND(U$34=INDEX(T.Pikett.Bereich,4),U$11=1),16/24,0) +IF(AND(U$34=INDEX(T.Pikett.Bereich,4),U$11=0.5),20/24,0))))</f>
        <v>0</v>
      </c>
      <c r="V81" s="256" t="n">
        <f aca="true">IF(EB.Wochenarbeitszeit=50/24,"",IF(V$12=0,0,IF(OR(WEEKDAY(V$10,2)&gt;5,V$11=0),IF(NOT(V$34=INDEX(T.Pikett.Bereich,1)),1,0),IF(WEEKDAY(V$10,2)&lt;6,IF(AND(OR(V$34=INDEX(T.Pikett.Bereich,2),V$34=INDEX(T.Pikett.Bereich,3)),V$11=1),8/24,0))+IF(WEEKDAY(V$10,2)&lt;6,IF(AND(OR(V$34=INDEX(T.Pikett.Bereich,2),V$34=INDEX(T.Pikett.Bereich,3)),V$11=6/8.4),10/24,0)) +IF(WEEKDAY(V$10,2)&lt;6,IF(AND(OR(V$34=INDEX(T.Pikett.Bereich,2),V$34=INDEX(T.Pikett.Bereich,3)),V$11=0.5),0.5,0)) +IF(AND(V$34=INDEX(T.Pikett.Bereich,4),V$11=6/8.4),0.75,0)+IF(AND(V$34=INDEX(T.Pikett.Bereich,4),V$11=1),16/24,0) +IF(AND(V$34=INDEX(T.Pikett.Bereich,4),V$11=0.5),20/24,0))))</f>
        <v>0</v>
      </c>
      <c r="W81" s="256" t="n">
        <f aca="true">IF(EB.Wochenarbeitszeit=50/24,"",IF(W$12=0,0,IF(OR(WEEKDAY(W$10,2)&gt;5,W$11=0),IF(NOT(W$34=INDEX(T.Pikett.Bereich,1)),1,0),IF(WEEKDAY(W$10,2)&lt;6,IF(AND(OR(W$34=INDEX(T.Pikett.Bereich,2),W$34=INDEX(T.Pikett.Bereich,3)),W$11=1),8/24,0))+IF(WEEKDAY(W$10,2)&lt;6,IF(AND(OR(W$34=INDEX(T.Pikett.Bereich,2),W$34=INDEX(T.Pikett.Bereich,3)),W$11=6/8.4),10/24,0)) +IF(WEEKDAY(W$10,2)&lt;6,IF(AND(OR(W$34=INDEX(T.Pikett.Bereich,2),W$34=INDEX(T.Pikett.Bereich,3)),W$11=0.5),0.5,0)) +IF(AND(W$34=INDEX(T.Pikett.Bereich,4),W$11=6/8.4),0.75,0)+IF(AND(W$34=INDEX(T.Pikett.Bereich,4),W$11=1),16/24,0) +IF(AND(W$34=INDEX(T.Pikett.Bereich,4),W$11=0.5),20/24,0))))</f>
        <v>0</v>
      </c>
      <c r="X81" s="256" t="n">
        <f aca="true">IF(EB.Wochenarbeitszeit=50/24,"",IF(X$12=0,0,IF(OR(WEEKDAY(X$10,2)&gt;5,X$11=0),IF(NOT(X$34=INDEX(T.Pikett.Bereich,1)),1,0),IF(WEEKDAY(X$10,2)&lt;6,IF(AND(OR(X$34=INDEX(T.Pikett.Bereich,2),X$34=INDEX(T.Pikett.Bereich,3)),X$11=1),8/24,0))+IF(WEEKDAY(X$10,2)&lt;6,IF(AND(OR(X$34=INDEX(T.Pikett.Bereich,2),X$34=INDEX(T.Pikett.Bereich,3)),X$11=6/8.4),10/24,0)) +IF(WEEKDAY(X$10,2)&lt;6,IF(AND(OR(X$34=INDEX(T.Pikett.Bereich,2),X$34=INDEX(T.Pikett.Bereich,3)),X$11=0.5),0.5,0)) +IF(AND(X$34=INDEX(T.Pikett.Bereich,4),X$11=6/8.4),0.75,0)+IF(AND(X$34=INDEX(T.Pikett.Bereich,4),X$11=1),16/24,0) +IF(AND(X$34=INDEX(T.Pikett.Bereich,4),X$11=0.5),20/24,0))))</f>
        <v>0</v>
      </c>
      <c r="Y81" s="256" t="n">
        <f aca="true">IF(EB.Wochenarbeitszeit=50/24,"",IF(Y$12=0,0,IF(OR(WEEKDAY(Y$10,2)&gt;5,Y$11=0),IF(NOT(Y$34=INDEX(T.Pikett.Bereich,1)),1,0),IF(WEEKDAY(Y$10,2)&lt;6,IF(AND(OR(Y$34=INDEX(T.Pikett.Bereich,2),Y$34=INDEX(T.Pikett.Bereich,3)),Y$11=1),8/24,0))+IF(WEEKDAY(Y$10,2)&lt;6,IF(AND(OR(Y$34=INDEX(T.Pikett.Bereich,2),Y$34=INDEX(T.Pikett.Bereich,3)),Y$11=6/8.4),10/24,0)) +IF(WEEKDAY(Y$10,2)&lt;6,IF(AND(OR(Y$34=INDEX(T.Pikett.Bereich,2),Y$34=INDEX(T.Pikett.Bereich,3)),Y$11=0.5),0.5,0)) +IF(AND(Y$34=INDEX(T.Pikett.Bereich,4),Y$11=6/8.4),0.75,0)+IF(AND(Y$34=INDEX(T.Pikett.Bereich,4),Y$11=1),16/24,0) +IF(AND(Y$34=INDEX(T.Pikett.Bereich,4),Y$11=0.5),20/24,0))))</f>
        <v>0</v>
      </c>
      <c r="Z81" s="256" t="n">
        <f aca="true">IF(EB.Wochenarbeitszeit=50/24,"",IF(Z$12=0,0,IF(OR(WEEKDAY(Z$10,2)&gt;5,Z$11=0),IF(NOT(Z$34=INDEX(T.Pikett.Bereich,1)),1,0),IF(WEEKDAY(Z$10,2)&lt;6,IF(AND(OR(Z$34=INDEX(T.Pikett.Bereich,2),Z$34=INDEX(T.Pikett.Bereich,3)),Z$11=1),8/24,0))+IF(WEEKDAY(Z$10,2)&lt;6,IF(AND(OR(Z$34=INDEX(T.Pikett.Bereich,2),Z$34=INDEX(T.Pikett.Bereich,3)),Z$11=6/8.4),10/24,0)) +IF(WEEKDAY(Z$10,2)&lt;6,IF(AND(OR(Z$34=INDEX(T.Pikett.Bereich,2),Z$34=INDEX(T.Pikett.Bereich,3)),Z$11=0.5),0.5,0)) +IF(AND(Z$34=INDEX(T.Pikett.Bereich,4),Z$11=6/8.4),0.75,0)+IF(AND(Z$34=INDEX(T.Pikett.Bereich,4),Z$11=1),16/24,0) +IF(AND(Z$34=INDEX(T.Pikett.Bereich,4),Z$11=0.5),20/24,0))))</f>
        <v>0</v>
      </c>
      <c r="AA81" s="256" t="n">
        <f aca="true">IF(EB.Wochenarbeitszeit=50/24,"",IF(AA$12=0,0,IF(OR(WEEKDAY(AA$10,2)&gt;5,AA$11=0),IF(NOT(AA$34=INDEX(T.Pikett.Bereich,1)),1,0),IF(WEEKDAY(AA$10,2)&lt;6,IF(AND(OR(AA$34=INDEX(T.Pikett.Bereich,2),AA$34=INDEX(T.Pikett.Bereich,3)),AA$11=1),8/24,0))+IF(WEEKDAY(AA$10,2)&lt;6,IF(AND(OR(AA$34=INDEX(T.Pikett.Bereich,2),AA$34=INDEX(T.Pikett.Bereich,3)),AA$11=6/8.4),10/24,0)) +IF(WEEKDAY(AA$10,2)&lt;6,IF(AND(OR(AA$34=INDEX(T.Pikett.Bereich,2),AA$34=INDEX(T.Pikett.Bereich,3)),AA$11=0.5),0.5,0)) +IF(AND(AA$34=INDEX(T.Pikett.Bereich,4),AA$11=6/8.4),0.75,0)+IF(AND(AA$34=INDEX(T.Pikett.Bereich,4),AA$11=1),16/24,0) +IF(AND(AA$34=INDEX(T.Pikett.Bereich,4),AA$11=0.5),20/24,0))))</f>
        <v>0</v>
      </c>
      <c r="AB81" s="256" t="n">
        <f aca="true">IF(EB.Wochenarbeitszeit=50/24,"",IF(AB$12=0,0,IF(OR(WEEKDAY(AB$10,2)&gt;5,AB$11=0),IF(NOT(AB$34=INDEX(T.Pikett.Bereich,1)),1,0),IF(WEEKDAY(AB$10,2)&lt;6,IF(AND(OR(AB$34=INDEX(T.Pikett.Bereich,2),AB$34=INDEX(T.Pikett.Bereich,3)),AB$11=1),8/24,0))+IF(WEEKDAY(AB$10,2)&lt;6,IF(AND(OR(AB$34=INDEX(T.Pikett.Bereich,2),AB$34=INDEX(T.Pikett.Bereich,3)),AB$11=6/8.4),10/24,0)) +IF(WEEKDAY(AB$10,2)&lt;6,IF(AND(OR(AB$34=INDEX(T.Pikett.Bereich,2),AB$34=INDEX(T.Pikett.Bereich,3)),AB$11=0.5),0.5,0)) +IF(AND(AB$34=INDEX(T.Pikett.Bereich,4),AB$11=6/8.4),0.75,0)+IF(AND(AB$34=INDEX(T.Pikett.Bereich,4),AB$11=1),16/24,0) +IF(AND(AB$34=INDEX(T.Pikett.Bereich,4),AB$11=0.5),20/24,0))))</f>
        <v>0</v>
      </c>
      <c r="AC81" s="256" t="n">
        <f aca="true">IF(EB.Wochenarbeitszeit=50/24,"",IF(AC$12=0,0,IF(OR(WEEKDAY(AC$10,2)&gt;5,AC$11=0),IF(NOT(AC$34=INDEX(T.Pikett.Bereich,1)),1,0),IF(WEEKDAY(AC$10,2)&lt;6,IF(AND(OR(AC$34=INDEX(T.Pikett.Bereich,2),AC$34=INDEX(T.Pikett.Bereich,3)),AC$11=1),8/24,0))+IF(WEEKDAY(AC$10,2)&lt;6,IF(AND(OR(AC$34=INDEX(T.Pikett.Bereich,2),AC$34=INDEX(T.Pikett.Bereich,3)),AC$11=6/8.4),10/24,0)) +IF(WEEKDAY(AC$10,2)&lt;6,IF(AND(OR(AC$34=INDEX(T.Pikett.Bereich,2),AC$34=INDEX(T.Pikett.Bereich,3)),AC$11=0.5),0.5,0)) +IF(AND(AC$34=INDEX(T.Pikett.Bereich,4),AC$11=6/8.4),0.75,0)+IF(AND(AC$34=INDEX(T.Pikett.Bereich,4),AC$11=1),16/24,0) +IF(AND(AC$34=INDEX(T.Pikett.Bereich,4),AC$11=0.5),20/24,0))))</f>
        <v>0</v>
      </c>
      <c r="AD81" s="256" t="n">
        <f aca="true">IF(EB.Wochenarbeitszeit=50/24,"",IF(AD$12=0,0,IF(OR(WEEKDAY(AD$10,2)&gt;5,AD$11=0),IF(NOT(AD$34=INDEX(T.Pikett.Bereich,1)),1,0),IF(WEEKDAY(AD$10,2)&lt;6,IF(AND(OR(AD$34=INDEX(T.Pikett.Bereich,2),AD$34=INDEX(T.Pikett.Bereich,3)),AD$11=1),8/24,0))+IF(WEEKDAY(AD$10,2)&lt;6,IF(AND(OR(AD$34=INDEX(T.Pikett.Bereich,2),AD$34=INDEX(T.Pikett.Bereich,3)),AD$11=6/8.4),10/24,0)) +IF(WEEKDAY(AD$10,2)&lt;6,IF(AND(OR(AD$34=INDEX(T.Pikett.Bereich,2),AD$34=INDEX(T.Pikett.Bereich,3)),AD$11=0.5),0.5,0)) +IF(AND(AD$34=INDEX(T.Pikett.Bereich,4),AD$11=6/8.4),0.75,0)+IF(AND(AD$34=INDEX(T.Pikett.Bereich,4),AD$11=1),16/24,0) +IF(AND(AD$34=INDEX(T.Pikett.Bereich,4),AD$11=0.5),20/24,0))))</f>
        <v>0</v>
      </c>
      <c r="AE81" s="256" t="n">
        <f aca="true">IF(EB.Wochenarbeitszeit=50/24,"",IF(AE$12=0,0,IF(OR(WEEKDAY(AE$10,2)&gt;5,AE$11=0),IF(NOT(AE$34=INDEX(T.Pikett.Bereich,1)),1,0),IF(WEEKDAY(AE$10,2)&lt;6,IF(AND(OR(AE$34=INDEX(T.Pikett.Bereich,2),AE$34=INDEX(T.Pikett.Bereich,3)),AE$11=1),8/24,0))+IF(WEEKDAY(AE$10,2)&lt;6,IF(AND(OR(AE$34=INDEX(T.Pikett.Bereich,2),AE$34=INDEX(T.Pikett.Bereich,3)),AE$11=6/8.4),10/24,0)) +IF(WEEKDAY(AE$10,2)&lt;6,IF(AND(OR(AE$34=INDEX(T.Pikett.Bereich,2),AE$34=INDEX(T.Pikett.Bereich,3)),AE$11=0.5),0.5,0)) +IF(AND(AE$34=INDEX(T.Pikett.Bereich,4),AE$11=6/8.4),0.75,0)+IF(AND(AE$34=INDEX(T.Pikett.Bereich,4),AE$11=1),16/24,0) +IF(AND(AE$34=INDEX(T.Pikett.Bereich,4),AE$11=0.5),20/24,0))))</f>
        <v>0</v>
      </c>
      <c r="AF81" s="168" t="str">
        <f aca="false">A81</f>
        <v>On-call duty</v>
      </c>
      <c r="AG81" s="250"/>
      <c r="AH81" s="207" t="n">
        <f aca="false">SUM(B81:AE81)</f>
        <v>0</v>
      </c>
      <c r="AI81" s="33"/>
      <c r="AJ81" s="192"/>
      <c r="AK81" s="216" t="n">
        <f aca="false">IF(EB.Anwendung&lt;&gt;"",IF(MONTH(Monat.Tag1)=1,0,IF(MONTH(Monat.Tag1)=2,January!Monat.BDUeVM,IF(MONTH(Monat.Tag1)=3,February!Monat.BDUeVM,IF(MONTH(Monat.Tag1)=4,March!Monat.BDUeVM,IF(MONTH(Monat.Tag1)=5,Monat.BDUeVM,IF(MONTH(Monat.Tag1)=6,May!Monat.BDUeVM,IF(MONTH(Monat.Tag1)=7,June!Monat.BDUeVM,IF(MONTH(Monat.Tag1)=8,July!Monat.BDUeVM,IF(MONTH(Monat.Tag1)=9,August!Monat.BDUeVM,IF(MONTH(Monat.Tag1)=10,September!Monat.BDUeVM,IF(MONTH(Monat.Tag1)=11,October!Monat.BDUeVM,IF(MONTH(Monat.Tag1)=12,November!Monat.BDUeVM,"")))))))))))),"")</f>
        <v>0</v>
      </c>
      <c r="AL81" s="172"/>
      <c r="AM81" s="217" t="n">
        <f aca="false">AH81+AK81</f>
        <v>0</v>
      </c>
      <c r="AN81" s="171"/>
      <c r="AO81" s="171"/>
      <c r="AP81" s="39"/>
    </row>
    <row r="82" s="148" customFormat="true" ht="15" hidden="false" customHeight="true" outlineLevel="1" collapsed="false">
      <c r="A82" s="175" t="s">
        <v>165</v>
      </c>
      <c r="B82" s="256" t="str">
        <f aca="false">IF(B$12=0,"",IF(OR(WEEKDAY(B$10,2)&gt;5,B$11=0), IF(T.50_NoVetsuisse,B45, IF(T.50_Vetsuisse,IF(B23-B73=0,"",B23-B73), IF(T.ServiceCenterIrchel,B23, B60))),))</f>
        <v/>
      </c>
      <c r="C82" s="256" t="str">
        <f aca="false">IF(C$12=0,"",IF(OR(WEEKDAY(C$10,2)&gt;5,C$11=0), IF(T.50_NoVetsuisse,C45, IF(T.50_Vetsuisse,IF(C23-C73=0,"",C23-C73), IF(T.ServiceCenterIrchel,C23, C60))),))</f>
        <v/>
      </c>
      <c r="D82" s="257" t="n">
        <f aca="false">IF(D$12=0,"",IF(OR(WEEKDAY(D$10,2)&gt;5,D$11=0), IF(T.50_NoVetsuisse,D45, IF(T.50_Vetsuisse,IF(D23-D73=0,"",D23-D73), IF(T.ServiceCenterIrchel,D23, D60))),))</f>
        <v>0</v>
      </c>
      <c r="E82" s="256" t="n">
        <f aca="false">IF(E$12=0,"",IF(OR(WEEKDAY(E$10,2)&gt;5,E$11=0), IF(T.50_NoVetsuisse,E45, IF(T.50_Vetsuisse,IF(E23-E73=0,"",E23-E73), IF(T.ServiceCenterIrchel,E23, E60))),))</f>
        <v>0</v>
      </c>
      <c r="F82" s="257" t="n">
        <f aca="false">IF(F$12=0,"",IF(OR(WEEKDAY(F$10,2)&gt;5,F$11=0), IF(T.50_NoVetsuisse,F45, IF(T.50_Vetsuisse,IF(F23-F73=0,"",F23-F73), IF(T.ServiceCenterIrchel,F23, F60))),))</f>
        <v>0</v>
      </c>
      <c r="G82" s="257" t="n">
        <f aca="false">IF(G$12=0,"",IF(OR(WEEKDAY(G$10,2)&gt;5,G$11=0), IF(T.50_NoVetsuisse,G45, IF(T.50_Vetsuisse,IF(G23-G73=0,"",G23-G73), IF(T.ServiceCenterIrchel,G23, G60))),))</f>
        <v>0</v>
      </c>
      <c r="H82" s="257" t="str">
        <f aca="false">IF(H$12=0,"",IF(OR(WEEKDAY(H$10,2)&gt;5,H$11=0), IF(T.50_NoVetsuisse,H45, IF(T.50_Vetsuisse,IF(H23-H73=0,"",H23-H73), IF(T.ServiceCenterIrchel,H23, H60))),))</f>
        <v/>
      </c>
      <c r="I82" s="257" t="str">
        <f aca="false">IF(I$12=0,"",IF(OR(WEEKDAY(I$10,2)&gt;5,I$11=0), IF(T.50_NoVetsuisse,I45, IF(T.50_Vetsuisse,IF(I23-I73=0,"",I23-I73), IF(T.ServiceCenterIrchel,I23, I60))),))</f>
        <v/>
      </c>
      <c r="J82" s="256" t="n">
        <f aca="false">IF(J$12=0,"",IF(OR(WEEKDAY(J$10,2)&gt;5,J$11=0), IF(T.50_NoVetsuisse,J45, IF(T.50_Vetsuisse,IF(J23-J73=0,"",J23-J73), IF(T.ServiceCenterIrchel,J23, J60))),))</f>
        <v>0</v>
      </c>
      <c r="K82" s="257" t="n">
        <f aca="false">IF(K$12=0,"",IF(OR(WEEKDAY(K$10,2)&gt;5,K$11=0), IF(T.50_NoVetsuisse,K45, IF(T.50_Vetsuisse,IF(K23-K73=0,"",K23-K73), IF(T.ServiceCenterIrchel,K23, K60))),))</f>
        <v>0</v>
      </c>
      <c r="L82" s="256" t="n">
        <f aca="false">IF(L$12=0,"",IF(OR(WEEKDAY(L$10,2)&gt;5,L$11=0), IF(T.50_NoVetsuisse,L45, IF(T.50_Vetsuisse,IF(L23-L73=0,"",L23-L73), IF(T.ServiceCenterIrchel,L23, L60))),))</f>
        <v>0</v>
      </c>
      <c r="M82" s="257" t="n">
        <f aca="false">IF(M$12=0,"",IF(OR(WEEKDAY(M$10,2)&gt;5,M$11=0), IF(T.50_NoVetsuisse,M45, IF(T.50_Vetsuisse,IF(M23-M73=0,"",M23-M73), IF(T.ServiceCenterIrchel,M23, M60))),))</f>
        <v>0</v>
      </c>
      <c r="N82" s="257" t="n">
        <f aca="false">IF(N$12=0,"",IF(OR(WEEKDAY(N$10,2)&gt;5,N$11=0), IF(T.50_NoVetsuisse,N45, IF(T.50_Vetsuisse,IF(N23-N73=0,"",N23-N73), IF(T.ServiceCenterIrchel,N23, N60))),))</f>
        <v>0</v>
      </c>
      <c r="O82" s="257" t="str">
        <f aca="false">IF(O$12=0,"",IF(OR(WEEKDAY(O$10,2)&gt;5,O$11=0), IF(T.50_NoVetsuisse,O45, IF(T.50_Vetsuisse,IF(O23-O73=0,"",O23-O73), IF(T.ServiceCenterIrchel,O23, O60))),))</f>
        <v/>
      </c>
      <c r="P82" s="257" t="str">
        <f aca="false">IF(P$12=0,"",IF(OR(WEEKDAY(P$10,2)&gt;5,P$11=0), IF(T.50_NoVetsuisse,P45, IF(T.50_Vetsuisse,IF(P23-P73=0,"",P23-P73), IF(T.ServiceCenterIrchel,P23, P60))),))</f>
        <v/>
      </c>
      <c r="Q82" s="256" t="n">
        <f aca="false">IF(Q$12=0,"",IF(OR(WEEKDAY(Q$10,2)&gt;5,Q$11=0), IF(T.50_NoVetsuisse,Q45, IF(T.50_Vetsuisse,IF(Q23-Q73=0,"",Q23-Q73), IF(T.ServiceCenterIrchel,Q23, Q60))),))</f>
        <v>0</v>
      </c>
      <c r="R82" s="257" t="n">
        <f aca="false">IF(R$12=0,"",IF(OR(WEEKDAY(R$10,2)&gt;5,R$11=0), IF(T.50_NoVetsuisse,R45, IF(T.50_Vetsuisse,IF(R23-R73=0,"",R23-R73), IF(T.ServiceCenterIrchel,R23, R60))),))</f>
        <v>0</v>
      </c>
      <c r="S82" s="256" t="n">
        <f aca="false">IF(S$12=0,"",IF(OR(WEEKDAY(S$10,2)&gt;5,S$11=0), IF(T.50_NoVetsuisse,S45, IF(T.50_Vetsuisse,IF(S23-S73=0,"",S23-S73), IF(T.ServiceCenterIrchel,S23, S60))),))</f>
        <v>0</v>
      </c>
      <c r="T82" s="256" t="n">
        <f aca="false">IF(T$12=0,"",IF(OR(WEEKDAY(T$10,2)&gt;5,T$11=0), IF(T.50_NoVetsuisse,T45, IF(T.50_Vetsuisse,IF(T23-T73=0,"",T23-T73), IF(T.ServiceCenterIrchel,T23, T60))),))</f>
        <v>0</v>
      </c>
      <c r="U82" s="257" t="n">
        <f aca="false">IF(U$12=0,"",IF(OR(WEEKDAY(U$10,2)&gt;5,U$11=0), IF(T.50_NoVetsuisse,U45, IF(T.50_Vetsuisse,IF(U23-U73=0,"",U23-U73), IF(T.ServiceCenterIrchel,U23, U60))),))</f>
        <v>0</v>
      </c>
      <c r="V82" s="257" t="str">
        <f aca="false">IF(V$12=0,"",IF(OR(WEEKDAY(V$10,2)&gt;5,V$11=0), IF(T.50_NoVetsuisse,V45, IF(T.50_Vetsuisse,IF(V23-V73=0,"",V23-V73), IF(T.ServiceCenterIrchel,V23, V60))),))</f>
        <v/>
      </c>
      <c r="W82" s="257" t="str">
        <f aca="false">IF(W$12=0,"",IF(OR(WEEKDAY(W$10,2)&gt;5,W$11=0), IF(T.50_NoVetsuisse,W45, IF(T.50_Vetsuisse,IF(W23-W73=0,"",W23-W73), IF(T.ServiceCenterIrchel,W23, W60))),))</f>
        <v/>
      </c>
      <c r="X82" s="256" t="n">
        <f aca="false">IF(X$12=0,"",IF(OR(WEEKDAY(X$10,2)&gt;5,X$11=0), IF(T.50_NoVetsuisse,X45, IF(T.50_Vetsuisse,IF(X23-X73=0,"",X23-X73), IF(T.ServiceCenterIrchel,X23, X60))),))</f>
        <v>0</v>
      </c>
      <c r="Y82" s="257" t="n">
        <f aca="false">IF(Y$12=0,"",IF(OR(WEEKDAY(Y$10,2)&gt;5,Y$11=0), IF(T.50_NoVetsuisse,Y45, IF(T.50_Vetsuisse,IF(Y23-Y73=0,"",Y23-Y73), IF(T.ServiceCenterIrchel,Y23, Y60))),))</f>
        <v>0</v>
      </c>
      <c r="Z82" s="258" t="n">
        <f aca="false">IF(Z$12=0,"",IF(OR(WEEKDAY(Z$10,2)&gt;5,Z$11=0), IF(T.50_NoVetsuisse,Z45, IF(T.50_Vetsuisse,IF(Z23-Z73=0,"",Z23-Z73), IF(T.ServiceCenterIrchel,Z23, Z60))),))</f>
        <v>0</v>
      </c>
      <c r="AA82" s="257" t="n">
        <f aca="false">IF(AA$12=0,"",IF(OR(WEEKDAY(AA$10,2)&gt;5,AA$11=0), IF(T.50_NoVetsuisse,AA45, IF(T.50_Vetsuisse,IF(AA23-AA73=0,"",AA23-AA73), IF(T.ServiceCenterIrchel,AA23, AA60))),))</f>
        <v>0</v>
      </c>
      <c r="AB82" s="257" t="n">
        <f aca="false">IF(AB$12=0,"",IF(OR(WEEKDAY(AB$10,2)&gt;5,AB$11=0), IF(T.50_NoVetsuisse,AB45, IF(T.50_Vetsuisse,IF(AB23-AB73=0,"",AB23-AB73), IF(T.ServiceCenterIrchel,AB23, AB60))),))</f>
        <v>0</v>
      </c>
      <c r="AC82" s="257" t="str">
        <f aca="false">IF(AC$12=0,"",IF(OR(WEEKDAY(AC$10,2)&gt;5,AC$11=0), IF(T.50_NoVetsuisse,AC45, IF(T.50_Vetsuisse,IF(AC23-AC73=0,"",AC23-AC73), IF(T.ServiceCenterIrchel,AC23, AC60))),))</f>
        <v/>
      </c>
      <c r="AD82" s="257" t="str">
        <f aca="false">IF(AD$12=0,"",IF(OR(WEEKDAY(AD$10,2)&gt;5,AD$11=0), IF(T.50_NoVetsuisse,AD45, IF(T.50_Vetsuisse,IF(AD23-AD73=0,"",AD23-AD73), IF(T.ServiceCenterIrchel,AD23, AD60))),))</f>
        <v/>
      </c>
      <c r="AE82" s="256" t="n">
        <f aca="false">IF(AE$12=0,"",IF(OR(WEEKDAY(AE$10,2)&gt;5,AE$11=0), IF(T.50_NoVetsuisse,AE45, IF(T.50_Vetsuisse,IF(AE23-AE73=0,"",AE23-AE73), IF(T.ServiceCenterIrchel,AE23, AE60))),))</f>
        <v>0</v>
      </c>
      <c r="AF82" s="168" t="str">
        <f aca="false">A82</f>
        <v>Saturday/Sunday shift</v>
      </c>
      <c r="AG82" s="197"/>
      <c r="AH82" s="207" t="n">
        <f aca="false">SUM(B82:AE82)</f>
        <v>0</v>
      </c>
      <c r="AI82" s="198" t="n">
        <f aca="false">IFERROR(SUMPRODUCT((B82:AE82&gt;0)*(B82:AE82&lt;&gt;"")),0)</f>
        <v>0</v>
      </c>
      <c r="AJ82" s="192"/>
      <c r="AK82" s="216" t="n">
        <f aca="false">IF(EB.Anwendung&lt;&gt;"",IF(MONTH(Monat.Tag1)=1,0,IF(MONTH(Monat.Tag1)=2,January!Monat.SDUeVM,IF(MONTH(Monat.Tag1)=3,February!Monat.SDUeVM,IF(MONTH(Monat.Tag1)=4,March!Monat.SDUeVM,IF(MONTH(Monat.Tag1)=5,Monat.SDUeVM,IF(MONTH(Monat.Tag1)=6,May!Monat.SDUeVM,IF(MONTH(Monat.Tag1)=7,June!Monat.SDUeVM,IF(MONTH(Monat.Tag1)=8,July!Monat.SDUeVM,IF(MONTH(Monat.Tag1)=9,August!Monat.SDUeVM,IF(MONTH(Monat.Tag1)=10,September!Monat.SDUeVM,IF(MONTH(Monat.Tag1)=11,October!Monat.SDUeVM,IF(MONTH(Monat.Tag1)=12,November!Monat.SDUeVM,"")))))))))))),"")</f>
        <v>0</v>
      </c>
      <c r="AL82" s="172"/>
      <c r="AM82" s="217" t="n">
        <f aca="false">AH82+AK82</f>
        <v>0</v>
      </c>
      <c r="AN82" s="171"/>
      <c r="AO82" s="171"/>
      <c r="AP82" s="39"/>
    </row>
    <row r="83" s="148" customFormat="true" ht="11.25" hidden="false" customHeight="true" outlineLevel="1" collapsed="false">
      <c r="A83" s="186"/>
      <c r="B83" s="194"/>
      <c r="C83" s="194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4"/>
      <c r="O83" s="194"/>
      <c r="P83" s="194"/>
      <c r="Q83" s="194"/>
      <c r="R83" s="194"/>
      <c r="S83" s="194"/>
      <c r="T83" s="194"/>
      <c r="U83" s="194"/>
      <c r="V83" s="194"/>
      <c r="W83" s="194"/>
      <c r="X83" s="194"/>
      <c r="Y83" s="194"/>
      <c r="Z83" s="194"/>
      <c r="AA83" s="194"/>
      <c r="AB83" s="194"/>
      <c r="AC83" s="194"/>
      <c r="AD83" s="194"/>
      <c r="AE83" s="194"/>
      <c r="AF83" s="168"/>
      <c r="AG83" s="197"/>
      <c r="AH83" s="192"/>
      <c r="AI83" s="27"/>
      <c r="AJ83" s="235"/>
      <c r="AK83" s="235"/>
      <c r="AL83" s="172"/>
      <c r="AM83" s="254"/>
      <c r="AN83" s="259"/>
      <c r="AO83" s="259"/>
      <c r="AP83" s="39"/>
    </row>
    <row r="84" s="148" customFormat="true" ht="15" hidden="false" customHeight="true" outlineLevel="0" collapsed="false">
      <c r="A84" s="175" t="s">
        <v>166</v>
      </c>
      <c r="B84" s="176"/>
      <c r="C84" s="176"/>
      <c r="D84" s="176"/>
      <c r="E84" s="176"/>
      <c r="F84" s="176"/>
      <c r="G84" s="176"/>
      <c r="H84" s="176"/>
      <c r="I84" s="176"/>
      <c r="J84" s="176"/>
      <c r="K84" s="176"/>
      <c r="L84" s="176"/>
      <c r="M84" s="176"/>
      <c r="N84" s="176"/>
      <c r="O84" s="176"/>
      <c r="P84" s="176"/>
      <c r="Q84" s="176"/>
      <c r="R84" s="176"/>
      <c r="S84" s="176"/>
      <c r="T84" s="176"/>
      <c r="U84" s="176"/>
      <c r="V84" s="176"/>
      <c r="W84" s="176"/>
      <c r="X84" s="176"/>
      <c r="Y84" s="176"/>
      <c r="Z84" s="190"/>
      <c r="AA84" s="176"/>
      <c r="AB84" s="176"/>
      <c r="AC84" s="176"/>
      <c r="AD84" s="176"/>
      <c r="AE84" s="176"/>
      <c r="AF84" s="168" t="str">
        <f aca="false">A84</f>
        <v>Vacation</v>
      </c>
      <c r="AG84" s="184"/>
      <c r="AH84" s="207" t="n">
        <f aca="false">SUM(B84:AE84)</f>
        <v>0</v>
      </c>
      <c r="AI84" s="33"/>
      <c r="AJ84" s="216" t="n">
        <f aca="true">OFFSET(EB.MFAStd.Knoten,MONTH(Monat.Tag1),0,1,1)</f>
        <v>0.583333333333333</v>
      </c>
      <c r="AK84" s="216" t="n">
        <f aca="false">IF(EB.Anwendung&lt;&gt;"",IF(MONTH(Monat.Tag1)=1,EB.FerienBer,IF(MONTH(Monat.Tag1)=2,January!Monat.FerienUeVM,IF(MONTH(Monat.Tag1)=3,February!Monat.FerienUeVM,IF(MONTH(Monat.Tag1)=4,March!Monat.FerienUeVM,IF(MONTH(Monat.Tag1)=5,Monat.FerienUeVM,IF(MONTH(Monat.Tag1)=6,May!Monat.FerienUeVM,IF(MONTH(Monat.Tag1)=7,June!Monat.FerienUeVM,IF(MONTH(Monat.Tag1)=8,July!Monat.FerienUeVM,IF(MONTH(Monat.Tag1)=9,August!Monat.FerienUeVM,IF(MONTH(Monat.Tag1)=10,September!Monat.FerienUeVM,IF(MONTH(Monat.Tag1)=11,October!Monat.FerienUeVM,IF(MONTH(Monat.Tag1)=12,November!Monat.FerienUeVM,"")))))))))))),"")</f>
        <v>0</v>
      </c>
      <c r="AL84" s="172"/>
      <c r="AM84" s="217" t="n">
        <f aca="false">IF(AG85="+",(AJ84+AK84-Monat.Ferien.Total+AH85),(AJ84+AK84-Monat.Ferien.Total-AH85))</f>
        <v>0.583333333333333</v>
      </c>
      <c r="AN84" s="217" t="n">
        <f aca="true">SUM(Jahresabrechnung!AC12:AC13)-SUM(OFFSET(Jahresabrechnung!AC15,0,0,MONTH(Monat.Tag1),1))</f>
        <v>5.25</v>
      </c>
      <c r="AO84" s="217" t="n">
        <f aca="false">J.FerienUE.Total</f>
        <v>5.25</v>
      </c>
      <c r="AP84" s="39"/>
    </row>
    <row r="85" s="148" customFormat="true" ht="15" hidden="false" customHeight="true" outlineLevel="0" collapsed="false">
      <c r="A85" s="186"/>
      <c r="B85" s="191"/>
      <c r="C85" s="191"/>
      <c r="D85" s="191"/>
      <c r="E85" s="191"/>
      <c r="F85" s="191"/>
      <c r="G85" s="191"/>
      <c r="H85" s="191"/>
      <c r="I85" s="191"/>
      <c r="J85" s="191"/>
      <c r="K85" s="191"/>
      <c r="L85" s="191"/>
      <c r="M85" s="191"/>
      <c r="N85" s="191"/>
      <c r="O85" s="191"/>
      <c r="P85" s="191"/>
      <c r="Q85" s="191"/>
      <c r="R85" s="191"/>
      <c r="S85" s="191"/>
      <c r="T85" s="191"/>
      <c r="U85" s="191"/>
      <c r="V85" s="191"/>
      <c r="W85" s="191"/>
      <c r="X85" s="191"/>
      <c r="Y85" s="191"/>
      <c r="Z85" s="191"/>
      <c r="AA85" s="191"/>
      <c r="AB85" s="191"/>
      <c r="AC85" s="191"/>
      <c r="AD85" s="191"/>
      <c r="AE85" s="191"/>
      <c r="AF85" s="175" t="s">
        <v>167</v>
      </c>
      <c r="AG85" s="244" t="s">
        <v>146</v>
      </c>
      <c r="AH85" s="260"/>
      <c r="AI85" s="246"/>
      <c r="AJ85" s="172"/>
      <c r="AK85" s="172"/>
      <c r="AL85" s="172"/>
      <c r="AM85" s="171"/>
      <c r="AN85" s="261"/>
      <c r="AO85" s="261"/>
      <c r="AP85" s="39"/>
    </row>
    <row r="86" s="148" customFormat="true" ht="15" hidden="false" customHeight="true" outlineLevel="0" collapsed="false">
      <c r="A86" s="175" t="s">
        <v>168</v>
      </c>
      <c r="B86" s="176"/>
      <c r="C86" s="176"/>
      <c r="D86" s="176"/>
      <c r="E86" s="177"/>
      <c r="F86" s="176"/>
      <c r="G86" s="176"/>
      <c r="H86" s="176"/>
      <c r="I86" s="176"/>
      <c r="J86" s="177"/>
      <c r="K86" s="176"/>
      <c r="L86" s="177"/>
      <c r="M86" s="176"/>
      <c r="N86" s="176"/>
      <c r="O86" s="176"/>
      <c r="P86" s="176"/>
      <c r="Q86" s="177"/>
      <c r="R86" s="176"/>
      <c r="S86" s="177"/>
      <c r="T86" s="177"/>
      <c r="U86" s="176"/>
      <c r="V86" s="176"/>
      <c r="W86" s="176"/>
      <c r="X86" s="177"/>
      <c r="Y86" s="176"/>
      <c r="Z86" s="178"/>
      <c r="AA86" s="176"/>
      <c r="AB86" s="176"/>
      <c r="AC86" s="176"/>
      <c r="AD86" s="176"/>
      <c r="AE86" s="177"/>
      <c r="AF86" s="168" t="str">
        <f aca="false">A86</f>
        <v>Consultation</v>
      </c>
      <c r="AG86" s="184"/>
      <c r="AH86" s="207" t="n">
        <f aca="false">SUM(B86:AE86)</f>
        <v>0</v>
      </c>
      <c r="AI86" s="33"/>
      <c r="AJ86" s="235"/>
      <c r="AK86" s="216" t="n">
        <f aca="false">IF(EB.Anwendung&lt;&gt;"",IF(MONTH(Monat.Tag1)=1,0,IF(MONTH(Monat.Tag1)=2,January!Monat.ArztUeVM,IF(MONTH(Monat.Tag1)=3,February!Monat.ArztUeVM,IF(MONTH(Monat.Tag1)=4,March!Monat.ArztUeVM,IF(MONTH(Monat.Tag1)=5,Monat.ArztUeVM,IF(MONTH(Monat.Tag1)=6,May!Monat.ArztUeVM,IF(MONTH(Monat.Tag1)=7,June!Monat.ArztUeVM,IF(MONTH(Monat.Tag1)=8,July!Monat.ArztUeVM,IF(MONTH(Monat.Tag1)=9,August!Monat.ArztUeVM,IF(MONTH(Monat.Tag1)=10,September!Monat.ArztUeVM,IF(MONTH(Monat.Tag1)=11,October!Monat.ArztUeVM,IF(MONTH(Monat.Tag1)=12,November!Monat.ArztUeVM,"")))))))))))),"")</f>
        <v>0</v>
      </c>
      <c r="AL86" s="172"/>
      <c r="AM86" s="217" t="n">
        <f aca="false">AH86+AK86</f>
        <v>0</v>
      </c>
      <c r="AN86" s="171"/>
      <c r="AO86" s="171"/>
      <c r="AP86" s="39"/>
    </row>
    <row r="87" s="148" customFormat="true" ht="15" hidden="false" customHeight="true" outlineLevel="0" collapsed="false">
      <c r="A87" s="175" t="s">
        <v>169</v>
      </c>
      <c r="B87" s="176"/>
      <c r="C87" s="176"/>
      <c r="D87" s="176"/>
      <c r="E87" s="177"/>
      <c r="F87" s="176"/>
      <c r="G87" s="176"/>
      <c r="H87" s="176"/>
      <c r="I87" s="176"/>
      <c r="J87" s="177"/>
      <c r="K87" s="176"/>
      <c r="L87" s="177"/>
      <c r="M87" s="176"/>
      <c r="N87" s="176"/>
      <c r="O87" s="176"/>
      <c r="P87" s="176"/>
      <c r="Q87" s="177"/>
      <c r="R87" s="176"/>
      <c r="S87" s="177"/>
      <c r="T87" s="177"/>
      <c r="U87" s="176"/>
      <c r="V87" s="176"/>
      <c r="W87" s="176"/>
      <c r="X87" s="177"/>
      <c r="Y87" s="176"/>
      <c r="Z87" s="178"/>
      <c r="AA87" s="176"/>
      <c r="AB87" s="176"/>
      <c r="AC87" s="176"/>
      <c r="AD87" s="176"/>
      <c r="AE87" s="177"/>
      <c r="AF87" s="168" t="str">
        <f aca="false">A87</f>
        <v>Illness</v>
      </c>
      <c r="AG87" s="184"/>
      <c r="AH87" s="207" t="n">
        <f aca="false">SUM(B87:AE87)</f>
        <v>0</v>
      </c>
      <c r="AI87" s="33"/>
      <c r="AJ87" s="235"/>
      <c r="AK87" s="216" t="n">
        <f aca="false">IF(EB.Anwendung&lt;&gt;"",IF(MONTH(Monat.Tag1)=1,0,IF(MONTH(Monat.Tag1)=2,January!Monat.KrankUeVM,IF(MONTH(Monat.Tag1)=3,February!Monat.KrankUeVM,IF(MONTH(Monat.Tag1)=4,March!Monat.KrankUeVM,IF(MONTH(Monat.Tag1)=5,Monat.KrankUeVM,IF(MONTH(Monat.Tag1)=6,May!Monat.KrankUeVM,IF(MONTH(Monat.Tag1)=7,June!Monat.KrankUeVM,IF(MONTH(Monat.Tag1)=8,July!Monat.KrankUeVM,IF(MONTH(Monat.Tag1)=9,August!Monat.KrankUeVM,IF(MONTH(Monat.Tag1)=10,September!Monat.KrankUeVM,IF(MONTH(Monat.Tag1)=11,October!Monat.KrankUeVM,IF(MONTH(Monat.Tag1)=12,November!Monat.KrankUeVM,"")))))))))))),"")</f>
        <v>0</v>
      </c>
      <c r="AL87" s="172"/>
      <c r="AM87" s="217" t="n">
        <f aca="false">AH87+AK87</f>
        <v>0</v>
      </c>
      <c r="AN87" s="171"/>
      <c r="AO87" s="171"/>
      <c r="AP87" s="39"/>
    </row>
    <row r="88" s="148" customFormat="true" ht="15" hidden="false" customHeight="true" outlineLevel="0" collapsed="false">
      <c r="A88" s="175" t="s">
        <v>170</v>
      </c>
      <c r="B88" s="176"/>
      <c r="C88" s="176"/>
      <c r="D88" s="176"/>
      <c r="E88" s="177"/>
      <c r="F88" s="176"/>
      <c r="G88" s="176"/>
      <c r="H88" s="176"/>
      <c r="I88" s="176"/>
      <c r="J88" s="177"/>
      <c r="K88" s="176"/>
      <c r="L88" s="177"/>
      <c r="M88" s="176"/>
      <c r="N88" s="176"/>
      <c r="O88" s="176"/>
      <c r="P88" s="176"/>
      <c r="Q88" s="177"/>
      <c r="R88" s="176"/>
      <c r="S88" s="177"/>
      <c r="T88" s="177"/>
      <c r="U88" s="176"/>
      <c r="V88" s="176"/>
      <c r="W88" s="176"/>
      <c r="X88" s="177"/>
      <c r="Y88" s="176"/>
      <c r="Z88" s="178"/>
      <c r="AA88" s="176"/>
      <c r="AB88" s="176"/>
      <c r="AC88" s="176"/>
      <c r="AD88" s="176"/>
      <c r="AE88" s="177"/>
      <c r="AF88" s="168" t="str">
        <f aca="false">A88</f>
        <v>Work-related accident</v>
      </c>
      <c r="AG88" s="184"/>
      <c r="AH88" s="207" t="n">
        <f aca="false">SUM(B88:AE88)</f>
        <v>0</v>
      </c>
      <c r="AI88" s="33"/>
      <c r="AJ88" s="235"/>
      <c r="AK88" s="216" t="n">
        <f aca="false">IF(EB.Anwendung&lt;&gt;"",IF(MONTH(Monat.Tag1)=1,0,IF(MONTH(Monat.Tag1)=2,January!Monat.BUUeVM,IF(MONTH(Monat.Tag1)=3,February!Monat.BUUeVM,IF(MONTH(Monat.Tag1)=4,March!Monat.BUUeVM,IF(MONTH(Monat.Tag1)=5,Monat.BUUeVM,IF(MONTH(Monat.Tag1)=6,May!Monat.BUUeVM,IF(MONTH(Monat.Tag1)=7,June!Monat.BUUeVM,IF(MONTH(Monat.Tag1)=8,July!Monat.BUUeVM,IF(MONTH(Monat.Tag1)=9,August!Monat.BUUeVM,IF(MONTH(Monat.Tag1)=10,September!Monat.BUUeVM,IF(MONTH(Monat.Tag1)=11,October!Monat.BUUeVM,IF(MONTH(Monat.Tag1)=12,November!Monat.BUUeVM,"")))))))))))),"")</f>
        <v>0</v>
      </c>
      <c r="AL88" s="172"/>
      <c r="AM88" s="217" t="n">
        <f aca="false">AH88+AK88</f>
        <v>0</v>
      </c>
      <c r="AN88" s="171"/>
      <c r="AO88" s="171"/>
      <c r="AP88" s="39"/>
    </row>
    <row r="89" s="148" customFormat="true" ht="15" hidden="false" customHeight="true" outlineLevel="0" collapsed="false">
      <c r="A89" s="175" t="s">
        <v>171</v>
      </c>
      <c r="B89" s="176"/>
      <c r="C89" s="176"/>
      <c r="D89" s="176"/>
      <c r="E89" s="177"/>
      <c r="F89" s="176"/>
      <c r="G89" s="176"/>
      <c r="H89" s="176"/>
      <c r="I89" s="176"/>
      <c r="J89" s="177"/>
      <c r="K89" s="176"/>
      <c r="L89" s="177"/>
      <c r="M89" s="176"/>
      <c r="N89" s="176"/>
      <c r="O89" s="176"/>
      <c r="P89" s="176"/>
      <c r="Q89" s="177"/>
      <c r="R89" s="176"/>
      <c r="S89" s="177"/>
      <c r="T89" s="177"/>
      <c r="U89" s="176"/>
      <c r="V89" s="176"/>
      <c r="W89" s="176"/>
      <c r="X89" s="177"/>
      <c r="Y89" s="176"/>
      <c r="Z89" s="178"/>
      <c r="AA89" s="176"/>
      <c r="AB89" s="176"/>
      <c r="AC89" s="176"/>
      <c r="AD89" s="176"/>
      <c r="AE89" s="177"/>
      <c r="AF89" s="168" t="str">
        <f aca="false">A89</f>
        <v>Non-work-related accident</v>
      </c>
      <c r="AG89" s="184"/>
      <c r="AH89" s="207" t="n">
        <f aca="false">SUM(B89:AE89)</f>
        <v>0</v>
      </c>
      <c r="AI89" s="33"/>
      <c r="AJ89" s="235"/>
      <c r="AK89" s="216" t="n">
        <f aca="false">IF(EB.Anwendung&lt;&gt;"",IF(MONTH(Monat.Tag1)=1,0,IF(MONTH(Monat.Tag1)=2,January!Monat.NBUUeVM,IF(MONTH(Monat.Tag1)=3,February!Monat.NBUUeVM,IF(MONTH(Monat.Tag1)=4,March!Monat.NBUUeVM,IF(MONTH(Monat.Tag1)=5,Monat.NBUUeVM,IF(MONTH(Monat.Tag1)=6,May!Monat.NBUUeVM,IF(MONTH(Monat.Tag1)=7,June!Monat.NBUUeVM,IF(MONTH(Monat.Tag1)=8,July!Monat.NBUUeVM,IF(MONTH(Monat.Tag1)=9,August!Monat.NBUUeVM,IF(MONTH(Monat.Tag1)=10,September!Monat.NBUUeVM,IF(MONTH(Monat.Tag1)=11,October!Monat.NBUUeVM,IF(MONTH(Monat.Tag1)=12,November!Monat.NBUUeVM,"")))))))))))),"")</f>
        <v>0</v>
      </c>
      <c r="AL89" s="172"/>
      <c r="AM89" s="217" t="n">
        <f aca="false">AH89+AK89</f>
        <v>0</v>
      </c>
      <c r="AN89" s="171"/>
      <c r="AO89" s="171"/>
      <c r="AP89" s="39"/>
    </row>
    <row r="90" s="148" customFormat="true" ht="15" hidden="false" customHeight="true" outlineLevel="0" collapsed="false">
      <c r="A90" s="175" t="s">
        <v>172</v>
      </c>
      <c r="B90" s="176"/>
      <c r="C90" s="176"/>
      <c r="D90" s="176"/>
      <c r="E90" s="177"/>
      <c r="F90" s="176"/>
      <c r="G90" s="176"/>
      <c r="H90" s="176"/>
      <c r="I90" s="176"/>
      <c r="J90" s="177"/>
      <c r="K90" s="176"/>
      <c r="L90" s="177"/>
      <c r="M90" s="176"/>
      <c r="N90" s="176"/>
      <c r="O90" s="176"/>
      <c r="P90" s="176"/>
      <c r="Q90" s="177"/>
      <c r="R90" s="176"/>
      <c r="S90" s="177"/>
      <c r="T90" s="177"/>
      <c r="U90" s="176"/>
      <c r="V90" s="176"/>
      <c r="W90" s="176"/>
      <c r="X90" s="177"/>
      <c r="Y90" s="176"/>
      <c r="Z90" s="178"/>
      <c r="AA90" s="176"/>
      <c r="AB90" s="176"/>
      <c r="AC90" s="176"/>
      <c r="AD90" s="176"/>
      <c r="AE90" s="177"/>
      <c r="AF90" s="168" t="str">
        <f aca="false">A90</f>
        <v>Military/civilian service</v>
      </c>
      <c r="AG90" s="184"/>
      <c r="AH90" s="207" t="n">
        <f aca="false">SUM(B90:AE90)</f>
        <v>0</v>
      </c>
      <c r="AI90" s="33"/>
      <c r="AJ90" s="235"/>
      <c r="AK90" s="216" t="n">
        <f aca="false">IF(EB.Anwendung&lt;&gt;"",IF(MONTH(Monat.Tag1)=1,0,IF(MONTH(Monat.Tag1)=2,January!Monat.MZSUeVM,IF(MONTH(Monat.Tag1)=3,February!Monat.MZSUeVM,IF(MONTH(Monat.Tag1)=4,March!Monat.MZSUeVM,IF(MONTH(Monat.Tag1)=5,Monat.MZSUeVM,IF(MONTH(Monat.Tag1)=6,May!Monat.MZSUeVM,IF(MONTH(Monat.Tag1)=7,June!Monat.MZSUeVM,IF(MONTH(Monat.Tag1)=8,July!Monat.MZSUeVM,IF(MONTH(Monat.Tag1)=9,August!Monat.MZSUeVM,IF(MONTH(Monat.Tag1)=10,September!Monat.MZSUeVM,IF(MONTH(Monat.Tag1)=11,October!Monat.MZSUeVM,IF(MONTH(Monat.Tag1)=12,November!Monat.MZSUeVM,"")))))))))))),"")</f>
        <v>0</v>
      </c>
      <c r="AL90" s="172"/>
      <c r="AM90" s="217" t="n">
        <f aca="false">AH90+AK90</f>
        <v>0</v>
      </c>
      <c r="AN90" s="171"/>
      <c r="AO90" s="171"/>
      <c r="AP90" s="39"/>
    </row>
    <row r="91" s="148" customFormat="true" ht="15" hidden="false" customHeight="true" outlineLevel="0" collapsed="false">
      <c r="A91" s="175" t="s">
        <v>173</v>
      </c>
      <c r="B91" s="176"/>
      <c r="C91" s="176"/>
      <c r="D91" s="176"/>
      <c r="E91" s="177"/>
      <c r="F91" s="176"/>
      <c r="G91" s="176"/>
      <c r="H91" s="176"/>
      <c r="I91" s="176"/>
      <c r="J91" s="177"/>
      <c r="K91" s="176"/>
      <c r="L91" s="177"/>
      <c r="M91" s="176"/>
      <c r="N91" s="176"/>
      <c r="O91" s="176"/>
      <c r="P91" s="176"/>
      <c r="Q91" s="177"/>
      <c r="R91" s="176"/>
      <c r="S91" s="177"/>
      <c r="T91" s="177"/>
      <c r="U91" s="176"/>
      <c r="V91" s="176"/>
      <c r="W91" s="176"/>
      <c r="X91" s="177"/>
      <c r="Y91" s="176"/>
      <c r="Z91" s="178"/>
      <c r="AA91" s="176"/>
      <c r="AB91" s="176"/>
      <c r="AC91" s="176"/>
      <c r="AD91" s="176"/>
      <c r="AE91" s="177"/>
      <c r="AF91" s="168" t="str">
        <f aca="false">A91</f>
        <v>Continuing education</v>
      </c>
      <c r="AG91" s="184"/>
      <c r="AH91" s="207" t="n">
        <f aca="false">SUM(B91:AE91)</f>
        <v>0</v>
      </c>
      <c r="AI91" s="33"/>
      <c r="AJ91" s="235"/>
      <c r="AK91" s="216" t="n">
        <f aca="false">IF(EB.Anwendung&lt;&gt;"",IF(MONTH(Monat.Tag1)=1,0,IF(MONTH(Monat.Tag1)=2,January!Monat.WBUeVM,IF(MONTH(Monat.Tag1)=3,February!Monat.WBUeVM,IF(MONTH(Monat.Tag1)=4,March!Monat.WBUeVM,IF(MONTH(Monat.Tag1)=5,Monat.WBUeVM,IF(MONTH(Monat.Tag1)=6,May!Monat.WBUeVM,IF(MONTH(Monat.Tag1)=7,June!Monat.WBUeVM,IF(MONTH(Monat.Tag1)=8,July!Monat.WBUeVM,IF(MONTH(Monat.Tag1)=9,August!Monat.WBUeVM,IF(MONTH(Monat.Tag1)=10,September!Monat.WBUeVM,IF(MONTH(Monat.Tag1)=11,October!Monat.WBUeVM,IF(MONTH(Monat.Tag1)=12,November!Monat.WBUeVM,"")))))))))))),"")</f>
        <v>0</v>
      </c>
      <c r="AL91" s="172"/>
      <c r="AM91" s="217" t="n">
        <f aca="false">AH91+AK91</f>
        <v>0</v>
      </c>
      <c r="AN91" s="171"/>
      <c r="AO91" s="171"/>
      <c r="AP91" s="39"/>
    </row>
    <row r="92" s="148" customFormat="true" ht="15" hidden="false" customHeight="true" outlineLevel="0" collapsed="false">
      <c r="A92" s="175" t="s">
        <v>174</v>
      </c>
      <c r="B92" s="176"/>
      <c r="C92" s="176"/>
      <c r="D92" s="176"/>
      <c r="E92" s="177"/>
      <c r="F92" s="176"/>
      <c r="G92" s="176"/>
      <c r="H92" s="176"/>
      <c r="I92" s="176"/>
      <c r="J92" s="177"/>
      <c r="K92" s="176"/>
      <c r="L92" s="177"/>
      <c r="M92" s="176"/>
      <c r="N92" s="176"/>
      <c r="O92" s="176"/>
      <c r="P92" s="176"/>
      <c r="Q92" s="177"/>
      <c r="R92" s="176"/>
      <c r="S92" s="177"/>
      <c r="T92" s="177"/>
      <c r="U92" s="176"/>
      <c r="V92" s="176"/>
      <c r="W92" s="176"/>
      <c r="X92" s="177"/>
      <c r="Y92" s="176"/>
      <c r="Z92" s="178"/>
      <c r="AA92" s="176"/>
      <c r="AB92" s="176"/>
      <c r="AC92" s="176"/>
      <c r="AD92" s="176"/>
      <c r="AE92" s="177"/>
      <c r="AF92" s="168" t="str">
        <f aca="false">A92</f>
        <v>Paid leave</v>
      </c>
      <c r="AG92" s="184"/>
      <c r="AH92" s="207" t="n">
        <f aca="false">SUM(B92:AE92)</f>
        <v>0</v>
      </c>
      <c r="AI92" s="33"/>
      <c r="AJ92" s="235"/>
      <c r="AK92" s="216" t="n">
        <f aca="false">IF(EB.Anwendung&lt;&gt;"",IF(MONTH(Monat.Tag1)=1,0,IF(MONTH(Monat.Tag1)=2,January!Monat.BesUrlaubUeVM,IF(MONTH(Monat.Tag1)=3,February!Monat.BesUrlaubUeVM,IF(MONTH(Monat.Tag1)=4,March!Monat.BesUrlaubUeVM,IF(MONTH(Monat.Tag1)=5,Monat.BesUrlaubUeVM,IF(MONTH(Monat.Tag1)=6,May!Monat.BesUrlaubUeVM,IF(MONTH(Monat.Tag1)=7,June!Monat.BesUrlaubUeVM,IF(MONTH(Monat.Tag1)=8,July!Monat.BesUrlaubUeVM,IF(MONTH(Monat.Tag1)=9,August!Monat.BesUrlaubUeVM,IF(MONTH(Monat.Tag1)=10,September!Monat.BesUrlaubUeVM,IF(MONTH(Monat.Tag1)=11,October!Monat.BesUrlaubUeVM,IF(MONTH(Monat.Tag1)=12,November!Monat.BesUrlaubUeVM,"")))))))))))),"")</f>
        <v>0</v>
      </c>
      <c r="AL92" s="172"/>
      <c r="AM92" s="217" t="n">
        <f aca="false">AH92+AK92</f>
        <v>0</v>
      </c>
      <c r="AN92" s="171"/>
      <c r="AO92" s="171"/>
      <c r="AP92" s="39"/>
    </row>
    <row r="93" s="148" customFormat="true" ht="15" hidden="false" customHeight="true" outlineLevel="0" collapsed="false">
      <c r="A93" s="175" t="s">
        <v>175</v>
      </c>
      <c r="B93" s="176"/>
      <c r="C93" s="176"/>
      <c r="D93" s="176"/>
      <c r="E93" s="177"/>
      <c r="F93" s="176"/>
      <c r="G93" s="176"/>
      <c r="H93" s="176"/>
      <c r="I93" s="176"/>
      <c r="J93" s="177"/>
      <c r="K93" s="176"/>
      <c r="L93" s="177"/>
      <c r="M93" s="176"/>
      <c r="N93" s="176"/>
      <c r="O93" s="176"/>
      <c r="P93" s="176"/>
      <c r="Q93" s="177"/>
      <c r="R93" s="176"/>
      <c r="S93" s="177"/>
      <c r="T93" s="177"/>
      <c r="U93" s="176"/>
      <c r="V93" s="176"/>
      <c r="W93" s="176"/>
      <c r="X93" s="177"/>
      <c r="Y93" s="176"/>
      <c r="Z93" s="178"/>
      <c r="AA93" s="176"/>
      <c r="AB93" s="176"/>
      <c r="AC93" s="176"/>
      <c r="AD93" s="176"/>
      <c r="AE93" s="177"/>
      <c r="AF93" s="168" t="str">
        <f aca="false">A93</f>
        <v>Unpaid leave</v>
      </c>
      <c r="AG93" s="184"/>
      <c r="AH93" s="207" t="n">
        <f aca="false">SUM(B93:AE93)</f>
        <v>0</v>
      </c>
      <c r="AI93" s="33"/>
      <c r="AJ93" s="235"/>
      <c r="AK93" s="216" t="n">
        <f aca="false">IF(EB.Anwendung&lt;&gt;"",IF(MONTH(Monat.Tag1)=1,0,IF(MONTH(Monat.Tag1)=2,January!Monat.UnbesUrlaubUeVM,IF(MONTH(Monat.Tag1)=3,February!Monat.UnbesUrlaubUeVM,IF(MONTH(Monat.Tag1)=4,March!Monat.UnbesUrlaubUeVM,IF(MONTH(Monat.Tag1)=5,Monat.UnbesUrlaubUeVM,IF(MONTH(Monat.Tag1)=6,May!Monat.UnbesUrlaubUeVM,IF(MONTH(Monat.Tag1)=7,June!Monat.UnbesUrlaubUeVM,IF(MONTH(Monat.Tag1)=8,July!Monat.UnbesUrlaubUeVM,IF(MONTH(Monat.Tag1)=9,August!Monat.UnbesUrlaubUeVM,IF(MONTH(Monat.Tag1)=10,September!Monat.UnbesUrlaubUeVM,IF(MONTH(Monat.Tag1)=11,October!Monat.UnbesUrlaubUeVM,IF(MONTH(Monat.Tag1)=12,November!Monat.UnbesUrlaubUeVM,"")))))))))))),"")</f>
        <v>0</v>
      </c>
      <c r="AL93" s="172"/>
      <c r="AM93" s="217" t="n">
        <f aca="false">AH93+AK93</f>
        <v>0</v>
      </c>
      <c r="AN93" s="171"/>
      <c r="AO93" s="171"/>
      <c r="AP93" s="39"/>
    </row>
    <row r="94" s="148" customFormat="true" ht="15" hidden="true" customHeight="true" outlineLevel="1" collapsed="false">
      <c r="A94" s="175" t="s">
        <v>176</v>
      </c>
      <c r="B94" s="176"/>
      <c r="C94" s="176"/>
      <c r="D94" s="176"/>
      <c r="E94" s="177"/>
      <c r="F94" s="176"/>
      <c r="G94" s="176"/>
      <c r="H94" s="176"/>
      <c r="I94" s="176"/>
      <c r="J94" s="177"/>
      <c r="K94" s="176"/>
      <c r="L94" s="177"/>
      <c r="M94" s="176"/>
      <c r="N94" s="176"/>
      <c r="O94" s="176"/>
      <c r="P94" s="176"/>
      <c r="Q94" s="177"/>
      <c r="R94" s="176"/>
      <c r="S94" s="177"/>
      <c r="T94" s="177"/>
      <c r="U94" s="176"/>
      <c r="V94" s="176"/>
      <c r="W94" s="176"/>
      <c r="X94" s="177"/>
      <c r="Y94" s="176"/>
      <c r="Z94" s="178"/>
      <c r="AA94" s="176"/>
      <c r="AB94" s="176"/>
      <c r="AC94" s="176"/>
      <c r="AD94" s="176"/>
      <c r="AE94" s="177"/>
      <c r="AF94" s="168" t="str">
        <f aca="false">A94</f>
        <v>Secondary employment</v>
      </c>
      <c r="AG94" s="184"/>
      <c r="AH94" s="207" t="n">
        <f aca="false">SUM(B94:AE94)</f>
        <v>0</v>
      </c>
      <c r="AI94" s="33"/>
      <c r="AJ94" s="235"/>
      <c r="AK94" s="216" t="n">
        <f aca="false">IF(EB.Anwendung&lt;&gt;"",IF(MONTH(Monat.Tag1)=1,0,IF(MONTH(Monat.Tag1)=2,January!Monat.NBUeVM,IF(MONTH(Monat.Tag1)=3,February!Monat.NBUeVM,IF(MONTH(Monat.Tag1)=4,March!Monat.NBUeVM,IF(MONTH(Monat.Tag1)=5,Monat.NBUeVM,IF(MONTH(Monat.Tag1)=6,May!Monat.NBUeVM,IF(MONTH(Monat.Tag1)=7,June!Monat.NBUeVM,IF(MONTH(Monat.Tag1)=8,July!Monat.NBUeVM,IF(MONTH(Monat.Tag1)=9,August!Monat.NBUeVM,IF(MONTH(Monat.Tag1)=10,September!Monat.NBUeVM,IF(MONTH(Monat.Tag1)=11,October!Monat.NBUeVM,IF(MONTH(Monat.Tag1)=12,November!Monat.NBUeVM,"")))))))))))),"")</f>
        <v>0</v>
      </c>
      <c r="AL94" s="172"/>
      <c r="AM94" s="217" t="n">
        <f aca="false">AH94+AK94</f>
        <v>0</v>
      </c>
      <c r="AN94" s="171"/>
      <c r="AO94" s="171"/>
      <c r="AP94" s="39"/>
    </row>
    <row r="95" s="148" customFormat="true" ht="15" hidden="false" customHeight="true" outlineLevel="0" collapsed="false">
      <c r="A95" s="175" t="s">
        <v>86</v>
      </c>
      <c r="B95" s="176"/>
      <c r="C95" s="176"/>
      <c r="D95" s="176"/>
      <c r="E95" s="177"/>
      <c r="F95" s="176"/>
      <c r="G95" s="176"/>
      <c r="H95" s="176"/>
      <c r="I95" s="176"/>
      <c r="J95" s="177"/>
      <c r="K95" s="176"/>
      <c r="L95" s="177"/>
      <c r="M95" s="176"/>
      <c r="N95" s="176"/>
      <c r="O95" s="176"/>
      <c r="P95" s="176"/>
      <c r="Q95" s="177"/>
      <c r="R95" s="176"/>
      <c r="S95" s="177"/>
      <c r="T95" s="177"/>
      <c r="U95" s="176"/>
      <c r="V95" s="176"/>
      <c r="W95" s="176"/>
      <c r="X95" s="177"/>
      <c r="Y95" s="176"/>
      <c r="Z95" s="178"/>
      <c r="AA95" s="176"/>
      <c r="AB95" s="176"/>
      <c r="AC95" s="176"/>
      <c r="AD95" s="176"/>
      <c r="AE95" s="177"/>
      <c r="AF95" s="168" t="str">
        <f aca="false">A95</f>
        <v>Seniority allowance</v>
      </c>
      <c r="AG95" s="184"/>
      <c r="AH95" s="207" t="n">
        <f aca="false">SUM(B95:AE95)</f>
        <v>0</v>
      </c>
      <c r="AI95" s="33"/>
      <c r="AJ95" s="235"/>
      <c r="AK95" s="216" t="n">
        <f aca="false">IF(EB.Anwendung&lt;&gt;"",IF(MONTH(Monat.Tag1)=1,EB.DAG,IF(MONTH(Monat.Tag1)=2,January!Monat.DAGUeVM,IF(MONTH(Monat.Tag1)=3,February!Monat.DAGUeVM,IF(MONTH(Monat.Tag1)=4,March!Monat.DAGUeVM,IF(MONTH(Monat.Tag1)=5,Monat.DAGUeVM,IF(MONTH(Monat.Tag1)=6,May!Monat.DAGUeVM,IF(MONTH(Monat.Tag1)=7,June!Monat.DAGUeVM,IF(MONTH(Monat.Tag1)=8,July!Monat.DAGUeVM,IF(MONTH(Monat.Tag1)=9,August!Monat.DAGUeVM,IF(MONTH(Monat.Tag1)=10,September!Monat.DAGUeVM,IF(MONTH(Monat.Tag1)=11,October!Monat.DAGUeVM,IF(MONTH(Monat.Tag1)=12,November!Monat.DAGUeVM,"")))))))))))),"")</f>
        <v>0</v>
      </c>
      <c r="AL95" s="172"/>
      <c r="AM95" s="217" t="n">
        <f aca="false">AK95-AH95</f>
        <v>0</v>
      </c>
      <c r="AN95" s="171"/>
      <c r="AO95" s="171"/>
      <c r="AP95" s="39"/>
    </row>
    <row r="96" s="148" customFormat="true" ht="11.25" hidden="false" customHeight="true" outlineLevel="0" collapsed="false">
      <c r="A96" s="186"/>
      <c r="B96" s="191"/>
      <c r="C96" s="191"/>
      <c r="D96" s="191"/>
      <c r="E96" s="191"/>
      <c r="F96" s="191"/>
      <c r="G96" s="191"/>
      <c r="H96" s="191"/>
      <c r="I96" s="191"/>
      <c r="J96" s="191"/>
      <c r="K96" s="191"/>
      <c r="L96" s="191"/>
      <c r="M96" s="191"/>
      <c r="N96" s="191"/>
      <c r="O96" s="191"/>
      <c r="P96" s="191"/>
      <c r="Q96" s="191"/>
      <c r="R96" s="191"/>
      <c r="S96" s="191"/>
      <c r="T96" s="191"/>
      <c r="U96" s="191"/>
      <c r="V96" s="191"/>
      <c r="W96" s="191"/>
      <c r="X96" s="191"/>
      <c r="Y96" s="191"/>
      <c r="Z96" s="191"/>
      <c r="AA96" s="191"/>
      <c r="AB96" s="191"/>
      <c r="AC96" s="191"/>
      <c r="AD96" s="191"/>
      <c r="AE96" s="191"/>
      <c r="AF96" s="168"/>
      <c r="AG96" s="197"/>
      <c r="AH96" s="192"/>
      <c r="AI96" s="27"/>
      <c r="AJ96" s="235"/>
      <c r="AK96" s="235"/>
      <c r="AL96" s="172"/>
      <c r="AM96" s="254"/>
      <c r="AN96" s="179"/>
      <c r="AO96" s="179"/>
      <c r="AP96" s="39"/>
    </row>
    <row r="97" s="148" customFormat="true" ht="15" hidden="false" customHeight="true" outlineLevel="0" collapsed="false">
      <c r="A97" s="181" t="str">
        <f aca="true">IF(ROW(A97)-ROW(INDEX(Monat.Projekte.Zeilen,1))+1&gt;EB.AnzProjekte,"",OFFSET(EB.Projekte.Knoten,ROW(A97)-ROW(INDEX(Monat.Projekte.Zeilen,1))+1,0,1,1))</f>
        <v/>
      </c>
      <c r="B97" s="176"/>
      <c r="C97" s="176"/>
      <c r="D97" s="176"/>
      <c r="E97" s="177"/>
      <c r="F97" s="176"/>
      <c r="G97" s="176"/>
      <c r="H97" s="176"/>
      <c r="I97" s="176"/>
      <c r="J97" s="177"/>
      <c r="K97" s="176"/>
      <c r="L97" s="177"/>
      <c r="M97" s="176"/>
      <c r="N97" s="176"/>
      <c r="O97" s="176"/>
      <c r="P97" s="176"/>
      <c r="Q97" s="177"/>
      <c r="R97" s="176"/>
      <c r="S97" s="177"/>
      <c r="T97" s="177"/>
      <c r="U97" s="176"/>
      <c r="V97" s="176"/>
      <c r="W97" s="176"/>
      <c r="X97" s="177"/>
      <c r="Y97" s="176"/>
      <c r="Z97" s="178"/>
      <c r="AA97" s="176"/>
      <c r="AB97" s="176"/>
      <c r="AC97" s="176"/>
      <c r="AD97" s="176"/>
      <c r="AE97" s="177"/>
      <c r="AF97" s="168" t="str">
        <f aca="false">A97</f>
        <v/>
      </c>
      <c r="AG97" s="202"/>
      <c r="AH97" s="262" t="n">
        <f aca="false">SUM(B97:AE97)</f>
        <v>0</v>
      </c>
      <c r="AI97" s="33"/>
      <c r="AJ97" s="192"/>
      <c r="AK97" s="216" t="n">
        <f aca="false">IF(EB.Anwendung&lt;&gt;"",IF(MONTH(Monat.Tag1)=1,0,IF(MONTH(Monat.Tag1)=2,January!Monat.P1UeVM,IF(MONTH(Monat.Tag1)=3,February!Monat.P1UeVM,IF(MONTH(Monat.Tag1)=4,March!Monat.P1UeVM,IF(MONTH(Monat.Tag1)=5,Monat.P1UeVM,IF(MONTH(Monat.Tag1)=6,May!Monat.P1UeVM,IF(MONTH(Monat.Tag1)=7,June!Monat.P1UeVM,IF(MONTH(Monat.Tag1)=8,July!Monat.P1UeVM,IF(MONTH(Monat.Tag1)=9,August!Monat.P1UeVM,IF(MONTH(Monat.Tag1)=10,September!Monat.P1UeVM,IF(MONTH(Monat.Tag1)=11,October!Monat.P1UeVM,IF(MONTH(Monat.Tag1)=12,November!Monat.P1UeVM,"")))))))))))),"")</f>
        <v>0</v>
      </c>
      <c r="AL97" s="172"/>
      <c r="AM97" s="217" t="n">
        <f aca="false">AH97+AK97</f>
        <v>0</v>
      </c>
      <c r="AN97" s="171"/>
      <c r="AO97" s="171"/>
      <c r="AP97" s="39"/>
    </row>
    <row r="98" s="148" customFormat="true" ht="15" hidden="false" customHeight="true" outlineLevel="0" collapsed="false">
      <c r="A98" s="181" t="str">
        <f aca="true">IF(ROW(A98)-ROW(INDEX(Monat.Projekte.Zeilen,1))+1&gt;EB.AnzProjekte,"",OFFSET(EB.Projekte.Knoten,ROW(A98)-ROW(INDEX(Monat.Projekte.Zeilen,1))+1,0,1,1))</f>
        <v/>
      </c>
      <c r="B98" s="176"/>
      <c r="C98" s="176"/>
      <c r="D98" s="176"/>
      <c r="E98" s="177"/>
      <c r="F98" s="176"/>
      <c r="G98" s="176"/>
      <c r="H98" s="176"/>
      <c r="I98" s="176"/>
      <c r="J98" s="177"/>
      <c r="K98" s="176"/>
      <c r="L98" s="177"/>
      <c r="M98" s="176"/>
      <c r="N98" s="176"/>
      <c r="O98" s="176"/>
      <c r="P98" s="176"/>
      <c r="Q98" s="177"/>
      <c r="R98" s="176"/>
      <c r="S98" s="177"/>
      <c r="T98" s="177"/>
      <c r="U98" s="176"/>
      <c r="V98" s="176"/>
      <c r="W98" s="176"/>
      <c r="X98" s="177"/>
      <c r="Y98" s="176"/>
      <c r="Z98" s="178"/>
      <c r="AA98" s="176"/>
      <c r="AB98" s="176"/>
      <c r="AC98" s="176"/>
      <c r="AD98" s="176"/>
      <c r="AE98" s="177"/>
      <c r="AF98" s="168" t="str">
        <f aca="false">A98</f>
        <v/>
      </c>
      <c r="AG98" s="184"/>
      <c r="AH98" s="207" t="n">
        <f aca="false">SUM(B98:AE98)</f>
        <v>0</v>
      </c>
      <c r="AI98" s="33"/>
      <c r="AJ98" s="192"/>
      <c r="AK98" s="216" t="n">
        <f aca="false">IF(EB.Anwendung&lt;&gt;"",IF(MONTH(Monat.Tag1)=1,0,IF(MONTH(Monat.Tag1)=2,January!Monat.P2UeVM,IF(MONTH(Monat.Tag1)=3,February!Monat.P2UeVM,IF(MONTH(Monat.Tag1)=4,March!Monat.P2UeVM,IF(MONTH(Monat.Tag1)=5,Monat.P2UeVM,IF(MONTH(Monat.Tag1)=6,May!Monat.P2UeVM,IF(MONTH(Monat.Tag1)=7,June!Monat.P2UeVM,IF(MONTH(Monat.Tag1)=8,July!Monat.P2UeVM,IF(MONTH(Monat.Tag1)=9,August!Monat.P2UeVM,IF(MONTH(Monat.Tag1)=10,September!Monat.P2UeVM,IF(MONTH(Monat.Tag1)=11,October!Monat.P2UeVM,IF(MONTH(Monat.Tag1)=12,November!Monat.P2UeVM,"")))))))))))),"")</f>
        <v>0</v>
      </c>
      <c r="AL98" s="172"/>
      <c r="AM98" s="217" t="n">
        <f aca="false">AH98+AK98</f>
        <v>0</v>
      </c>
      <c r="AN98" s="171"/>
      <c r="AO98" s="171"/>
      <c r="AP98" s="39"/>
    </row>
    <row r="99" s="148" customFormat="true" ht="15" hidden="false" customHeight="true" outlineLevel="0" collapsed="false">
      <c r="A99" s="181" t="str">
        <f aca="true">IF(ROW(A99)-ROW(INDEX(Monat.Projekte.Zeilen,1))+1&gt;EB.AnzProjekte,"",OFFSET(EB.Projekte.Knoten,ROW(A99)-ROW(INDEX(Monat.Projekte.Zeilen,1))+1,0,1,1))</f>
        <v/>
      </c>
      <c r="B99" s="176"/>
      <c r="C99" s="176"/>
      <c r="D99" s="176"/>
      <c r="E99" s="177"/>
      <c r="F99" s="176"/>
      <c r="G99" s="176"/>
      <c r="H99" s="176"/>
      <c r="I99" s="176"/>
      <c r="J99" s="177"/>
      <c r="K99" s="176"/>
      <c r="L99" s="177"/>
      <c r="M99" s="176"/>
      <c r="N99" s="176"/>
      <c r="O99" s="176"/>
      <c r="P99" s="176"/>
      <c r="Q99" s="177"/>
      <c r="R99" s="176"/>
      <c r="S99" s="177"/>
      <c r="T99" s="177"/>
      <c r="U99" s="176"/>
      <c r="V99" s="176"/>
      <c r="W99" s="176"/>
      <c r="X99" s="177"/>
      <c r="Y99" s="176"/>
      <c r="Z99" s="178"/>
      <c r="AA99" s="176"/>
      <c r="AB99" s="176"/>
      <c r="AC99" s="176"/>
      <c r="AD99" s="176"/>
      <c r="AE99" s="177"/>
      <c r="AF99" s="168" t="str">
        <f aca="false">A99</f>
        <v/>
      </c>
      <c r="AG99" s="263"/>
      <c r="AH99" s="207" t="n">
        <f aca="false">SUM(B99:AE99)</f>
        <v>0</v>
      </c>
      <c r="AI99" s="33"/>
      <c r="AJ99" s="192"/>
      <c r="AK99" s="216" t="n">
        <f aca="false">IF(EB.Anwendung&lt;&gt;"",IF(MONTH(Monat.Tag1)=1,0,IF(MONTH(Monat.Tag1)=2,January!Monat.P3UeVM,IF(MONTH(Monat.Tag1)=3,February!Monat.P3UeVM,IF(MONTH(Monat.Tag1)=4,March!Monat.P3UeVM,IF(MONTH(Monat.Tag1)=5,Monat.P3UeVM,IF(MONTH(Monat.Tag1)=6,May!Monat.P3UeVM,IF(MONTH(Monat.Tag1)=7,June!Monat.P3UeVM,IF(MONTH(Monat.Tag1)=8,July!Monat.P3UeVM,IF(MONTH(Monat.Tag1)=9,August!Monat.P3UeVM,IF(MONTH(Monat.Tag1)=10,September!Monat.P3UeVM,IF(MONTH(Monat.Tag1)=11,October!Monat.P3UeVM,IF(MONTH(Monat.Tag1)=12,November!Monat.P3UeVM,"")))))))))))),"")</f>
        <v>0</v>
      </c>
      <c r="AL99" s="172"/>
      <c r="AM99" s="217" t="n">
        <f aca="false">AH99+AK99</f>
        <v>0</v>
      </c>
      <c r="AN99" s="171"/>
      <c r="AO99" s="171"/>
      <c r="AP99" s="39"/>
    </row>
    <row r="100" s="148" customFormat="true" ht="15" hidden="false" customHeight="true" outlineLevel="0" collapsed="false">
      <c r="A100" s="181" t="str">
        <f aca="true">IF(ROW(A100)-ROW(INDEX(Monat.Projekte.Zeilen,1))+1&gt;EB.AnzProjekte,"",OFFSET(EB.Projekte.Knoten,ROW(A100)-ROW(INDEX(Monat.Projekte.Zeilen,1))+1,0,1,1))</f>
        <v/>
      </c>
      <c r="B100" s="176"/>
      <c r="C100" s="176"/>
      <c r="D100" s="176"/>
      <c r="E100" s="177"/>
      <c r="F100" s="176"/>
      <c r="G100" s="176"/>
      <c r="H100" s="176"/>
      <c r="I100" s="176"/>
      <c r="J100" s="177"/>
      <c r="K100" s="176"/>
      <c r="L100" s="177"/>
      <c r="M100" s="176"/>
      <c r="N100" s="176"/>
      <c r="O100" s="176"/>
      <c r="P100" s="176"/>
      <c r="Q100" s="177"/>
      <c r="R100" s="176"/>
      <c r="S100" s="177"/>
      <c r="T100" s="177"/>
      <c r="U100" s="176"/>
      <c r="V100" s="176"/>
      <c r="W100" s="176"/>
      <c r="X100" s="177"/>
      <c r="Y100" s="176"/>
      <c r="Z100" s="178"/>
      <c r="AA100" s="176"/>
      <c r="AB100" s="176"/>
      <c r="AC100" s="176"/>
      <c r="AD100" s="176"/>
      <c r="AE100" s="177"/>
      <c r="AF100" s="168" t="str">
        <f aca="false">A100</f>
        <v/>
      </c>
      <c r="AG100" s="197"/>
      <c r="AH100" s="207" t="n">
        <f aca="false">SUM(B100:AE100)</f>
        <v>0</v>
      </c>
      <c r="AI100" s="33"/>
      <c r="AJ100" s="192"/>
      <c r="AK100" s="216" t="n">
        <f aca="false">IF(EB.Anwendung&lt;&gt;"",IF(MONTH(Monat.Tag1)=1,0,IF(MONTH(Monat.Tag1)=2,January!Monat.P4UeVM,IF(MONTH(Monat.Tag1)=3,February!Monat.P4UeVM,IF(MONTH(Monat.Tag1)=4,March!Monat.P4UeVM,IF(MONTH(Monat.Tag1)=5,Monat.P4UeVM,IF(MONTH(Monat.Tag1)=6,May!Monat.P4UeVM,IF(MONTH(Monat.Tag1)=7,June!Monat.P4UeVM,IF(MONTH(Monat.Tag1)=8,July!Monat.P4UeVM,IF(MONTH(Monat.Tag1)=9,August!Monat.P4UeVM,IF(MONTH(Monat.Tag1)=10,September!Monat.P4UeVM,IF(MONTH(Monat.Tag1)=11,October!Monat.P4UeVM,IF(MONTH(Monat.Tag1)=12,November!Monat.P4UeVM,"")))))))))))),"")</f>
        <v>0</v>
      </c>
      <c r="AL100" s="172"/>
      <c r="AM100" s="217" t="n">
        <f aca="false">AH100+AK100</f>
        <v>0</v>
      </c>
      <c r="AN100" s="171"/>
      <c r="AO100" s="171"/>
      <c r="AP100" s="39"/>
    </row>
    <row r="101" s="148" customFormat="true" ht="15" hidden="false" customHeight="true" outlineLevel="0" collapsed="false">
      <c r="A101" s="181" t="str">
        <f aca="true">IF(ROW(A101)-ROW(INDEX(Monat.Projekte.Zeilen,1))+1&gt;EB.AnzProjekte,"",OFFSET(EB.Projekte.Knoten,ROW(A101)-ROW(INDEX(Monat.Projekte.Zeilen,1))+1,0,1,1))</f>
        <v/>
      </c>
      <c r="B101" s="176"/>
      <c r="C101" s="176"/>
      <c r="D101" s="176"/>
      <c r="E101" s="177"/>
      <c r="F101" s="176"/>
      <c r="G101" s="176"/>
      <c r="H101" s="176"/>
      <c r="I101" s="176"/>
      <c r="J101" s="177"/>
      <c r="K101" s="176"/>
      <c r="L101" s="177"/>
      <c r="M101" s="176"/>
      <c r="N101" s="176"/>
      <c r="O101" s="176"/>
      <c r="P101" s="176"/>
      <c r="Q101" s="177"/>
      <c r="R101" s="176"/>
      <c r="S101" s="177"/>
      <c r="T101" s="177"/>
      <c r="U101" s="176"/>
      <c r="V101" s="176"/>
      <c r="W101" s="176"/>
      <c r="X101" s="177"/>
      <c r="Y101" s="176"/>
      <c r="Z101" s="178"/>
      <c r="AA101" s="176"/>
      <c r="AB101" s="176"/>
      <c r="AC101" s="176"/>
      <c r="AD101" s="176"/>
      <c r="AE101" s="177"/>
      <c r="AF101" s="168" t="str">
        <f aca="false">A101</f>
        <v/>
      </c>
      <c r="AG101" s="184"/>
      <c r="AH101" s="207" t="n">
        <f aca="false">SUM(B101:AE101)</f>
        <v>0</v>
      </c>
      <c r="AI101" s="33"/>
      <c r="AJ101" s="192"/>
      <c r="AK101" s="216" t="n">
        <f aca="false">IF(EB.Anwendung&lt;&gt;"",IF(MONTH(Monat.Tag1)=1,0,IF(MONTH(Monat.Tag1)=2,January!Monat.P5UeVM,IF(MONTH(Monat.Tag1)=3,February!Monat.P5UeVM,IF(MONTH(Monat.Tag1)=4,March!Monat.P5UeVM,IF(MONTH(Monat.Tag1)=5,Monat.P5UeVM,IF(MONTH(Monat.Tag1)=6,May!Monat.P5UeVM,IF(MONTH(Monat.Tag1)=7,June!Monat.P5UeVM,IF(MONTH(Monat.Tag1)=8,July!Monat.P5UeVM,IF(MONTH(Monat.Tag1)=9,August!Monat.P5UeVM,IF(MONTH(Monat.Tag1)=10,September!Monat.P5UeVM,IF(MONTH(Monat.Tag1)=11,October!Monat.P5UeVM,IF(MONTH(Monat.Tag1)=12,November!Monat.P5UeVM,"")))))))))))),"")</f>
        <v>0</v>
      </c>
      <c r="AL101" s="172"/>
      <c r="AM101" s="217" t="n">
        <f aca="false">AH101+AK101</f>
        <v>0</v>
      </c>
      <c r="AN101" s="171"/>
      <c r="AO101" s="171"/>
      <c r="AP101" s="39"/>
    </row>
    <row r="102" s="148" customFormat="true" ht="15" hidden="true" customHeight="true" outlineLevel="1" collapsed="false">
      <c r="A102" s="181" t="str">
        <f aca="true">IF(ROW(A102)-ROW(INDEX(Monat.Projekte.Zeilen,1))+1&gt;EB.AnzProjekte,"",OFFSET(EB.Projekte.Knoten,ROW(A102)-ROW(INDEX(Monat.Projekte.Zeilen,1))+1,0,1,1))</f>
        <v/>
      </c>
      <c r="B102" s="176"/>
      <c r="C102" s="176"/>
      <c r="D102" s="176"/>
      <c r="E102" s="177"/>
      <c r="F102" s="176"/>
      <c r="G102" s="176"/>
      <c r="H102" s="176"/>
      <c r="I102" s="176"/>
      <c r="J102" s="177"/>
      <c r="K102" s="176"/>
      <c r="L102" s="177"/>
      <c r="M102" s="176"/>
      <c r="N102" s="176"/>
      <c r="O102" s="176"/>
      <c r="P102" s="176"/>
      <c r="Q102" s="177"/>
      <c r="R102" s="176"/>
      <c r="S102" s="177"/>
      <c r="T102" s="177"/>
      <c r="U102" s="176"/>
      <c r="V102" s="176"/>
      <c r="W102" s="176"/>
      <c r="X102" s="177"/>
      <c r="Y102" s="176"/>
      <c r="Z102" s="178"/>
      <c r="AA102" s="176"/>
      <c r="AB102" s="176"/>
      <c r="AC102" s="176"/>
      <c r="AD102" s="176"/>
      <c r="AE102" s="177"/>
      <c r="AF102" s="168" t="str">
        <f aca="false">A102</f>
        <v/>
      </c>
      <c r="AG102" s="263"/>
      <c r="AH102" s="207" t="n">
        <f aca="false">SUM(B102:AE102)</f>
        <v>0</v>
      </c>
      <c r="AI102" s="33"/>
      <c r="AJ102" s="192"/>
      <c r="AK102" s="216" t="n">
        <f aca="false">IF(EB.Anwendung&lt;&gt;"",IF(MONTH(Monat.Tag1)=1,0,IF(MONTH(Monat.Tag1)=2,January!Monat.P6UeVM,IF(MONTH(Monat.Tag1)=3,February!Monat.P6UeVM,IF(MONTH(Monat.Tag1)=4,March!Monat.P6UeVM,IF(MONTH(Monat.Tag1)=5,Monat.P6UeVM,IF(MONTH(Monat.Tag1)=6,May!Monat.P6UeVM,IF(MONTH(Monat.Tag1)=7,June!Monat.P6UeVM,IF(MONTH(Monat.Tag1)=8,July!Monat.P6UeVM,IF(MONTH(Monat.Tag1)=9,August!Monat.P6UeVM,IF(MONTH(Monat.Tag1)=10,September!Monat.P6UeVM,IF(MONTH(Monat.Tag1)=11,October!Monat.P6UeVM,IF(MONTH(Monat.Tag1)=12,November!Monat.P6UeVM,"")))))))))))),"")</f>
        <v>0</v>
      </c>
      <c r="AL102" s="172"/>
      <c r="AM102" s="217" t="n">
        <f aca="false">AH102+AK102</f>
        <v>0</v>
      </c>
      <c r="AN102" s="171"/>
      <c r="AO102" s="171"/>
      <c r="AP102" s="39"/>
    </row>
    <row r="103" s="148" customFormat="true" ht="15" hidden="true" customHeight="true" outlineLevel="1" collapsed="false">
      <c r="A103" s="181" t="str">
        <f aca="true">IF(ROW(A103)-ROW(INDEX(Monat.Projekte.Zeilen,1))+1&gt;EB.AnzProjekte,"",OFFSET(EB.Projekte.Knoten,ROW(A103)-ROW(INDEX(Monat.Projekte.Zeilen,1))+1,0,1,1))</f>
        <v/>
      </c>
      <c r="B103" s="176"/>
      <c r="C103" s="176"/>
      <c r="D103" s="176"/>
      <c r="E103" s="177"/>
      <c r="F103" s="176"/>
      <c r="G103" s="176"/>
      <c r="H103" s="176"/>
      <c r="I103" s="176"/>
      <c r="J103" s="177"/>
      <c r="K103" s="176"/>
      <c r="L103" s="177"/>
      <c r="M103" s="176"/>
      <c r="N103" s="176"/>
      <c r="O103" s="176"/>
      <c r="P103" s="176"/>
      <c r="Q103" s="177"/>
      <c r="R103" s="176"/>
      <c r="S103" s="177"/>
      <c r="T103" s="177"/>
      <c r="U103" s="176"/>
      <c r="V103" s="176"/>
      <c r="W103" s="176"/>
      <c r="X103" s="177"/>
      <c r="Y103" s="176"/>
      <c r="Z103" s="178"/>
      <c r="AA103" s="176"/>
      <c r="AB103" s="176"/>
      <c r="AC103" s="176"/>
      <c r="AD103" s="176"/>
      <c r="AE103" s="177"/>
      <c r="AF103" s="168" t="str">
        <f aca="false">A103</f>
        <v/>
      </c>
      <c r="AG103" s="197"/>
      <c r="AH103" s="207" t="n">
        <f aca="false">SUM(B103:AE103)</f>
        <v>0</v>
      </c>
      <c r="AI103" s="33"/>
      <c r="AJ103" s="192"/>
      <c r="AK103" s="216" t="n">
        <f aca="false">IF(EB.Anwendung&lt;&gt;"",IF(MONTH(Monat.Tag1)=1,0,IF(MONTH(Monat.Tag1)=2,January!Monat.P7UeVM,IF(MONTH(Monat.Tag1)=3,February!Monat.P7UeVM,IF(MONTH(Monat.Tag1)=4,March!Monat.P7UeVM,IF(MONTH(Monat.Tag1)=5,Monat.P7UeVM,IF(MONTH(Monat.Tag1)=6,May!Monat.P7UeVM,IF(MONTH(Monat.Tag1)=7,June!Monat.P7UeVM,IF(MONTH(Monat.Tag1)=8,July!Monat.P7UeVM,IF(MONTH(Monat.Tag1)=9,August!Monat.P7UeVM,IF(MONTH(Monat.Tag1)=10,September!Monat.P7UeVM,IF(MONTH(Monat.Tag1)=11,October!Monat.P7UeVM,IF(MONTH(Monat.Tag1)=12,November!Monat.P7UeVM,"")))))))))))),"")</f>
        <v>0</v>
      </c>
      <c r="AL103" s="172"/>
      <c r="AM103" s="217" t="n">
        <f aca="false">AH103+AK103</f>
        <v>0</v>
      </c>
      <c r="AN103" s="171"/>
      <c r="AO103" s="171"/>
      <c r="AP103" s="39"/>
    </row>
    <row r="104" s="148" customFormat="true" ht="15" hidden="true" customHeight="true" outlineLevel="1" collapsed="false">
      <c r="A104" s="181" t="str">
        <f aca="true">IF(ROW(A104)-ROW(INDEX(Monat.Projekte.Zeilen,1))+1&gt;EB.AnzProjekte,"",OFFSET(EB.Projekte.Knoten,ROW(A104)-ROW(INDEX(Monat.Projekte.Zeilen,1))+1,0,1,1))</f>
        <v/>
      </c>
      <c r="B104" s="176"/>
      <c r="C104" s="176"/>
      <c r="D104" s="176"/>
      <c r="E104" s="177"/>
      <c r="F104" s="176"/>
      <c r="G104" s="176"/>
      <c r="H104" s="176"/>
      <c r="I104" s="176"/>
      <c r="J104" s="177"/>
      <c r="K104" s="176"/>
      <c r="L104" s="177"/>
      <c r="M104" s="176"/>
      <c r="N104" s="176"/>
      <c r="O104" s="176"/>
      <c r="P104" s="176"/>
      <c r="Q104" s="177"/>
      <c r="R104" s="176"/>
      <c r="S104" s="177"/>
      <c r="T104" s="177"/>
      <c r="U104" s="176"/>
      <c r="V104" s="176"/>
      <c r="W104" s="176"/>
      <c r="X104" s="177"/>
      <c r="Y104" s="176"/>
      <c r="Z104" s="178"/>
      <c r="AA104" s="176"/>
      <c r="AB104" s="176"/>
      <c r="AC104" s="176"/>
      <c r="AD104" s="176"/>
      <c r="AE104" s="177"/>
      <c r="AF104" s="168" t="str">
        <f aca="false">A104</f>
        <v/>
      </c>
      <c r="AG104" s="202"/>
      <c r="AH104" s="207" t="n">
        <f aca="false">SUM(B104:AE104)</f>
        <v>0</v>
      </c>
      <c r="AI104" s="33"/>
      <c r="AJ104" s="192"/>
      <c r="AK104" s="216" t="n">
        <f aca="false">IF(EB.Anwendung&lt;&gt;"",IF(MONTH(Monat.Tag1)=1,0,IF(MONTH(Monat.Tag1)=2,January!Monat.P8UeVM,IF(MONTH(Monat.Tag1)=3,February!Monat.P8UeVM,IF(MONTH(Monat.Tag1)=4,March!Monat.P8UeVM,IF(MONTH(Monat.Tag1)=5,Monat.P8UeVM,IF(MONTH(Monat.Tag1)=6,May!Monat.P8UeVM,IF(MONTH(Monat.Tag1)=7,June!Monat.P8UeVM,IF(MONTH(Monat.Tag1)=8,July!Monat.P8UeVM,IF(MONTH(Monat.Tag1)=9,August!Monat.P8UeVM,IF(MONTH(Monat.Tag1)=10,September!Monat.P8UeVM,IF(MONTH(Monat.Tag1)=11,October!Monat.P8UeVM,IF(MONTH(Monat.Tag1)=12,November!Monat.P8UeVM,"")))))))))))),"")</f>
        <v>0</v>
      </c>
      <c r="AL104" s="172"/>
      <c r="AM104" s="217" t="n">
        <f aca="false">AH104+AK104</f>
        <v>0</v>
      </c>
      <c r="AN104" s="171"/>
      <c r="AO104" s="171"/>
      <c r="AP104" s="39"/>
    </row>
    <row r="105" s="148" customFormat="true" ht="15" hidden="true" customHeight="true" outlineLevel="1" collapsed="false">
      <c r="A105" s="181" t="str">
        <f aca="true">IF(ROW(A105)-ROW(INDEX(Monat.Projekte.Zeilen,1))+1&gt;EB.AnzProjekte,"",OFFSET(EB.Projekte.Knoten,ROW(A105)-ROW(INDEX(Monat.Projekte.Zeilen,1))+1,0,1,1))</f>
        <v/>
      </c>
      <c r="B105" s="176"/>
      <c r="C105" s="176"/>
      <c r="D105" s="176"/>
      <c r="E105" s="177"/>
      <c r="F105" s="176"/>
      <c r="G105" s="176"/>
      <c r="H105" s="176"/>
      <c r="I105" s="176"/>
      <c r="J105" s="177"/>
      <c r="K105" s="176"/>
      <c r="L105" s="177"/>
      <c r="M105" s="176"/>
      <c r="N105" s="176"/>
      <c r="O105" s="176"/>
      <c r="P105" s="176"/>
      <c r="Q105" s="177"/>
      <c r="R105" s="176"/>
      <c r="S105" s="177"/>
      <c r="T105" s="177"/>
      <c r="U105" s="176"/>
      <c r="V105" s="176"/>
      <c r="W105" s="176"/>
      <c r="X105" s="177"/>
      <c r="Y105" s="176"/>
      <c r="Z105" s="178"/>
      <c r="AA105" s="176"/>
      <c r="AB105" s="176"/>
      <c r="AC105" s="176"/>
      <c r="AD105" s="176"/>
      <c r="AE105" s="177"/>
      <c r="AF105" s="168" t="str">
        <f aca="false">A105</f>
        <v/>
      </c>
      <c r="AG105" s="184"/>
      <c r="AH105" s="207" t="n">
        <f aca="false">SUM(B105:AE105)</f>
        <v>0</v>
      </c>
      <c r="AI105" s="33"/>
      <c r="AJ105" s="192"/>
      <c r="AK105" s="216" t="n">
        <f aca="false">IF(EB.Anwendung&lt;&gt;"",IF(MONTH(Monat.Tag1)=1,0,IF(MONTH(Monat.Tag1)=2,January!Monat.P9UeVM,IF(MONTH(Monat.Tag1)=3,February!Monat.P9UeVM,IF(MONTH(Monat.Tag1)=4,March!Monat.P9UeVM,IF(MONTH(Monat.Tag1)=5,Monat.P9UeVM,IF(MONTH(Monat.Tag1)=6,May!Monat.P9UeVM,IF(MONTH(Monat.Tag1)=7,June!Monat.P9UeVM,IF(MONTH(Monat.Tag1)=8,July!Monat.P9UeVM,IF(MONTH(Monat.Tag1)=9,August!Monat.P9UeVM,IF(MONTH(Monat.Tag1)=10,September!Monat.P9UeVM,IF(MONTH(Monat.Tag1)=11,October!Monat.P9UeVM,IF(MONTH(Monat.Tag1)=12,November!Monat.P9UeVM,"")))))))))))),"")</f>
        <v>0</v>
      </c>
      <c r="AL105" s="172"/>
      <c r="AM105" s="217" t="n">
        <f aca="false">AH105+AK105</f>
        <v>0</v>
      </c>
      <c r="AN105" s="171"/>
      <c r="AO105" s="171"/>
      <c r="AP105" s="39"/>
    </row>
    <row r="106" s="148" customFormat="true" ht="15" hidden="true" customHeight="true" outlineLevel="1" collapsed="false">
      <c r="A106" s="181" t="str">
        <f aca="true">IF(ROW(A106)-ROW(INDEX(Monat.Projekte.Zeilen,1))+1&gt;EB.AnzProjekte,"",OFFSET(EB.Projekte.Knoten,ROW(A106)-ROW(INDEX(Monat.Projekte.Zeilen,1))+1,0,1,1))</f>
        <v/>
      </c>
      <c r="B106" s="176"/>
      <c r="C106" s="176"/>
      <c r="D106" s="176"/>
      <c r="E106" s="177"/>
      <c r="F106" s="176"/>
      <c r="G106" s="176"/>
      <c r="H106" s="176"/>
      <c r="I106" s="176"/>
      <c r="J106" s="177"/>
      <c r="K106" s="176"/>
      <c r="L106" s="177"/>
      <c r="M106" s="176"/>
      <c r="N106" s="176"/>
      <c r="O106" s="176"/>
      <c r="P106" s="176"/>
      <c r="Q106" s="177"/>
      <c r="R106" s="176"/>
      <c r="S106" s="177"/>
      <c r="T106" s="177"/>
      <c r="U106" s="176"/>
      <c r="V106" s="176"/>
      <c r="W106" s="176"/>
      <c r="X106" s="177"/>
      <c r="Y106" s="176"/>
      <c r="Z106" s="178"/>
      <c r="AA106" s="176"/>
      <c r="AB106" s="176"/>
      <c r="AC106" s="176"/>
      <c r="AD106" s="176"/>
      <c r="AE106" s="177"/>
      <c r="AF106" s="168" t="str">
        <f aca="false">A106</f>
        <v/>
      </c>
      <c r="AG106" s="184"/>
      <c r="AH106" s="207" t="n">
        <f aca="false">SUM(B106:AE106)</f>
        <v>0</v>
      </c>
      <c r="AI106" s="33"/>
      <c r="AJ106" s="192"/>
      <c r="AK106" s="216" t="n">
        <f aca="false">IF(EB.Anwendung&lt;&gt;"",IF(MONTH(Monat.Tag1)=1,0,IF(MONTH(Monat.Tag1)=2,January!Monat.P10UeVM,IF(MONTH(Monat.Tag1)=3,February!Monat.P10UeVM,IF(MONTH(Monat.Tag1)=4,March!Monat.P10UeVM,IF(MONTH(Monat.Tag1)=5,Monat.P10UeVM,IF(MONTH(Monat.Tag1)=6,May!Monat.P10UeVM,IF(MONTH(Monat.Tag1)=7,June!Monat.P10UeVM,IF(MONTH(Monat.Tag1)=8,July!Monat.P10UeVM,IF(MONTH(Monat.Tag1)=9,August!Monat.P10UeVM,IF(MONTH(Monat.Tag1)=10,September!Monat.P10UeVM,IF(MONTH(Monat.Tag1)=11,October!Monat.P10UeVM,IF(MONTH(Monat.Tag1)=12,November!Monat.P10UeVM,"")))))))))))),"")</f>
        <v>0</v>
      </c>
      <c r="AL106" s="172"/>
      <c r="AM106" s="217" t="n">
        <f aca="false">AH106+AK106</f>
        <v>0</v>
      </c>
      <c r="AN106" s="171"/>
      <c r="AO106" s="171"/>
      <c r="AP106" s="39"/>
    </row>
    <row r="107" s="148" customFormat="true" ht="15" hidden="true" customHeight="true" outlineLevel="1" collapsed="false">
      <c r="A107" s="181" t="str">
        <f aca="true">IF(ROW(A107)-ROW(INDEX(Monat.Projekte.Zeilen,1))+1&gt;EB.AnzProjekte,"",OFFSET(EB.Projekte.Knoten,ROW(A107)-ROW(INDEX(Monat.Projekte.Zeilen,1))+1,0,1,1))</f>
        <v/>
      </c>
      <c r="B107" s="176"/>
      <c r="C107" s="176"/>
      <c r="D107" s="176"/>
      <c r="E107" s="177"/>
      <c r="F107" s="176"/>
      <c r="G107" s="176"/>
      <c r="H107" s="176"/>
      <c r="I107" s="176"/>
      <c r="J107" s="177"/>
      <c r="K107" s="176"/>
      <c r="L107" s="177"/>
      <c r="M107" s="176"/>
      <c r="N107" s="176"/>
      <c r="O107" s="176"/>
      <c r="P107" s="176"/>
      <c r="Q107" s="177"/>
      <c r="R107" s="176"/>
      <c r="S107" s="177"/>
      <c r="T107" s="177"/>
      <c r="U107" s="176"/>
      <c r="V107" s="176"/>
      <c r="W107" s="176"/>
      <c r="X107" s="177"/>
      <c r="Y107" s="176"/>
      <c r="Z107" s="178"/>
      <c r="AA107" s="176"/>
      <c r="AB107" s="176"/>
      <c r="AC107" s="176"/>
      <c r="AD107" s="176"/>
      <c r="AE107" s="177"/>
      <c r="AF107" s="168" t="str">
        <f aca="false">A107</f>
        <v/>
      </c>
      <c r="AG107" s="202"/>
      <c r="AH107" s="207" t="n">
        <f aca="false">SUM(B107:AE107)</f>
        <v>0</v>
      </c>
      <c r="AI107" s="33"/>
      <c r="AJ107" s="192"/>
      <c r="AK107" s="216" t="n">
        <f aca="false">IF(EB.Anwendung&lt;&gt;"",IF(MONTH(Monat.Tag1)=1,0,IF(MONTH(Monat.Tag1)=2,January!Monat.P11UeVM,IF(MONTH(Monat.Tag1)=3,February!Monat.P11UeVM,IF(MONTH(Monat.Tag1)=4,March!Monat.P11UeVM,IF(MONTH(Monat.Tag1)=5,Monat.P11UeVM,IF(MONTH(Monat.Tag1)=6,May!Monat.P11UeVM,IF(MONTH(Monat.Tag1)=7,June!Monat.P11UeVM,IF(MONTH(Monat.Tag1)=8,July!Monat.P11UeVM,IF(MONTH(Monat.Tag1)=9,August!Monat.P11UeVM,IF(MONTH(Monat.Tag1)=10,September!Monat.P11UeVM,IF(MONTH(Monat.Tag1)=11,October!Monat.P11UeVM,IF(MONTH(Monat.Tag1)=12,November!Monat.P11UeVM,"")))))))))))),"")</f>
        <v>0</v>
      </c>
      <c r="AL107" s="172"/>
      <c r="AM107" s="217" t="n">
        <f aca="false">AH107+AK107</f>
        <v>0</v>
      </c>
      <c r="AN107" s="264"/>
      <c r="AO107" s="264"/>
      <c r="AP107" s="39"/>
    </row>
    <row r="108" s="266" customFormat="true" ht="15" hidden="true" customHeight="true" outlineLevel="1" collapsed="false">
      <c r="A108" s="181" t="str">
        <f aca="true">IF(ROW(A108)-ROW(INDEX(Monat.Projekte.Zeilen,1))+1&gt;EB.AnzProjekte,"",OFFSET(EB.Projekte.Knoten,ROW(A108)-ROW(INDEX(Monat.Projekte.Zeilen,1))+1,0,1,1))</f>
        <v/>
      </c>
      <c r="B108" s="176"/>
      <c r="C108" s="176"/>
      <c r="D108" s="176"/>
      <c r="E108" s="177"/>
      <c r="F108" s="176"/>
      <c r="G108" s="176"/>
      <c r="H108" s="176"/>
      <c r="I108" s="176"/>
      <c r="J108" s="177"/>
      <c r="K108" s="176"/>
      <c r="L108" s="177"/>
      <c r="M108" s="176"/>
      <c r="N108" s="176"/>
      <c r="O108" s="176"/>
      <c r="P108" s="176"/>
      <c r="Q108" s="177"/>
      <c r="R108" s="176"/>
      <c r="S108" s="177"/>
      <c r="T108" s="177"/>
      <c r="U108" s="176"/>
      <c r="V108" s="176"/>
      <c r="W108" s="176"/>
      <c r="X108" s="177"/>
      <c r="Y108" s="176"/>
      <c r="Z108" s="178"/>
      <c r="AA108" s="176"/>
      <c r="AB108" s="176"/>
      <c r="AC108" s="176"/>
      <c r="AD108" s="176"/>
      <c r="AE108" s="177"/>
      <c r="AF108" s="168" t="str">
        <f aca="false">A108</f>
        <v/>
      </c>
      <c r="AG108" s="202"/>
      <c r="AH108" s="207" t="n">
        <f aca="false">SUM(B108:AE108)</f>
        <v>0</v>
      </c>
      <c r="AI108" s="33"/>
      <c r="AJ108" s="192"/>
      <c r="AK108" s="216" t="n">
        <f aca="false">IF(EB.Anwendung&lt;&gt;"",IF(MONTH(Monat.Tag1)=1,0,IF(MONTH(Monat.Tag1)=2,January!Monat.P12UeVM,IF(MONTH(Monat.Tag1)=3,February!Monat.P12UeVM,IF(MONTH(Monat.Tag1)=4,March!Monat.P12UeVM,IF(MONTH(Monat.Tag1)=5,Monat.P12UeVM,IF(MONTH(Monat.Tag1)=6,May!Monat.P12UeVM,IF(MONTH(Monat.Tag1)=7,June!Monat.P12UeVM,IF(MONTH(Monat.Tag1)=8,July!Monat.P12UeVM,IF(MONTH(Monat.Tag1)=9,August!Monat.P12UeVM,IF(MONTH(Monat.Tag1)=10,September!Monat.P12UeVM,IF(MONTH(Monat.Tag1)=11,October!Monat.P12UeVM,IF(MONTH(Monat.Tag1)=12,November!Monat.P12UeVM,"")))))))))))),"")</f>
        <v>0</v>
      </c>
      <c r="AL108" s="172"/>
      <c r="AM108" s="217" t="n">
        <f aca="false">AH108+AK108</f>
        <v>0</v>
      </c>
      <c r="AN108" s="264"/>
      <c r="AO108" s="264"/>
      <c r="AP108" s="265"/>
    </row>
    <row r="109" s="266" customFormat="true" ht="15" hidden="true" customHeight="true" outlineLevel="1" collapsed="false">
      <c r="A109" s="181" t="str">
        <f aca="true">IF(ROW(A109)-ROW(INDEX(Monat.Projekte.Zeilen,1))+1&gt;EB.AnzProjekte,"",OFFSET(EB.Projekte.Knoten,ROW(A109)-ROW(INDEX(Monat.Projekte.Zeilen,1))+1,0,1,1))</f>
        <v/>
      </c>
      <c r="B109" s="176"/>
      <c r="C109" s="176"/>
      <c r="D109" s="176"/>
      <c r="E109" s="177"/>
      <c r="F109" s="176"/>
      <c r="G109" s="176"/>
      <c r="H109" s="176"/>
      <c r="I109" s="176"/>
      <c r="J109" s="177"/>
      <c r="K109" s="176"/>
      <c r="L109" s="177"/>
      <c r="M109" s="176"/>
      <c r="N109" s="176"/>
      <c r="O109" s="176"/>
      <c r="P109" s="176"/>
      <c r="Q109" s="177"/>
      <c r="R109" s="176"/>
      <c r="S109" s="177"/>
      <c r="T109" s="177"/>
      <c r="U109" s="176"/>
      <c r="V109" s="176"/>
      <c r="W109" s="176"/>
      <c r="X109" s="177"/>
      <c r="Y109" s="176"/>
      <c r="Z109" s="178"/>
      <c r="AA109" s="176"/>
      <c r="AB109" s="176"/>
      <c r="AC109" s="176"/>
      <c r="AD109" s="176"/>
      <c r="AE109" s="177"/>
      <c r="AF109" s="168" t="str">
        <f aca="false">A109</f>
        <v/>
      </c>
      <c r="AG109" s="184"/>
      <c r="AH109" s="207" t="n">
        <f aca="false">SUM(B109:AE109)</f>
        <v>0</v>
      </c>
      <c r="AI109" s="33"/>
      <c r="AJ109" s="192"/>
      <c r="AK109" s="216" t="n">
        <f aca="false">IF(EB.Anwendung&lt;&gt;"",IF(MONTH(Monat.Tag1)=1,0,IF(MONTH(Monat.Tag1)=2,January!Monat.P13UeVM,IF(MONTH(Monat.Tag1)=3,February!Monat.P13UeVM,IF(MONTH(Monat.Tag1)=4,March!Monat.P13UeVM,IF(MONTH(Monat.Tag1)=5,Monat.P13UeVM,IF(MONTH(Monat.Tag1)=6,May!Monat.P13UeVM,IF(MONTH(Monat.Tag1)=7,June!Monat.P13UeVM,IF(MONTH(Monat.Tag1)=8,July!Monat.P13UeVM,IF(MONTH(Monat.Tag1)=9,August!Monat.P13UeVM,IF(MONTH(Monat.Tag1)=10,September!Monat.P13UeVM,IF(MONTH(Monat.Tag1)=11,October!Monat.P13UeVM,IF(MONTH(Monat.Tag1)=12,November!Monat.P13UeVM,"")))))))))))),"")</f>
        <v>0</v>
      </c>
      <c r="AL109" s="172"/>
      <c r="AM109" s="217" t="n">
        <f aca="false">AH109+AK109</f>
        <v>0</v>
      </c>
      <c r="AN109" s="264"/>
      <c r="AO109" s="264"/>
      <c r="AP109" s="265"/>
    </row>
    <row r="110" customFormat="false" ht="15" hidden="true" customHeight="true" outlineLevel="1" collapsed="false">
      <c r="A110" s="181" t="str">
        <f aca="true">IF(ROW(A110)-ROW(INDEX(Monat.Projekte.Zeilen,1))+1&gt;EB.AnzProjekte,"",OFFSET(EB.Projekte.Knoten,ROW(A110)-ROW(INDEX(Monat.Projekte.Zeilen,1))+1,0,1,1))</f>
        <v/>
      </c>
      <c r="B110" s="176"/>
      <c r="C110" s="176"/>
      <c r="D110" s="176"/>
      <c r="E110" s="177"/>
      <c r="F110" s="176"/>
      <c r="G110" s="176"/>
      <c r="H110" s="176"/>
      <c r="I110" s="176"/>
      <c r="J110" s="177"/>
      <c r="K110" s="176"/>
      <c r="L110" s="177"/>
      <c r="M110" s="176"/>
      <c r="N110" s="176"/>
      <c r="O110" s="176"/>
      <c r="P110" s="176"/>
      <c r="Q110" s="177"/>
      <c r="R110" s="176"/>
      <c r="S110" s="177"/>
      <c r="T110" s="177"/>
      <c r="U110" s="176"/>
      <c r="V110" s="176"/>
      <c r="W110" s="176"/>
      <c r="X110" s="177"/>
      <c r="Y110" s="176"/>
      <c r="Z110" s="178"/>
      <c r="AA110" s="176"/>
      <c r="AB110" s="176"/>
      <c r="AC110" s="176"/>
      <c r="AD110" s="176"/>
      <c r="AE110" s="177"/>
      <c r="AF110" s="168" t="str">
        <f aca="false">A110</f>
        <v/>
      </c>
      <c r="AG110" s="184"/>
      <c r="AH110" s="207" t="n">
        <f aca="false">SUM(B110:AE110)</f>
        <v>0</v>
      </c>
      <c r="AI110" s="33"/>
      <c r="AJ110" s="192"/>
      <c r="AK110" s="216" t="n">
        <f aca="false">IF(EB.Anwendung&lt;&gt;"",IF(MONTH(Monat.Tag1)=1,0,IF(MONTH(Monat.Tag1)=2,January!Monat.P14UeVM,IF(MONTH(Monat.Tag1)=3,February!Monat.P14UeVM,IF(MONTH(Monat.Tag1)=4,March!Monat.P14UeVM,IF(MONTH(Monat.Tag1)=5,Monat.P14UeVM,IF(MONTH(Monat.Tag1)=6,May!Monat.P14UeVM,IF(MONTH(Monat.Tag1)=7,June!Monat.P14UeVM,IF(MONTH(Monat.Tag1)=8,July!Monat.P14UeVM,IF(MONTH(Monat.Tag1)=9,August!Monat.P14UeVM,IF(MONTH(Monat.Tag1)=10,September!Monat.P14UeVM,IF(MONTH(Monat.Tag1)=11,October!Monat.P14UeVM,IF(MONTH(Monat.Tag1)=12,November!Monat.P14UeVM,"")))))))))))),"")</f>
        <v>0</v>
      </c>
      <c r="AL110" s="172"/>
      <c r="AM110" s="217" t="n">
        <f aca="false">AH110+AK110</f>
        <v>0</v>
      </c>
      <c r="AN110" s="264"/>
      <c r="AO110" s="264"/>
      <c r="AP110" s="43"/>
    </row>
    <row r="111" customFormat="false" ht="15" hidden="true" customHeight="true" outlineLevel="1" collapsed="false">
      <c r="A111" s="181" t="str">
        <f aca="true">IF(ROW(A111)-ROW(INDEX(Monat.Projekte.Zeilen,1))+1&gt;EB.AnzProjekte,"",OFFSET(EB.Projekte.Knoten,ROW(A111)-ROW(INDEX(Monat.Projekte.Zeilen,1))+1,0,1,1))</f>
        <v/>
      </c>
      <c r="B111" s="176"/>
      <c r="C111" s="176"/>
      <c r="D111" s="176"/>
      <c r="E111" s="176"/>
      <c r="F111" s="176"/>
      <c r="G111" s="176"/>
      <c r="H111" s="176"/>
      <c r="I111" s="176"/>
      <c r="J111" s="176"/>
      <c r="K111" s="176"/>
      <c r="L111" s="176"/>
      <c r="M111" s="176"/>
      <c r="N111" s="176"/>
      <c r="O111" s="176"/>
      <c r="P111" s="176"/>
      <c r="Q111" s="176"/>
      <c r="R111" s="176"/>
      <c r="S111" s="176"/>
      <c r="T111" s="176"/>
      <c r="U111" s="176"/>
      <c r="V111" s="176"/>
      <c r="W111" s="176"/>
      <c r="X111" s="176"/>
      <c r="Y111" s="176"/>
      <c r="Z111" s="190"/>
      <c r="AA111" s="176"/>
      <c r="AB111" s="176"/>
      <c r="AC111" s="176"/>
      <c r="AD111" s="176"/>
      <c r="AE111" s="176"/>
      <c r="AF111" s="168" t="str">
        <f aca="false">A111</f>
        <v/>
      </c>
      <c r="AG111" s="184"/>
      <c r="AH111" s="207" t="n">
        <f aca="false">SUM(B111:AE111)</f>
        <v>0</v>
      </c>
      <c r="AI111" s="33"/>
      <c r="AJ111" s="192"/>
      <c r="AK111" s="216" t="n">
        <f aca="false">IF(EB.Anwendung&lt;&gt;"",IF(MONTH(Monat.Tag1)=1,0,IF(MONTH(Monat.Tag1)=2,January!Monat.P15UeVM,IF(MONTH(Monat.Tag1)=3,February!Monat.P15UeVM,IF(MONTH(Monat.Tag1)=4,March!Monat.P15UeVM,IF(MONTH(Monat.Tag1)=5,Monat.P15UeVM,IF(MONTH(Monat.Tag1)=6,May!Monat.P15UeVM,IF(MONTH(Monat.Tag1)=7,June!Monat.P15UeVM,IF(MONTH(Monat.Tag1)=8,July!Monat.P15UeVM,IF(MONTH(Monat.Tag1)=9,August!Monat.P15UeVM,IF(MONTH(Monat.Tag1)=10,September!Monat.P15UeVM,IF(MONTH(Monat.Tag1)=11,October!Monat.P15UeVM,IF(MONTH(Monat.Tag1)=12,November!Monat.P15UeVM,"")))))))))))),"")</f>
        <v>0</v>
      </c>
      <c r="AL111" s="172"/>
      <c r="AM111" s="217" t="n">
        <f aca="false">AH111+AK111</f>
        <v>0</v>
      </c>
      <c r="AN111" s="264"/>
      <c r="AO111" s="264"/>
      <c r="AP111" s="43"/>
    </row>
    <row r="112" customFormat="false" ht="15" hidden="false" customHeight="true" outlineLevel="0" collapsed="false">
      <c r="A112" s="181" t="s">
        <v>177</v>
      </c>
      <c r="B112" s="205" t="n">
        <f aca="false">SUM(B97:B111)</f>
        <v>0</v>
      </c>
      <c r="C112" s="205" t="n">
        <f aca="false">SUM(C97:C111)</f>
        <v>0</v>
      </c>
      <c r="D112" s="205" t="n">
        <f aca="false">SUM(D97:D111)</f>
        <v>0</v>
      </c>
      <c r="E112" s="205" t="n">
        <f aca="false">SUM(E97:E111)</f>
        <v>0</v>
      </c>
      <c r="F112" s="205" t="n">
        <f aca="false">SUM(F97:F111)</f>
        <v>0</v>
      </c>
      <c r="G112" s="205" t="n">
        <f aca="false">SUM(G97:G111)</f>
        <v>0</v>
      </c>
      <c r="H112" s="205" t="n">
        <f aca="false">SUM(H97:H111)</f>
        <v>0</v>
      </c>
      <c r="I112" s="205" t="n">
        <f aca="false">SUM(I97:I111)</f>
        <v>0</v>
      </c>
      <c r="J112" s="205" t="n">
        <f aca="false">SUM(J97:J111)</f>
        <v>0</v>
      </c>
      <c r="K112" s="205" t="n">
        <f aca="false">SUM(K97:K111)</f>
        <v>0</v>
      </c>
      <c r="L112" s="205" t="n">
        <f aca="false">SUM(L97:L111)</f>
        <v>0</v>
      </c>
      <c r="M112" s="205" t="n">
        <f aca="false">SUM(M97:M111)</f>
        <v>0</v>
      </c>
      <c r="N112" s="205" t="n">
        <f aca="false">SUM(N97:N111)</f>
        <v>0</v>
      </c>
      <c r="O112" s="205" t="n">
        <f aca="false">SUM(O97:O111)</f>
        <v>0</v>
      </c>
      <c r="P112" s="205" t="n">
        <f aca="false">SUM(P97:P111)</f>
        <v>0</v>
      </c>
      <c r="Q112" s="205" t="n">
        <f aca="false">SUM(Q97:Q111)</f>
        <v>0</v>
      </c>
      <c r="R112" s="205" t="n">
        <f aca="false">SUM(R97:R111)</f>
        <v>0</v>
      </c>
      <c r="S112" s="205" t="n">
        <f aca="false">SUM(S97:S111)</f>
        <v>0</v>
      </c>
      <c r="T112" s="205" t="n">
        <f aca="false">SUM(T97:T111)</f>
        <v>0</v>
      </c>
      <c r="U112" s="205" t="n">
        <f aca="false">SUM(U97:U111)</f>
        <v>0</v>
      </c>
      <c r="V112" s="205" t="n">
        <f aca="false">SUM(V97:V111)</f>
        <v>0</v>
      </c>
      <c r="W112" s="205" t="n">
        <f aca="false">SUM(W97:W111)</f>
        <v>0</v>
      </c>
      <c r="X112" s="205" t="n">
        <f aca="false">SUM(X97:X111)</f>
        <v>0</v>
      </c>
      <c r="Y112" s="205" t="n">
        <f aca="false">SUM(Y97:Y111)</f>
        <v>0</v>
      </c>
      <c r="Z112" s="205" t="n">
        <f aca="false">SUM(Z97:Z111)</f>
        <v>0</v>
      </c>
      <c r="AA112" s="205" t="n">
        <f aca="false">SUM(AA97:AA111)</f>
        <v>0</v>
      </c>
      <c r="AB112" s="205" t="n">
        <f aca="false">SUM(AB97:AB111)</f>
        <v>0</v>
      </c>
      <c r="AC112" s="205" t="n">
        <f aca="false">SUM(AC97:AC111)</f>
        <v>0</v>
      </c>
      <c r="AD112" s="205" t="n">
        <f aca="false">SUM(AD97:AD111)</f>
        <v>0</v>
      </c>
      <c r="AE112" s="205" t="n">
        <f aca="false">SUM(AE97:AE111)</f>
        <v>0</v>
      </c>
      <c r="AF112" s="183" t="str">
        <f aca="false">A112</f>
        <v>Hours worked for projects</v>
      </c>
      <c r="AG112" s="184"/>
      <c r="AH112" s="207" t="n">
        <f aca="false">SUM(B112:AE112)</f>
        <v>0</v>
      </c>
      <c r="AI112" s="33"/>
      <c r="AJ112" s="192"/>
      <c r="AK112" s="216" t="n">
        <f aca="false">IF(EB.Anwendung&lt;&gt;"",IF(MONTH(Monat.Tag1)=1,0,IF(MONTH(Monat.Tag1)=2,January!Monat.PTotalUeVM,IF(MONTH(Monat.Tag1)=3,February!Monat.PTotalUeVM,IF(MONTH(Monat.Tag1)=4,March!Monat.PTotalUeVM,IF(MONTH(Monat.Tag1)=5,Monat.PTotalUeVM,IF(MONTH(Monat.Tag1)=6,May!Monat.PTotalUeVM,IF(MONTH(Monat.Tag1)=7,June!Monat.PTotalUeVM,IF(MONTH(Monat.Tag1)=8,July!Monat.PTotalUeVM,IF(MONTH(Monat.Tag1)=9,August!Monat.PTotalUeVM,IF(MONTH(Monat.Tag1)=10,September!Monat.PTotalUeVM,IF(MONTH(Monat.Tag1)=11,October!Monat.PTotalUeVM,IF(MONTH(Monat.Tag1)=12,November!Monat.PTotalUeVM,"")))))))))))),"")</f>
        <v>0</v>
      </c>
      <c r="AL112" s="172"/>
      <c r="AM112" s="217" t="n">
        <f aca="false">AH112+AK112</f>
        <v>0</v>
      </c>
      <c r="AN112" s="267"/>
      <c r="AO112" s="267"/>
      <c r="AP112" s="43"/>
    </row>
    <row r="113" s="148" customFormat="true" ht="11.25" hidden="false" customHeight="true" outlineLevel="0" collapsed="false">
      <c r="A113" s="268"/>
      <c r="B113" s="194"/>
      <c r="C113" s="194"/>
      <c r="D113" s="194"/>
      <c r="E113" s="194"/>
      <c r="F113" s="194"/>
      <c r="G113" s="194"/>
      <c r="H113" s="194"/>
      <c r="I113" s="194"/>
      <c r="J113" s="194"/>
      <c r="K113" s="194"/>
      <c r="L113" s="194"/>
      <c r="M113" s="194"/>
      <c r="N113" s="194"/>
      <c r="O113" s="194"/>
      <c r="P113" s="194"/>
      <c r="Q113" s="194"/>
      <c r="R113" s="194"/>
      <c r="S113" s="194"/>
      <c r="T113" s="194"/>
      <c r="U113" s="194"/>
      <c r="V113" s="194"/>
      <c r="W113" s="194"/>
      <c r="X113" s="194"/>
      <c r="Y113" s="194"/>
      <c r="Z113" s="194"/>
      <c r="AA113" s="194"/>
      <c r="AB113" s="194"/>
      <c r="AC113" s="194"/>
      <c r="AD113" s="194"/>
      <c r="AE113" s="194"/>
      <c r="AF113" s="269"/>
      <c r="AG113" s="263"/>
      <c r="AH113" s="194"/>
      <c r="AI113" s="16"/>
      <c r="AJ113" s="194"/>
      <c r="AK113" s="194"/>
      <c r="AL113" s="194"/>
      <c r="AM113" s="50"/>
      <c r="AN113" s="194"/>
      <c r="AO113" s="194"/>
      <c r="AP113" s="39"/>
    </row>
    <row r="114" s="148" customFormat="true" ht="15" hidden="true" customHeight="true" outlineLevel="1" collapsed="false">
      <c r="A114" s="181" t="s">
        <v>178</v>
      </c>
      <c r="B114" s="213" t="n">
        <f aca="false">ROUND((B23+B45+B91)-SUMPRODUCT((B97:B111)*(EB.Projektart.Bereich=6)),9)</f>
        <v>0</v>
      </c>
      <c r="C114" s="213" t="n">
        <f aca="false">ROUND((C23+C45+C91)-SUMPRODUCT((C97:C111)*(EB.Projektart.Bereich=6)),9)</f>
        <v>0</v>
      </c>
      <c r="D114" s="213" t="n">
        <f aca="false">ROUND((D23+D45+D91)-SUMPRODUCT((D97:D111)*(EB.Projektart.Bereich=6)),9)</f>
        <v>0.333333333</v>
      </c>
      <c r="E114" s="213" t="n">
        <f aca="false">ROUND((E23+E45+E91)-SUMPRODUCT((E97:E111)*(EB.Projektart.Bereich=6)),9)</f>
        <v>0.375</v>
      </c>
      <c r="F114" s="213" t="n">
        <f aca="false">ROUND((F23+F45+F91)-SUMPRODUCT((F97:F111)*(EB.Projektart.Bereich=6)),9)</f>
        <v>0.333333333</v>
      </c>
      <c r="G114" s="213" t="n">
        <f aca="false">ROUND((G23+G45+G91)-SUMPRODUCT((G97:G111)*(EB.Projektart.Bereich=6)),9)</f>
        <v>0.416666667</v>
      </c>
      <c r="H114" s="213" t="n">
        <f aca="false">ROUND((H23+H45+H91)-SUMPRODUCT((H97:H111)*(EB.Projektart.Bereich=6)),9)</f>
        <v>0</v>
      </c>
      <c r="I114" s="213" t="n">
        <f aca="false">ROUND((I23+I45+I91)-SUMPRODUCT((I97:I111)*(EB.Projektart.Bereich=6)),9)</f>
        <v>0</v>
      </c>
      <c r="J114" s="213" t="n">
        <f aca="false">ROUND((J23+J45+J91)-SUMPRODUCT((J97:J111)*(EB.Projektart.Bereich=6)),9)</f>
        <v>0.375</v>
      </c>
      <c r="K114" s="213" t="n">
        <f aca="false">ROUND((K23+K45+K91)-SUMPRODUCT((K97:K111)*(EB.Projektart.Bereich=6)),9)</f>
        <v>0.354166667</v>
      </c>
      <c r="L114" s="213" t="n">
        <f aca="false">ROUND((L23+L45+L91)-SUMPRODUCT((L97:L111)*(EB.Projektart.Bereich=6)),9)</f>
        <v>0.395833333</v>
      </c>
      <c r="M114" s="213" t="n">
        <f aca="false">ROUND((M23+M45+M91)-SUMPRODUCT((M97:M111)*(EB.Projektart.Bereich=6)),9)</f>
        <v>0.375</v>
      </c>
      <c r="N114" s="213" t="n">
        <f aca="false">ROUND((N23+N45+N91)-SUMPRODUCT((N97:N111)*(EB.Projektart.Bereich=6)),9)</f>
        <v>0.375</v>
      </c>
      <c r="O114" s="213" t="n">
        <f aca="false">ROUND((O23+O45+O91)-SUMPRODUCT((O97:O111)*(EB.Projektart.Bereich=6)),9)</f>
        <v>0</v>
      </c>
      <c r="P114" s="213" t="n">
        <f aca="false">ROUND((P23+P45+P91)-SUMPRODUCT((P97:P111)*(EB.Projektart.Bereich=6)),9)</f>
        <v>0</v>
      </c>
      <c r="Q114" s="213" t="n">
        <f aca="false">ROUND((Q23+Q45+Q91)-SUMPRODUCT((Q97:Q111)*(EB.Projektart.Bereich=6)),9)</f>
        <v>0.166666667</v>
      </c>
      <c r="R114" s="213" t="n">
        <f aca="false">ROUND((R23+R45+R91)-SUMPRODUCT((R97:R111)*(EB.Projektart.Bereich=6)),9)</f>
        <v>0.395833333</v>
      </c>
      <c r="S114" s="213" t="n">
        <f aca="false">ROUND((S23+S45+S91)-SUMPRODUCT((S97:S111)*(EB.Projektart.Bereich=6)),9)</f>
        <v>0.354166667</v>
      </c>
      <c r="T114" s="213" t="n">
        <f aca="false">ROUND((T23+T45+T91)-SUMPRODUCT((T97:T111)*(EB.Projektart.Bereich=6)),9)</f>
        <v>0.395833333</v>
      </c>
      <c r="U114" s="213" t="n">
        <f aca="false">ROUND((U23+U45+U91)-SUMPRODUCT((U97:U111)*(EB.Projektart.Bereich=6)),9)</f>
        <v>0</v>
      </c>
      <c r="V114" s="213" t="n">
        <f aca="false">ROUND((V23+V45+V91)-SUMPRODUCT((V97:V111)*(EB.Projektart.Bereich=6)),9)</f>
        <v>0</v>
      </c>
      <c r="W114" s="213" t="n">
        <f aca="false">ROUND((W23+W45+W91)-SUMPRODUCT((W97:W111)*(EB.Projektart.Bereich=6)),9)</f>
        <v>0</v>
      </c>
      <c r="X114" s="213" t="n">
        <f aca="false">ROUND((X23+X45+X91)-SUMPRODUCT((X97:X111)*(EB.Projektart.Bereich=6)),9)</f>
        <v>0</v>
      </c>
      <c r="Y114" s="213" t="n">
        <f aca="false">ROUND((Y23+Y45+Y91)-SUMPRODUCT((Y97:Y111)*(EB.Projektart.Bereich=6)),9)</f>
        <v>0.4375</v>
      </c>
      <c r="Z114" s="213" t="n">
        <f aca="false">ROUND((Z23+Z45+Z91)-SUMPRODUCT((Z97:Z111)*(EB.Projektart.Bereich=6)),9)</f>
        <v>0.416666667</v>
      </c>
      <c r="AA114" s="213" t="n">
        <f aca="false">ROUND((AA23+AA45+AA91)-SUMPRODUCT((AA97:AA111)*(EB.Projektart.Bereich=6)),9)</f>
        <v>0.375</v>
      </c>
      <c r="AB114" s="213" t="n">
        <f aca="false">ROUND((AB23+AB45+AB91)-SUMPRODUCT((AB97:AB111)*(EB.Projektart.Bereich=6)),9)</f>
        <v>0.4375</v>
      </c>
      <c r="AC114" s="213" t="n">
        <f aca="false">ROUND((AC23+AC45+AC91)-SUMPRODUCT((AC97:AC111)*(EB.Projektart.Bereich=6)),9)</f>
        <v>0</v>
      </c>
      <c r="AD114" s="213" t="n">
        <f aca="false">ROUND((AD23+AD45+AD91)-SUMPRODUCT((AD97:AD111)*(EB.Projektart.Bereich=6)),9)</f>
        <v>0</v>
      </c>
      <c r="AE114" s="213" t="n">
        <f aca="false">ROUND((AE23+AE45+AE91)-SUMPRODUCT((AE97:AE111)*(EB.Projektart.Bereich=6)),9)</f>
        <v>0.4375</v>
      </c>
      <c r="AF114" s="183" t="str">
        <f aca="false">A114</f>
        <v>Difference WH-Project type 6</v>
      </c>
      <c r="AG114" s="197"/>
      <c r="AH114" s="207" t="n">
        <f aca="false">SUM(B114:AE114)</f>
        <v>6.75</v>
      </c>
      <c r="AI114" s="33"/>
      <c r="AJ114" s="235"/>
      <c r="AK114" s="216" t="n">
        <f aca="false">IF(EB.Anwendung&lt;&gt;"",IF(MONTH(Monat.Tag1)=1,0,IF(MONTH(Monat.Tag1)=2,January!Monat.PDiffUeVM,IF(MONTH(Monat.Tag1)=3,February!Monat.PDiffUeVM,IF(MONTH(Monat.Tag1)=4,March!Monat.PDiffUeVM,IF(MONTH(Monat.Tag1)=5,Monat.PDiffUeVM,IF(MONTH(Monat.Tag1)=6,May!Monat.PDiffUeVM,IF(MONTH(Monat.Tag1)=7,June!Monat.PDiffUeVM,IF(MONTH(Monat.Tag1)=8,July!Monat.PDiffUeVM,IF(MONTH(Monat.Tag1)=9,August!Monat.PDiffUeVM,IF(MONTH(Monat.Tag1)=10,September!Monat.PDiffUeVM,IF(MONTH(Monat.Tag1)=11,October!Monat.PDiffUeVM,IF(MONTH(Monat.Tag1)=12,November!Monat.PDiffUeVM,"")))))))))))),"")</f>
        <v>0</v>
      </c>
      <c r="AL114" s="235"/>
      <c r="AM114" s="217" t="n">
        <f aca="false">AH114+AK114</f>
        <v>6.75</v>
      </c>
      <c r="AN114" s="235"/>
      <c r="AO114" s="235"/>
      <c r="AP114" s="39"/>
    </row>
    <row r="115" customFormat="false" ht="11.25" hidden="true" customHeight="true" outlineLevel="1" collapsed="false">
      <c r="A115" s="43"/>
      <c r="B115" s="270"/>
      <c r="C115" s="270"/>
      <c r="D115" s="270"/>
      <c r="E115" s="270"/>
      <c r="F115" s="270"/>
      <c r="G115" s="270"/>
      <c r="H115" s="270"/>
      <c r="I115" s="270"/>
      <c r="J115" s="271"/>
      <c r="K115" s="270"/>
      <c r="L115" s="270"/>
      <c r="M115" s="270"/>
      <c r="N115" s="270"/>
      <c r="O115" s="270"/>
      <c r="P115" s="270"/>
      <c r="Q115" s="270"/>
      <c r="R115" s="270"/>
      <c r="S115" s="270"/>
      <c r="T115" s="270"/>
      <c r="U115" s="270"/>
      <c r="V115" s="270"/>
      <c r="W115" s="270"/>
      <c r="X115" s="270"/>
      <c r="Y115" s="270"/>
      <c r="Z115" s="270"/>
      <c r="AA115" s="270"/>
      <c r="AB115" s="270"/>
      <c r="AC115" s="270"/>
      <c r="AD115" s="270"/>
      <c r="AE115" s="270"/>
      <c r="AF115" s="272"/>
      <c r="AG115" s="273"/>
      <c r="AH115" s="43"/>
      <c r="AI115" s="43"/>
      <c r="AJ115" s="43"/>
      <c r="AK115" s="43"/>
      <c r="AL115" s="43"/>
      <c r="AM115" s="274"/>
      <c r="AN115" s="43"/>
      <c r="AO115" s="43"/>
      <c r="AP115" s="43"/>
    </row>
    <row r="116" customFormat="false" ht="11.25" hidden="false" customHeight="true" outlineLevel="0" collapsed="false">
      <c r="A116" s="43"/>
      <c r="B116" s="270"/>
      <c r="C116" s="270"/>
      <c r="D116" s="270"/>
      <c r="E116" s="270"/>
      <c r="F116" s="270"/>
      <c r="G116" s="270"/>
      <c r="H116" s="270"/>
      <c r="I116" s="270"/>
      <c r="J116" s="270"/>
      <c r="K116" s="270"/>
      <c r="L116" s="270"/>
      <c r="M116" s="270"/>
      <c r="N116" s="270"/>
      <c r="O116" s="270"/>
      <c r="P116" s="270"/>
      <c r="Q116" s="270"/>
      <c r="R116" s="270"/>
      <c r="S116" s="270"/>
      <c r="T116" s="270"/>
      <c r="U116" s="270"/>
      <c r="V116" s="270"/>
      <c r="W116" s="270"/>
      <c r="X116" s="270"/>
      <c r="Y116" s="270"/>
      <c r="Z116" s="270"/>
      <c r="AA116" s="270"/>
      <c r="AB116" s="270"/>
      <c r="AC116" s="270"/>
      <c r="AD116" s="270"/>
      <c r="AE116" s="270"/>
      <c r="AF116" s="272"/>
      <c r="AG116" s="273"/>
      <c r="AH116" s="43"/>
      <c r="AI116" s="43"/>
      <c r="AJ116" s="43"/>
      <c r="AK116" s="43"/>
      <c r="AL116" s="43"/>
      <c r="AM116" s="274"/>
      <c r="AN116" s="43"/>
      <c r="AO116" s="43"/>
      <c r="AP116" s="43"/>
    </row>
    <row r="117" customFormat="false" ht="12" hidden="false" customHeight="true" outlineLevel="0" collapsed="false">
      <c r="A117" s="43"/>
      <c r="B117" s="275" t="s">
        <v>179</v>
      </c>
      <c r="C117" s="275"/>
      <c r="D117" s="275"/>
      <c r="E117" s="275"/>
      <c r="F117" s="275"/>
      <c r="G117" s="275"/>
      <c r="H117" s="275"/>
      <c r="I117" s="275"/>
      <c r="J117" s="275"/>
      <c r="K117" s="275"/>
      <c r="L117" s="275"/>
      <c r="M117" s="275"/>
      <c r="N117" s="275"/>
      <c r="O117" s="275"/>
      <c r="P117" s="275"/>
      <c r="Q117" s="275"/>
      <c r="R117" s="276"/>
      <c r="S117" s="276"/>
      <c r="T117" s="276"/>
      <c r="U117" s="276"/>
      <c r="V117" s="276"/>
      <c r="W117" s="276"/>
      <c r="X117" s="276"/>
      <c r="Y117" s="276"/>
      <c r="Z117" s="276"/>
      <c r="AA117" s="276"/>
      <c r="AB117" s="276"/>
      <c r="AC117" s="276"/>
      <c r="AD117" s="276"/>
      <c r="AE117" s="276"/>
      <c r="AF117" s="277"/>
      <c r="AG117" s="278"/>
      <c r="AH117" s="276"/>
      <c r="AI117" s="276"/>
      <c r="AJ117" s="276"/>
      <c r="AK117" s="276"/>
      <c r="AL117" s="276"/>
      <c r="AM117" s="279"/>
      <c r="AN117" s="265"/>
      <c r="AO117" s="265"/>
      <c r="AP117" s="43"/>
    </row>
    <row r="118" customFormat="false" ht="11.25" hidden="false" customHeight="true" outlineLevel="0" collapsed="false">
      <c r="A118" s="280"/>
      <c r="B118" s="280"/>
      <c r="C118" s="280"/>
      <c r="D118" s="280"/>
      <c r="E118" s="280"/>
      <c r="F118" s="280"/>
      <c r="G118" s="280"/>
      <c r="H118" s="280"/>
      <c r="I118" s="280"/>
      <c r="J118" s="280"/>
      <c r="K118" s="280"/>
      <c r="L118" s="280"/>
      <c r="M118" s="276"/>
      <c r="N118" s="276"/>
      <c r="O118" s="276"/>
      <c r="P118" s="276"/>
      <c r="Q118" s="276"/>
      <c r="R118" s="276"/>
      <c r="S118" s="276"/>
      <c r="T118" s="276"/>
      <c r="U118" s="276"/>
      <c r="V118" s="276"/>
      <c r="W118" s="276"/>
      <c r="X118" s="276"/>
      <c r="Y118" s="276"/>
      <c r="Z118" s="276"/>
      <c r="AA118" s="276"/>
      <c r="AB118" s="276"/>
      <c r="AC118" s="276"/>
      <c r="AD118" s="276"/>
      <c r="AE118" s="276"/>
      <c r="AF118" s="276"/>
      <c r="AG118" s="276"/>
      <c r="AH118" s="276"/>
      <c r="AI118" s="276"/>
      <c r="AJ118" s="276"/>
      <c r="AK118" s="276"/>
      <c r="AL118" s="276"/>
      <c r="AM118" s="276"/>
      <c r="AN118" s="276"/>
      <c r="AO118" s="276"/>
      <c r="AP118" s="43"/>
    </row>
    <row r="119" customFormat="false" ht="39" hidden="false" customHeight="true" outlineLevel="0" collapsed="false">
      <c r="A119" s="55" t="s">
        <v>180</v>
      </c>
      <c r="B119" s="281"/>
      <c r="C119" s="281"/>
      <c r="D119" s="281"/>
      <c r="E119" s="281"/>
      <c r="F119" s="281"/>
      <c r="G119" s="281"/>
      <c r="H119" s="281"/>
      <c r="I119" s="281"/>
      <c r="J119" s="281"/>
      <c r="K119" s="281"/>
      <c r="L119" s="281"/>
      <c r="M119" s="281"/>
      <c r="N119" s="281"/>
      <c r="O119" s="281"/>
      <c r="P119" s="281"/>
      <c r="Q119" s="281"/>
      <c r="R119" s="276"/>
      <c r="S119" s="276"/>
      <c r="T119" s="276"/>
      <c r="U119" s="276"/>
      <c r="V119" s="276"/>
      <c r="W119" s="276"/>
      <c r="X119" s="276"/>
      <c r="Y119" s="282"/>
      <c r="Z119" s="282"/>
      <c r="AA119" s="282"/>
      <c r="AB119" s="282"/>
      <c r="AC119" s="282"/>
      <c r="AD119" s="282"/>
      <c r="AE119" s="282"/>
      <c r="AF119" s="283"/>
      <c r="AG119" s="283"/>
      <c r="AH119" s="283"/>
      <c r="AI119" s="283"/>
      <c r="AJ119" s="265"/>
      <c r="AK119" s="265"/>
      <c r="AL119" s="265"/>
      <c r="AM119" s="284"/>
      <c r="AN119" s="265"/>
      <c r="AO119" s="265"/>
      <c r="AP119" s="43"/>
    </row>
    <row r="120" customFormat="false" ht="12" hidden="false" customHeight="true" outlineLevel="0" collapsed="false">
      <c r="A120" s="285" t="s">
        <v>181</v>
      </c>
      <c r="B120" s="286"/>
      <c r="C120" s="286"/>
      <c r="D120" s="286"/>
      <c r="E120" s="286"/>
      <c r="F120" s="286"/>
      <c r="G120" s="286"/>
      <c r="H120" s="286"/>
      <c r="I120" s="286"/>
      <c r="J120" s="286"/>
      <c r="K120" s="286"/>
      <c r="L120" s="286"/>
      <c r="M120" s="286"/>
      <c r="N120" s="286"/>
      <c r="O120" s="286"/>
      <c r="P120" s="286"/>
      <c r="Q120" s="286"/>
      <c r="R120" s="276"/>
      <c r="S120" s="276"/>
      <c r="T120" s="287" t="s">
        <v>182</v>
      </c>
      <c r="U120" s="287"/>
      <c r="V120" s="287"/>
      <c r="W120" s="287"/>
      <c r="X120" s="287"/>
      <c r="Y120" s="282"/>
      <c r="Z120" s="282"/>
      <c r="AA120" s="282"/>
      <c r="AB120" s="282"/>
      <c r="AC120" s="282"/>
      <c r="AD120" s="282"/>
      <c r="AE120" s="282"/>
      <c r="AF120" s="283"/>
      <c r="AG120" s="283"/>
      <c r="AH120" s="283"/>
      <c r="AI120" s="283"/>
      <c r="AJ120" s="43"/>
      <c r="AK120" s="43"/>
      <c r="AL120" s="43"/>
      <c r="AM120" s="274"/>
      <c r="AN120" s="43"/>
      <c r="AO120" s="43"/>
      <c r="AP120" s="43"/>
    </row>
    <row r="121" customFormat="false" ht="11.25" hidden="false" customHeight="true" outlineLevel="0" collapsed="false">
      <c r="A121" s="288"/>
      <c r="B121" s="289"/>
      <c r="C121" s="289"/>
      <c r="D121" s="289"/>
      <c r="E121" s="289"/>
      <c r="F121" s="289"/>
      <c r="G121" s="289"/>
      <c r="H121" s="289"/>
      <c r="I121" s="289"/>
      <c r="J121" s="289"/>
      <c r="K121" s="289"/>
      <c r="L121" s="289"/>
      <c r="M121" s="270"/>
      <c r="N121" s="270"/>
      <c r="O121" s="270"/>
      <c r="P121" s="270"/>
      <c r="Q121" s="270"/>
      <c r="R121" s="270"/>
      <c r="S121" s="276"/>
      <c r="T121" s="270"/>
      <c r="U121" s="270"/>
      <c r="V121" s="270"/>
      <c r="W121" s="270"/>
      <c r="X121" s="270"/>
      <c r="Y121" s="270"/>
      <c r="Z121" s="270"/>
      <c r="AA121" s="270"/>
      <c r="AB121" s="270"/>
      <c r="AC121" s="270"/>
      <c r="AD121" s="270"/>
      <c r="AE121" s="270"/>
      <c r="AF121" s="272"/>
      <c r="AG121" s="273"/>
      <c r="AH121" s="43"/>
      <c r="AI121" s="43"/>
      <c r="AJ121" s="43"/>
      <c r="AK121" s="43"/>
      <c r="AL121" s="43"/>
      <c r="AM121" s="274"/>
      <c r="AN121" s="43"/>
      <c r="AO121" s="43"/>
      <c r="AP121" s="43"/>
    </row>
    <row r="122" customFormat="false" ht="12" hidden="false" customHeight="true" outlineLevel="0" collapsed="false">
      <c r="A122" s="43"/>
      <c r="B122" s="290" t="s">
        <v>183</v>
      </c>
      <c r="C122" s="290"/>
      <c r="D122" s="290"/>
      <c r="E122" s="290"/>
      <c r="F122" s="290"/>
      <c r="G122" s="290"/>
      <c r="H122" s="290"/>
      <c r="I122" s="290"/>
      <c r="J122" s="290"/>
      <c r="K122" s="290"/>
      <c r="L122" s="290"/>
      <c r="M122" s="290"/>
      <c r="N122" s="290"/>
      <c r="O122" s="290"/>
      <c r="P122" s="290"/>
      <c r="Q122" s="290"/>
      <c r="R122" s="270"/>
      <c r="S122" s="270"/>
      <c r="T122" s="270"/>
      <c r="U122" s="270"/>
      <c r="V122" s="270"/>
      <c r="W122" s="270"/>
      <c r="X122" s="270"/>
      <c r="Y122" s="270"/>
      <c r="Z122" s="270"/>
      <c r="AA122" s="270"/>
      <c r="AB122" s="270"/>
      <c r="AC122" s="270"/>
      <c r="AD122" s="270"/>
      <c r="AE122" s="270"/>
      <c r="AF122" s="272"/>
      <c r="AG122" s="273"/>
      <c r="AH122" s="43"/>
      <c r="AI122" s="43"/>
      <c r="AJ122" s="43"/>
      <c r="AK122" s="43"/>
      <c r="AL122" s="43"/>
      <c r="AM122" s="274"/>
      <c r="AN122" s="43"/>
      <c r="AO122" s="43"/>
      <c r="AP122" s="43"/>
    </row>
    <row r="123" customFormat="false" ht="11.25" hidden="false" customHeight="true" outlineLevel="0" collapsed="false">
      <c r="A123" s="43"/>
      <c r="B123" s="270"/>
      <c r="C123" s="270"/>
      <c r="D123" s="270"/>
      <c r="E123" s="270"/>
      <c r="F123" s="270"/>
      <c r="G123" s="270"/>
      <c r="H123" s="270"/>
      <c r="I123" s="270"/>
      <c r="J123" s="270"/>
      <c r="K123" s="270"/>
      <c r="L123" s="270"/>
      <c r="M123" s="270"/>
      <c r="N123" s="270"/>
      <c r="O123" s="270"/>
      <c r="P123" s="270"/>
      <c r="Q123" s="270"/>
      <c r="R123" s="270"/>
      <c r="S123" s="270"/>
      <c r="T123" s="270"/>
      <c r="U123" s="270"/>
      <c r="V123" s="270"/>
      <c r="W123" s="270"/>
      <c r="X123" s="270"/>
      <c r="Y123" s="270"/>
      <c r="Z123" s="270"/>
      <c r="AA123" s="270"/>
      <c r="AB123" s="270"/>
      <c r="AC123" s="270"/>
      <c r="AD123" s="270"/>
      <c r="AE123" s="270"/>
      <c r="AF123" s="272"/>
      <c r="AG123" s="273"/>
      <c r="AH123" s="43"/>
      <c r="AI123" s="43"/>
      <c r="AJ123" s="43"/>
      <c r="AK123" s="43"/>
      <c r="AL123" s="43"/>
      <c r="AM123" s="274"/>
      <c r="AN123" s="43"/>
      <c r="AO123" s="43"/>
      <c r="AP123" s="43"/>
    </row>
    <row r="124" customFormat="false" ht="11.25" hidden="false" customHeight="true" outlineLevel="0" collapsed="false">
      <c r="A124" s="276"/>
      <c r="B124" s="276"/>
      <c r="C124" s="276"/>
      <c r="D124" s="276"/>
      <c r="E124" s="276"/>
      <c r="F124" s="276"/>
      <c r="G124" s="276"/>
      <c r="H124" s="276"/>
      <c r="I124" s="276"/>
      <c r="J124" s="276"/>
      <c r="K124" s="276"/>
      <c r="L124" s="276"/>
      <c r="M124" s="276"/>
      <c r="N124" s="276"/>
      <c r="O124" s="276"/>
      <c r="P124" s="276"/>
      <c r="Q124" s="276"/>
      <c r="R124" s="276"/>
      <c r="S124" s="276"/>
      <c r="T124" s="276"/>
      <c r="U124" s="276"/>
      <c r="V124" s="276"/>
      <c r="W124" s="276"/>
      <c r="X124" s="276"/>
      <c r="Y124" s="276"/>
      <c r="Z124" s="276"/>
      <c r="AA124" s="276"/>
      <c r="AB124" s="276"/>
      <c r="AC124" s="276"/>
      <c r="AD124" s="276"/>
      <c r="AE124" s="276"/>
      <c r="AF124" s="276"/>
      <c r="AG124" s="276"/>
      <c r="AH124" s="276"/>
      <c r="AI124" s="276"/>
      <c r="AJ124" s="276"/>
      <c r="AK124" s="276"/>
      <c r="AL124" s="276"/>
      <c r="AM124" s="276"/>
      <c r="AN124" s="276"/>
      <c r="AO124" s="276"/>
      <c r="AP124" s="43"/>
    </row>
  </sheetData>
  <sheetProtection sheet="true" objects="true" scenarios="true"/>
  <mergeCells count="25">
    <mergeCell ref="B1:L1"/>
    <mergeCell ref="AN1:AO1"/>
    <mergeCell ref="B2:E2"/>
    <mergeCell ref="F2:N2"/>
    <mergeCell ref="P2:U2"/>
    <mergeCell ref="B3:E3"/>
    <mergeCell ref="F3:N3"/>
    <mergeCell ref="P3:U3"/>
    <mergeCell ref="B4:E4"/>
    <mergeCell ref="F4:N4"/>
    <mergeCell ref="P4:U4"/>
    <mergeCell ref="B5:E5"/>
    <mergeCell ref="F5:N5"/>
    <mergeCell ref="B6:E6"/>
    <mergeCell ref="F6:N6"/>
    <mergeCell ref="B7:E7"/>
    <mergeCell ref="F7:N7"/>
    <mergeCell ref="AG10:AH10"/>
    <mergeCell ref="AN10:AO10"/>
    <mergeCell ref="B117:Q117"/>
    <mergeCell ref="B119:Q119"/>
    <mergeCell ref="Y119:AE120"/>
    <mergeCell ref="B120:Q120"/>
    <mergeCell ref="T120:X120"/>
    <mergeCell ref="B122:Q122"/>
  </mergeCells>
  <conditionalFormatting sqref="AH114 B114:AE114">
    <cfRule type="expression" priority="2" aboveAverage="0" equalAverage="0" bottom="0" percent="0" rank="0" text="" dxfId="0">
      <formula>ABS(B$114)&gt;=ROUND(1/24/60,9)</formula>
    </cfRule>
  </conditionalFormatting>
  <conditionalFormatting sqref="B34:AE44 B25:AE30 B60:AE61 B67:AE67 B71:AE72 B84:AE84 B86:AE95 B97:AE111 B13:AE22">
    <cfRule type="expression" priority="3" aboveAverage="0" equalAverage="0" bottom="0" percent="0" rank="0" text="" dxfId="1">
      <formula>WEEKDAY(B$10,2)&gt;5</formula>
    </cfRule>
    <cfRule type="expression" priority="4" aboveAverage="0" equalAverage="0" bottom="0" percent="0" rank="0" text="" dxfId="2">
      <formula>AND(NOT(ISERROR(MATCH(B$10,T.Feiertage.Bereich,0))),OFFSET(T.Feiertage.Bereich,MATCH(B$10,T.Feiertage.Bereich,0)-1,1,1,1)&gt;0)</formula>
    </cfRule>
    <cfRule type="expression" priority="5" aboveAverage="0" equalAverage="0" bottom="0" percent="0" rank="0" text="" dxfId="3">
      <formula>B$11=0</formula>
    </cfRule>
  </conditionalFormatting>
  <conditionalFormatting sqref="AM60:AN60">
    <cfRule type="expression" priority="6" aboveAverage="0" equalAverage="0" bottom="0" percent="0" rank="0" text="" dxfId="4">
      <formula>AND(T.50_Vetsuisse,AM60&gt;=T.GrenzeAngÜZ50_Vetsuisse)</formula>
    </cfRule>
    <cfRule type="expression" priority="7" aboveAverage="0" equalAverage="0" bottom="0" percent="0" rank="0" text="" dxfId="5">
      <formula>AND(T.50_Vetsuisse,AM60&gt;T.GrenzeAngÜZ50_Vetsuisse*T.AngÜZ50_Vetsuisse_orange)</formula>
    </cfRule>
  </conditionalFormatting>
  <conditionalFormatting sqref="B56:AE56">
    <cfRule type="expression" priority="8" aboveAverage="0" equalAverage="0" bottom="0" percent="0" rank="0" text="" dxfId="6">
      <formula>B$10&gt;TODAY()</formula>
    </cfRule>
    <cfRule type="expression" priority="9" aboveAverage="0" equalAverage="0" bottom="0" percent="0" rank="0" text="" dxfId="7">
      <formula>B$56&gt;99.99/24</formula>
    </cfRule>
    <cfRule type="expression" priority="10" aboveAverage="0" equalAverage="0" bottom="0" percent="0" rank="0" text="" dxfId="0">
      <formula>B$56&lt;99.99/24*-1</formula>
    </cfRule>
  </conditionalFormatting>
  <conditionalFormatting sqref="AN55:AO55">
    <cfRule type="cellIs" priority="11" operator="greaterThan" aboveAverage="0" equalAverage="0" bottom="0" percent="0" rank="0" text="" dxfId="1">
      <formula>1/24/60</formula>
    </cfRule>
    <cfRule type="expression" priority="12" aboveAverage="0" equalAverage="0" bottom="0" percent="0" rank="0" text="" dxfId="2">
      <formula>AND(AN55&lt;=1/24/60*-1,TODAY()&gt;=DATE(EB.Jahr,MONTH(12),DAY(31)))</formula>
    </cfRule>
  </conditionalFormatting>
  <conditionalFormatting sqref="AH58 B56:AE56">
    <cfRule type="expression" priority="13" aboveAverage="0" equalAverage="0" bottom="0" percent="0" rank="0" text="" dxfId="3">
      <formula>B$56&gt;1/24/60</formula>
    </cfRule>
    <cfRule type="expression" priority="14" aboveAverage="0" equalAverage="0" bottom="0" percent="0" rank="0" text="" dxfId="4">
      <formula>AND(B$56&lt;=1/24/60*-1,B$56)</formula>
    </cfRule>
  </conditionalFormatting>
  <conditionalFormatting sqref="B36:AE44 B26:AE30 B14:AE22">
    <cfRule type="expression" priority="15" aboveAverage="0" equalAverage="0" bottom="0" percent="0" rank="0" text="" dxfId="5">
      <formula>AND(B14&lt;B13,B14&lt;&gt;"")</formula>
    </cfRule>
  </conditionalFormatting>
  <conditionalFormatting sqref="B72:AE73">
    <cfRule type="expression" priority="16" aboveAverage="0" equalAverage="0" bottom="0" percent="0" rank="0" text="" dxfId="6">
      <formula>AND(T.50_Vetsuisse,OR(AND(B$72&lt;&gt;INDEX(T.JaNein.Bereich,1,1),B$72&lt;&gt;INDEX(T.JaNein.Bereich,2,1),B$73&lt;&gt;0,MOD(IFERROR(MATCH(1,B$13:B$22,0),1),2)=0),AND(B$72=INDEX(T.JaNein.Bereich,1,1),OR(B$73=0,MOD(IFERROR(MATCH(1,B$13:B$22,0),1),2)&lt;&gt;0))))</formula>
    </cfRule>
  </conditionalFormatting>
  <conditionalFormatting sqref="P4:U4">
    <cfRule type="expression" priority="17" aboveAverage="0" equalAverage="0" bottom="0" percent="0" rank="0" text="" dxfId="7">
      <formula>$P$4&lt;&gt;""</formula>
    </cfRule>
  </conditionalFormatting>
  <conditionalFormatting sqref="V4">
    <cfRule type="expression" priority="18" aboveAverage="0" equalAverage="0" bottom="0" percent="0" rank="0" text="" dxfId="8">
      <formula>$V$4&lt;&gt;""</formula>
    </cfRule>
  </conditionalFormatting>
  <conditionalFormatting sqref="AO60">
    <cfRule type="expression" priority="19" aboveAverage="0" equalAverage="0" bottom="0" percent="0" rank="0" text="" dxfId="9">
      <formula>AND(T.50_Vetsuisse,AO60&gt;=T.GrenzeAngÜZ50_Vetsuisse)</formula>
    </cfRule>
    <cfRule type="expression" priority="20" aboveAverage="0" equalAverage="0" bottom="0" percent="0" rank="0" text="" dxfId="10">
      <formula>AND(T.50_Vetsuisse,AO60&gt;T.GrenzeAngÜZ50_Vetsuisse*T.AngÜZ50_Vetsuisse_orange)</formula>
    </cfRule>
  </conditionalFormatting>
  <conditionalFormatting sqref="AI72:AI73">
    <cfRule type="expression" priority="21" aboveAverage="0" equalAverage="0" bottom="0" percent="0" rank="0" text="" dxfId="11">
      <formula>AND(T.50_Vetsuisse,$AI$72&lt;&gt;$AI$73)</formula>
    </cfRule>
    <cfRule type="expression" priority="22" aboveAverage="0" equalAverage="0" bottom="0" percent="0" rank="0" text="" dxfId="12">
      <formula>$AI$72&gt;$AI$73</formula>
    </cfRule>
  </conditionalFormatting>
  <dataValidations count="2">
    <dataValidation allowBlank="true" error="Please choose a value from the drop-down list." errorTitle="Start pl. night shift" operator="between" showDropDown="false" showErrorMessage="true" showInputMessage="true" sqref="B72:AE72" type="list">
      <formula1>T.JaNein.Bereich</formula1>
      <formula2>0</formula2>
    </dataValidation>
    <dataValidation allowBlank="true" error="Bitte wählen Sie einen Wert aus der Liste." errorTitle="Pikett Bereitschaft" operator="between" showDropDown="false" showErrorMessage="true" showInputMessage="true" sqref="B34:AE34" type="list">
      <formula1>T.Pikett.Bereich</formula1>
      <formula2>0</formula2>
    </dataValidation>
  </dataValidations>
  <printOptions headings="false" gridLines="false" gridLinesSet="true" horizontalCentered="true" verticalCentered="false"/>
  <pageMargins left="0.196527777777778" right="0.196527777777778" top="0.39375" bottom="0.393055555555556" header="0.511805555555555" footer="0.196527777777778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&amp;L&amp;"Arial,Regular"&amp;11Monatsabrechnung &amp;A&amp;C&amp;"Arial,Regular"&amp;11&amp;D&amp;R&amp;"Arial,Regular"&amp;11&amp;P / &amp;N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Q124"/>
  <sheetViews>
    <sheetView showFormulas="false" showGridLines="fals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1" ySplit="10" topLeftCell="B11" activePane="bottomRight" state="frozen"/>
      <selection pane="topLeft" activeCell="A1" activeCellId="0" sqref="A1"/>
      <selection pane="topRight" activeCell="B1" activeCellId="0" sqref="B1"/>
      <selection pane="bottomLeft" activeCell="A11" activeCellId="0" sqref="A11"/>
      <selection pane="bottomRight" activeCell="W14" activeCellId="0" sqref="W14"/>
    </sheetView>
  </sheetViews>
  <sheetFormatPr defaultRowHeight="13" zeroHeight="false" outlineLevelRow="1" outlineLevelCol="1"/>
  <cols>
    <col collapsed="false" customWidth="true" hidden="false" outlineLevel="0" max="1" min="1" style="132" width="24.5"/>
    <col collapsed="false" customWidth="true" hidden="false" outlineLevel="0" max="32" min="2" style="132" width="5.66"/>
    <col collapsed="false" customWidth="true" hidden="false" outlineLevel="0" max="33" min="33" style="133" width="24.5"/>
    <col collapsed="false" customWidth="true" hidden="false" outlineLevel="0" max="34" min="34" style="134" width="2.17"/>
    <col collapsed="false" customWidth="true" hidden="false" outlineLevel="0" max="36" min="35" style="132" width="8.17"/>
    <col collapsed="false" customWidth="true" hidden="true" outlineLevel="1" max="37" min="37" style="132" width="15.83"/>
    <col collapsed="false" customWidth="true" hidden="true" outlineLevel="1" max="39" min="38" style="132" width="14.33"/>
    <col collapsed="false" customWidth="true" hidden="false" outlineLevel="0" max="40" min="40" style="135" width="9.5"/>
    <col collapsed="false" customWidth="true" hidden="false" outlineLevel="0" max="42" min="41" style="132" width="8.17"/>
    <col collapsed="false" customWidth="true" hidden="false" outlineLevel="0" max="43" min="43" style="132" width="3.66"/>
    <col collapsed="false" customWidth="true" hidden="false" outlineLevel="0" max="1025" min="44" style="0" width="10.66"/>
  </cols>
  <sheetData>
    <row r="1" s="142" customFormat="true" ht="22.5" hidden="false" customHeight="true" outlineLevel="0" collapsed="false">
      <c r="A1" s="136" t="str">
        <f aca="false">INDEX(EB.Monate.Bereich,MONTH(Monat.Tag1)) &amp; " " &amp; EB.Jahr</f>
        <v>May 2018</v>
      </c>
      <c r="B1" s="137" t="str">
        <f aca="false">Eingabeblatt!B1</f>
        <v>Employee Time Sheet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6"/>
      <c r="N1" s="6"/>
      <c r="O1" s="6"/>
      <c r="P1" s="6"/>
      <c r="Q1" s="6"/>
      <c r="R1" s="138"/>
      <c r="S1" s="6"/>
      <c r="T1" s="6"/>
      <c r="U1" s="6"/>
      <c r="V1" s="139"/>
      <c r="W1" s="139"/>
      <c r="X1" s="6"/>
      <c r="Y1" s="138"/>
      <c r="Z1" s="6"/>
      <c r="AA1" s="6"/>
      <c r="AB1" s="6"/>
      <c r="AC1" s="6"/>
      <c r="AD1" s="6"/>
      <c r="AE1" s="6"/>
      <c r="AF1" s="6"/>
      <c r="AG1" s="140"/>
      <c r="AH1" s="141"/>
      <c r="AI1" s="6"/>
      <c r="AJ1" s="6"/>
      <c r="AK1" s="6"/>
      <c r="AL1" s="6"/>
      <c r="AM1" s="6"/>
      <c r="AN1" s="7"/>
      <c r="AO1" s="7" t="str">
        <f aca="false">EB.Version</f>
        <v>Version 01.18</v>
      </c>
      <c r="AP1" s="7"/>
      <c r="AQ1" s="8" t="str">
        <f aca="false">EB.Sprache</f>
        <v>EN</v>
      </c>
    </row>
    <row r="2" s="148" customFormat="true" ht="15" hidden="false" customHeight="true" outlineLevel="0" collapsed="false">
      <c r="A2" s="55"/>
      <c r="B2" s="11" t="str">
        <f aca="false">Eingabeblatt!A3</f>
        <v>Name</v>
      </c>
      <c r="C2" s="11"/>
      <c r="D2" s="11"/>
      <c r="E2" s="11"/>
      <c r="F2" s="143" t="str">
        <f aca="false">IF(EB.Name="","?",EB.Name)</f>
        <v>Christopher Gwilliams</v>
      </c>
      <c r="G2" s="143"/>
      <c r="H2" s="143"/>
      <c r="I2" s="143"/>
      <c r="J2" s="143"/>
      <c r="K2" s="143"/>
      <c r="L2" s="143"/>
      <c r="M2" s="143"/>
      <c r="N2" s="143"/>
      <c r="O2" s="144"/>
      <c r="P2" s="11" t="str">
        <f aca="false">Eingabeblatt!J7</f>
        <v>Employment Level (FTE) in %</v>
      </c>
      <c r="Q2" s="11"/>
      <c r="R2" s="11"/>
      <c r="S2" s="11"/>
      <c r="T2" s="11"/>
      <c r="U2" s="11"/>
      <c r="V2" s="58" t="n">
        <f aca="false">IF(INDEX(EB.EffBG.Bereich,MONTH(Monat.Tag1))="","-     ",INDEX(EB.EffBG.Bereich,MONTH(Monat.Tag1)))</f>
        <v>100</v>
      </c>
      <c r="W2" s="145"/>
      <c r="X2" s="145"/>
      <c r="Y2" s="16"/>
      <c r="Z2" s="39"/>
      <c r="AA2" s="39"/>
      <c r="AB2" s="39"/>
      <c r="AC2" s="39"/>
      <c r="AD2" s="39"/>
      <c r="AE2" s="39"/>
      <c r="AF2" s="39"/>
      <c r="AG2" s="13"/>
      <c r="AH2" s="146"/>
      <c r="AI2" s="39"/>
      <c r="AJ2" s="39"/>
      <c r="AK2" s="39"/>
      <c r="AL2" s="39"/>
      <c r="AM2" s="39"/>
      <c r="AN2" s="147"/>
      <c r="AO2" s="39"/>
      <c r="AP2" s="39"/>
      <c r="AQ2" s="39"/>
    </row>
    <row r="3" s="148" customFormat="true" ht="15" hidden="false" customHeight="true" outlineLevel="0" collapsed="false">
      <c r="A3" s="149"/>
      <c r="B3" s="11" t="str">
        <f aca="false">Eingabeblatt!H2</f>
        <v>Function</v>
      </c>
      <c r="C3" s="11"/>
      <c r="D3" s="11"/>
      <c r="E3" s="11"/>
      <c r="F3" s="150" t="str">
        <f aca="false">EB.Funktion</f>
        <v>Description of Function</v>
      </c>
      <c r="G3" s="150"/>
      <c r="H3" s="150"/>
      <c r="I3" s="150"/>
      <c r="J3" s="150"/>
      <c r="K3" s="150"/>
      <c r="L3" s="150"/>
      <c r="M3" s="150"/>
      <c r="N3" s="150"/>
      <c r="O3" s="13"/>
      <c r="P3" s="11" t="str">
        <f aca="false">Eingabeblatt!J12</f>
        <v>ø Hours per day at FTE</v>
      </c>
      <c r="Q3" s="11"/>
      <c r="R3" s="11"/>
      <c r="S3" s="11"/>
      <c r="T3" s="11"/>
      <c r="U3" s="11"/>
      <c r="V3" s="151" t="n">
        <f aca="false">IF(INDEX(EB.DurchSollTAZStd.Bereich,MONTH(Monat.Tag1))="","-     ",INDEX(EB.DurchSollTAZStd.Bereich,MONTH(Monat.Tag1)))</f>
        <v>0.35</v>
      </c>
      <c r="W3" s="152"/>
      <c r="X3" s="152"/>
      <c r="Y3" s="39"/>
      <c r="Z3" s="39"/>
      <c r="AA3" s="39"/>
      <c r="AB3" s="39"/>
      <c r="AC3" s="39"/>
      <c r="AD3" s="39"/>
      <c r="AE3" s="39"/>
      <c r="AF3" s="39"/>
      <c r="AG3" s="13"/>
      <c r="AH3" s="146"/>
      <c r="AI3" s="39"/>
      <c r="AJ3" s="39"/>
      <c r="AK3" s="39"/>
      <c r="AL3" s="39"/>
      <c r="AM3" s="39"/>
      <c r="AN3" s="147"/>
      <c r="AO3" s="39"/>
      <c r="AP3" s="39"/>
      <c r="AQ3" s="39"/>
    </row>
    <row r="4" s="148" customFormat="true" ht="15" hidden="false" customHeight="true" outlineLevel="0" collapsed="false">
      <c r="A4" s="149"/>
      <c r="B4" s="11" t="str">
        <f aca="false">Eingabeblatt!H3</f>
        <v>Institute/Department</v>
      </c>
      <c r="C4" s="11"/>
      <c r="D4" s="11"/>
      <c r="E4" s="11"/>
      <c r="F4" s="150" t="str">
        <f aca="false">EB.Institut</f>
        <v>Institute/Department Name</v>
      </c>
      <c r="G4" s="150"/>
      <c r="H4" s="150"/>
      <c r="I4" s="150"/>
      <c r="J4" s="150"/>
      <c r="K4" s="150"/>
      <c r="L4" s="150"/>
      <c r="M4" s="150"/>
      <c r="N4" s="150"/>
      <c r="O4" s="13"/>
      <c r="P4" s="47" t="str">
        <f aca="true">IF(EB.ÜZZSBerechtigt=INDEX(T.JaNein.Bereich,1,1),IF(AND(OR(AND(EB.LKgr16=INDEX(T.JaNein.Bereich,1,1),EB.LKgr16ab&gt;EOMONTH(Monat.Tag1,0)),EB.LKgr16&lt;&gt;INDEX(T.JaNein.Bereich,1,1)),Monat.AZSoll.Total&gt;0),Eingabeblatt!J6,""),"")</f>
        <v/>
      </c>
      <c r="Q4" s="47"/>
      <c r="R4" s="47"/>
      <c r="S4" s="47"/>
      <c r="T4" s="47"/>
      <c r="U4" s="47"/>
      <c r="V4" s="153" t="str">
        <f aca="false">IF(P4&lt;&gt;"",EB.ÜZZSBerechtigt,"")</f>
        <v/>
      </c>
      <c r="W4" s="39"/>
      <c r="X4" s="39"/>
      <c r="Y4" s="39"/>
      <c r="Z4" s="39"/>
      <c r="AA4" s="39"/>
      <c r="AB4" s="39"/>
      <c r="AC4" s="39"/>
      <c r="AD4" s="39"/>
      <c r="AE4" s="39"/>
      <c r="AF4" s="39"/>
      <c r="AG4" s="13"/>
      <c r="AH4" s="146"/>
      <c r="AI4" s="39"/>
      <c r="AJ4" s="39"/>
      <c r="AK4" s="39"/>
      <c r="AL4" s="39"/>
      <c r="AM4" s="39"/>
      <c r="AN4" s="147"/>
      <c r="AO4" s="39"/>
      <c r="AP4" s="39"/>
      <c r="AQ4" s="39"/>
    </row>
    <row r="5" s="148" customFormat="true" ht="15" hidden="false" customHeight="true" outlineLevel="0" collapsed="false">
      <c r="A5" s="149"/>
      <c r="B5" s="11" t="str">
        <f aca="false">Eingabeblatt!A5</f>
        <v>Employee Number</v>
      </c>
      <c r="C5" s="11"/>
      <c r="D5" s="11"/>
      <c r="E5" s="11"/>
      <c r="F5" s="150" t="str">
        <f aca="false">IF(EB.Personalnummer="","?",EB.Personalnummer)</f>
        <v>?</v>
      </c>
      <c r="G5" s="150"/>
      <c r="H5" s="150"/>
      <c r="I5" s="150"/>
      <c r="J5" s="150"/>
      <c r="K5" s="150"/>
      <c r="L5" s="150"/>
      <c r="M5" s="150"/>
      <c r="N5" s="150"/>
      <c r="O5" s="13"/>
      <c r="P5" s="19" t="str">
        <f aca="false">Eingabeblatt!A38</f>
        <v>Standard working hours</v>
      </c>
      <c r="Q5" s="13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 t="s">
        <v>120</v>
      </c>
      <c r="AG5" s="13"/>
      <c r="AH5" s="146"/>
      <c r="AI5" s="39"/>
      <c r="AJ5" s="39"/>
      <c r="AK5" s="39"/>
      <c r="AL5" s="39"/>
      <c r="AM5" s="39"/>
      <c r="AN5" s="147"/>
      <c r="AO5" s="39"/>
      <c r="AP5" s="39"/>
      <c r="AQ5" s="39"/>
    </row>
    <row r="6" s="148" customFormat="true" ht="15" hidden="false" customHeight="true" outlineLevel="0" collapsed="false">
      <c r="A6" s="149"/>
      <c r="B6" s="11" t="str">
        <f aca="false">Eingabeblatt!H4</f>
        <v>Faculty</v>
      </c>
      <c r="C6" s="11"/>
      <c r="D6" s="11"/>
      <c r="E6" s="11"/>
      <c r="F6" s="150" t="str">
        <f aca="false">EB.Fakultaet</f>
        <v>Select Faculty</v>
      </c>
      <c r="G6" s="150"/>
      <c r="H6" s="150"/>
      <c r="I6" s="150"/>
      <c r="J6" s="150"/>
      <c r="K6" s="150"/>
      <c r="L6" s="150"/>
      <c r="M6" s="150"/>
      <c r="N6" s="150"/>
      <c r="O6" s="13"/>
      <c r="P6" s="154" t="str">
        <f aca="false">LEFT(INDEX(EB.RAZ_Wochentage.Bereich,1),2)</f>
        <v>Mo</v>
      </c>
      <c r="Q6" s="154" t="str">
        <f aca="false">LEFT(INDEX(EB.RAZ_Wochentage.Bereich,2),2)</f>
        <v>Tu</v>
      </c>
      <c r="R6" s="154" t="str">
        <f aca="false">LEFT(INDEX(EB.RAZ_Wochentage.Bereich,3),2)</f>
        <v>We</v>
      </c>
      <c r="S6" s="154" t="str">
        <f aca="false">LEFT(INDEX(EB.RAZ_Wochentage.Bereich,4),2)</f>
        <v>Th</v>
      </c>
      <c r="T6" s="154" t="str">
        <f aca="false">LEFT(INDEX(EB.RAZ_Wochentage.Bereich,5),2)</f>
        <v>Fr</v>
      </c>
      <c r="U6" s="154" t="str">
        <f aca="false">LEFT(INDEX(EB.RAZ_Wochentage.Bereich,6),2)</f>
        <v>Sa</v>
      </c>
      <c r="V6" s="154" t="str">
        <f aca="false">LEFT(INDEX(EB.RAZ_Wochentage.Bereich,7),2)</f>
        <v>Su</v>
      </c>
      <c r="W6" s="39"/>
      <c r="X6" s="39"/>
      <c r="Y6" s="39"/>
      <c r="Z6" s="39"/>
      <c r="AA6" s="39"/>
      <c r="AB6" s="39"/>
      <c r="AC6" s="39"/>
      <c r="AD6" s="39"/>
      <c r="AE6" s="39"/>
      <c r="AF6" s="39"/>
      <c r="AG6" s="13"/>
      <c r="AH6" s="146"/>
      <c r="AI6" s="39"/>
      <c r="AJ6" s="39"/>
      <c r="AK6" s="39"/>
      <c r="AL6" s="39"/>
      <c r="AM6" s="39"/>
      <c r="AN6" s="147"/>
      <c r="AO6" s="39"/>
      <c r="AP6" s="39"/>
      <c r="AQ6" s="39"/>
    </row>
    <row r="7" s="148" customFormat="true" ht="15" hidden="false" customHeight="true" outlineLevel="0" collapsed="false">
      <c r="A7" s="149"/>
      <c r="B7" s="11" t="str">
        <f aca="false">Eingabeblatt!H5</f>
        <v>Employee Category</v>
      </c>
      <c r="C7" s="11"/>
      <c r="D7" s="11"/>
      <c r="E7" s="11"/>
      <c r="F7" s="150" t="str">
        <f aca="false">EB.Personalkategorie</f>
        <v>Select Employee Category</v>
      </c>
      <c r="G7" s="150"/>
      <c r="H7" s="150"/>
      <c r="I7" s="150"/>
      <c r="J7" s="150"/>
      <c r="K7" s="150"/>
      <c r="L7" s="150"/>
      <c r="M7" s="150"/>
      <c r="N7" s="150"/>
      <c r="O7" s="13"/>
      <c r="P7" s="155" t="n">
        <f aca="false">IF(EB.Anwendung&lt;&gt;"",IF(MONTH(Monat.Tag1)=1,INDEX(EB.RAZ1_7.Bereich,1),INDEX(IF(MONTH(Monat.Tag1)=2,January!Monat.RAZ1_7.Bereich,IF(MONTH(Monat.Tag1)=3,February!Monat.RAZ1_7.Bereich,IF(MONTH(Monat.Tag1)=4,March!Monat.RAZ1_7.Bereich,IF(MONTH(Monat.Tag1)=5,April!Monat.RAZ1_7.Bereich,IF(MONTH(Monat.Tag1)=6,Monat.RAZ1_7.Bereich,IF(MONTH(Monat.Tag1)=7,June!Monat.RAZ1_7.Bereich,IF(MONTH(Monat.Tag1)=8,July!Monat.RAZ1_7.Bereich,IF(MONTH(Monat.Tag1)=9,August!Monat.RAZ1_7.Bereich,IF(MONTH(Monat.Tag1)=10,September!Monat.RAZ1_7.Bereich,IF(MONTH(Monat.Tag1)=11,October!Monat.RAZ1_7.Bereich,IF(MONTH(Monat.Tag1)=12,November!Monat.RAZ1_7.Bereich,""))))))))))),1)),"")</f>
        <v>0.35</v>
      </c>
      <c r="Q7" s="155" t="n">
        <f aca="false">IF(EB.Anwendung&lt;&gt;"",IF(MONTH(Monat.Tag1)=1,INDEX(EB.RAZ1_7.Bereich,2),INDEX(IF(MONTH(Monat.Tag1)=2,January!Monat.RAZ1_7.Bereich,IF(MONTH(Monat.Tag1)=3,February!Monat.RAZ1_7.Bereich,IF(MONTH(Monat.Tag1)=4,March!Monat.RAZ1_7.Bereich,IF(MONTH(Monat.Tag1)=5,April!Monat.RAZ1_7.Bereich,IF(MONTH(Monat.Tag1)=6,Monat.RAZ1_7.Bereich,IF(MONTH(Monat.Tag1)=7,June!Monat.RAZ1_7.Bereich,IF(MONTH(Monat.Tag1)=8,July!Monat.RAZ1_7.Bereich,IF(MONTH(Monat.Tag1)=9,August!Monat.RAZ1_7.Bereich,IF(MONTH(Monat.Tag1)=10,September!Monat.RAZ1_7.Bereich,IF(MONTH(Monat.Tag1)=11,October!Monat.RAZ1_7.Bereich,IF(MONTH(Monat.Tag1)=12,November!Monat.RAZ1_7.Bereich,""))))))))))),2)),"")</f>
        <v>0.35</v>
      </c>
      <c r="R7" s="155" t="n">
        <f aca="false">IF(EB.Anwendung&lt;&gt;"",IF(MONTH(Monat.Tag1)=1,INDEX(EB.RAZ1_7.Bereich,3),INDEX(IF(MONTH(Monat.Tag1)=2,January!Monat.RAZ1_7.Bereich,IF(MONTH(Monat.Tag1)=3,February!Monat.RAZ1_7.Bereich,IF(MONTH(Monat.Tag1)=4,March!Monat.RAZ1_7.Bereich,IF(MONTH(Monat.Tag1)=5,April!Monat.RAZ1_7.Bereich,IF(MONTH(Monat.Tag1)=6,Monat.RAZ1_7.Bereich,IF(MONTH(Monat.Tag1)=7,June!Monat.RAZ1_7.Bereich,IF(MONTH(Monat.Tag1)=8,July!Monat.RAZ1_7.Bereich,IF(MONTH(Monat.Tag1)=9,August!Monat.RAZ1_7.Bereich,IF(MONTH(Monat.Tag1)=10,September!Monat.RAZ1_7.Bereich,IF(MONTH(Monat.Tag1)=11,October!Monat.RAZ1_7.Bereich,IF(MONTH(Monat.Tag1)=12,November!Monat.RAZ1_7.Bereich,""))))))))))),3)),"")</f>
        <v>0.35</v>
      </c>
      <c r="S7" s="155" t="n">
        <f aca="false">IF(EB.Anwendung&lt;&gt;"",IF(MONTH(Monat.Tag1)=1,INDEX(EB.RAZ1_7.Bereich,4),INDEX(IF(MONTH(Monat.Tag1)=2,January!Monat.RAZ1_7.Bereich,IF(MONTH(Monat.Tag1)=3,February!Monat.RAZ1_7.Bereich,IF(MONTH(Monat.Tag1)=4,March!Monat.RAZ1_7.Bereich,IF(MONTH(Monat.Tag1)=5,April!Monat.RAZ1_7.Bereich,IF(MONTH(Monat.Tag1)=6,Monat.RAZ1_7.Bereich,IF(MONTH(Monat.Tag1)=7,June!Monat.RAZ1_7.Bereich,IF(MONTH(Monat.Tag1)=8,July!Monat.RAZ1_7.Bereich,IF(MONTH(Monat.Tag1)=9,August!Monat.RAZ1_7.Bereich,IF(MONTH(Monat.Tag1)=10,September!Monat.RAZ1_7.Bereich,IF(MONTH(Monat.Tag1)=11,October!Monat.RAZ1_7.Bereich,IF(MONTH(Monat.Tag1)=12,November!Monat.RAZ1_7.Bereich,""))))))))))),4)),"")</f>
        <v>0.35</v>
      </c>
      <c r="T7" s="155" t="n">
        <f aca="false">IF(EB.Anwendung&lt;&gt;"",IF(MONTH(Monat.Tag1)=1,INDEX(EB.RAZ1_7.Bereich,5),INDEX(IF(MONTH(Monat.Tag1)=2,January!Monat.RAZ1_7.Bereich,IF(MONTH(Monat.Tag1)=3,February!Monat.RAZ1_7.Bereich,IF(MONTH(Monat.Tag1)=4,March!Monat.RAZ1_7.Bereich,IF(MONTH(Monat.Tag1)=5,April!Monat.RAZ1_7.Bereich,IF(MONTH(Monat.Tag1)=6,Monat.RAZ1_7.Bereich,IF(MONTH(Monat.Tag1)=7,June!Monat.RAZ1_7.Bereich,IF(MONTH(Monat.Tag1)=8,July!Monat.RAZ1_7.Bereich,IF(MONTH(Monat.Tag1)=9,August!Monat.RAZ1_7.Bereich,IF(MONTH(Monat.Tag1)=10,September!Monat.RAZ1_7.Bereich,IF(MONTH(Monat.Tag1)=11,October!Monat.RAZ1_7.Bereich,IF(MONTH(Monat.Tag1)=12,November!Monat.RAZ1_7.Bereich,""))))))))))),5)),"")</f>
        <v>0.35</v>
      </c>
      <c r="U7" s="155" t="n">
        <f aca="false">IF(EB.Anwendung&lt;&gt;"",IF(MONTH(Monat.Tag1)=1,INDEX(EB.RAZ1_7.Bereich,6),INDEX(IF(MONTH(Monat.Tag1)=2,January!Monat.RAZ1_7.Bereich,IF(MONTH(Monat.Tag1)=3,February!Monat.RAZ1_7.Bereich,IF(MONTH(Monat.Tag1)=4,March!Monat.RAZ1_7.Bereich,IF(MONTH(Monat.Tag1)=5,April!Monat.RAZ1_7.Bereich,IF(MONTH(Monat.Tag1)=6,Monat.RAZ1_7.Bereich,IF(MONTH(Monat.Tag1)=7,June!Monat.RAZ1_7.Bereich,IF(MONTH(Monat.Tag1)=8,July!Monat.RAZ1_7.Bereich,IF(MONTH(Monat.Tag1)=9,August!Monat.RAZ1_7.Bereich,IF(MONTH(Monat.Tag1)=10,September!Monat.RAZ1_7.Bereich,IF(MONTH(Monat.Tag1)=11,October!Monat.RAZ1_7.Bereich,IF(MONTH(Monat.Tag1)=12,November!Monat.RAZ1_7.Bereich,""))))))))))),6)),"")</f>
        <v>0</v>
      </c>
      <c r="V7" s="155" t="n">
        <f aca="false">IF(EB.Anwendung&lt;&gt;"",IF(MONTH(Monat.Tag1)=1,INDEX(EB.RAZ1_7.Bereich,7),INDEX(IF(MONTH(Monat.Tag1)=2,January!Monat.RAZ1_7.Bereich,IF(MONTH(Monat.Tag1)=3,February!Monat.RAZ1_7.Bereich,IF(MONTH(Monat.Tag1)=4,March!Monat.RAZ1_7.Bereich,IF(MONTH(Monat.Tag1)=5,April!Monat.RAZ1_7.Bereich,IF(MONTH(Monat.Tag1)=6,Monat.RAZ1_7.Bereich,IF(MONTH(Monat.Tag1)=7,June!Monat.RAZ1_7.Bereich,IF(MONTH(Monat.Tag1)=8,July!Monat.RAZ1_7.Bereich,IF(MONTH(Monat.Tag1)=9,August!Monat.RAZ1_7.Bereich,IF(MONTH(Monat.Tag1)=10,September!Monat.RAZ1_7.Bereich,IF(MONTH(Monat.Tag1)=11,October!Monat.RAZ1_7.Bereich,IF(MONTH(Monat.Tag1)=12,November!Monat.RAZ1_7.Bereich,""))))))))))),7)),"")</f>
        <v>0</v>
      </c>
      <c r="W7" s="39"/>
      <c r="X7" s="39"/>
      <c r="Y7" s="39"/>
      <c r="Z7" s="39"/>
      <c r="AA7" s="39"/>
      <c r="AB7" s="39"/>
      <c r="AC7" s="39"/>
      <c r="AD7" s="39"/>
      <c r="AE7" s="39"/>
      <c r="AF7" s="39"/>
      <c r="AG7" s="13"/>
      <c r="AH7" s="146"/>
      <c r="AI7" s="39"/>
      <c r="AJ7" s="39"/>
      <c r="AK7" s="39"/>
      <c r="AL7" s="39"/>
      <c r="AM7" s="39"/>
      <c r="AN7" s="147"/>
      <c r="AO7" s="39"/>
      <c r="AP7" s="39"/>
      <c r="AQ7" s="39"/>
    </row>
    <row r="8" s="148" customFormat="true" ht="11.25" hidden="false" customHeight="true" outlineLevel="0" collapsed="false">
      <c r="A8" s="55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13"/>
      <c r="AH8" s="146"/>
      <c r="AI8" s="39"/>
      <c r="AJ8" s="39"/>
      <c r="AK8" s="39"/>
      <c r="AL8" s="39"/>
      <c r="AM8" s="39"/>
      <c r="AN8" s="147"/>
      <c r="AO8" s="39"/>
      <c r="AP8" s="39"/>
      <c r="AQ8" s="39"/>
    </row>
    <row r="9" s="148" customFormat="true" ht="15" hidden="false" customHeight="true" outlineLevel="0" collapsed="false">
      <c r="A9" s="55"/>
      <c r="B9" s="156" t="str">
        <f aca="false">INDEX(Monat.Wochentage.Bereich,1,WEEKDAY(B10,2))</f>
        <v>Tu</v>
      </c>
      <c r="C9" s="156" t="str">
        <f aca="false">INDEX(Monat.Wochentage.Bereich,1,WEEKDAY(C10,2))</f>
        <v>We</v>
      </c>
      <c r="D9" s="156" t="str">
        <f aca="false">INDEX(Monat.Wochentage.Bereich,1,WEEKDAY(D10,2))</f>
        <v>Th</v>
      </c>
      <c r="E9" s="156" t="str">
        <f aca="false">INDEX(Monat.Wochentage.Bereich,1,WEEKDAY(E10,2))</f>
        <v>Fr</v>
      </c>
      <c r="F9" s="156" t="str">
        <f aca="false">INDEX(Monat.Wochentage.Bereich,1,WEEKDAY(F10,2))</f>
        <v>Sa</v>
      </c>
      <c r="G9" s="156" t="str">
        <f aca="false">INDEX(Monat.Wochentage.Bereich,1,WEEKDAY(G10,2))</f>
        <v>Su</v>
      </c>
      <c r="H9" s="156" t="str">
        <f aca="false">INDEX(Monat.Wochentage.Bereich,1,WEEKDAY(H10,2))</f>
        <v>Mo</v>
      </c>
      <c r="I9" s="156" t="str">
        <f aca="false">INDEX(Monat.Wochentage.Bereich,1,WEEKDAY(I10,2))</f>
        <v>Tu</v>
      </c>
      <c r="J9" s="156" t="str">
        <f aca="false">INDEX(Monat.Wochentage.Bereich,1,WEEKDAY(J10,2))</f>
        <v>We</v>
      </c>
      <c r="K9" s="156" t="str">
        <f aca="false">INDEX(Monat.Wochentage.Bereich,1,WEEKDAY(K10,2))</f>
        <v>Th</v>
      </c>
      <c r="L9" s="156" t="str">
        <f aca="false">INDEX(Monat.Wochentage.Bereich,1,WEEKDAY(L10,2))</f>
        <v>Fr</v>
      </c>
      <c r="M9" s="156" t="str">
        <f aca="false">INDEX(Monat.Wochentage.Bereich,1,WEEKDAY(M10,2))</f>
        <v>Sa</v>
      </c>
      <c r="N9" s="156" t="str">
        <f aca="false">INDEX(Monat.Wochentage.Bereich,1,WEEKDAY(N10,2))</f>
        <v>Su</v>
      </c>
      <c r="O9" s="156" t="str">
        <f aca="false">INDEX(Monat.Wochentage.Bereich,1,WEEKDAY(O10,2))</f>
        <v>Mo</v>
      </c>
      <c r="P9" s="156" t="str">
        <f aca="false">INDEX(Monat.Wochentage.Bereich,1,WEEKDAY(P10,2))</f>
        <v>Tu</v>
      </c>
      <c r="Q9" s="156" t="str">
        <f aca="false">INDEX(Monat.Wochentage.Bereich,1,WEEKDAY(Q10,2))</f>
        <v>We</v>
      </c>
      <c r="R9" s="156" t="str">
        <f aca="false">INDEX(Monat.Wochentage.Bereich,1,WEEKDAY(R10,2))</f>
        <v>Th</v>
      </c>
      <c r="S9" s="156" t="str">
        <f aca="false">INDEX(Monat.Wochentage.Bereich,1,WEEKDAY(S10,2))</f>
        <v>Fr</v>
      </c>
      <c r="T9" s="156" t="str">
        <f aca="false">INDEX(Monat.Wochentage.Bereich,1,WEEKDAY(T10,2))</f>
        <v>Sa</v>
      </c>
      <c r="U9" s="156" t="str">
        <f aca="false">INDEX(Monat.Wochentage.Bereich,1,WEEKDAY(U10,2))</f>
        <v>Su</v>
      </c>
      <c r="V9" s="156" t="str">
        <f aca="false">INDEX(Monat.Wochentage.Bereich,1,WEEKDAY(V10,2))</f>
        <v>Mo</v>
      </c>
      <c r="W9" s="156" t="str">
        <f aca="false">INDEX(Monat.Wochentage.Bereich,1,WEEKDAY(W10,2))</f>
        <v>Tu</v>
      </c>
      <c r="X9" s="156" t="str">
        <f aca="false">INDEX(Monat.Wochentage.Bereich,1,WEEKDAY(X10,2))</f>
        <v>We</v>
      </c>
      <c r="Y9" s="156" t="str">
        <f aca="false">INDEX(Monat.Wochentage.Bereich,1,WEEKDAY(Y10,2))</f>
        <v>Th</v>
      </c>
      <c r="Z9" s="156" t="str">
        <f aca="false">INDEX(Monat.Wochentage.Bereich,1,WEEKDAY(Z10,2))</f>
        <v>Fr</v>
      </c>
      <c r="AA9" s="156" t="str">
        <f aca="false">INDEX(Monat.Wochentage.Bereich,1,WEEKDAY(AA10,2))</f>
        <v>Sa</v>
      </c>
      <c r="AB9" s="156" t="str">
        <f aca="false">INDEX(Monat.Wochentage.Bereich,1,WEEKDAY(AB10,2))</f>
        <v>Su</v>
      </c>
      <c r="AC9" s="156" t="str">
        <f aca="false">INDEX(Monat.Wochentage.Bereich,1,WEEKDAY(AC10,2))</f>
        <v>Mo</v>
      </c>
      <c r="AD9" s="156" t="str">
        <f aca="false">INDEX(Monat.Wochentage.Bereich,1,WEEKDAY(AD10,2))</f>
        <v>Tu</v>
      </c>
      <c r="AE9" s="156" t="str">
        <f aca="false">INDEX(Monat.Wochentage.Bereich,1,WEEKDAY(AE10,2))</f>
        <v>We</v>
      </c>
      <c r="AF9" s="156" t="str">
        <f aca="false">INDEX(Monat.Wochentage.Bereich,1,WEEKDAY(AF10,2))</f>
        <v>Th</v>
      </c>
      <c r="AG9" s="13"/>
      <c r="AH9" s="146"/>
      <c r="AI9" s="39"/>
      <c r="AJ9" s="39"/>
      <c r="AK9" s="39"/>
      <c r="AL9" s="39"/>
      <c r="AM9" s="39"/>
      <c r="AN9" s="147"/>
      <c r="AO9" s="39"/>
      <c r="AP9" s="39"/>
      <c r="AQ9" s="39"/>
    </row>
    <row r="10" s="164" customFormat="true" ht="39" hidden="false" customHeight="false" outlineLevel="0" collapsed="false">
      <c r="A10" s="157" t="s">
        <v>121</v>
      </c>
      <c r="B10" s="158" t="n">
        <v>41759</v>
      </c>
      <c r="C10" s="158" t="n">
        <f aca="false">B10+1</f>
        <v>41760</v>
      </c>
      <c r="D10" s="158" t="n">
        <f aca="false">C10+1</f>
        <v>41761</v>
      </c>
      <c r="E10" s="158" t="n">
        <f aca="false">D10+1</f>
        <v>41762</v>
      </c>
      <c r="F10" s="158" t="n">
        <f aca="false">E10+1</f>
        <v>41763</v>
      </c>
      <c r="G10" s="158" t="n">
        <f aca="false">F10+1</f>
        <v>41764</v>
      </c>
      <c r="H10" s="158" t="n">
        <f aca="false">G10+1</f>
        <v>41765</v>
      </c>
      <c r="I10" s="158" t="n">
        <f aca="false">H10+1</f>
        <v>41766</v>
      </c>
      <c r="J10" s="158" t="n">
        <f aca="false">I10+1</f>
        <v>41767</v>
      </c>
      <c r="K10" s="158" t="n">
        <f aca="false">J10+1</f>
        <v>41768</v>
      </c>
      <c r="L10" s="158" t="n">
        <f aca="false">K10+1</f>
        <v>41769</v>
      </c>
      <c r="M10" s="158" t="n">
        <f aca="false">L10+1</f>
        <v>41770</v>
      </c>
      <c r="N10" s="158" t="n">
        <f aca="false">M10+1</f>
        <v>41771</v>
      </c>
      <c r="O10" s="158" t="n">
        <f aca="false">N10+1</f>
        <v>41772</v>
      </c>
      <c r="P10" s="158" t="n">
        <f aca="false">O10+1</f>
        <v>41773</v>
      </c>
      <c r="Q10" s="158" t="n">
        <f aca="false">P10+1</f>
        <v>41774</v>
      </c>
      <c r="R10" s="158" t="n">
        <f aca="false">Q10+1</f>
        <v>41775</v>
      </c>
      <c r="S10" s="158" t="n">
        <f aca="false">R10+1</f>
        <v>41776</v>
      </c>
      <c r="T10" s="158" t="n">
        <f aca="false">S10+1</f>
        <v>41777</v>
      </c>
      <c r="U10" s="158" t="n">
        <f aca="false">T10+1</f>
        <v>41778</v>
      </c>
      <c r="V10" s="158" t="n">
        <f aca="false">U10+1</f>
        <v>41779</v>
      </c>
      <c r="W10" s="158" t="n">
        <f aca="false">V10+1</f>
        <v>41780</v>
      </c>
      <c r="X10" s="158" t="n">
        <f aca="false">W10+1</f>
        <v>41781</v>
      </c>
      <c r="Y10" s="158" t="n">
        <f aca="false">X10+1</f>
        <v>41782</v>
      </c>
      <c r="Z10" s="158" t="n">
        <f aca="false">Y10+1</f>
        <v>41783</v>
      </c>
      <c r="AA10" s="158" t="n">
        <f aca="false">Z10+1</f>
        <v>41784</v>
      </c>
      <c r="AB10" s="158" t="n">
        <f aca="false">AA10+1</f>
        <v>41785</v>
      </c>
      <c r="AC10" s="158" t="n">
        <f aca="false">AB10+1</f>
        <v>41786</v>
      </c>
      <c r="AD10" s="158" t="n">
        <f aca="false">AC10+1</f>
        <v>41787</v>
      </c>
      <c r="AE10" s="158" t="n">
        <f aca="false">AD10+1</f>
        <v>41788</v>
      </c>
      <c r="AF10" s="158" t="n">
        <f aca="false">AE10+1</f>
        <v>41789</v>
      </c>
      <c r="AG10" s="159" t="str">
        <f aca="false">A10</f>
        <v>Day</v>
      </c>
      <c r="AH10" s="160" t="str">
        <f aca="false">"Total " &amp; INDEX(EB.Monate.Bereich,MONTH(Monat.Tag1))</f>
        <v>Total May</v>
      </c>
      <c r="AI10" s="160"/>
      <c r="AJ10" s="160" t="s">
        <v>122</v>
      </c>
      <c r="AK10" s="161" t="s">
        <v>123</v>
      </c>
      <c r="AL10" s="161" t="s">
        <v>124</v>
      </c>
      <c r="AM10" s="161" t="s">
        <v>125</v>
      </c>
      <c r="AN10" s="162" t="s">
        <v>68</v>
      </c>
      <c r="AO10" s="156" t="str">
        <f aca="true">IF(EB.Sprache="DE","Jahressaldo per" &amp; CHAR(10) &amp; "    ME       " &amp; IFERROR(TEXT(TODAY(),"[$-0007]"&amp;"TT.MM.JJ"),TEXT(TODAY(),"[$-0007]"&amp;"DD.MM.YY")), "Yearly balance by" &amp; CHAR(10) &amp; "   eom      " &amp; IFERROR(TEXT(TODAY(),"[$-0809]"&amp;"DD.MM.YY"),TEXT(TODAY(),"[$-0809]"&amp;"TT.MM.JJ")))</f>
        <v>Yearly balance by
   eom      22.05.18</v>
      </c>
      <c r="AP10" s="156"/>
      <c r="AQ10" s="163"/>
    </row>
    <row r="11" s="164" customFormat="true" ht="12" hidden="true" customHeight="true" outlineLevel="0" collapsed="false">
      <c r="A11" s="157" t="s">
        <v>126</v>
      </c>
      <c r="B11" s="165" t="n">
        <f aca="true">IFERROR(OFFSET(T.Feiertage.Bereich,MATCH(B$10,T.Feiertage.Bereich,0)-1,1,1,1),1)</f>
        <v>0</v>
      </c>
      <c r="C11" s="165" t="n">
        <f aca="true">IFERROR(OFFSET(T.Feiertage.Bereich,MATCH(C$10,T.Feiertage.Bereich,0)-1,1,1,1),1)</f>
        <v>1</v>
      </c>
      <c r="D11" s="165" t="n">
        <f aca="true">IFERROR(OFFSET(T.Feiertage.Bereich,MATCH(D$10,T.Feiertage.Bereich,0)-1,1,1,1),1)</f>
        <v>1</v>
      </c>
      <c r="E11" s="166" t="n">
        <f aca="true">IFERROR(OFFSET(T.Feiertage.Bereich,MATCH(E$10,T.Feiertage.Bereich,0)-1,1,1,1),1)</f>
        <v>1</v>
      </c>
      <c r="F11" s="165" t="n">
        <f aca="true">IFERROR(OFFSET(T.Feiertage.Bereich,MATCH(F$10,T.Feiertage.Bereich,0)-1,1,1,1),1)</f>
        <v>1</v>
      </c>
      <c r="G11" s="165" t="n">
        <f aca="true">IFERROR(OFFSET(T.Feiertage.Bereich,MATCH(G$10,T.Feiertage.Bereich,0)-1,1,1,1),1)</f>
        <v>1</v>
      </c>
      <c r="H11" s="165" t="n">
        <f aca="true">IFERROR(OFFSET(T.Feiertage.Bereich,MATCH(H$10,T.Feiertage.Bereich,0)-1,1,1,1),1)</f>
        <v>1</v>
      </c>
      <c r="I11" s="165" t="n">
        <f aca="true">IFERROR(OFFSET(T.Feiertage.Bereich,MATCH(I$10,T.Feiertage.Bereich,0)-1,1,1,1),1)</f>
        <v>1</v>
      </c>
      <c r="J11" s="166" t="n">
        <f aca="true">IFERROR(OFFSET(T.Feiertage.Bereich,MATCH(J$10,T.Feiertage.Bereich,0)-1,1,1,1),1)</f>
        <v>0.714285714285714</v>
      </c>
      <c r="K11" s="165" t="n">
        <f aca="true">IFERROR(OFFSET(T.Feiertage.Bereich,MATCH(K$10,T.Feiertage.Bereich,0)-1,1,1,1),1)</f>
        <v>0</v>
      </c>
      <c r="L11" s="166" t="n">
        <f aca="true">IFERROR(OFFSET(T.Feiertage.Bereich,MATCH(L$10,T.Feiertage.Bereich,0)-1,1,1,1),1)</f>
        <v>1</v>
      </c>
      <c r="M11" s="165" t="n">
        <f aca="true">IFERROR(OFFSET(T.Feiertage.Bereich,MATCH(M$10,T.Feiertage.Bereich,0)-1,1,1,1),1)</f>
        <v>1</v>
      </c>
      <c r="N11" s="165" t="n">
        <f aca="true">IFERROR(OFFSET(T.Feiertage.Bereich,MATCH(N$10,T.Feiertage.Bereich,0)-1,1,1,1),1)</f>
        <v>1</v>
      </c>
      <c r="O11" s="165" t="n">
        <f aca="true">IFERROR(OFFSET(T.Feiertage.Bereich,MATCH(O$10,T.Feiertage.Bereich,0)-1,1,1,1),1)</f>
        <v>1</v>
      </c>
      <c r="P11" s="165" t="n">
        <f aca="true">IFERROR(OFFSET(T.Feiertage.Bereich,MATCH(P$10,T.Feiertage.Bereich,0)-1,1,1,1),1)</f>
        <v>1</v>
      </c>
      <c r="Q11" s="166" t="n">
        <f aca="true">IFERROR(OFFSET(T.Feiertage.Bereich,MATCH(Q$10,T.Feiertage.Bereich,0)-1,1,1,1),1)</f>
        <v>1</v>
      </c>
      <c r="R11" s="165" t="n">
        <f aca="true">IFERROR(OFFSET(T.Feiertage.Bereich,MATCH(R$10,T.Feiertage.Bereich,0)-1,1,1,1),1)</f>
        <v>1</v>
      </c>
      <c r="S11" s="166" t="n">
        <f aca="true">IFERROR(OFFSET(T.Feiertage.Bereich,MATCH(S$10,T.Feiertage.Bereich,0)-1,1,1,1),1)</f>
        <v>1</v>
      </c>
      <c r="T11" s="166" t="n">
        <f aca="true">IFERROR(OFFSET(T.Feiertage.Bereich,MATCH(T$10,T.Feiertage.Bereich,0)-1,1,1,1),1)</f>
        <v>1</v>
      </c>
      <c r="U11" s="165" t="n">
        <f aca="true">IFERROR(OFFSET(T.Feiertage.Bereich,MATCH(U$10,T.Feiertage.Bereich,0)-1,1,1,1),1)</f>
        <v>1</v>
      </c>
      <c r="V11" s="165" t="n">
        <f aca="true">IFERROR(OFFSET(T.Feiertage.Bereich,MATCH(V$10,T.Feiertage.Bereich,0)-1,1,1,1),1)</f>
        <v>0</v>
      </c>
      <c r="W11" s="165" t="n">
        <f aca="true">IFERROR(OFFSET(T.Feiertage.Bereich,MATCH(W$10,T.Feiertage.Bereich,0)-1,1,1,1),1)</f>
        <v>1</v>
      </c>
      <c r="X11" s="166" t="n">
        <f aca="true">IFERROR(OFFSET(T.Feiertage.Bereich,MATCH(X$10,T.Feiertage.Bereich,0)-1,1,1,1),1)</f>
        <v>1</v>
      </c>
      <c r="Y11" s="165" t="n">
        <f aca="true">IFERROR(OFFSET(T.Feiertage.Bereich,MATCH(Y$10,T.Feiertage.Bereich,0)-1,1,1,1),1)</f>
        <v>1</v>
      </c>
      <c r="Z11" s="167" t="n">
        <f aca="true">IFERROR(OFFSET(T.Feiertage.Bereich,MATCH(Z$10,T.Feiertage.Bereich,0)-1,1,1,1),1)</f>
        <v>1</v>
      </c>
      <c r="AA11" s="165" t="n">
        <f aca="true">IFERROR(OFFSET(T.Feiertage.Bereich,MATCH(AA$10,T.Feiertage.Bereich,0)-1,1,1,1),1)</f>
        <v>1</v>
      </c>
      <c r="AB11" s="165" t="n">
        <f aca="true">IFERROR(OFFSET(T.Feiertage.Bereich,MATCH(AB$10,T.Feiertage.Bereich,0)-1,1,1,1),1)</f>
        <v>1</v>
      </c>
      <c r="AC11" s="165" t="n">
        <f aca="true">IFERROR(OFFSET(T.Feiertage.Bereich,MATCH(AC$10,T.Feiertage.Bereich,0)-1,1,1,1),1)</f>
        <v>1</v>
      </c>
      <c r="AD11" s="165" t="n">
        <f aca="true">IFERROR(OFFSET(T.Feiertage.Bereich,MATCH(AD$10,T.Feiertage.Bereich,0)-1,1,1,1),1)</f>
        <v>1</v>
      </c>
      <c r="AE11" s="166" t="n">
        <f aca="true">IFERROR(OFFSET(T.Feiertage.Bereich,MATCH(AE$10,T.Feiertage.Bereich,0)-1,1,1,1),1)</f>
        <v>1</v>
      </c>
      <c r="AF11" s="165" t="n">
        <f aca="true">IFERROR(OFFSET(T.Feiertage.Bereich,MATCH(AF$10,T.Feiertage.Bereich,0)-1,1,1,1),1)</f>
        <v>1</v>
      </c>
      <c r="AG11" s="168"/>
      <c r="AH11" s="146"/>
      <c r="AI11" s="169"/>
      <c r="AJ11" s="170"/>
      <c r="AK11" s="171"/>
      <c r="AL11" s="172"/>
      <c r="AM11" s="172"/>
      <c r="AN11" s="171"/>
      <c r="AO11" s="172"/>
      <c r="AP11" s="172"/>
      <c r="AQ11" s="163"/>
    </row>
    <row r="12" s="164" customFormat="true" ht="12" hidden="true" customHeight="true" outlineLevel="0" collapsed="false">
      <c r="A12" s="157" t="s">
        <v>127</v>
      </c>
      <c r="B12" s="173" t="n">
        <f aca="false">IF(OR(AND(ISNUMBER(EB.UJEintritt),EB.UJEintritt&gt;=B$10+1),AND(ISNUMBER(EB.UJAustritt),EB.UJAustritt&lt;=B$10-1)),0,1)</f>
        <v>1</v>
      </c>
      <c r="C12" s="173" t="n">
        <f aca="false">IF(OR(AND(ISNUMBER(EB.UJEintritt),EB.UJEintritt&gt;=C$10+1),AND(ISNUMBER(EB.UJAustritt),EB.UJAustritt&lt;=C$10-1)),0,1)</f>
        <v>1</v>
      </c>
      <c r="D12" s="173" t="n">
        <f aca="false">IF(OR(AND(ISNUMBER(EB.UJEintritt),EB.UJEintritt&gt;=D$10+1),AND(ISNUMBER(EB.UJAustritt),EB.UJAustritt&lt;=D$10-1)),0,1)</f>
        <v>1</v>
      </c>
      <c r="E12" s="156" t="n">
        <f aca="false">IF(OR(AND(ISNUMBER(EB.UJEintritt),EB.UJEintritt&gt;=E$10+1),AND(ISNUMBER(EB.UJAustritt),EB.UJAustritt&lt;=E$10-1)),0,1)</f>
        <v>1</v>
      </c>
      <c r="F12" s="173" t="n">
        <f aca="false">IF(OR(AND(ISNUMBER(EB.UJEintritt),EB.UJEintritt&gt;=F$10+1),AND(ISNUMBER(EB.UJAustritt),EB.UJAustritt&lt;=F$10-1)),0,1)</f>
        <v>1</v>
      </c>
      <c r="G12" s="173" t="n">
        <f aca="false">IF(OR(AND(ISNUMBER(EB.UJEintritt),EB.UJEintritt&gt;=G$10+1),AND(ISNUMBER(EB.UJAustritt),EB.UJAustritt&lt;=G$10-1)),0,1)</f>
        <v>1</v>
      </c>
      <c r="H12" s="173" t="n">
        <f aca="false">IF(OR(AND(ISNUMBER(EB.UJEintritt),EB.UJEintritt&gt;=H$10+1),AND(ISNUMBER(EB.UJAustritt),EB.UJAustritt&lt;=H$10-1)),0,1)</f>
        <v>1</v>
      </c>
      <c r="I12" s="173" t="n">
        <f aca="false">IF(OR(AND(ISNUMBER(EB.UJEintritt),EB.UJEintritt&gt;=I$10+1),AND(ISNUMBER(EB.UJAustritt),EB.UJAustritt&lt;=I$10-1)),0,1)</f>
        <v>1</v>
      </c>
      <c r="J12" s="156" t="n">
        <f aca="false">IF(OR(AND(ISNUMBER(EB.UJEintritt),EB.UJEintritt&gt;=J$10+1),AND(ISNUMBER(EB.UJAustritt),EB.UJAustritt&lt;=J$10-1)),0,1)</f>
        <v>1</v>
      </c>
      <c r="K12" s="173" t="n">
        <f aca="false">IF(OR(AND(ISNUMBER(EB.UJEintritt),EB.UJEintritt&gt;=K$10+1),AND(ISNUMBER(EB.UJAustritt),EB.UJAustritt&lt;=K$10-1)),0,1)</f>
        <v>1</v>
      </c>
      <c r="L12" s="156" t="n">
        <f aca="false">IF(OR(AND(ISNUMBER(EB.UJEintritt),EB.UJEintritt&gt;=L$10+1),AND(ISNUMBER(EB.UJAustritt),EB.UJAustritt&lt;=L$10-1)),0,1)</f>
        <v>1</v>
      </c>
      <c r="M12" s="173" t="n">
        <f aca="false">IF(OR(AND(ISNUMBER(EB.UJEintritt),EB.UJEintritt&gt;=M$10+1),AND(ISNUMBER(EB.UJAustritt),EB.UJAustritt&lt;=M$10-1)),0,1)</f>
        <v>1</v>
      </c>
      <c r="N12" s="173" t="n">
        <f aca="false">IF(OR(AND(ISNUMBER(EB.UJEintritt),EB.UJEintritt&gt;=N$10+1),AND(ISNUMBER(EB.UJAustritt),EB.UJAustritt&lt;=N$10-1)),0,1)</f>
        <v>1</v>
      </c>
      <c r="O12" s="173" t="n">
        <f aca="false">IF(OR(AND(ISNUMBER(EB.UJEintritt),EB.UJEintritt&gt;=O$10+1),AND(ISNUMBER(EB.UJAustritt),EB.UJAustritt&lt;=O$10-1)),0,1)</f>
        <v>1</v>
      </c>
      <c r="P12" s="173" t="n">
        <f aca="false">IF(OR(AND(ISNUMBER(EB.UJEintritt),EB.UJEintritt&gt;=P$10+1),AND(ISNUMBER(EB.UJAustritt),EB.UJAustritt&lt;=P$10-1)),0,1)</f>
        <v>1</v>
      </c>
      <c r="Q12" s="156" t="n">
        <f aca="false">IF(OR(AND(ISNUMBER(EB.UJEintritt),EB.UJEintritt&gt;=Q$10+1),AND(ISNUMBER(EB.UJAustritt),EB.UJAustritt&lt;=Q$10-1)),0,1)</f>
        <v>1</v>
      </c>
      <c r="R12" s="173" t="n">
        <f aca="false">IF(OR(AND(ISNUMBER(EB.UJEintritt),EB.UJEintritt&gt;=R$10+1),AND(ISNUMBER(EB.UJAustritt),EB.UJAustritt&lt;=R$10-1)),0,1)</f>
        <v>1</v>
      </c>
      <c r="S12" s="156" t="n">
        <f aca="false">IF(OR(AND(ISNUMBER(EB.UJEintritt),EB.UJEintritt&gt;=S$10+1),AND(ISNUMBER(EB.UJAustritt),EB.UJAustritt&lt;=S$10-1)),0,1)</f>
        <v>1</v>
      </c>
      <c r="T12" s="156" t="n">
        <f aca="false">IF(OR(AND(ISNUMBER(EB.UJEintritt),EB.UJEintritt&gt;=T$10+1),AND(ISNUMBER(EB.UJAustritt),EB.UJAustritt&lt;=T$10-1)),0,1)</f>
        <v>1</v>
      </c>
      <c r="U12" s="173" t="n">
        <f aca="false">IF(OR(AND(ISNUMBER(EB.UJEintritt),EB.UJEintritt&gt;=U$10+1),AND(ISNUMBER(EB.UJAustritt),EB.UJAustritt&lt;=U$10-1)),0,1)</f>
        <v>1</v>
      </c>
      <c r="V12" s="173" t="n">
        <f aca="false">IF(OR(AND(ISNUMBER(EB.UJEintritt),EB.UJEintritt&gt;=V$10+1),AND(ISNUMBER(EB.UJAustritt),EB.UJAustritt&lt;=V$10-1)),0,1)</f>
        <v>1</v>
      </c>
      <c r="W12" s="173" t="n">
        <f aca="false">IF(OR(AND(ISNUMBER(EB.UJEintritt),EB.UJEintritt&gt;=W$10+1),AND(ISNUMBER(EB.UJAustritt),EB.UJAustritt&lt;=W$10-1)),0,1)</f>
        <v>1</v>
      </c>
      <c r="X12" s="156" t="n">
        <f aca="false">IF(OR(AND(ISNUMBER(EB.UJEintritt),EB.UJEintritt&gt;=X$10+1),AND(ISNUMBER(EB.UJAustritt),EB.UJAustritt&lt;=X$10-1)),0,1)</f>
        <v>1</v>
      </c>
      <c r="Y12" s="173" t="n">
        <f aca="false">IF(OR(AND(ISNUMBER(EB.UJEintritt),EB.UJEintritt&gt;=Y$10+1),AND(ISNUMBER(EB.UJAustritt),EB.UJAustritt&lt;=Y$10-1)),0,1)</f>
        <v>1</v>
      </c>
      <c r="Z12" s="174" t="n">
        <f aca="false">IF(OR(AND(ISNUMBER(EB.UJEintritt),EB.UJEintritt&gt;=Z$10+1),AND(ISNUMBER(EB.UJAustritt),EB.UJAustritt&lt;=Z$10-1)),0,1)</f>
        <v>1</v>
      </c>
      <c r="AA12" s="173" t="n">
        <f aca="false">IF(OR(AND(ISNUMBER(EB.UJEintritt),EB.UJEintritt&gt;=AA$10+1),AND(ISNUMBER(EB.UJAustritt),EB.UJAustritt&lt;=AA$10-1)),0,1)</f>
        <v>1</v>
      </c>
      <c r="AB12" s="173" t="n">
        <f aca="false">IF(OR(AND(ISNUMBER(EB.UJEintritt),EB.UJEintritt&gt;=AB$10+1),AND(ISNUMBER(EB.UJAustritt),EB.UJAustritt&lt;=AB$10-1)),0,1)</f>
        <v>1</v>
      </c>
      <c r="AC12" s="173" t="n">
        <f aca="false">IF(OR(AND(ISNUMBER(EB.UJEintritt),EB.UJEintritt&gt;=AC$10+1),AND(ISNUMBER(EB.UJAustritt),EB.UJAustritt&lt;=AC$10-1)),0,1)</f>
        <v>1</v>
      </c>
      <c r="AD12" s="173" t="n">
        <f aca="false">IF(OR(AND(ISNUMBER(EB.UJEintritt),EB.UJEintritt&gt;=AD$10+1),AND(ISNUMBER(EB.UJAustritt),EB.UJAustritt&lt;=AD$10-1)),0,1)</f>
        <v>1</v>
      </c>
      <c r="AE12" s="156" t="n">
        <f aca="false">IF(OR(AND(ISNUMBER(EB.UJEintritt),EB.UJEintritt&gt;=AE$10+1),AND(ISNUMBER(EB.UJAustritt),EB.UJAustritt&lt;=AE$10-1)),0,1)</f>
        <v>1</v>
      </c>
      <c r="AF12" s="173" t="n">
        <f aca="false">IF(OR(AND(ISNUMBER(EB.UJEintritt),EB.UJEintritt&gt;=AF$10+1),AND(ISNUMBER(EB.UJAustritt),EB.UJAustritt&lt;=AF$10-1)),0,1)</f>
        <v>1</v>
      </c>
      <c r="AG12" s="168"/>
      <c r="AH12" s="146"/>
      <c r="AI12" s="169"/>
      <c r="AJ12" s="170"/>
      <c r="AK12" s="171"/>
      <c r="AL12" s="172"/>
      <c r="AM12" s="172"/>
      <c r="AN12" s="171"/>
      <c r="AO12" s="172"/>
      <c r="AP12" s="172"/>
      <c r="AQ12" s="163"/>
    </row>
    <row r="13" s="148" customFormat="true" ht="15" hidden="false" customHeight="true" outlineLevel="0" collapsed="false">
      <c r="A13" s="175" t="s">
        <v>128</v>
      </c>
      <c r="B13" s="176" t="n">
        <v>0</v>
      </c>
      <c r="C13" s="176" t="n">
        <v>0.3125</v>
      </c>
      <c r="D13" s="176" t="n">
        <v>0.3125</v>
      </c>
      <c r="E13" s="177" t="n">
        <v>0.305555555555556</v>
      </c>
      <c r="F13" s="176"/>
      <c r="G13" s="176"/>
      <c r="H13" s="176" t="n">
        <v>0.305555555555556</v>
      </c>
      <c r="I13" s="291" t="n">
        <v>0.305555555555555</v>
      </c>
      <c r="J13" s="177" t="n">
        <v>0.3125</v>
      </c>
      <c r="K13" s="176" t="n">
        <v>0</v>
      </c>
      <c r="L13" s="177" t="n">
        <v>0</v>
      </c>
      <c r="M13" s="176"/>
      <c r="N13" s="176"/>
      <c r="O13" s="176" t="n">
        <v>0.333333333333333</v>
      </c>
      <c r="P13" s="176" t="n">
        <v>0.291666666666667</v>
      </c>
      <c r="Q13" s="177" t="n">
        <v>0.305555555555556</v>
      </c>
      <c r="R13" s="176" t="n">
        <v>0.291666666666667</v>
      </c>
      <c r="S13" s="177" t="n">
        <v>0.3125</v>
      </c>
      <c r="T13" s="177"/>
      <c r="U13" s="176"/>
      <c r="V13" s="176" t="n">
        <v>0.298611111111111</v>
      </c>
      <c r="W13" s="176" t="n">
        <v>0.298611111111111</v>
      </c>
      <c r="X13" s="177"/>
      <c r="Y13" s="176"/>
      <c r="Z13" s="178"/>
      <c r="AA13" s="176"/>
      <c r="AB13" s="176"/>
      <c r="AC13" s="176"/>
      <c r="AD13" s="176"/>
      <c r="AE13" s="177"/>
      <c r="AF13" s="176"/>
      <c r="AG13" s="168" t="str">
        <f aca="false">A13</f>
        <v>in</v>
      </c>
      <c r="AH13" s="146"/>
      <c r="AI13" s="169"/>
      <c r="AJ13" s="170"/>
      <c r="AK13" s="171"/>
      <c r="AL13" s="172"/>
      <c r="AM13" s="172"/>
      <c r="AN13" s="171"/>
      <c r="AO13" s="172"/>
      <c r="AP13" s="172"/>
      <c r="AQ13" s="39"/>
    </row>
    <row r="14" s="148" customFormat="true" ht="15" hidden="false" customHeight="true" outlineLevel="0" collapsed="false">
      <c r="A14" s="175" t="s">
        <v>129</v>
      </c>
      <c r="B14" s="176" t="n">
        <v>0</v>
      </c>
      <c r="C14" s="176" t="n">
        <v>0.666666666666667</v>
      </c>
      <c r="D14" s="176" t="n">
        <v>0.708333333333333</v>
      </c>
      <c r="E14" s="177" t="n">
        <v>0.75</v>
      </c>
      <c r="F14" s="176"/>
      <c r="G14" s="176"/>
      <c r="H14" s="176" t="n">
        <v>0.708333333333333</v>
      </c>
      <c r="I14" s="176" t="n">
        <v>0.729166666666667</v>
      </c>
      <c r="J14" s="177" t="n">
        <v>0.604166666666667</v>
      </c>
      <c r="K14" s="176"/>
      <c r="L14" s="177" t="n">
        <v>0</v>
      </c>
      <c r="M14" s="176"/>
      <c r="N14" s="176"/>
      <c r="O14" s="176" t="n">
        <v>0.708333333333333</v>
      </c>
      <c r="P14" s="176" t="n">
        <v>0.722222222222222</v>
      </c>
      <c r="Q14" s="177" t="n">
        <v>0.75</v>
      </c>
      <c r="R14" s="176" t="n">
        <v>0.666666666666667</v>
      </c>
      <c r="S14" s="177" t="n">
        <v>0.729166666666667</v>
      </c>
      <c r="T14" s="177"/>
      <c r="U14" s="176"/>
      <c r="V14" s="176"/>
      <c r="W14" s="176"/>
      <c r="X14" s="177"/>
      <c r="Y14" s="176"/>
      <c r="Z14" s="178"/>
      <c r="AA14" s="176"/>
      <c r="AB14" s="176"/>
      <c r="AC14" s="176"/>
      <c r="AD14" s="176"/>
      <c r="AE14" s="177"/>
      <c r="AF14" s="176"/>
      <c r="AG14" s="168" t="str">
        <f aca="false">A14</f>
        <v>out</v>
      </c>
      <c r="AH14" s="146"/>
      <c r="AI14" s="169"/>
      <c r="AJ14" s="170"/>
      <c r="AK14" s="171"/>
      <c r="AL14" s="172"/>
      <c r="AM14" s="172"/>
      <c r="AN14" s="171"/>
      <c r="AO14" s="172"/>
      <c r="AP14" s="172"/>
      <c r="AQ14" s="39"/>
    </row>
    <row r="15" s="148" customFormat="true" ht="15" hidden="false" customHeight="true" outlineLevel="0" collapsed="false">
      <c r="A15" s="175" t="s">
        <v>128</v>
      </c>
      <c r="B15" s="176"/>
      <c r="C15" s="176"/>
      <c r="D15" s="176"/>
      <c r="E15" s="177"/>
      <c r="F15" s="176"/>
      <c r="G15" s="176"/>
      <c r="H15" s="176"/>
      <c r="I15" s="176"/>
      <c r="J15" s="177"/>
      <c r="K15" s="176"/>
      <c r="L15" s="177"/>
      <c r="M15" s="176"/>
      <c r="N15" s="176"/>
      <c r="O15" s="176"/>
      <c r="P15" s="176"/>
      <c r="Q15" s="177"/>
      <c r="R15" s="176"/>
      <c r="S15" s="177"/>
      <c r="T15" s="177"/>
      <c r="U15" s="176"/>
      <c r="V15" s="176"/>
      <c r="W15" s="176"/>
      <c r="X15" s="177"/>
      <c r="Y15" s="176"/>
      <c r="Z15" s="178"/>
      <c r="AA15" s="176"/>
      <c r="AB15" s="176"/>
      <c r="AC15" s="176"/>
      <c r="AD15" s="176"/>
      <c r="AE15" s="177"/>
      <c r="AF15" s="176"/>
      <c r="AG15" s="168" t="str">
        <f aca="false">A15</f>
        <v>in</v>
      </c>
      <c r="AH15" s="146"/>
      <c r="AI15" s="169"/>
      <c r="AJ15" s="170"/>
      <c r="AK15" s="171"/>
      <c r="AL15" s="172"/>
      <c r="AM15" s="172"/>
      <c r="AN15" s="171"/>
      <c r="AO15" s="172"/>
      <c r="AP15" s="172"/>
      <c r="AQ15" s="39"/>
    </row>
    <row r="16" s="148" customFormat="true" ht="15" hidden="false" customHeight="true" outlineLevel="0" collapsed="false">
      <c r="A16" s="175" t="s">
        <v>129</v>
      </c>
      <c r="B16" s="176"/>
      <c r="C16" s="176"/>
      <c r="D16" s="176"/>
      <c r="E16" s="177"/>
      <c r="F16" s="176"/>
      <c r="G16" s="176"/>
      <c r="H16" s="176"/>
      <c r="I16" s="176"/>
      <c r="J16" s="177"/>
      <c r="K16" s="176"/>
      <c r="L16" s="177"/>
      <c r="M16" s="176"/>
      <c r="N16" s="176"/>
      <c r="O16" s="176"/>
      <c r="P16" s="176"/>
      <c r="Q16" s="177"/>
      <c r="R16" s="176"/>
      <c r="S16" s="177"/>
      <c r="T16" s="177"/>
      <c r="U16" s="176"/>
      <c r="V16" s="176"/>
      <c r="W16" s="176"/>
      <c r="X16" s="177"/>
      <c r="Y16" s="176"/>
      <c r="Z16" s="178"/>
      <c r="AA16" s="176"/>
      <c r="AB16" s="176"/>
      <c r="AC16" s="176"/>
      <c r="AD16" s="176"/>
      <c r="AE16" s="177"/>
      <c r="AF16" s="176"/>
      <c r="AG16" s="168" t="str">
        <f aca="false">A16</f>
        <v>out</v>
      </c>
      <c r="AH16" s="146"/>
      <c r="AI16" s="179"/>
      <c r="AJ16" s="180"/>
      <c r="AK16" s="172"/>
      <c r="AL16" s="172"/>
      <c r="AM16" s="172"/>
      <c r="AN16" s="171"/>
      <c r="AO16" s="172"/>
      <c r="AP16" s="172"/>
      <c r="AQ16" s="39"/>
    </row>
    <row r="17" s="148" customFormat="true" ht="15" hidden="false" customHeight="true" outlineLevel="0" collapsed="false">
      <c r="A17" s="175" t="s">
        <v>128</v>
      </c>
      <c r="B17" s="176"/>
      <c r="C17" s="176"/>
      <c r="D17" s="176"/>
      <c r="E17" s="177"/>
      <c r="F17" s="176"/>
      <c r="G17" s="176"/>
      <c r="H17" s="176"/>
      <c r="I17" s="176"/>
      <c r="J17" s="177"/>
      <c r="K17" s="176"/>
      <c r="L17" s="177"/>
      <c r="M17" s="176"/>
      <c r="N17" s="176"/>
      <c r="O17" s="176"/>
      <c r="P17" s="176"/>
      <c r="Q17" s="177"/>
      <c r="R17" s="176"/>
      <c r="S17" s="177"/>
      <c r="T17" s="177"/>
      <c r="U17" s="176"/>
      <c r="V17" s="176"/>
      <c r="W17" s="176"/>
      <c r="X17" s="177"/>
      <c r="Y17" s="176"/>
      <c r="Z17" s="178"/>
      <c r="AA17" s="176"/>
      <c r="AB17" s="176"/>
      <c r="AC17" s="176"/>
      <c r="AD17" s="176"/>
      <c r="AE17" s="177"/>
      <c r="AF17" s="176"/>
      <c r="AG17" s="168" t="str">
        <f aca="false">A17</f>
        <v>in</v>
      </c>
      <c r="AH17" s="146"/>
      <c r="AI17" s="179"/>
      <c r="AJ17" s="180"/>
      <c r="AK17" s="172"/>
      <c r="AL17" s="172"/>
      <c r="AM17" s="172"/>
      <c r="AN17" s="171"/>
      <c r="AO17" s="172"/>
      <c r="AP17" s="172"/>
      <c r="AQ17" s="39"/>
    </row>
    <row r="18" s="148" customFormat="true" ht="15" hidden="false" customHeight="true" outlineLevel="0" collapsed="false">
      <c r="A18" s="175" t="s">
        <v>129</v>
      </c>
      <c r="B18" s="176"/>
      <c r="C18" s="176"/>
      <c r="D18" s="176"/>
      <c r="E18" s="177"/>
      <c r="F18" s="176"/>
      <c r="G18" s="176"/>
      <c r="H18" s="176"/>
      <c r="I18" s="176"/>
      <c r="J18" s="177"/>
      <c r="K18" s="176"/>
      <c r="L18" s="177"/>
      <c r="M18" s="176"/>
      <c r="N18" s="176"/>
      <c r="O18" s="176"/>
      <c r="P18" s="176"/>
      <c r="Q18" s="177"/>
      <c r="R18" s="176"/>
      <c r="S18" s="177"/>
      <c r="T18" s="177"/>
      <c r="U18" s="176"/>
      <c r="V18" s="176"/>
      <c r="W18" s="176"/>
      <c r="X18" s="177"/>
      <c r="Y18" s="176"/>
      <c r="Z18" s="178"/>
      <c r="AA18" s="176"/>
      <c r="AB18" s="176"/>
      <c r="AC18" s="176"/>
      <c r="AD18" s="176"/>
      <c r="AE18" s="177"/>
      <c r="AF18" s="176"/>
      <c r="AG18" s="168" t="str">
        <f aca="false">A18</f>
        <v>out</v>
      </c>
      <c r="AH18" s="146"/>
      <c r="AI18" s="179"/>
      <c r="AJ18" s="180"/>
      <c r="AK18" s="172"/>
      <c r="AL18" s="172"/>
      <c r="AM18" s="172"/>
      <c r="AN18" s="171"/>
      <c r="AO18" s="172"/>
      <c r="AP18" s="172"/>
      <c r="AQ18" s="39"/>
    </row>
    <row r="19" s="148" customFormat="true" ht="15" hidden="true" customHeight="true" outlineLevel="1" collapsed="false">
      <c r="A19" s="175" t="s">
        <v>128</v>
      </c>
      <c r="B19" s="176"/>
      <c r="C19" s="176"/>
      <c r="D19" s="176"/>
      <c r="E19" s="177"/>
      <c r="F19" s="176"/>
      <c r="G19" s="176"/>
      <c r="H19" s="176"/>
      <c r="I19" s="176"/>
      <c r="J19" s="177"/>
      <c r="K19" s="176"/>
      <c r="L19" s="177"/>
      <c r="M19" s="176"/>
      <c r="N19" s="176"/>
      <c r="O19" s="176"/>
      <c r="P19" s="176"/>
      <c r="Q19" s="177"/>
      <c r="R19" s="176"/>
      <c r="S19" s="177"/>
      <c r="T19" s="177"/>
      <c r="U19" s="176"/>
      <c r="V19" s="176"/>
      <c r="W19" s="176"/>
      <c r="X19" s="177"/>
      <c r="Y19" s="176"/>
      <c r="Z19" s="178"/>
      <c r="AA19" s="176"/>
      <c r="AB19" s="176"/>
      <c r="AC19" s="176"/>
      <c r="AD19" s="176"/>
      <c r="AE19" s="177"/>
      <c r="AF19" s="176"/>
      <c r="AG19" s="168" t="str">
        <f aca="false">A19</f>
        <v>in</v>
      </c>
      <c r="AH19" s="146"/>
      <c r="AI19" s="179"/>
      <c r="AJ19" s="180"/>
      <c r="AK19" s="172"/>
      <c r="AL19" s="172"/>
      <c r="AM19" s="172"/>
      <c r="AN19" s="171"/>
      <c r="AO19" s="172"/>
      <c r="AP19" s="172"/>
      <c r="AQ19" s="39"/>
    </row>
    <row r="20" s="148" customFormat="true" ht="15" hidden="true" customHeight="true" outlineLevel="1" collapsed="false">
      <c r="A20" s="175" t="s">
        <v>129</v>
      </c>
      <c r="B20" s="176"/>
      <c r="C20" s="176"/>
      <c r="D20" s="176"/>
      <c r="E20" s="177"/>
      <c r="F20" s="176"/>
      <c r="G20" s="176"/>
      <c r="H20" s="176"/>
      <c r="I20" s="176"/>
      <c r="J20" s="177"/>
      <c r="K20" s="176"/>
      <c r="L20" s="177"/>
      <c r="M20" s="176"/>
      <c r="N20" s="176"/>
      <c r="O20" s="176"/>
      <c r="P20" s="176"/>
      <c r="Q20" s="177"/>
      <c r="R20" s="176"/>
      <c r="S20" s="177"/>
      <c r="T20" s="177"/>
      <c r="U20" s="176"/>
      <c r="V20" s="176"/>
      <c r="W20" s="176"/>
      <c r="X20" s="177"/>
      <c r="Y20" s="176"/>
      <c r="Z20" s="178"/>
      <c r="AA20" s="176"/>
      <c r="AB20" s="176"/>
      <c r="AC20" s="176"/>
      <c r="AD20" s="176"/>
      <c r="AE20" s="177"/>
      <c r="AF20" s="176"/>
      <c r="AG20" s="168" t="str">
        <f aca="false">A20</f>
        <v>out</v>
      </c>
      <c r="AH20" s="146"/>
      <c r="AI20" s="179"/>
      <c r="AJ20" s="180"/>
      <c r="AK20" s="172"/>
      <c r="AL20" s="172"/>
      <c r="AM20" s="172"/>
      <c r="AN20" s="171"/>
      <c r="AO20" s="172"/>
      <c r="AP20" s="172"/>
      <c r="AQ20" s="39"/>
    </row>
    <row r="21" s="148" customFormat="true" ht="15" hidden="true" customHeight="true" outlineLevel="1" collapsed="false">
      <c r="A21" s="175" t="s">
        <v>128</v>
      </c>
      <c r="B21" s="176"/>
      <c r="C21" s="176"/>
      <c r="D21" s="176"/>
      <c r="E21" s="177"/>
      <c r="F21" s="176"/>
      <c r="G21" s="176"/>
      <c r="H21" s="176"/>
      <c r="I21" s="176"/>
      <c r="J21" s="177"/>
      <c r="K21" s="176"/>
      <c r="L21" s="177"/>
      <c r="M21" s="176"/>
      <c r="N21" s="176"/>
      <c r="O21" s="176"/>
      <c r="P21" s="176"/>
      <c r="Q21" s="177"/>
      <c r="R21" s="176"/>
      <c r="S21" s="177"/>
      <c r="T21" s="177"/>
      <c r="U21" s="176"/>
      <c r="V21" s="176"/>
      <c r="W21" s="176"/>
      <c r="X21" s="177"/>
      <c r="Y21" s="176"/>
      <c r="Z21" s="178"/>
      <c r="AA21" s="176"/>
      <c r="AB21" s="176"/>
      <c r="AC21" s="176"/>
      <c r="AD21" s="176"/>
      <c r="AE21" s="177"/>
      <c r="AF21" s="176"/>
      <c r="AG21" s="168" t="str">
        <f aca="false">A21</f>
        <v>in</v>
      </c>
      <c r="AH21" s="146"/>
      <c r="AI21" s="179"/>
      <c r="AJ21" s="180"/>
      <c r="AK21" s="172"/>
      <c r="AL21" s="172"/>
      <c r="AM21" s="172"/>
      <c r="AN21" s="171"/>
      <c r="AO21" s="172"/>
      <c r="AP21" s="172"/>
      <c r="AQ21" s="39"/>
    </row>
    <row r="22" s="148" customFormat="true" ht="15" hidden="true" customHeight="true" outlineLevel="1" collapsed="false">
      <c r="A22" s="175" t="s">
        <v>129</v>
      </c>
      <c r="B22" s="176"/>
      <c r="C22" s="176"/>
      <c r="D22" s="176"/>
      <c r="E22" s="177"/>
      <c r="F22" s="176"/>
      <c r="G22" s="176"/>
      <c r="H22" s="176"/>
      <c r="I22" s="176"/>
      <c r="J22" s="177"/>
      <c r="K22" s="176"/>
      <c r="L22" s="177"/>
      <c r="M22" s="176"/>
      <c r="N22" s="176"/>
      <c r="O22" s="176"/>
      <c r="P22" s="176"/>
      <c r="Q22" s="177"/>
      <c r="R22" s="176"/>
      <c r="S22" s="177"/>
      <c r="T22" s="177"/>
      <c r="U22" s="176"/>
      <c r="V22" s="176"/>
      <c r="W22" s="176"/>
      <c r="X22" s="177"/>
      <c r="Y22" s="176"/>
      <c r="Z22" s="178"/>
      <c r="AA22" s="176"/>
      <c r="AB22" s="176"/>
      <c r="AC22" s="176"/>
      <c r="AD22" s="176"/>
      <c r="AE22" s="177"/>
      <c r="AF22" s="176"/>
      <c r="AG22" s="168" t="str">
        <f aca="false">A22</f>
        <v>out</v>
      </c>
      <c r="AH22" s="146"/>
      <c r="AI22" s="179"/>
      <c r="AJ22" s="180"/>
      <c r="AK22" s="172"/>
      <c r="AL22" s="172"/>
      <c r="AM22" s="172"/>
      <c r="AN22" s="171"/>
      <c r="AO22" s="172"/>
      <c r="AP22" s="172"/>
      <c r="AQ22" s="39"/>
    </row>
    <row r="23" s="148" customFormat="true" ht="15" hidden="false" customHeight="true" outlineLevel="0" collapsed="false">
      <c r="A23" s="181" t="s">
        <v>130</v>
      </c>
      <c r="B23" s="182" t="n">
        <f aca="false">ROUND((B14-B13)+(B16-B15)+(B18-B17)+(B20-B19)+(B22-B21),9)</f>
        <v>0</v>
      </c>
      <c r="C23" s="182" t="n">
        <f aca="false">ROUND((C14-C13)+(C16-C15)+(C18-C17)+(C20-C19)+(C22-C21),9)</f>
        <v>0.354166667</v>
      </c>
      <c r="D23" s="182" t="n">
        <f aca="false">ROUND((D14-D13)+(D16-D15)+(D18-D17)+(D20-D19)+(D22-D21),9)</f>
        <v>0.395833333</v>
      </c>
      <c r="E23" s="182" t="n">
        <f aca="false">ROUND((E14-E13)+(E16-E15)+(E18-E17)+(E20-E19)+(E22-E21),9)</f>
        <v>0.444444444</v>
      </c>
      <c r="F23" s="182" t="n">
        <f aca="false">ROUND((F14-F13)+(F16-F15)+(F18-F17)+(F20-F19)+(F22-F21),9)</f>
        <v>0</v>
      </c>
      <c r="G23" s="182" t="n">
        <f aca="false">ROUND((G14-G13)+(G16-G15)+(G18-G17)+(G20-G19)+(G22-G21),9)</f>
        <v>0</v>
      </c>
      <c r="H23" s="182" t="n">
        <f aca="false">ROUND((H14-H13)+(H16-H15)+(H18-H17)+(H20-H19)+(H22-H21),9)</f>
        <v>0.402777778</v>
      </c>
      <c r="I23" s="182" t="n">
        <f aca="false">ROUND((I14-I13)+(I16-I15)+(I18-I17)+(I20-I19)+(I22-I21),9)</f>
        <v>0.423611111</v>
      </c>
      <c r="J23" s="182" t="n">
        <f aca="false">ROUND((J14-J13)+(J16-J15)+(J18-J17)+(J20-J19)+(J22-J21),9)</f>
        <v>0.291666667</v>
      </c>
      <c r="K23" s="182" t="n">
        <f aca="false">ROUND((K14-K13)+(K16-K15)+(K18-K17)+(K20-K19)+(K22-K21),9)</f>
        <v>0</v>
      </c>
      <c r="L23" s="182" t="n">
        <f aca="false">ROUND((L14-L13)+(L16-L15)+(L18-L17)+(L20-L19)+(L22-L21),9)</f>
        <v>0</v>
      </c>
      <c r="M23" s="182" t="n">
        <f aca="false">ROUND((M14-M13)+(M16-M15)+(M18-M17)+(M20-M19)+(M22-M21),9)</f>
        <v>0</v>
      </c>
      <c r="N23" s="182" t="n">
        <f aca="false">ROUND((N14-N13)+(N16-N15)+(N18-N17)+(N20-N19)+(N22-N21),9)</f>
        <v>0</v>
      </c>
      <c r="O23" s="182" t="n">
        <f aca="false">ROUND((O14-O13)+(O16-O15)+(O18-O17)+(O20-O19)+(O22-O21),9)</f>
        <v>0.375</v>
      </c>
      <c r="P23" s="182" t="n">
        <f aca="false">ROUND((P14-P13)+(P16-P15)+(P18-P17)+(P20-P19)+(P22-P21),9)</f>
        <v>0.430555556</v>
      </c>
      <c r="Q23" s="182" t="n">
        <f aca="false">ROUND((Q14-Q13)+(Q16-Q15)+(Q18-Q17)+(Q20-Q19)+(Q22-Q21),9)</f>
        <v>0.444444444</v>
      </c>
      <c r="R23" s="182" t="n">
        <f aca="false">ROUND((R14-R13)+(R16-R15)+(R18-R17)+(R20-R19)+(R22-R21),9)</f>
        <v>0.375</v>
      </c>
      <c r="S23" s="182" t="n">
        <f aca="false">ROUND((S14-S13)+(S16-S15)+(S18-S17)+(S20-S19)+(S22-S21),9)</f>
        <v>0.416666667</v>
      </c>
      <c r="T23" s="182" t="n">
        <f aca="false">ROUND((T14-T13)+(T16-T15)+(T18-T17)+(T20-T19)+(T22-T21),9)</f>
        <v>0</v>
      </c>
      <c r="U23" s="182" t="n">
        <f aca="false">ROUND((U14-U13)+(U16-U15)+(U18-U17)+(U20-U19)+(U22-U21),9)</f>
        <v>0</v>
      </c>
      <c r="V23" s="182" t="n">
        <f aca="false">ROUND((V14-V13)+(V16-V15)+(V18-V17)+(V20-V19)+(V22-V21),9)</f>
        <v>-0.298611111</v>
      </c>
      <c r="W23" s="182" t="n">
        <f aca="false">ROUND((W14-W13)+(W16-W15)+(W18-W17)+(W20-W19)+(W22-W21),9)</f>
        <v>-0.298611111</v>
      </c>
      <c r="X23" s="182" t="n">
        <f aca="false">ROUND((X14-X13)+(X16-X15)+(X18-X17)+(X20-X19)+(X22-X21),9)</f>
        <v>0</v>
      </c>
      <c r="Y23" s="182" t="n">
        <f aca="false">ROUND((Y14-Y13)+(Y16-Y15)+(Y18-Y17)+(Y20-Y19)+(Y22-Y21),9)</f>
        <v>0</v>
      </c>
      <c r="Z23" s="182" t="n">
        <f aca="false">ROUND((Z14-Z13)+(Z16-Z15)+(Z18-Z17)+(Z20-Z19)+(Z22-Z21),9)</f>
        <v>0</v>
      </c>
      <c r="AA23" s="182" t="n">
        <f aca="false">ROUND((AA14-AA13)+(AA16-AA15)+(AA18-AA17)+(AA20-AA19)+(AA22-AA21),9)</f>
        <v>0</v>
      </c>
      <c r="AB23" s="182" t="n">
        <f aca="false">ROUND((AB14-AB13)+(AB16-AB15)+(AB18-AB17)+(AB20-AB19)+(AB22-AB21),9)</f>
        <v>0</v>
      </c>
      <c r="AC23" s="182" t="n">
        <f aca="false">ROUND((AC14-AC13)+(AC16-AC15)+(AC18-AC17)+(AC20-AC19)+(AC22-AC21),9)</f>
        <v>0</v>
      </c>
      <c r="AD23" s="182" t="n">
        <f aca="false">ROUND((AD14-AD13)+(AD16-AD15)+(AD18-AD17)+(AD20-AD19)+(AD22-AD21),9)</f>
        <v>0</v>
      </c>
      <c r="AE23" s="182" t="n">
        <f aca="false">ROUND((AE14-AE13)+(AE16-AE15)+(AE18-AE17)+(AE20-AE19)+(AE22-AE21),9)</f>
        <v>0</v>
      </c>
      <c r="AF23" s="182" t="n">
        <f aca="false">ROUND((AF14-AF13)+(AF16-AF15)+(AF18-AF17)+(AF20-AF19)+(AF22-AF21),9)</f>
        <v>0</v>
      </c>
      <c r="AG23" s="183" t="str">
        <f aca="false">A23</f>
        <v>Total in/out</v>
      </c>
      <c r="AH23" s="184"/>
      <c r="AI23" s="185" t="n">
        <f aca="false">SUM(B23:AF23)</f>
        <v>3.756944445</v>
      </c>
      <c r="AJ23" s="180"/>
      <c r="AK23" s="172"/>
      <c r="AL23" s="172"/>
      <c r="AM23" s="172"/>
      <c r="AN23" s="171"/>
      <c r="AO23" s="172"/>
      <c r="AP23" s="172"/>
      <c r="AQ23" s="39"/>
    </row>
    <row r="24" s="148" customFormat="true" ht="3.75" hidden="true" customHeight="true" outlineLevel="1" collapsed="false">
      <c r="A24" s="186"/>
      <c r="B24" s="187"/>
      <c r="C24" s="187"/>
      <c r="D24" s="187"/>
      <c r="E24" s="187"/>
      <c r="F24" s="187"/>
      <c r="G24" s="187"/>
      <c r="H24" s="187"/>
      <c r="I24" s="187"/>
      <c r="J24" s="187"/>
      <c r="K24" s="187"/>
      <c r="L24" s="187"/>
      <c r="M24" s="187"/>
      <c r="N24" s="187"/>
      <c r="O24" s="187"/>
      <c r="P24" s="187"/>
      <c r="Q24" s="187"/>
      <c r="R24" s="187"/>
      <c r="S24" s="187"/>
      <c r="T24" s="187"/>
      <c r="U24" s="187"/>
      <c r="V24" s="187"/>
      <c r="W24" s="187"/>
      <c r="X24" s="187"/>
      <c r="Y24" s="187"/>
      <c r="Z24" s="187"/>
      <c r="AA24" s="187"/>
      <c r="AB24" s="187"/>
      <c r="AC24" s="187"/>
      <c r="AD24" s="187"/>
      <c r="AE24" s="187"/>
      <c r="AF24" s="188"/>
      <c r="AG24" s="168"/>
      <c r="AH24" s="146"/>
      <c r="AI24" s="179"/>
      <c r="AJ24" s="180"/>
      <c r="AK24" s="172"/>
      <c r="AL24" s="172"/>
      <c r="AM24" s="172"/>
      <c r="AN24" s="171"/>
      <c r="AO24" s="172"/>
      <c r="AP24" s="172"/>
      <c r="AQ24" s="39"/>
    </row>
    <row r="25" s="148" customFormat="true" ht="15" hidden="true" customHeight="true" outlineLevel="1" collapsed="false">
      <c r="A25" s="175" t="s">
        <v>131</v>
      </c>
      <c r="B25" s="176"/>
      <c r="C25" s="176"/>
      <c r="D25" s="176"/>
      <c r="E25" s="189"/>
      <c r="F25" s="176"/>
      <c r="G25" s="176"/>
      <c r="H25" s="176"/>
      <c r="I25" s="176"/>
      <c r="J25" s="176"/>
      <c r="K25" s="176"/>
      <c r="L25" s="176"/>
      <c r="M25" s="176"/>
      <c r="N25" s="176"/>
      <c r="O25" s="176"/>
      <c r="P25" s="176"/>
      <c r="Q25" s="176"/>
      <c r="R25" s="176"/>
      <c r="S25" s="176"/>
      <c r="T25" s="176"/>
      <c r="U25" s="176"/>
      <c r="V25" s="176"/>
      <c r="W25" s="176"/>
      <c r="X25" s="176"/>
      <c r="Y25" s="176"/>
      <c r="Z25" s="190"/>
      <c r="AA25" s="176"/>
      <c r="AB25" s="176"/>
      <c r="AC25" s="176"/>
      <c r="AD25" s="176"/>
      <c r="AE25" s="176"/>
      <c r="AF25" s="176"/>
      <c r="AG25" s="168" t="str">
        <f aca="false">A25</f>
        <v>paid break in</v>
      </c>
      <c r="AH25" s="146"/>
      <c r="AI25" s="179"/>
      <c r="AJ25" s="180"/>
      <c r="AK25" s="172"/>
      <c r="AL25" s="172"/>
      <c r="AM25" s="172"/>
      <c r="AN25" s="171"/>
      <c r="AO25" s="172"/>
      <c r="AP25" s="172"/>
      <c r="AQ25" s="39"/>
    </row>
    <row r="26" s="148" customFormat="true" ht="15" hidden="true" customHeight="true" outlineLevel="1" collapsed="false">
      <c r="A26" s="175" t="s">
        <v>132</v>
      </c>
      <c r="B26" s="176"/>
      <c r="C26" s="176"/>
      <c r="D26" s="176"/>
      <c r="E26" s="176"/>
      <c r="F26" s="176"/>
      <c r="G26" s="176"/>
      <c r="H26" s="176"/>
      <c r="I26" s="176"/>
      <c r="J26" s="176"/>
      <c r="K26" s="176"/>
      <c r="L26" s="176"/>
      <c r="M26" s="176"/>
      <c r="N26" s="176"/>
      <c r="O26" s="176"/>
      <c r="P26" s="176"/>
      <c r="Q26" s="176"/>
      <c r="R26" s="176"/>
      <c r="S26" s="176"/>
      <c r="T26" s="176"/>
      <c r="U26" s="176"/>
      <c r="V26" s="176"/>
      <c r="W26" s="176"/>
      <c r="X26" s="176"/>
      <c r="Y26" s="176"/>
      <c r="Z26" s="190"/>
      <c r="AA26" s="176"/>
      <c r="AB26" s="176"/>
      <c r="AC26" s="176"/>
      <c r="AD26" s="176"/>
      <c r="AE26" s="176"/>
      <c r="AF26" s="176"/>
      <c r="AG26" s="168" t="str">
        <f aca="false">A26</f>
        <v>paid break out</v>
      </c>
      <c r="AH26" s="146"/>
      <c r="AI26" s="179"/>
      <c r="AJ26" s="180"/>
      <c r="AK26" s="172"/>
      <c r="AL26" s="172"/>
      <c r="AM26" s="172"/>
      <c r="AN26" s="171"/>
      <c r="AO26" s="172"/>
      <c r="AP26" s="172"/>
      <c r="AQ26" s="39"/>
    </row>
    <row r="27" s="148" customFormat="true" ht="15" hidden="true" customHeight="true" outlineLevel="1" collapsed="false">
      <c r="A27" s="175" t="s">
        <v>131</v>
      </c>
      <c r="B27" s="176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90"/>
      <c r="AA27" s="176"/>
      <c r="AB27" s="176"/>
      <c r="AC27" s="176"/>
      <c r="AD27" s="176"/>
      <c r="AE27" s="176"/>
      <c r="AF27" s="176"/>
      <c r="AG27" s="168" t="str">
        <f aca="false">A27</f>
        <v>paid break in</v>
      </c>
      <c r="AH27" s="146"/>
      <c r="AI27" s="179"/>
      <c r="AJ27" s="180"/>
      <c r="AK27" s="172"/>
      <c r="AL27" s="172"/>
      <c r="AM27" s="172"/>
      <c r="AN27" s="171"/>
      <c r="AO27" s="172"/>
      <c r="AP27" s="172"/>
      <c r="AQ27" s="39"/>
    </row>
    <row r="28" s="148" customFormat="true" ht="15" hidden="true" customHeight="true" outlineLevel="1" collapsed="false">
      <c r="A28" s="175" t="s">
        <v>132</v>
      </c>
      <c r="B28" s="176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90"/>
      <c r="AA28" s="176"/>
      <c r="AB28" s="176"/>
      <c r="AC28" s="176"/>
      <c r="AD28" s="176"/>
      <c r="AE28" s="176"/>
      <c r="AF28" s="176"/>
      <c r="AG28" s="168" t="str">
        <f aca="false">A28</f>
        <v>paid break out</v>
      </c>
      <c r="AH28" s="146"/>
      <c r="AI28" s="179"/>
      <c r="AJ28" s="180"/>
      <c r="AK28" s="172"/>
      <c r="AL28" s="172"/>
      <c r="AM28" s="172"/>
      <c r="AN28" s="171"/>
      <c r="AO28" s="172"/>
      <c r="AP28" s="172"/>
      <c r="AQ28" s="39"/>
    </row>
    <row r="29" s="148" customFormat="true" ht="15" hidden="true" customHeight="true" outlineLevel="1" collapsed="false">
      <c r="A29" s="175" t="s">
        <v>131</v>
      </c>
      <c r="B29" s="176"/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90"/>
      <c r="AA29" s="176"/>
      <c r="AB29" s="176"/>
      <c r="AC29" s="176"/>
      <c r="AD29" s="176"/>
      <c r="AE29" s="176"/>
      <c r="AF29" s="176"/>
      <c r="AG29" s="168" t="str">
        <f aca="false">A29</f>
        <v>paid break in</v>
      </c>
      <c r="AH29" s="146"/>
      <c r="AI29" s="179"/>
      <c r="AJ29" s="180"/>
      <c r="AK29" s="172"/>
      <c r="AL29" s="172"/>
      <c r="AM29" s="172"/>
      <c r="AN29" s="171"/>
      <c r="AO29" s="172"/>
      <c r="AP29" s="172"/>
      <c r="AQ29" s="39"/>
    </row>
    <row r="30" s="148" customFormat="true" ht="15" hidden="true" customHeight="true" outlineLevel="1" collapsed="false">
      <c r="A30" s="175" t="s">
        <v>132</v>
      </c>
      <c r="B30" s="176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90"/>
      <c r="AA30" s="176"/>
      <c r="AB30" s="176"/>
      <c r="AC30" s="176"/>
      <c r="AD30" s="176"/>
      <c r="AE30" s="176"/>
      <c r="AF30" s="176"/>
      <c r="AG30" s="168" t="str">
        <f aca="false">A30</f>
        <v>paid break out</v>
      </c>
      <c r="AH30" s="146"/>
      <c r="AI30" s="179"/>
      <c r="AJ30" s="180"/>
      <c r="AK30" s="172"/>
      <c r="AL30" s="172"/>
      <c r="AM30" s="172"/>
      <c r="AN30" s="171"/>
      <c r="AO30" s="172"/>
      <c r="AP30" s="172"/>
      <c r="AQ30" s="39"/>
    </row>
    <row r="31" s="148" customFormat="true" ht="3.75" hidden="true" customHeight="true" outlineLevel="1" collapsed="false">
      <c r="A31" s="186"/>
      <c r="B31" s="191"/>
      <c r="C31" s="191"/>
      <c r="D31" s="191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  <c r="AA31" s="191"/>
      <c r="AB31" s="191"/>
      <c r="AC31" s="191"/>
      <c r="AD31" s="191"/>
      <c r="AE31" s="191"/>
      <c r="AF31" s="192"/>
      <c r="AG31" s="168"/>
      <c r="AH31" s="146"/>
      <c r="AI31" s="179"/>
      <c r="AJ31" s="180"/>
      <c r="AK31" s="172"/>
      <c r="AL31" s="172"/>
      <c r="AM31" s="172"/>
      <c r="AN31" s="171"/>
      <c r="AO31" s="172"/>
      <c r="AP31" s="172"/>
      <c r="AQ31" s="39"/>
    </row>
    <row r="32" s="148" customFormat="true" ht="15" hidden="true" customHeight="true" outlineLevel="1" collapsed="false">
      <c r="A32" s="181" t="s">
        <v>133</v>
      </c>
      <c r="B32" s="193" t="n">
        <f aca="false">ROUND(IF(MAX(0,B15-B14)&lt;1/24/60*180,MAX(0,B15-B14),0)+IF(MAX(0,B17-B16)&lt;1/24/60*180,MAX(0,B17-B16),0)+IF(MAX(0,B19-B18)&lt;1/24/60*180,MAX(0,B19-B18),0)+IF(MAX(0,B21-B20)&lt;1/24/60*180,MAX(0,B21-B20))+MAX(0,B26-B25)+MAX(0,B28-B27)+MAX(0,B30-B29),9)</f>
        <v>0</v>
      </c>
      <c r="C32" s="193" t="n">
        <f aca="false">ROUND(IF(MAX(0,C15-C14)&lt;1/24/60*180,MAX(0,C15-C14),0)+IF(MAX(0,C17-C16)&lt;1/24/60*180,MAX(0,C17-C16),0)+IF(MAX(0,C19-C18)&lt;1/24/60*180,MAX(0,C19-C18),0)+IF(MAX(0,C21-C20)&lt;1/24/60*180,MAX(0,C21-C20))+MAX(0,C26-C25)+MAX(0,C28-C27)+MAX(0,C30-C29),9)</f>
        <v>0</v>
      </c>
      <c r="D32" s="193" t="n">
        <f aca="false">ROUND(IF(MAX(0,D15-D14)&lt;1/24/60*180,MAX(0,D15-D14),0)+IF(MAX(0,D17-D16)&lt;1/24/60*180,MAX(0,D17-D16),0)+IF(MAX(0,D19-D18)&lt;1/24/60*180,MAX(0,D19-D18),0)+IF(MAX(0,D21-D20)&lt;1/24/60*180,MAX(0,D21-D20))+MAX(0,D26-D25)+MAX(0,D28-D27)+MAX(0,D30-D29),9)</f>
        <v>0</v>
      </c>
      <c r="E32" s="193" t="n">
        <f aca="false">ROUND(IF(MAX(0,E15-E14)&lt;1/24/60*180,MAX(0,E15-E14),0)+IF(MAX(0,E17-E16)&lt;1/24/60*180,MAX(0,E17-E16),0)+IF(MAX(0,E19-E18)&lt;1/24/60*180,MAX(0,E19-E18),0)+IF(MAX(0,E21-E20)&lt;1/24/60*180,MAX(0,E21-E20))+MAX(0,E26-E25)+MAX(0,E28-E27)+MAX(0,E30-E29),9)</f>
        <v>0</v>
      </c>
      <c r="F32" s="193" t="n">
        <f aca="false">ROUND(IF(MAX(0,F15-F14)&lt;1/24/60*180,MAX(0,F15-F14),0)+IF(MAX(0,F17-F16)&lt;1/24/60*180,MAX(0,F17-F16),0)+IF(MAX(0,F19-F18)&lt;1/24/60*180,MAX(0,F19-F18),0)+IF(MAX(0,F21-F20)&lt;1/24/60*180,MAX(0,F21-F20))+MAX(0,F26-F25)+MAX(0,F28-F27)+MAX(0,F30-F29),9)</f>
        <v>0</v>
      </c>
      <c r="G32" s="193" t="n">
        <f aca="false">ROUND(IF(MAX(0,G15-G14)&lt;1/24/60*180,MAX(0,G15-G14),0)+IF(MAX(0,G17-G16)&lt;1/24/60*180,MAX(0,G17-G16),0)+IF(MAX(0,G19-G18)&lt;1/24/60*180,MAX(0,G19-G18),0)+IF(MAX(0,G21-G20)&lt;1/24/60*180,MAX(0,G21-G20))+MAX(0,G26-G25)+MAX(0,G28-G27)+MAX(0,G30-G29),9)</f>
        <v>0</v>
      </c>
      <c r="H32" s="193" t="n">
        <f aca="false">ROUND(IF(MAX(0,H15-H14)&lt;1/24/60*180,MAX(0,H15-H14),0)+IF(MAX(0,H17-H16)&lt;1/24/60*180,MAX(0,H17-H16),0)+IF(MAX(0,H19-H18)&lt;1/24/60*180,MAX(0,H19-H18),0)+IF(MAX(0,H21-H20)&lt;1/24/60*180,MAX(0,H21-H20))+MAX(0,H26-H25)+MAX(0,H28-H27)+MAX(0,H30-H29),9)</f>
        <v>0</v>
      </c>
      <c r="I32" s="193" t="n">
        <f aca="false">ROUND(IF(MAX(0,I15-I14)&lt;1/24/60*180,MAX(0,I15-I14),0)+IF(MAX(0,I17-I16)&lt;1/24/60*180,MAX(0,I17-I16),0)+IF(MAX(0,I19-I18)&lt;1/24/60*180,MAX(0,I19-I18),0)+IF(MAX(0,I21-I20)&lt;1/24/60*180,MAX(0,I21-I20))+MAX(0,I26-I25)+MAX(0,I28-I27)+MAX(0,I30-I29),9)</f>
        <v>0</v>
      </c>
      <c r="J32" s="193" t="n">
        <f aca="false">ROUND(IF(MAX(0,J15-J14)&lt;1/24/60*180,MAX(0,J15-J14),0)+IF(MAX(0,J17-J16)&lt;1/24/60*180,MAX(0,J17-J16),0)+IF(MAX(0,J19-J18)&lt;1/24/60*180,MAX(0,J19-J18),0)+IF(MAX(0,J21-J20)&lt;1/24/60*180,MAX(0,J21-J20))+MAX(0,J26-J25)+MAX(0,J28-J27)+MAX(0,J30-J29),9)</f>
        <v>0</v>
      </c>
      <c r="K32" s="193" t="n">
        <f aca="false">ROUND(IF(MAX(0,K15-K14)&lt;1/24/60*180,MAX(0,K15-K14),0)+IF(MAX(0,K17-K16)&lt;1/24/60*180,MAX(0,K17-K16),0)+IF(MAX(0,K19-K18)&lt;1/24/60*180,MAX(0,K19-K18),0)+IF(MAX(0,K21-K20)&lt;1/24/60*180,MAX(0,K21-K20))+MAX(0,K26-K25)+MAX(0,K28-K27)+MAX(0,K30-K29),9)</f>
        <v>0</v>
      </c>
      <c r="L32" s="193" t="n">
        <f aca="false">ROUND(IF(MAX(0,L15-L14)&lt;1/24/60*180,MAX(0,L15-L14),0)+IF(MAX(0,L17-L16)&lt;1/24/60*180,MAX(0,L17-L16),0)+IF(MAX(0,L19-L18)&lt;1/24/60*180,MAX(0,L19-L18),0)+IF(MAX(0,L21-L20)&lt;1/24/60*180,MAX(0,L21-L20))+MAX(0,L26-L25)+MAX(0,L28-L27)+MAX(0,L30-L29),9)</f>
        <v>0</v>
      </c>
      <c r="M32" s="193" t="n">
        <f aca="false">ROUND(IF(MAX(0,M15-M14)&lt;1/24/60*180,MAX(0,M15-M14),0)+IF(MAX(0,M17-M16)&lt;1/24/60*180,MAX(0,M17-M16),0)+IF(MAX(0,M19-M18)&lt;1/24/60*180,MAX(0,M19-M18),0)+IF(MAX(0,M21-M20)&lt;1/24/60*180,MAX(0,M21-M20))+MAX(0,M26-M25)+MAX(0,M28-M27)+MAX(0,M30-M29),9)</f>
        <v>0</v>
      </c>
      <c r="N32" s="193" t="n">
        <f aca="false">ROUND(IF(MAX(0,N15-N14)&lt;1/24/60*180,MAX(0,N15-N14),0)+IF(MAX(0,N17-N16)&lt;1/24/60*180,MAX(0,N17-N16),0)+IF(MAX(0,N19-N18)&lt;1/24/60*180,MAX(0,N19-N18),0)+IF(MAX(0,N21-N20)&lt;1/24/60*180,MAX(0,N21-N20))+MAX(0,N26-N25)+MAX(0,N28-N27)+MAX(0,N30-N29),9)</f>
        <v>0</v>
      </c>
      <c r="O32" s="193" t="n">
        <f aca="false">ROUND(IF(MAX(0,O15-O14)&lt;1/24/60*180,MAX(0,O15-O14),0)+IF(MAX(0,O17-O16)&lt;1/24/60*180,MAX(0,O17-O16),0)+IF(MAX(0,O19-O18)&lt;1/24/60*180,MAX(0,O19-O18),0)+IF(MAX(0,O21-O20)&lt;1/24/60*180,MAX(0,O21-O20))+MAX(0,O26-O25)+MAX(0,O28-O27)+MAX(0,O30-O29),9)</f>
        <v>0</v>
      </c>
      <c r="P32" s="193" t="n">
        <f aca="false">ROUND(IF(MAX(0,P15-P14)&lt;1/24/60*180,MAX(0,P15-P14),0)+IF(MAX(0,P17-P16)&lt;1/24/60*180,MAX(0,P17-P16),0)+IF(MAX(0,P19-P18)&lt;1/24/60*180,MAX(0,P19-P18),0)+IF(MAX(0,P21-P20)&lt;1/24/60*180,MAX(0,P21-P20))+MAX(0,P26-P25)+MAX(0,P28-P27)+MAX(0,P30-P29),9)</f>
        <v>0</v>
      </c>
      <c r="Q32" s="193" t="n">
        <f aca="false">ROUND(IF(MAX(0,Q15-Q14)&lt;1/24/60*180,MAX(0,Q15-Q14),0)+IF(MAX(0,Q17-Q16)&lt;1/24/60*180,MAX(0,Q17-Q16),0)+IF(MAX(0,Q19-Q18)&lt;1/24/60*180,MAX(0,Q19-Q18),0)+IF(MAX(0,Q21-Q20)&lt;1/24/60*180,MAX(0,Q21-Q20))+MAX(0,Q26-Q25)+MAX(0,Q28-Q27)+MAX(0,Q30-Q29),9)</f>
        <v>0</v>
      </c>
      <c r="R32" s="193" t="n">
        <f aca="false">ROUND(IF(MAX(0,R15-R14)&lt;1/24/60*180,MAX(0,R15-R14),0)+IF(MAX(0,R17-R16)&lt;1/24/60*180,MAX(0,R17-R16),0)+IF(MAX(0,R19-R18)&lt;1/24/60*180,MAX(0,R19-R18),0)+IF(MAX(0,R21-R20)&lt;1/24/60*180,MAX(0,R21-R20))+MAX(0,R26-R25)+MAX(0,R28-R27)+MAX(0,R30-R29),9)</f>
        <v>0</v>
      </c>
      <c r="S32" s="193" t="n">
        <f aca="false">ROUND(IF(MAX(0,S15-S14)&lt;1/24/60*180,MAX(0,S15-S14),0)+IF(MAX(0,S17-S16)&lt;1/24/60*180,MAX(0,S17-S16),0)+IF(MAX(0,S19-S18)&lt;1/24/60*180,MAX(0,S19-S18),0)+IF(MAX(0,S21-S20)&lt;1/24/60*180,MAX(0,S21-S20))+MAX(0,S26-S25)+MAX(0,S28-S27)+MAX(0,S30-S29),9)</f>
        <v>0</v>
      </c>
      <c r="T32" s="193" t="n">
        <f aca="false">ROUND(IF(MAX(0,T15-T14)&lt;1/24/60*180,MAX(0,T15-T14),0)+IF(MAX(0,T17-T16)&lt;1/24/60*180,MAX(0,T17-T16),0)+IF(MAX(0,T19-T18)&lt;1/24/60*180,MAX(0,T19-T18),0)+IF(MAX(0,T21-T20)&lt;1/24/60*180,MAX(0,T21-T20))+MAX(0,T26-T25)+MAX(0,T28-T27)+MAX(0,T30-T29),9)</f>
        <v>0</v>
      </c>
      <c r="U32" s="193" t="n">
        <f aca="false">ROUND(IF(MAX(0,U15-U14)&lt;1/24/60*180,MAX(0,U15-U14),0)+IF(MAX(0,U17-U16)&lt;1/24/60*180,MAX(0,U17-U16),0)+IF(MAX(0,U19-U18)&lt;1/24/60*180,MAX(0,U19-U18),0)+IF(MAX(0,U21-U20)&lt;1/24/60*180,MAX(0,U21-U20))+MAX(0,U26-U25)+MAX(0,U28-U27)+MAX(0,U30-U29),9)</f>
        <v>0</v>
      </c>
      <c r="V32" s="193" t="n">
        <f aca="false">ROUND(IF(MAX(0,V15-V14)&lt;1/24/60*180,MAX(0,V15-V14),0)+IF(MAX(0,V17-V16)&lt;1/24/60*180,MAX(0,V17-V16),0)+IF(MAX(0,V19-V18)&lt;1/24/60*180,MAX(0,V19-V18),0)+IF(MAX(0,V21-V20)&lt;1/24/60*180,MAX(0,V21-V20))+MAX(0,V26-V25)+MAX(0,V28-V27)+MAX(0,V30-V29),9)</f>
        <v>0</v>
      </c>
      <c r="W32" s="193" t="n">
        <f aca="false">ROUND(IF(MAX(0,W15-W14)&lt;1/24/60*180,MAX(0,W15-W14),0)+IF(MAX(0,W17-W16)&lt;1/24/60*180,MAX(0,W17-W16),0)+IF(MAX(0,W19-W18)&lt;1/24/60*180,MAX(0,W19-W18),0)+IF(MAX(0,W21-W20)&lt;1/24/60*180,MAX(0,W21-W20))+MAX(0,W26-W25)+MAX(0,W28-W27)+MAX(0,W30-W29),9)</f>
        <v>0</v>
      </c>
      <c r="X32" s="193" t="n">
        <f aca="false">ROUND(IF(MAX(0,X15-X14)&lt;1/24/60*180,MAX(0,X15-X14),0)+IF(MAX(0,X17-X16)&lt;1/24/60*180,MAX(0,X17-X16),0)+IF(MAX(0,X19-X18)&lt;1/24/60*180,MAX(0,X19-X18),0)+IF(MAX(0,X21-X20)&lt;1/24/60*180,MAX(0,X21-X20))+MAX(0,X26-X25)+MAX(0,X28-X27)+MAX(0,X30-X29),9)</f>
        <v>0</v>
      </c>
      <c r="Y32" s="193" t="n">
        <f aca="false">ROUND(IF(MAX(0,Y15-Y14)&lt;1/24/60*180,MAX(0,Y15-Y14),0)+IF(MAX(0,Y17-Y16)&lt;1/24/60*180,MAX(0,Y17-Y16),0)+IF(MAX(0,Y19-Y18)&lt;1/24/60*180,MAX(0,Y19-Y18),0)+IF(MAX(0,Y21-Y20)&lt;1/24/60*180,MAX(0,Y21-Y20))+MAX(0,Y26-Y25)+MAX(0,Y28-Y27)+MAX(0,Y30-Y29),9)</f>
        <v>0</v>
      </c>
      <c r="Z32" s="193" t="n">
        <f aca="false">ROUND(IF(MAX(0,Z15-Z14)&lt;1/24/60*180,MAX(0,Z15-Z14),0)+IF(MAX(0,Z17-Z16)&lt;1/24/60*180,MAX(0,Z17-Z16),0)+IF(MAX(0,Z19-Z18)&lt;1/24/60*180,MAX(0,Z19-Z18),0)+IF(MAX(0,Z21-Z20)&lt;1/24/60*180,MAX(0,Z21-Z20))+MAX(0,Z26-Z25)+MAX(0,Z28-Z27)+MAX(0,Z30-Z29),9)</f>
        <v>0</v>
      </c>
      <c r="AA32" s="193" t="n">
        <f aca="false">ROUND(IF(MAX(0,AA15-AA14)&lt;1/24/60*180,MAX(0,AA15-AA14),0)+IF(MAX(0,AA17-AA16)&lt;1/24/60*180,MAX(0,AA17-AA16),0)+IF(MAX(0,AA19-AA18)&lt;1/24/60*180,MAX(0,AA19-AA18),0)+IF(MAX(0,AA21-AA20)&lt;1/24/60*180,MAX(0,AA21-AA20))+MAX(0,AA26-AA25)+MAX(0,AA28-AA27)+MAX(0,AA30-AA29),9)</f>
        <v>0</v>
      </c>
      <c r="AB32" s="193" t="n">
        <f aca="false">ROUND(IF(MAX(0,AB15-AB14)&lt;1/24/60*180,MAX(0,AB15-AB14),0)+IF(MAX(0,AB17-AB16)&lt;1/24/60*180,MAX(0,AB17-AB16),0)+IF(MAX(0,AB19-AB18)&lt;1/24/60*180,MAX(0,AB19-AB18),0)+IF(MAX(0,AB21-AB20)&lt;1/24/60*180,MAX(0,AB21-AB20))+MAX(0,AB26-AB25)+MAX(0,AB28-AB27)+MAX(0,AB30-AB29),9)</f>
        <v>0</v>
      </c>
      <c r="AC32" s="193" t="n">
        <f aca="false">ROUND(IF(MAX(0,AC15-AC14)&lt;1/24/60*180,MAX(0,AC15-AC14),0)+IF(MAX(0,AC17-AC16)&lt;1/24/60*180,MAX(0,AC17-AC16),0)+IF(MAX(0,AC19-AC18)&lt;1/24/60*180,MAX(0,AC19-AC18),0)+IF(MAX(0,AC21-AC20)&lt;1/24/60*180,MAX(0,AC21-AC20))+MAX(0,AC26-AC25)+MAX(0,AC28-AC27)+MAX(0,AC30-AC29),9)</f>
        <v>0</v>
      </c>
      <c r="AD32" s="193" t="n">
        <f aca="false">ROUND(IF(MAX(0,AD15-AD14)&lt;1/24/60*180,MAX(0,AD15-AD14),0)+IF(MAX(0,AD17-AD16)&lt;1/24/60*180,MAX(0,AD17-AD16),0)+IF(MAX(0,AD19-AD18)&lt;1/24/60*180,MAX(0,AD19-AD18),0)+IF(MAX(0,AD21-AD20)&lt;1/24/60*180,MAX(0,AD21-AD20))+MAX(0,AD26-AD25)+MAX(0,AD28-AD27)+MAX(0,AD30-AD29),9)</f>
        <v>0</v>
      </c>
      <c r="AE32" s="193" t="n">
        <f aca="false">ROUND(IF(MAX(0,AE15-AE14)&lt;1/24/60*180,MAX(0,AE15-AE14),0)+IF(MAX(0,AE17-AE16)&lt;1/24/60*180,MAX(0,AE17-AE16),0)+IF(MAX(0,AE19-AE18)&lt;1/24/60*180,MAX(0,AE19-AE18),0)+IF(MAX(0,AE21-AE20)&lt;1/24/60*180,MAX(0,AE21-AE20))+MAX(0,AE26-AE25)+MAX(0,AE28-AE27)+MAX(0,AE30-AE29),9)</f>
        <v>0</v>
      </c>
      <c r="AF32" s="193" t="n">
        <f aca="false">ROUND(IF(MAX(0,AF15-AF14)&lt;1/24/60*180,MAX(0,AF15-AF14),0)+IF(MAX(0,AF17-AF16)&lt;1/24/60*180,MAX(0,AF17-AF16),0)+IF(MAX(0,AF19-AF18)&lt;1/24/60*180,MAX(0,AF19-AF18),0)+IF(MAX(0,AF21-AF20)&lt;1/24/60*180,MAX(0,AF21-AF20))+MAX(0,AF26-AF25)+MAX(0,AF28-AF27)+MAX(0,AF30-AF29),9)</f>
        <v>0</v>
      </c>
      <c r="AG32" s="183" t="str">
        <f aca="false">A32</f>
        <v>Total breaks (in out/paid)</v>
      </c>
      <c r="AH32" s="184"/>
      <c r="AI32" s="185" t="n">
        <f aca="false">SUM(B32:AF32)</f>
        <v>0</v>
      </c>
      <c r="AJ32" s="180"/>
      <c r="AK32" s="172"/>
      <c r="AL32" s="172"/>
      <c r="AM32" s="172"/>
      <c r="AN32" s="171"/>
      <c r="AO32" s="172"/>
      <c r="AP32" s="172"/>
      <c r="AQ32" s="39"/>
    </row>
    <row r="33" s="148" customFormat="true" ht="3.75" hidden="false" customHeight="true" outlineLevel="0" collapsed="false">
      <c r="A33" s="186"/>
      <c r="B33" s="194"/>
      <c r="C33" s="194"/>
      <c r="D33" s="194"/>
      <c r="E33" s="194"/>
      <c r="F33" s="194"/>
      <c r="G33" s="194"/>
      <c r="H33" s="194"/>
      <c r="I33" s="194"/>
      <c r="J33" s="194"/>
      <c r="K33" s="194"/>
      <c r="L33" s="194"/>
      <c r="M33" s="194"/>
      <c r="N33" s="194"/>
      <c r="O33" s="194"/>
      <c r="P33" s="194"/>
      <c r="Q33" s="194"/>
      <c r="R33" s="194"/>
      <c r="S33" s="194"/>
      <c r="T33" s="194"/>
      <c r="U33" s="194"/>
      <c r="V33" s="194"/>
      <c r="W33" s="194"/>
      <c r="X33" s="194"/>
      <c r="Y33" s="194"/>
      <c r="Z33" s="194"/>
      <c r="AA33" s="194"/>
      <c r="AB33" s="194"/>
      <c r="AC33" s="194"/>
      <c r="AD33" s="194"/>
      <c r="AE33" s="194"/>
      <c r="AF33" s="195"/>
      <c r="AG33" s="168"/>
      <c r="AH33" s="146"/>
      <c r="AI33" s="179"/>
      <c r="AJ33" s="180"/>
      <c r="AK33" s="172"/>
      <c r="AL33" s="172"/>
      <c r="AM33" s="172"/>
      <c r="AN33" s="171"/>
      <c r="AO33" s="172"/>
      <c r="AP33" s="172"/>
      <c r="AQ33" s="39"/>
    </row>
    <row r="34" s="148" customFormat="true" ht="15" hidden="false" customHeight="true" outlineLevel="1" collapsed="false">
      <c r="A34" s="175" t="s">
        <v>134</v>
      </c>
      <c r="B34" s="196" t="str">
        <f aca="true">IF(EB.Anwendung&lt;&gt;"",IF(EB.Wochenarbeitszeit=50/24,INDEX(T.Pikett.Bereich,1),IF(DAY(B$10)=1,IF(MONTH(Monat.Tag1)=1,INDEX(T.Pikett.Bereich,1),IF(MONTH(Monat.Tag1)=2,January!Monat.Pikett,IF(MONTH(Monat.Tag1)=3,February!Monat.Pikett,IF(MONTH(Monat.Tag1)=4,March!Monat.Pikett,IF(MONTH(Monat.Tag1)=5,April!Monat.Pikett,IF(MONTH(Monat.Tag1)=6,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A34="B",INDEX(T.Pikett.Bereich,4),IF(A34="E",INDEX(T.Pikett.Bereich,1),A34)))),"")</f>
        <v>No</v>
      </c>
      <c r="C34" s="196" t="str">
        <f aca="true">IF(EB.Anwendung&lt;&gt;"",IF(EB.Wochenarbeitszeit=50/24,INDEX(T.Pikett.Bereich,1),IF(DAY(C$10)=1,IF(MONTH(Monat.Tag1)=1,INDEX(T.Pikett.Bereich,1),IF(MONTH(Monat.Tag1)=2,January!Monat.Pikett,IF(MONTH(Monat.Tag1)=3,February!Monat.Pikett,IF(MONTH(Monat.Tag1)=4,March!Monat.Pikett,IF(MONTH(Monat.Tag1)=5,April!Monat.Pikett,IF(MONTH(Monat.Tag1)=6,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B34="B",INDEX(T.Pikett.Bereich,4),IF(B34="E",INDEX(T.Pikett.Bereich,1),B34)))),"")</f>
        <v>No</v>
      </c>
      <c r="D34" s="196" t="str">
        <f aca="true">IF(EB.Anwendung&lt;&gt;"",IF(EB.Wochenarbeitszeit=50/24,INDEX(T.Pikett.Bereich,1),IF(DAY(D$10)=1,IF(MONTH(Monat.Tag1)=1,INDEX(T.Pikett.Bereich,1),IF(MONTH(Monat.Tag1)=2,January!Monat.Pikett,IF(MONTH(Monat.Tag1)=3,February!Monat.Pikett,IF(MONTH(Monat.Tag1)=4,March!Monat.Pikett,IF(MONTH(Monat.Tag1)=5,April!Monat.Pikett,IF(MONTH(Monat.Tag1)=6,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C34="B",INDEX(T.Pikett.Bereich,4),IF(C34="E",INDEX(T.Pikett.Bereich,1),C34)))),"")</f>
        <v>No</v>
      </c>
      <c r="E34" s="196" t="str">
        <f aca="true">IF(EB.Anwendung&lt;&gt;"",IF(EB.Wochenarbeitszeit=50/24,INDEX(T.Pikett.Bereich,1),IF(DAY(E$10)=1,IF(MONTH(Monat.Tag1)=1,INDEX(T.Pikett.Bereich,1),IF(MONTH(Monat.Tag1)=2,January!Monat.Pikett,IF(MONTH(Monat.Tag1)=3,February!Monat.Pikett,IF(MONTH(Monat.Tag1)=4,March!Monat.Pikett,IF(MONTH(Monat.Tag1)=5,April!Monat.Pikett,IF(MONTH(Monat.Tag1)=6,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D34="B",INDEX(T.Pikett.Bereich,4),IF(D34="E",INDEX(T.Pikett.Bereich,1),D34)))),"")</f>
        <v>No</v>
      </c>
      <c r="F34" s="196" t="str">
        <f aca="true">IF(EB.Anwendung&lt;&gt;"",IF(EB.Wochenarbeitszeit=50/24,INDEX(T.Pikett.Bereich,1),IF(DAY(F$10)=1,IF(MONTH(Monat.Tag1)=1,INDEX(T.Pikett.Bereich,1),IF(MONTH(Monat.Tag1)=2,January!Monat.Pikett,IF(MONTH(Monat.Tag1)=3,February!Monat.Pikett,IF(MONTH(Monat.Tag1)=4,March!Monat.Pikett,IF(MONTH(Monat.Tag1)=5,April!Monat.Pikett,IF(MONTH(Monat.Tag1)=6,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E34="B",INDEX(T.Pikett.Bereich,4),IF(E34="E",INDEX(T.Pikett.Bereich,1),E34)))),"")</f>
        <v>No</v>
      </c>
      <c r="G34" s="196" t="str">
        <f aca="true">IF(EB.Anwendung&lt;&gt;"",IF(EB.Wochenarbeitszeit=50/24,INDEX(T.Pikett.Bereich,1),IF(DAY(G$10)=1,IF(MONTH(Monat.Tag1)=1,INDEX(T.Pikett.Bereich,1),IF(MONTH(Monat.Tag1)=2,January!Monat.Pikett,IF(MONTH(Monat.Tag1)=3,February!Monat.Pikett,IF(MONTH(Monat.Tag1)=4,March!Monat.Pikett,IF(MONTH(Monat.Tag1)=5,April!Monat.Pikett,IF(MONTH(Monat.Tag1)=6,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F34="B",INDEX(T.Pikett.Bereich,4),IF(F34="E",INDEX(T.Pikett.Bereich,1),F34)))),"")</f>
        <v>No</v>
      </c>
      <c r="H34" s="196" t="str">
        <f aca="true">IF(EB.Anwendung&lt;&gt;"",IF(EB.Wochenarbeitszeit=50/24,INDEX(T.Pikett.Bereich,1),IF(DAY(H$10)=1,IF(MONTH(Monat.Tag1)=1,INDEX(T.Pikett.Bereich,1),IF(MONTH(Monat.Tag1)=2,January!Monat.Pikett,IF(MONTH(Monat.Tag1)=3,February!Monat.Pikett,IF(MONTH(Monat.Tag1)=4,March!Monat.Pikett,IF(MONTH(Monat.Tag1)=5,April!Monat.Pikett,IF(MONTH(Monat.Tag1)=6,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G34="B",INDEX(T.Pikett.Bereich,4),IF(G34="E",INDEX(T.Pikett.Bereich,1),G34)))),"")</f>
        <v>No</v>
      </c>
      <c r="I34" s="196" t="str">
        <f aca="true">IF(EB.Anwendung&lt;&gt;"",IF(EB.Wochenarbeitszeit=50/24,INDEX(T.Pikett.Bereich,1),IF(DAY(I$10)=1,IF(MONTH(Monat.Tag1)=1,INDEX(T.Pikett.Bereich,1),IF(MONTH(Monat.Tag1)=2,January!Monat.Pikett,IF(MONTH(Monat.Tag1)=3,February!Monat.Pikett,IF(MONTH(Monat.Tag1)=4,March!Monat.Pikett,IF(MONTH(Monat.Tag1)=5,April!Monat.Pikett,IF(MONTH(Monat.Tag1)=6,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H34="B",INDEX(T.Pikett.Bereich,4),IF(H34="E",INDEX(T.Pikett.Bereich,1),H34)))),"")</f>
        <v>No</v>
      </c>
      <c r="J34" s="196" t="str">
        <f aca="true">IF(EB.Anwendung&lt;&gt;"",IF(EB.Wochenarbeitszeit=50/24,INDEX(T.Pikett.Bereich,1),IF(DAY(J$10)=1,IF(MONTH(Monat.Tag1)=1,INDEX(T.Pikett.Bereich,1),IF(MONTH(Monat.Tag1)=2,January!Monat.Pikett,IF(MONTH(Monat.Tag1)=3,February!Monat.Pikett,IF(MONTH(Monat.Tag1)=4,March!Monat.Pikett,IF(MONTH(Monat.Tag1)=5,April!Monat.Pikett,IF(MONTH(Monat.Tag1)=6,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I34="B",INDEX(T.Pikett.Bereich,4),IF(I34="E",INDEX(T.Pikett.Bereich,1),I34)))),"")</f>
        <v>No</v>
      </c>
      <c r="K34" s="196" t="str">
        <f aca="true">IF(EB.Anwendung&lt;&gt;"",IF(EB.Wochenarbeitszeit=50/24,INDEX(T.Pikett.Bereich,1),IF(DAY(K$10)=1,IF(MONTH(Monat.Tag1)=1,INDEX(T.Pikett.Bereich,1),IF(MONTH(Monat.Tag1)=2,January!Monat.Pikett,IF(MONTH(Monat.Tag1)=3,February!Monat.Pikett,IF(MONTH(Monat.Tag1)=4,March!Monat.Pikett,IF(MONTH(Monat.Tag1)=5,April!Monat.Pikett,IF(MONTH(Monat.Tag1)=6,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J34="B",INDEX(T.Pikett.Bereich,4),IF(J34="E",INDEX(T.Pikett.Bereich,1),J34)))),"")</f>
        <v>No</v>
      </c>
      <c r="L34" s="196" t="str">
        <f aca="true">IF(EB.Anwendung&lt;&gt;"",IF(EB.Wochenarbeitszeit=50/24,INDEX(T.Pikett.Bereich,1),IF(DAY(L$10)=1,IF(MONTH(Monat.Tag1)=1,INDEX(T.Pikett.Bereich,1),IF(MONTH(Monat.Tag1)=2,January!Monat.Pikett,IF(MONTH(Monat.Tag1)=3,February!Monat.Pikett,IF(MONTH(Monat.Tag1)=4,March!Monat.Pikett,IF(MONTH(Monat.Tag1)=5,April!Monat.Pikett,IF(MONTH(Monat.Tag1)=6,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K34="B",INDEX(T.Pikett.Bereich,4),IF(K34="E",INDEX(T.Pikett.Bereich,1),K34)))),"")</f>
        <v>No</v>
      </c>
      <c r="M34" s="196" t="str">
        <f aca="true">IF(EB.Anwendung&lt;&gt;"",IF(EB.Wochenarbeitszeit=50/24,INDEX(T.Pikett.Bereich,1),IF(DAY(M$10)=1,IF(MONTH(Monat.Tag1)=1,INDEX(T.Pikett.Bereich,1),IF(MONTH(Monat.Tag1)=2,January!Monat.Pikett,IF(MONTH(Monat.Tag1)=3,February!Monat.Pikett,IF(MONTH(Monat.Tag1)=4,March!Monat.Pikett,IF(MONTH(Monat.Tag1)=5,April!Monat.Pikett,IF(MONTH(Monat.Tag1)=6,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L34="B",INDEX(T.Pikett.Bereich,4),IF(L34="E",INDEX(T.Pikett.Bereich,1),L34)))),"")</f>
        <v>No</v>
      </c>
      <c r="N34" s="196" t="str">
        <f aca="true">IF(EB.Anwendung&lt;&gt;"",IF(EB.Wochenarbeitszeit=50/24,INDEX(T.Pikett.Bereich,1),IF(DAY(N$10)=1,IF(MONTH(Monat.Tag1)=1,INDEX(T.Pikett.Bereich,1),IF(MONTH(Monat.Tag1)=2,January!Monat.Pikett,IF(MONTH(Monat.Tag1)=3,February!Monat.Pikett,IF(MONTH(Monat.Tag1)=4,March!Monat.Pikett,IF(MONTH(Monat.Tag1)=5,April!Monat.Pikett,IF(MONTH(Monat.Tag1)=6,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M34="B",INDEX(T.Pikett.Bereich,4),IF(M34="E",INDEX(T.Pikett.Bereich,1),M34)))),"")</f>
        <v>No</v>
      </c>
      <c r="O34" s="196" t="str">
        <f aca="true">IF(EB.Anwendung&lt;&gt;"",IF(EB.Wochenarbeitszeit=50/24,INDEX(T.Pikett.Bereich,1),IF(DAY(O$10)=1,IF(MONTH(Monat.Tag1)=1,INDEX(T.Pikett.Bereich,1),IF(MONTH(Monat.Tag1)=2,January!Monat.Pikett,IF(MONTH(Monat.Tag1)=3,February!Monat.Pikett,IF(MONTH(Monat.Tag1)=4,March!Monat.Pikett,IF(MONTH(Monat.Tag1)=5,April!Monat.Pikett,IF(MONTH(Monat.Tag1)=6,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N34="B",INDEX(T.Pikett.Bereich,4),IF(N34="E",INDEX(T.Pikett.Bereich,1),N34)))),"")</f>
        <v>No</v>
      </c>
      <c r="P34" s="196" t="str">
        <f aca="true">IF(EB.Anwendung&lt;&gt;"",IF(EB.Wochenarbeitszeit=50/24,INDEX(T.Pikett.Bereich,1),IF(DAY(P$10)=1,IF(MONTH(Monat.Tag1)=1,INDEX(T.Pikett.Bereich,1),IF(MONTH(Monat.Tag1)=2,January!Monat.Pikett,IF(MONTH(Monat.Tag1)=3,February!Monat.Pikett,IF(MONTH(Monat.Tag1)=4,March!Monat.Pikett,IF(MONTH(Monat.Tag1)=5,April!Monat.Pikett,IF(MONTH(Monat.Tag1)=6,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O34="B",INDEX(T.Pikett.Bereich,4),IF(O34="E",INDEX(T.Pikett.Bereich,1),O34)))),"")</f>
        <v>No</v>
      </c>
      <c r="Q34" s="196" t="str">
        <f aca="true">IF(EB.Anwendung&lt;&gt;"",IF(EB.Wochenarbeitszeit=50/24,INDEX(T.Pikett.Bereich,1),IF(DAY(Q$10)=1,IF(MONTH(Monat.Tag1)=1,INDEX(T.Pikett.Bereich,1),IF(MONTH(Monat.Tag1)=2,January!Monat.Pikett,IF(MONTH(Monat.Tag1)=3,February!Monat.Pikett,IF(MONTH(Monat.Tag1)=4,March!Monat.Pikett,IF(MONTH(Monat.Tag1)=5,April!Monat.Pikett,IF(MONTH(Monat.Tag1)=6,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P34="B",INDEX(T.Pikett.Bereich,4),IF(P34="E",INDEX(T.Pikett.Bereich,1),P34)))),"")</f>
        <v>No</v>
      </c>
      <c r="R34" s="196" t="str">
        <f aca="true">IF(EB.Anwendung&lt;&gt;"",IF(EB.Wochenarbeitszeit=50/24,INDEX(T.Pikett.Bereich,1),IF(DAY(R$10)=1,IF(MONTH(Monat.Tag1)=1,INDEX(T.Pikett.Bereich,1),IF(MONTH(Monat.Tag1)=2,January!Monat.Pikett,IF(MONTH(Monat.Tag1)=3,February!Monat.Pikett,IF(MONTH(Monat.Tag1)=4,March!Monat.Pikett,IF(MONTH(Monat.Tag1)=5,April!Monat.Pikett,IF(MONTH(Monat.Tag1)=6,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Q34="B",INDEX(T.Pikett.Bereich,4),IF(Q34="E",INDEX(T.Pikett.Bereich,1),Q34)))),"")</f>
        <v>No</v>
      </c>
      <c r="S34" s="196" t="str">
        <f aca="true">IF(EB.Anwendung&lt;&gt;"",IF(EB.Wochenarbeitszeit=50/24,INDEX(T.Pikett.Bereich,1),IF(DAY(S$10)=1,IF(MONTH(Monat.Tag1)=1,INDEX(T.Pikett.Bereich,1),IF(MONTH(Monat.Tag1)=2,January!Monat.Pikett,IF(MONTH(Monat.Tag1)=3,February!Monat.Pikett,IF(MONTH(Monat.Tag1)=4,March!Monat.Pikett,IF(MONTH(Monat.Tag1)=5,April!Monat.Pikett,IF(MONTH(Monat.Tag1)=6,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R34="B",INDEX(T.Pikett.Bereich,4),IF(R34="E",INDEX(T.Pikett.Bereich,1),R34)))),"")</f>
        <v>No</v>
      </c>
      <c r="T34" s="196" t="str">
        <f aca="true">IF(EB.Anwendung&lt;&gt;"",IF(EB.Wochenarbeitszeit=50/24,INDEX(T.Pikett.Bereich,1),IF(DAY(T$10)=1,IF(MONTH(Monat.Tag1)=1,INDEX(T.Pikett.Bereich,1),IF(MONTH(Monat.Tag1)=2,January!Monat.Pikett,IF(MONTH(Monat.Tag1)=3,February!Monat.Pikett,IF(MONTH(Monat.Tag1)=4,March!Monat.Pikett,IF(MONTH(Monat.Tag1)=5,April!Monat.Pikett,IF(MONTH(Monat.Tag1)=6,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S34="B",INDEX(T.Pikett.Bereich,4),IF(S34="E",INDEX(T.Pikett.Bereich,1),S34)))),"")</f>
        <v>No</v>
      </c>
      <c r="U34" s="196" t="str">
        <f aca="true">IF(EB.Anwendung&lt;&gt;"",IF(EB.Wochenarbeitszeit=50/24,INDEX(T.Pikett.Bereich,1),IF(DAY(U$10)=1,IF(MONTH(Monat.Tag1)=1,INDEX(T.Pikett.Bereich,1),IF(MONTH(Monat.Tag1)=2,January!Monat.Pikett,IF(MONTH(Monat.Tag1)=3,February!Monat.Pikett,IF(MONTH(Monat.Tag1)=4,March!Monat.Pikett,IF(MONTH(Monat.Tag1)=5,April!Monat.Pikett,IF(MONTH(Monat.Tag1)=6,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T34="B",INDEX(T.Pikett.Bereich,4),IF(T34="E",INDEX(T.Pikett.Bereich,1),T34)))),"")</f>
        <v>No</v>
      </c>
      <c r="V34" s="196" t="str">
        <f aca="true">IF(EB.Anwendung&lt;&gt;"",IF(EB.Wochenarbeitszeit=50/24,INDEX(T.Pikett.Bereich,1),IF(DAY(V$10)=1,IF(MONTH(Monat.Tag1)=1,INDEX(T.Pikett.Bereich,1),IF(MONTH(Monat.Tag1)=2,January!Monat.Pikett,IF(MONTH(Monat.Tag1)=3,February!Monat.Pikett,IF(MONTH(Monat.Tag1)=4,March!Monat.Pikett,IF(MONTH(Monat.Tag1)=5,April!Monat.Pikett,IF(MONTH(Monat.Tag1)=6,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U34="B",INDEX(T.Pikett.Bereich,4),IF(U34="E",INDEX(T.Pikett.Bereich,1),U34)))),"")</f>
        <v>No</v>
      </c>
      <c r="W34" s="196" t="str">
        <f aca="true">IF(EB.Anwendung&lt;&gt;"",IF(EB.Wochenarbeitszeit=50/24,INDEX(T.Pikett.Bereich,1),IF(DAY(W$10)=1,IF(MONTH(Monat.Tag1)=1,INDEX(T.Pikett.Bereich,1),IF(MONTH(Monat.Tag1)=2,January!Monat.Pikett,IF(MONTH(Monat.Tag1)=3,February!Monat.Pikett,IF(MONTH(Monat.Tag1)=4,March!Monat.Pikett,IF(MONTH(Monat.Tag1)=5,April!Monat.Pikett,IF(MONTH(Monat.Tag1)=6,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V34="B",INDEX(T.Pikett.Bereich,4),IF(V34="E",INDEX(T.Pikett.Bereich,1),V34)))),"")</f>
        <v>No</v>
      </c>
      <c r="X34" s="196" t="str">
        <f aca="true">IF(EB.Anwendung&lt;&gt;"",IF(EB.Wochenarbeitszeit=50/24,INDEX(T.Pikett.Bereich,1),IF(DAY(X$10)=1,IF(MONTH(Monat.Tag1)=1,INDEX(T.Pikett.Bereich,1),IF(MONTH(Monat.Tag1)=2,January!Monat.Pikett,IF(MONTH(Monat.Tag1)=3,February!Monat.Pikett,IF(MONTH(Monat.Tag1)=4,March!Monat.Pikett,IF(MONTH(Monat.Tag1)=5,April!Monat.Pikett,IF(MONTH(Monat.Tag1)=6,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W34="B",INDEX(T.Pikett.Bereich,4),IF(W34="E",INDEX(T.Pikett.Bereich,1),W34)))),"")</f>
        <v>No</v>
      </c>
      <c r="Y34" s="196" t="str">
        <f aca="true">IF(EB.Anwendung&lt;&gt;"",IF(EB.Wochenarbeitszeit=50/24,INDEX(T.Pikett.Bereich,1),IF(DAY(Y$10)=1,IF(MONTH(Monat.Tag1)=1,INDEX(T.Pikett.Bereich,1),IF(MONTH(Monat.Tag1)=2,January!Monat.Pikett,IF(MONTH(Monat.Tag1)=3,February!Monat.Pikett,IF(MONTH(Monat.Tag1)=4,March!Monat.Pikett,IF(MONTH(Monat.Tag1)=5,April!Monat.Pikett,IF(MONTH(Monat.Tag1)=6,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X34="B",INDEX(T.Pikett.Bereich,4),IF(X34="E",INDEX(T.Pikett.Bereich,1),X34)))),"")</f>
        <v>No</v>
      </c>
      <c r="Z34" s="196" t="str">
        <f aca="true">IF(EB.Anwendung&lt;&gt;"",IF(EB.Wochenarbeitszeit=50/24,INDEX(T.Pikett.Bereich,1),IF(DAY(Z$10)=1,IF(MONTH(Monat.Tag1)=1,INDEX(T.Pikett.Bereich,1),IF(MONTH(Monat.Tag1)=2,January!Monat.Pikett,IF(MONTH(Monat.Tag1)=3,February!Monat.Pikett,IF(MONTH(Monat.Tag1)=4,March!Monat.Pikett,IF(MONTH(Monat.Tag1)=5,April!Monat.Pikett,IF(MONTH(Monat.Tag1)=6,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Y34="B",INDEX(T.Pikett.Bereich,4),IF(Y34="E",INDEX(T.Pikett.Bereich,1),Y34)))),"")</f>
        <v>No</v>
      </c>
      <c r="AA34" s="196" t="str">
        <f aca="true">IF(EB.Anwendung&lt;&gt;"",IF(EB.Wochenarbeitszeit=50/24,INDEX(T.Pikett.Bereich,1),IF(DAY(AA$10)=1,IF(MONTH(Monat.Tag1)=1,INDEX(T.Pikett.Bereich,1),IF(MONTH(Monat.Tag1)=2,January!Monat.Pikett,IF(MONTH(Monat.Tag1)=3,February!Monat.Pikett,IF(MONTH(Monat.Tag1)=4,March!Monat.Pikett,IF(MONTH(Monat.Tag1)=5,April!Monat.Pikett,IF(MONTH(Monat.Tag1)=6,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Z34="B",INDEX(T.Pikett.Bereich,4),IF(Z34="E",INDEX(T.Pikett.Bereich,1),Z34)))),"")</f>
        <v>No</v>
      </c>
      <c r="AB34" s="196" t="str">
        <f aca="true">IF(EB.Anwendung&lt;&gt;"",IF(EB.Wochenarbeitszeit=50/24,INDEX(T.Pikett.Bereich,1),IF(DAY(AB$10)=1,IF(MONTH(Monat.Tag1)=1,INDEX(T.Pikett.Bereich,1),IF(MONTH(Monat.Tag1)=2,January!Monat.Pikett,IF(MONTH(Monat.Tag1)=3,February!Monat.Pikett,IF(MONTH(Monat.Tag1)=4,March!Monat.Pikett,IF(MONTH(Monat.Tag1)=5,April!Monat.Pikett,IF(MONTH(Monat.Tag1)=6,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AA34="B",INDEX(T.Pikett.Bereich,4),IF(AA34="E",INDEX(T.Pikett.Bereich,1),AA34)))),"")</f>
        <v>No</v>
      </c>
      <c r="AC34" s="196" t="str">
        <f aca="true">IF(EB.Anwendung&lt;&gt;"",IF(EB.Wochenarbeitszeit=50/24,INDEX(T.Pikett.Bereich,1),IF(DAY(AC$10)=1,IF(MONTH(Monat.Tag1)=1,INDEX(T.Pikett.Bereich,1),IF(MONTH(Monat.Tag1)=2,January!Monat.Pikett,IF(MONTH(Monat.Tag1)=3,February!Monat.Pikett,IF(MONTH(Monat.Tag1)=4,March!Monat.Pikett,IF(MONTH(Monat.Tag1)=5,April!Monat.Pikett,IF(MONTH(Monat.Tag1)=6,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AB34="B",INDEX(T.Pikett.Bereich,4),IF(AB34="E",INDEX(T.Pikett.Bereich,1),AB34)))),"")</f>
        <v>No</v>
      </c>
      <c r="AD34" s="196" t="str">
        <f aca="true">IF(EB.Anwendung&lt;&gt;"",IF(EB.Wochenarbeitszeit=50/24,INDEX(T.Pikett.Bereich,1),IF(DAY(AD$10)=1,IF(MONTH(Monat.Tag1)=1,INDEX(T.Pikett.Bereich,1),IF(MONTH(Monat.Tag1)=2,January!Monat.Pikett,IF(MONTH(Monat.Tag1)=3,February!Monat.Pikett,IF(MONTH(Monat.Tag1)=4,March!Monat.Pikett,IF(MONTH(Monat.Tag1)=5,April!Monat.Pikett,IF(MONTH(Monat.Tag1)=6,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AC34="B",INDEX(T.Pikett.Bereich,4),IF(AC34="E",INDEX(T.Pikett.Bereich,1),AC34)))),"")</f>
        <v>No</v>
      </c>
      <c r="AE34" s="196" t="str">
        <f aca="true">IF(EB.Anwendung&lt;&gt;"",IF(EB.Wochenarbeitszeit=50/24,INDEX(T.Pikett.Bereich,1),IF(DAY(AE$10)=1,IF(MONTH(Monat.Tag1)=1,INDEX(T.Pikett.Bereich,1),IF(MONTH(Monat.Tag1)=2,January!Monat.Pikett,IF(MONTH(Monat.Tag1)=3,February!Monat.Pikett,IF(MONTH(Monat.Tag1)=4,March!Monat.Pikett,IF(MONTH(Monat.Tag1)=5,April!Monat.Pikett,IF(MONTH(Monat.Tag1)=6,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AD34="B",INDEX(T.Pikett.Bereich,4),IF(AD34="E",INDEX(T.Pikett.Bereich,1),AD34)))),"")</f>
        <v>No</v>
      </c>
      <c r="AF34" s="196" t="str">
        <f aca="true">IF(EB.Anwendung&lt;&gt;"",IF(EB.Wochenarbeitszeit=50/24,INDEX(T.Pikett.Bereich,1),IF(DAY(AF$10)=1,IF(MONTH(Monat.Tag1)=1,INDEX(T.Pikett.Bereich,1),IF(MONTH(Monat.Tag1)=2,January!Monat.Pikett,IF(MONTH(Monat.Tag1)=3,February!Monat.Pikett,IF(MONTH(Monat.Tag1)=4,March!Monat.Pikett,IF(MONTH(Monat.Tag1)=5,April!Monat.Pikett,IF(MONTH(Monat.Tag1)=6,Monat.Pikett,IF(MONTH(Monat.Tag1)=7,June!Monat.Pikett,IF(MONTH(Monat.Tag1)=8,July!Monat.Pikett,IF(MONTH(Monat.Tag1)=9,August!Monat.Pikett,IF(MONTH(Monat.Tag1)=10,September!Monat.Pikett,IF(MONTH(Monat.Tag1)=11,October!Monat.Pikett,IF(MONTH(Monat.Tag1)=12,November!Monat.Pikett,"")))))))))))),IF(AE34="B",INDEX(T.Pikett.Bereich,4),IF(AE34="E",INDEX(T.Pikett.Bereich,1),AE34)))),"")</f>
        <v>No</v>
      </c>
      <c r="AG34" s="183" t="str">
        <f aca="true">IF(OFFSET(B34,0,DAY(EOMONTH(Monat.Tag1,0))-1,1,1)="B",INDEX(T.Pikett.Bereich,4),IF(OFFSET(B34,0,DAY(EOMONTH(Monat.Tag1,0))-1,1,1)="E",INDEX(T.Pikett.Bereich,1),OFFSET(B34,0,DAY(EOMONTH(Monat.Tag1,0))-1,1,1)))</f>
        <v>No</v>
      </c>
      <c r="AH34" s="197"/>
      <c r="AI34" s="192"/>
      <c r="AJ34" s="198" t="str">
        <f aca="true">IF(T.50_Vetsuisse,IFERROR(SUMPRODUCT((B34:AF34=INDEX(T.Pikett.Bereich,4))*((B49:AF49)&lt;1/24*5)),0) &amp; " / " &amp; IFERROR(SUMPRODUCT((B34:AF34=INDEX(T.Pikett.Bereich,4))*((B49:AF49)&gt;=1/24*5)),0) &amp; " / " &amp; IFERROR(SUMPRODUCT((B34:AF34=INDEX(T.Pikett.Bereich,4))*((B49:AF49)&lt;1/24*5)),0) + IFERROR(SUMPRODUCT((B34:AF34=INDEX(T.Pikett.Bereich,4))*((B49:AF49)&gt;=1/24*5)),0), IFERROR(SUMPRODUCT((B34:AF34=INDEX(T.Pikett.Bereich,4))*(WEEKDAY(B10:AF10,2)&lt;6)*(B11:AF11&lt;&gt;0)),0) &amp; " / " &amp; IFERROR(SUMPRODUCT((B34:AF34=INDEX(T.Pikett.Bereich,4))*(WEEKDAY(B10:AF10,2)&gt;5)*(B11:AF11&lt;&gt;0))+SUMPRODUCT((B34:AF34=INDEX(T.Pikett.Bereich,4))*(B11:AF11=0)),0) &amp; " / " &amp; IFERROR(SUMPRODUCT((B34:AF34=INDEX(T.Pikett.Bereich,4))*(WEEKDAY(B10:AF10,2)&lt;6)*(B11:AF11&lt;&gt;0)),0) + IFERROR(SUMPRODUCT((B34:AF34=INDEX(T.Pikett.Bereich,4))*(WEEKDAY(B10:AF10,2)&gt;5)*(B11:AF11&lt;&gt;0))+SUMPRODUCT((B34:AF34=INDEX(T.Pikett.Bereich,4))*(B11:AF11=0)),0))</f>
        <v>0 / 0 / 0</v>
      </c>
      <c r="AK34" s="172"/>
      <c r="AL34" s="172"/>
      <c r="AM34" s="172"/>
      <c r="AN34" s="171"/>
      <c r="AO34" s="172"/>
      <c r="AP34" s="172"/>
      <c r="AQ34" s="39"/>
    </row>
    <row r="35" s="148" customFormat="true" ht="15" hidden="false" customHeight="true" outlineLevel="1" collapsed="false">
      <c r="A35" s="175" t="s">
        <v>128</v>
      </c>
      <c r="B35" s="176"/>
      <c r="C35" s="176"/>
      <c r="D35" s="176"/>
      <c r="E35" s="177"/>
      <c r="F35" s="176"/>
      <c r="G35" s="176"/>
      <c r="H35" s="176"/>
      <c r="I35" s="176"/>
      <c r="J35" s="177"/>
      <c r="K35" s="176"/>
      <c r="L35" s="177"/>
      <c r="M35" s="176"/>
      <c r="N35" s="176"/>
      <c r="O35" s="176"/>
      <c r="P35" s="176"/>
      <c r="Q35" s="177"/>
      <c r="R35" s="176"/>
      <c r="S35" s="177"/>
      <c r="T35" s="177"/>
      <c r="U35" s="176"/>
      <c r="V35" s="176"/>
      <c r="W35" s="176"/>
      <c r="X35" s="177"/>
      <c r="Y35" s="176"/>
      <c r="Z35" s="178"/>
      <c r="AA35" s="176"/>
      <c r="AB35" s="176"/>
      <c r="AC35" s="176"/>
      <c r="AD35" s="176"/>
      <c r="AE35" s="177"/>
      <c r="AF35" s="176"/>
      <c r="AG35" s="168" t="str">
        <f aca="false">A35</f>
        <v>in</v>
      </c>
      <c r="AH35" s="146"/>
      <c r="AI35" s="179"/>
      <c r="AJ35" s="180"/>
      <c r="AK35" s="172"/>
      <c r="AL35" s="172"/>
      <c r="AM35" s="172"/>
      <c r="AN35" s="171"/>
      <c r="AO35" s="172"/>
      <c r="AP35" s="172"/>
      <c r="AQ35" s="39"/>
    </row>
    <row r="36" s="148" customFormat="true" ht="15" hidden="false" customHeight="true" outlineLevel="1" collapsed="false">
      <c r="A36" s="175" t="s">
        <v>129</v>
      </c>
      <c r="B36" s="176"/>
      <c r="C36" s="176"/>
      <c r="D36" s="176"/>
      <c r="E36" s="177"/>
      <c r="F36" s="176"/>
      <c r="G36" s="176"/>
      <c r="H36" s="176"/>
      <c r="I36" s="176"/>
      <c r="J36" s="177"/>
      <c r="K36" s="176"/>
      <c r="L36" s="177"/>
      <c r="M36" s="176"/>
      <c r="N36" s="176"/>
      <c r="O36" s="176"/>
      <c r="P36" s="176"/>
      <c r="Q36" s="177"/>
      <c r="R36" s="176"/>
      <c r="S36" s="177"/>
      <c r="T36" s="177"/>
      <c r="U36" s="176"/>
      <c r="V36" s="176"/>
      <c r="W36" s="176"/>
      <c r="X36" s="177"/>
      <c r="Y36" s="176"/>
      <c r="Z36" s="178"/>
      <c r="AA36" s="176"/>
      <c r="AB36" s="176"/>
      <c r="AC36" s="176"/>
      <c r="AD36" s="176"/>
      <c r="AE36" s="177"/>
      <c r="AF36" s="176"/>
      <c r="AG36" s="168" t="str">
        <f aca="false">A36</f>
        <v>out</v>
      </c>
      <c r="AH36" s="146"/>
      <c r="AI36" s="179"/>
      <c r="AJ36" s="180"/>
      <c r="AK36" s="172"/>
      <c r="AL36" s="172"/>
      <c r="AM36" s="172"/>
      <c r="AN36" s="171"/>
      <c r="AO36" s="172"/>
      <c r="AP36" s="172"/>
      <c r="AQ36" s="39"/>
    </row>
    <row r="37" s="148" customFormat="true" ht="15" hidden="false" customHeight="true" outlineLevel="1" collapsed="false">
      <c r="A37" s="175" t="s">
        <v>128</v>
      </c>
      <c r="B37" s="176"/>
      <c r="C37" s="176"/>
      <c r="D37" s="176"/>
      <c r="E37" s="177"/>
      <c r="F37" s="176"/>
      <c r="G37" s="176"/>
      <c r="H37" s="176"/>
      <c r="I37" s="176"/>
      <c r="J37" s="177"/>
      <c r="K37" s="176"/>
      <c r="L37" s="177"/>
      <c r="M37" s="176"/>
      <c r="N37" s="176"/>
      <c r="O37" s="176"/>
      <c r="P37" s="176"/>
      <c r="Q37" s="177"/>
      <c r="R37" s="176"/>
      <c r="S37" s="177"/>
      <c r="T37" s="177"/>
      <c r="U37" s="176"/>
      <c r="V37" s="176"/>
      <c r="W37" s="176"/>
      <c r="X37" s="177"/>
      <c r="Y37" s="176"/>
      <c r="Z37" s="178"/>
      <c r="AA37" s="176"/>
      <c r="AB37" s="176"/>
      <c r="AC37" s="176"/>
      <c r="AD37" s="176"/>
      <c r="AE37" s="177"/>
      <c r="AF37" s="176"/>
      <c r="AG37" s="168" t="str">
        <f aca="false">A37</f>
        <v>in</v>
      </c>
      <c r="AH37" s="146"/>
      <c r="AI37" s="179"/>
      <c r="AJ37" s="180"/>
      <c r="AK37" s="172"/>
      <c r="AL37" s="172"/>
      <c r="AM37" s="172"/>
      <c r="AN37" s="171"/>
      <c r="AO37" s="172"/>
      <c r="AP37" s="172"/>
      <c r="AQ37" s="39"/>
    </row>
    <row r="38" s="148" customFormat="true" ht="15" hidden="false" customHeight="true" outlineLevel="1" collapsed="false">
      <c r="A38" s="175" t="s">
        <v>129</v>
      </c>
      <c r="B38" s="176"/>
      <c r="C38" s="176"/>
      <c r="D38" s="176"/>
      <c r="E38" s="177"/>
      <c r="F38" s="176"/>
      <c r="G38" s="176"/>
      <c r="H38" s="176"/>
      <c r="I38" s="176"/>
      <c r="J38" s="177"/>
      <c r="K38" s="176"/>
      <c r="L38" s="177"/>
      <c r="M38" s="176"/>
      <c r="N38" s="176"/>
      <c r="O38" s="176"/>
      <c r="P38" s="176"/>
      <c r="Q38" s="177"/>
      <c r="R38" s="176"/>
      <c r="S38" s="177"/>
      <c r="T38" s="177"/>
      <c r="U38" s="176"/>
      <c r="V38" s="176"/>
      <c r="W38" s="176"/>
      <c r="X38" s="177"/>
      <c r="Y38" s="176"/>
      <c r="Z38" s="178"/>
      <c r="AA38" s="176"/>
      <c r="AB38" s="176"/>
      <c r="AC38" s="176"/>
      <c r="AD38" s="176"/>
      <c r="AE38" s="177"/>
      <c r="AF38" s="176"/>
      <c r="AG38" s="168" t="str">
        <f aca="false">A38</f>
        <v>out</v>
      </c>
      <c r="AH38" s="146"/>
      <c r="AI38" s="179"/>
      <c r="AJ38" s="180"/>
      <c r="AK38" s="172"/>
      <c r="AL38" s="172"/>
      <c r="AM38" s="172"/>
      <c r="AN38" s="171"/>
      <c r="AO38" s="172"/>
      <c r="AP38" s="172"/>
      <c r="AQ38" s="39"/>
    </row>
    <row r="39" s="148" customFormat="true" ht="15" hidden="false" customHeight="true" outlineLevel="1" collapsed="false">
      <c r="A39" s="175" t="s">
        <v>128</v>
      </c>
      <c r="B39" s="176"/>
      <c r="C39" s="176"/>
      <c r="D39" s="176"/>
      <c r="E39" s="177"/>
      <c r="F39" s="176"/>
      <c r="G39" s="176"/>
      <c r="H39" s="176"/>
      <c r="I39" s="176"/>
      <c r="J39" s="177"/>
      <c r="K39" s="176"/>
      <c r="L39" s="177"/>
      <c r="M39" s="176"/>
      <c r="N39" s="176"/>
      <c r="O39" s="176"/>
      <c r="P39" s="176"/>
      <c r="Q39" s="177"/>
      <c r="R39" s="176"/>
      <c r="S39" s="177"/>
      <c r="T39" s="177"/>
      <c r="U39" s="176"/>
      <c r="V39" s="176"/>
      <c r="W39" s="176"/>
      <c r="X39" s="177"/>
      <c r="Y39" s="176"/>
      <c r="Z39" s="178"/>
      <c r="AA39" s="176"/>
      <c r="AB39" s="176"/>
      <c r="AC39" s="176"/>
      <c r="AD39" s="176"/>
      <c r="AE39" s="177"/>
      <c r="AF39" s="176"/>
      <c r="AG39" s="168" t="str">
        <f aca="false">A39</f>
        <v>in</v>
      </c>
      <c r="AH39" s="146"/>
      <c r="AI39" s="179"/>
      <c r="AJ39" s="180"/>
      <c r="AK39" s="172"/>
      <c r="AL39" s="172"/>
      <c r="AM39" s="172"/>
      <c r="AN39" s="171"/>
      <c r="AO39" s="172"/>
      <c r="AP39" s="172"/>
      <c r="AQ39" s="39"/>
    </row>
    <row r="40" s="148" customFormat="true" ht="15" hidden="false" customHeight="true" outlineLevel="1" collapsed="false">
      <c r="A40" s="175" t="s">
        <v>129</v>
      </c>
      <c r="B40" s="176"/>
      <c r="C40" s="176"/>
      <c r="D40" s="176"/>
      <c r="E40" s="177"/>
      <c r="F40" s="176"/>
      <c r="G40" s="176"/>
      <c r="H40" s="176"/>
      <c r="I40" s="176"/>
      <c r="J40" s="177"/>
      <c r="K40" s="176"/>
      <c r="L40" s="177"/>
      <c r="M40" s="176"/>
      <c r="N40" s="176"/>
      <c r="O40" s="176"/>
      <c r="P40" s="176"/>
      <c r="Q40" s="177"/>
      <c r="R40" s="176"/>
      <c r="S40" s="177"/>
      <c r="T40" s="177"/>
      <c r="U40" s="176"/>
      <c r="V40" s="176"/>
      <c r="W40" s="176"/>
      <c r="X40" s="177"/>
      <c r="Y40" s="176"/>
      <c r="Z40" s="178"/>
      <c r="AA40" s="176"/>
      <c r="AB40" s="176"/>
      <c r="AC40" s="176"/>
      <c r="AD40" s="176"/>
      <c r="AE40" s="177"/>
      <c r="AF40" s="176"/>
      <c r="AG40" s="168" t="str">
        <f aca="false">A40</f>
        <v>out</v>
      </c>
      <c r="AH40" s="146"/>
      <c r="AI40" s="179"/>
      <c r="AJ40" s="180"/>
      <c r="AK40" s="172"/>
      <c r="AL40" s="172"/>
      <c r="AM40" s="172"/>
      <c r="AN40" s="171"/>
      <c r="AO40" s="172"/>
      <c r="AP40" s="172"/>
      <c r="AQ40" s="39"/>
    </row>
    <row r="41" s="148" customFormat="true" ht="15" hidden="true" customHeight="true" outlineLevel="1" collapsed="false">
      <c r="A41" s="175" t="s">
        <v>128</v>
      </c>
      <c r="B41" s="176"/>
      <c r="C41" s="176"/>
      <c r="D41" s="176"/>
      <c r="E41" s="177"/>
      <c r="F41" s="176"/>
      <c r="G41" s="176"/>
      <c r="H41" s="176"/>
      <c r="I41" s="176"/>
      <c r="J41" s="177"/>
      <c r="K41" s="176"/>
      <c r="L41" s="177"/>
      <c r="M41" s="176"/>
      <c r="N41" s="176"/>
      <c r="O41" s="176"/>
      <c r="P41" s="176"/>
      <c r="Q41" s="177"/>
      <c r="R41" s="176"/>
      <c r="S41" s="177"/>
      <c r="T41" s="177"/>
      <c r="U41" s="176"/>
      <c r="V41" s="176"/>
      <c r="W41" s="176"/>
      <c r="X41" s="177"/>
      <c r="Y41" s="176"/>
      <c r="Z41" s="178"/>
      <c r="AA41" s="176"/>
      <c r="AB41" s="176"/>
      <c r="AC41" s="176"/>
      <c r="AD41" s="176"/>
      <c r="AE41" s="177"/>
      <c r="AF41" s="176"/>
      <c r="AG41" s="168" t="str">
        <f aca="false">A41</f>
        <v>in</v>
      </c>
      <c r="AH41" s="146"/>
      <c r="AI41" s="179"/>
      <c r="AJ41" s="180"/>
      <c r="AK41" s="172"/>
      <c r="AL41" s="172"/>
      <c r="AM41" s="172"/>
      <c r="AN41" s="171"/>
      <c r="AO41" s="172"/>
      <c r="AP41" s="172"/>
      <c r="AQ41" s="39"/>
    </row>
    <row r="42" s="148" customFormat="true" ht="15" hidden="true" customHeight="true" outlineLevel="1" collapsed="false">
      <c r="A42" s="175" t="s">
        <v>129</v>
      </c>
      <c r="B42" s="176"/>
      <c r="C42" s="176"/>
      <c r="D42" s="176"/>
      <c r="E42" s="177"/>
      <c r="F42" s="176"/>
      <c r="G42" s="176"/>
      <c r="H42" s="176"/>
      <c r="I42" s="176"/>
      <c r="J42" s="177"/>
      <c r="K42" s="176"/>
      <c r="L42" s="177"/>
      <c r="M42" s="176"/>
      <c r="N42" s="176"/>
      <c r="O42" s="176"/>
      <c r="P42" s="176"/>
      <c r="Q42" s="177"/>
      <c r="R42" s="176"/>
      <c r="S42" s="177"/>
      <c r="T42" s="177"/>
      <c r="U42" s="176"/>
      <c r="V42" s="176"/>
      <c r="W42" s="176"/>
      <c r="X42" s="177"/>
      <c r="Y42" s="176"/>
      <c r="Z42" s="178"/>
      <c r="AA42" s="176"/>
      <c r="AB42" s="176"/>
      <c r="AC42" s="176"/>
      <c r="AD42" s="176"/>
      <c r="AE42" s="177"/>
      <c r="AF42" s="176"/>
      <c r="AG42" s="168" t="str">
        <f aca="false">A42</f>
        <v>out</v>
      </c>
      <c r="AH42" s="146"/>
      <c r="AI42" s="179"/>
      <c r="AJ42" s="180"/>
      <c r="AK42" s="172"/>
      <c r="AL42" s="172"/>
      <c r="AM42" s="172"/>
      <c r="AN42" s="171"/>
      <c r="AO42" s="172"/>
      <c r="AP42" s="172"/>
      <c r="AQ42" s="39"/>
    </row>
    <row r="43" s="148" customFormat="true" ht="15" hidden="true" customHeight="true" outlineLevel="1" collapsed="false">
      <c r="A43" s="175" t="s">
        <v>128</v>
      </c>
      <c r="B43" s="176"/>
      <c r="C43" s="176"/>
      <c r="D43" s="176"/>
      <c r="E43" s="177"/>
      <c r="F43" s="176"/>
      <c r="G43" s="176"/>
      <c r="H43" s="176"/>
      <c r="I43" s="176"/>
      <c r="J43" s="177"/>
      <c r="K43" s="176"/>
      <c r="L43" s="177"/>
      <c r="M43" s="176"/>
      <c r="N43" s="176"/>
      <c r="O43" s="176"/>
      <c r="P43" s="176"/>
      <c r="Q43" s="177"/>
      <c r="R43" s="176"/>
      <c r="S43" s="177"/>
      <c r="T43" s="177"/>
      <c r="U43" s="176"/>
      <c r="V43" s="176"/>
      <c r="W43" s="176"/>
      <c r="X43" s="177"/>
      <c r="Y43" s="176"/>
      <c r="Z43" s="178"/>
      <c r="AA43" s="176"/>
      <c r="AB43" s="176"/>
      <c r="AC43" s="176"/>
      <c r="AD43" s="176"/>
      <c r="AE43" s="177"/>
      <c r="AF43" s="176"/>
      <c r="AG43" s="168" t="str">
        <f aca="false">A43</f>
        <v>in</v>
      </c>
      <c r="AH43" s="146"/>
      <c r="AI43" s="179"/>
      <c r="AJ43" s="180"/>
      <c r="AK43" s="172"/>
      <c r="AL43" s="172"/>
      <c r="AM43" s="172"/>
      <c r="AN43" s="171"/>
      <c r="AO43" s="172"/>
      <c r="AP43" s="172"/>
      <c r="AQ43" s="39"/>
    </row>
    <row r="44" s="148" customFormat="true" ht="15" hidden="true" customHeight="true" outlineLevel="1" collapsed="false">
      <c r="A44" s="175" t="s">
        <v>129</v>
      </c>
      <c r="B44" s="176"/>
      <c r="C44" s="176"/>
      <c r="D44" s="176"/>
      <c r="E44" s="177"/>
      <c r="F44" s="176"/>
      <c r="G44" s="176"/>
      <c r="H44" s="176"/>
      <c r="I44" s="176"/>
      <c r="J44" s="177"/>
      <c r="K44" s="176"/>
      <c r="L44" s="177"/>
      <c r="M44" s="176"/>
      <c r="N44" s="176"/>
      <c r="O44" s="176"/>
      <c r="P44" s="176"/>
      <c r="Q44" s="177"/>
      <c r="R44" s="176"/>
      <c r="S44" s="177"/>
      <c r="T44" s="177"/>
      <c r="U44" s="176"/>
      <c r="V44" s="176"/>
      <c r="W44" s="176"/>
      <c r="X44" s="177"/>
      <c r="Y44" s="176"/>
      <c r="Z44" s="178"/>
      <c r="AA44" s="176"/>
      <c r="AB44" s="176"/>
      <c r="AC44" s="176"/>
      <c r="AD44" s="176"/>
      <c r="AE44" s="177"/>
      <c r="AF44" s="176"/>
      <c r="AG44" s="168" t="str">
        <f aca="false">A44</f>
        <v>out</v>
      </c>
      <c r="AH44" s="146"/>
      <c r="AI44" s="179"/>
      <c r="AJ44" s="180"/>
      <c r="AK44" s="172"/>
      <c r="AL44" s="172"/>
      <c r="AM44" s="172"/>
      <c r="AN44" s="171"/>
      <c r="AO44" s="172"/>
      <c r="AP44" s="172"/>
      <c r="AQ44" s="39"/>
    </row>
    <row r="45" s="148" customFormat="true" ht="15" hidden="false" customHeight="true" outlineLevel="1" collapsed="false">
      <c r="A45" s="181" t="s">
        <v>135</v>
      </c>
      <c r="B45" s="182" t="n">
        <f aca="false">ROUND((B36-B35)+(B38-B37)+(B40-B39)+(B42-B41)+(B44-B43),9)</f>
        <v>0</v>
      </c>
      <c r="C45" s="182" t="n">
        <f aca="false">ROUND((C36-C35)+(C38-C37)+(C40-C39)+(C42-C41)+(C44-C43),9)</f>
        <v>0</v>
      </c>
      <c r="D45" s="182" t="n">
        <f aca="false">ROUND((D36-D35)+(D38-D37)+(D40-D39)+(D42-D41)+(D44-D43),9)</f>
        <v>0</v>
      </c>
      <c r="E45" s="182" t="n">
        <f aca="false">ROUND((E36-E35)+(E38-E37)+(E40-E39)+(E42-E41)+(E44-E43),9)</f>
        <v>0</v>
      </c>
      <c r="F45" s="182" t="n">
        <f aca="false">ROUND((F36-F35)+(F38-F37)+(F40-F39)+(F42-F41)+(F44-F43),9)</f>
        <v>0</v>
      </c>
      <c r="G45" s="182" t="n">
        <f aca="false">ROUND((G36-G35)+(G38-G37)+(G40-G39)+(G42-G41)+(G44-G43),9)</f>
        <v>0</v>
      </c>
      <c r="H45" s="182" t="n">
        <f aca="false">ROUND((H36-H35)+(H38-H37)+(H40-H39)+(H42-H41)+(H44-H43),9)</f>
        <v>0</v>
      </c>
      <c r="I45" s="182" t="n">
        <f aca="false">ROUND((I36-I35)+(I38-I37)+(I40-I39)+(I42-I41)+(I44-I43),9)</f>
        <v>0</v>
      </c>
      <c r="J45" s="182" t="n">
        <f aca="false">ROUND((J36-J35)+(J38-J37)+(J40-J39)+(J42-J41)+(J44-J43),9)</f>
        <v>0</v>
      </c>
      <c r="K45" s="182" t="n">
        <f aca="false">ROUND((K36-K35)+(K38-K37)+(K40-K39)+(K42-K41)+(K44-K43),9)</f>
        <v>0</v>
      </c>
      <c r="L45" s="182" t="n">
        <f aca="false">ROUND((L36-L35)+(L38-L37)+(L40-L39)+(L42-L41)+(L44-L43),9)</f>
        <v>0</v>
      </c>
      <c r="M45" s="182" t="n">
        <f aca="false">ROUND((M36-M35)+(M38-M37)+(M40-M39)+(M42-M41)+(M44-M43),9)</f>
        <v>0</v>
      </c>
      <c r="N45" s="182" t="n">
        <f aca="false">ROUND((N36-N35)+(N38-N37)+(N40-N39)+(N42-N41)+(N44-N43),9)</f>
        <v>0</v>
      </c>
      <c r="O45" s="182" t="n">
        <f aca="false">ROUND((O36-O35)+(O38-O37)+(O40-O39)+(O42-O41)+(O44-O43),9)</f>
        <v>0</v>
      </c>
      <c r="P45" s="182" t="n">
        <f aca="false">ROUND((P36-P35)+(P38-P37)+(P40-P39)+(P42-P41)+(P44-P43),9)</f>
        <v>0</v>
      </c>
      <c r="Q45" s="182" t="n">
        <f aca="false">ROUND((Q36-Q35)+(Q38-Q37)+(Q40-Q39)+(Q42-Q41)+(Q44-Q43),9)</f>
        <v>0</v>
      </c>
      <c r="R45" s="182" t="n">
        <f aca="false">ROUND((R36-R35)+(R38-R37)+(R40-R39)+(R42-R41)+(R44-R43),9)</f>
        <v>0</v>
      </c>
      <c r="S45" s="182" t="n">
        <f aca="false">ROUND((S36-S35)+(S38-S37)+(S40-S39)+(S42-S41)+(S44-S43),9)</f>
        <v>0</v>
      </c>
      <c r="T45" s="182" t="n">
        <f aca="false">ROUND((T36-T35)+(T38-T37)+(T40-T39)+(T42-T41)+(T44-T43),9)</f>
        <v>0</v>
      </c>
      <c r="U45" s="182" t="n">
        <f aca="false">ROUND((U36-U35)+(U38-U37)+(U40-U39)+(U42-U41)+(U44-U43),9)</f>
        <v>0</v>
      </c>
      <c r="V45" s="182" t="n">
        <f aca="false">ROUND((V36-V35)+(V38-V37)+(V40-V39)+(V42-V41)+(V44-V43),9)</f>
        <v>0</v>
      </c>
      <c r="W45" s="182" t="n">
        <f aca="false">ROUND((W36-W35)+(W38-W37)+(W40-W39)+(W42-W41)+(W44-W43),9)</f>
        <v>0</v>
      </c>
      <c r="X45" s="182" t="n">
        <f aca="false">ROUND((X36-X35)+(X38-X37)+(X40-X39)+(X42-X41)+(X44-X43),9)</f>
        <v>0</v>
      </c>
      <c r="Y45" s="182" t="n">
        <f aca="false">ROUND((Y36-Y35)+(Y38-Y37)+(Y40-Y39)+(Y42-Y41)+(Y44-Y43),9)</f>
        <v>0</v>
      </c>
      <c r="Z45" s="182" t="n">
        <f aca="false">ROUND((Z36-Z35)+(Z38-Z37)+(Z40-Z39)+(Z42-Z41)+(Z44-Z43),9)</f>
        <v>0</v>
      </c>
      <c r="AA45" s="182" t="n">
        <f aca="false">ROUND((AA36-AA35)+(AA38-AA37)+(AA40-AA39)+(AA42-AA41)+(AA44-AA43),9)</f>
        <v>0</v>
      </c>
      <c r="AB45" s="182" t="n">
        <f aca="false">ROUND((AB36-AB35)+(AB38-AB37)+(AB40-AB39)+(AB42-AB41)+(AB44-AB43),9)</f>
        <v>0</v>
      </c>
      <c r="AC45" s="182" t="n">
        <f aca="false">ROUND((AC36-AC35)+(AC38-AC37)+(AC40-AC39)+(AC42-AC41)+(AC44-AC43),9)</f>
        <v>0</v>
      </c>
      <c r="AD45" s="182" t="n">
        <f aca="false">ROUND((AD36-AD35)+(AD38-AD37)+(AD40-AD39)+(AD42-AD41)+(AD44-AD43),9)</f>
        <v>0</v>
      </c>
      <c r="AE45" s="182" t="n">
        <f aca="false">ROUND((AE36-AE35)+(AE38-AE37)+(AE40-AE39)+(AE42-AE41)+(AE44-AE43),9)</f>
        <v>0</v>
      </c>
      <c r="AF45" s="182" t="n">
        <f aca="false">ROUND((AF36-AF35)+(AF38-AF37)+(AF40-AF39)+(AF42-AF41)+(AF44-AF43),9)</f>
        <v>0</v>
      </c>
      <c r="AG45" s="183" t="str">
        <f aca="false">A45</f>
        <v>Total on call standby in/out</v>
      </c>
      <c r="AH45" s="184"/>
      <c r="AI45" s="185" t="n">
        <f aca="false">SUM(B45:AF45)</f>
        <v>0</v>
      </c>
      <c r="AJ45" s="180"/>
      <c r="AK45" s="172"/>
      <c r="AL45" s="172"/>
      <c r="AM45" s="172"/>
      <c r="AN45" s="171"/>
      <c r="AO45" s="172"/>
      <c r="AP45" s="172"/>
      <c r="AQ45" s="39"/>
    </row>
    <row r="46" s="148" customFormat="true" ht="3.75" hidden="false" customHeight="true" outlineLevel="0" collapsed="false">
      <c r="A46" s="186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179"/>
      <c r="AG46" s="168"/>
      <c r="AH46" s="146"/>
      <c r="AI46" s="179"/>
      <c r="AJ46" s="180"/>
      <c r="AK46" s="172"/>
      <c r="AL46" s="172"/>
      <c r="AM46" s="172"/>
      <c r="AN46" s="171"/>
      <c r="AO46" s="172"/>
      <c r="AP46" s="172"/>
      <c r="AQ46" s="39"/>
    </row>
    <row r="47" s="148" customFormat="true" ht="16.5" hidden="true" customHeight="true" outlineLevel="1" collapsed="false">
      <c r="A47" s="181" t="s">
        <v>136</v>
      </c>
      <c r="B47" s="182" t="n">
        <f aca="false">IF(B45&gt;0,ROUND(B45- IF(B35&lt;T.PikettVetsuissebis,MIN(T.PikettVetsuissebis-B35,B36-B35)+IF(B37&lt;T.PikettVetsuissebis,MIN(T.PikettVetsuissebis-B37,B38-B37)+IF(B39&lt;T.PikettVetsuissebis,MIN(T.PikettVetsuissebis-B39,B40-B39)+IF(B41&lt;T.PikettVetsuissebis,MIN(T.PikettVetsuissebis-B41,B42-B41)+IF(B43&lt;T.PikettVetsuissebis,MIN(T.PikettVetsuissebis-B43,B44-B43),0),0),0),0),0),9),0)</f>
        <v>0</v>
      </c>
      <c r="C47" s="182" t="n">
        <f aca="false">IF(C45&gt;0,ROUND(C45- IF(C35&lt;T.PikettVetsuissebis,MIN(T.PikettVetsuissebis-C35,C36-C35)+IF(C37&lt;T.PikettVetsuissebis,MIN(T.PikettVetsuissebis-C37,C38-C37)+IF(C39&lt;T.PikettVetsuissebis,MIN(T.PikettVetsuissebis-C39,C40-C39)+IF(C41&lt;T.PikettVetsuissebis,MIN(T.PikettVetsuissebis-C41,C42-C41)+IF(C43&lt;T.PikettVetsuissebis,MIN(T.PikettVetsuissebis-C43,C44-C43),0),0),0),0),0),9),0)</f>
        <v>0</v>
      </c>
      <c r="D47" s="182" t="n">
        <f aca="false">IF(D45&gt;0,ROUND(D45- IF(D35&lt;T.PikettVetsuissebis,MIN(T.PikettVetsuissebis-D35,D36-D35)+IF(D37&lt;T.PikettVetsuissebis,MIN(T.PikettVetsuissebis-D37,D38-D37)+IF(D39&lt;T.PikettVetsuissebis,MIN(T.PikettVetsuissebis-D39,D40-D39)+IF(D41&lt;T.PikettVetsuissebis,MIN(T.PikettVetsuissebis-D41,D42-D41)+IF(D43&lt;T.PikettVetsuissebis,MIN(T.PikettVetsuissebis-D43,D44-D43),0),0),0),0),0),9),0)</f>
        <v>0</v>
      </c>
      <c r="E47" s="182" t="n">
        <f aca="false">IF(E45&gt;0,ROUND(E45- IF(E35&lt;T.PikettVetsuissebis,MIN(T.PikettVetsuissebis-E35,E36-E35)+IF(E37&lt;T.PikettVetsuissebis,MIN(T.PikettVetsuissebis-E37,E38-E37)+IF(E39&lt;T.PikettVetsuissebis,MIN(T.PikettVetsuissebis-E39,E40-E39)+IF(E41&lt;T.PikettVetsuissebis,MIN(T.PikettVetsuissebis-E41,E42-E41)+IF(E43&lt;T.PikettVetsuissebis,MIN(T.PikettVetsuissebis-E43,E44-E43),0),0),0),0),0),9),0)</f>
        <v>0</v>
      </c>
      <c r="F47" s="182" t="n">
        <f aca="false">IF(F45&gt;0,ROUND(F45- IF(F35&lt;T.PikettVetsuissebis,MIN(T.PikettVetsuissebis-F35,F36-F35)+IF(F37&lt;T.PikettVetsuissebis,MIN(T.PikettVetsuissebis-F37,F38-F37)+IF(F39&lt;T.PikettVetsuissebis,MIN(T.PikettVetsuissebis-F39,F40-F39)+IF(F41&lt;T.PikettVetsuissebis,MIN(T.PikettVetsuissebis-F41,F42-F41)+IF(F43&lt;T.PikettVetsuissebis,MIN(T.PikettVetsuissebis-F43,F44-F43),0),0),0),0),0),9),0)</f>
        <v>0</v>
      </c>
      <c r="G47" s="182" t="n">
        <f aca="false">IF(G45&gt;0,ROUND(G45- IF(G35&lt;T.PikettVetsuissebis,MIN(T.PikettVetsuissebis-G35,G36-G35)+IF(G37&lt;T.PikettVetsuissebis,MIN(T.PikettVetsuissebis-G37,G38-G37)+IF(G39&lt;T.PikettVetsuissebis,MIN(T.PikettVetsuissebis-G39,G40-G39)+IF(G41&lt;T.PikettVetsuissebis,MIN(T.PikettVetsuissebis-G41,G42-G41)+IF(G43&lt;T.PikettVetsuissebis,MIN(T.PikettVetsuissebis-G43,G44-G43),0),0),0),0),0),9),0)</f>
        <v>0</v>
      </c>
      <c r="H47" s="182" t="n">
        <f aca="false">IF(H45&gt;0,ROUND(H45- IF(H35&lt;T.PikettVetsuissebis,MIN(T.PikettVetsuissebis-H35,H36-H35)+IF(H37&lt;T.PikettVetsuissebis,MIN(T.PikettVetsuissebis-H37,H38-H37)+IF(H39&lt;T.PikettVetsuissebis,MIN(T.PikettVetsuissebis-H39,H40-H39)+IF(H41&lt;T.PikettVetsuissebis,MIN(T.PikettVetsuissebis-H41,H42-H41)+IF(H43&lt;T.PikettVetsuissebis,MIN(T.PikettVetsuissebis-H43,H44-H43),0),0),0),0),0),9),0)</f>
        <v>0</v>
      </c>
      <c r="I47" s="182" t="n">
        <f aca="false">IF(I45&gt;0,ROUND(I45- IF(I35&lt;T.PikettVetsuissebis,MIN(T.PikettVetsuissebis-I35,I36-I35)+IF(I37&lt;T.PikettVetsuissebis,MIN(T.PikettVetsuissebis-I37,I38-I37)+IF(I39&lt;T.PikettVetsuissebis,MIN(T.PikettVetsuissebis-I39,I40-I39)+IF(I41&lt;T.PikettVetsuissebis,MIN(T.PikettVetsuissebis-I41,I42-I41)+IF(I43&lt;T.PikettVetsuissebis,MIN(T.PikettVetsuissebis-I43,I44-I43),0),0),0),0),0),9),0)</f>
        <v>0</v>
      </c>
      <c r="J47" s="182" t="n">
        <f aca="false">IF(J45&gt;0,ROUND(J45- IF(J35&lt;T.PikettVetsuissebis,MIN(T.PikettVetsuissebis-J35,J36-J35)+IF(J37&lt;T.PikettVetsuissebis,MIN(T.PikettVetsuissebis-J37,J38-J37)+IF(J39&lt;T.PikettVetsuissebis,MIN(T.PikettVetsuissebis-J39,J40-J39)+IF(J41&lt;T.PikettVetsuissebis,MIN(T.PikettVetsuissebis-J41,J42-J41)+IF(J43&lt;T.PikettVetsuissebis,MIN(T.PikettVetsuissebis-J43,J44-J43),0),0),0),0),0),9),0)</f>
        <v>0</v>
      </c>
      <c r="K47" s="182" t="n">
        <f aca="false">IF(K45&gt;0,ROUND(K45- IF(K35&lt;T.PikettVetsuissebis,MIN(T.PikettVetsuissebis-K35,K36-K35)+IF(K37&lt;T.PikettVetsuissebis,MIN(T.PikettVetsuissebis-K37,K38-K37)+IF(K39&lt;T.PikettVetsuissebis,MIN(T.PikettVetsuissebis-K39,K40-K39)+IF(K41&lt;T.PikettVetsuissebis,MIN(T.PikettVetsuissebis-K41,K42-K41)+IF(K43&lt;T.PikettVetsuissebis,MIN(T.PikettVetsuissebis-K43,K44-K43),0),0),0),0),0),9),0)</f>
        <v>0</v>
      </c>
      <c r="L47" s="182" t="n">
        <f aca="false">IF(L45&gt;0,ROUND(L45- IF(L35&lt;T.PikettVetsuissebis,MIN(T.PikettVetsuissebis-L35,L36-L35)+IF(L37&lt;T.PikettVetsuissebis,MIN(T.PikettVetsuissebis-L37,L38-L37)+IF(L39&lt;T.PikettVetsuissebis,MIN(T.PikettVetsuissebis-L39,L40-L39)+IF(L41&lt;T.PikettVetsuissebis,MIN(T.PikettVetsuissebis-L41,L42-L41)+IF(L43&lt;T.PikettVetsuissebis,MIN(T.PikettVetsuissebis-L43,L44-L43),0),0),0),0),0),9),0)</f>
        <v>0</v>
      </c>
      <c r="M47" s="182" t="n">
        <f aca="false">IF(M45&gt;0,ROUND(M45- IF(M35&lt;T.PikettVetsuissebis,MIN(T.PikettVetsuissebis-M35,M36-M35)+IF(M37&lt;T.PikettVetsuissebis,MIN(T.PikettVetsuissebis-M37,M38-M37)+IF(M39&lt;T.PikettVetsuissebis,MIN(T.PikettVetsuissebis-M39,M40-M39)+IF(M41&lt;T.PikettVetsuissebis,MIN(T.PikettVetsuissebis-M41,M42-M41)+IF(M43&lt;T.PikettVetsuissebis,MIN(T.PikettVetsuissebis-M43,M44-M43),0),0),0),0),0),9),0)</f>
        <v>0</v>
      </c>
      <c r="N47" s="182" t="n">
        <f aca="false">IF(N45&gt;0,ROUND(N45- IF(N35&lt;T.PikettVetsuissebis,MIN(T.PikettVetsuissebis-N35,N36-N35)+IF(N37&lt;T.PikettVetsuissebis,MIN(T.PikettVetsuissebis-N37,N38-N37)+IF(N39&lt;T.PikettVetsuissebis,MIN(T.PikettVetsuissebis-N39,N40-N39)+IF(N41&lt;T.PikettVetsuissebis,MIN(T.PikettVetsuissebis-N41,N42-N41)+IF(N43&lt;T.PikettVetsuissebis,MIN(T.PikettVetsuissebis-N43,N44-N43),0),0),0),0),0),9),0)</f>
        <v>0</v>
      </c>
      <c r="O47" s="182" t="n">
        <f aca="false">IF(O45&gt;0,ROUND(O45- IF(O35&lt;T.PikettVetsuissebis,MIN(T.PikettVetsuissebis-O35,O36-O35)+IF(O37&lt;T.PikettVetsuissebis,MIN(T.PikettVetsuissebis-O37,O38-O37)+IF(O39&lt;T.PikettVetsuissebis,MIN(T.PikettVetsuissebis-O39,O40-O39)+IF(O41&lt;T.PikettVetsuissebis,MIN(T.PikettVetsuissebis-O41,O42-O41)+IF(O43&lt;T.PikettVetsuissebis,MIN(T.PikettVetsuissebis-O43,O44-O43),0),0),0),0),0),9),0)</f>
        <v>0</v>
      </c>
      <c r="P47" s="182" t="n">
        <f aca="false">IF(P45&gt;0,ROUND(P45- IF(P35&lt;T.PikettVetsuissebis,MIN(T.PikettVetsuissebis-P35,P36-P35)+IF(P37&lt;T.PikettVetsuissebis,MIN(T.PikettVetsuissebis-P37,P38-P37)+IF(P39&lt;T.PikettVetsuissebis,MIN(T.PikettVetsuissebis-P39,P40-P39)+IF(P41&lt;T.PikettVetsuissebis,MIN(T.PikettVetsuissebis-P41,P42-P41)+IF(P43&lt;T.PikettVetsuissebis,MIN(T.PikettVetsuissebis-P43,P44-P43),0),0),0),0),0),9),0)</f>
        <v>0</v>
      </c>
      <c r="Q47" s="182" t="n">
        <f aca="false">IF(Q45&gt;0,ROUND(Q45- IF(Q35&lt;T.PikettVetsuissebis,MIN(T.PikettVetsuissebis-Q35,Q36-Q35)+IF(Q37&lt;T.PikettVetsuissebis,MIN(T.PikettVetsuissebis-Q37,Q38-Q37)+IF(Q39&lt;T.PikettVetsuissebis,MIN(T.PikettVetsuissebis-Q39,Q40-Q39)+IF(Q41&lt;T.PikettVetsuissebis,MIN(T.PikettVetsuissebis-Q41,Q42-Q41)+IF(Q43&lt;T.PikettVetsuissebis,MIN(T.PikettVetsuissebis-Q43,Q44-Q43),0),0),0),0),0),9),0)</f>
        <v>0</v>
      </c>
      <c r="R47" s="182" t="n">
        <f aca="false">IF(R45&gt;0,ROUND(R45- IF(R35&lt;T.PikettVetsuissebis,MIN(T.PikettVetsuissebis-R35,R36-R35)+IF(R37&lt;T.PikettVetsuissebis,MIN(T.PikettVetsuissebis-R37,R38-R37)+IF(R39&lt;T.PikettVetsuissebis,MIN(T.PikettVetsuissebis-R39,R40-R39)+IF(R41&lt;T.PikettVetsuissebis,MIN(T.PikettVetsuissebis-R41,R42-R41)+IF(R43&lt;T.PikettVetsuissebis,MIN(T.PikettVetsuissebis-R43,R44-R43),0),0),0),0),0),9),0)</f>
        <v>0</v>
      </c>
      <c r="S47" s="182" t="n">
        <f aca="false">IF(S45&gt;0,ROUND(S45- IF(S35&lt;T.PikettVetsuissebis,MIN(T.PikettVetsuissebis-S35,S36-S35)+IF(S37&lt;T.PikettVetsuissebis,MIN(T.PikettVetsuissebis-S37,S38-S37)+IF(S39&lt;T.PikettVetsuissebis,MIN(T.PikettVetsuissebis-S39,S40-S39)+IF(S41&lt;T.PikettVetsuissebis,MIN(T.PikettVetsuissebis-S41,S42-S41)+IF(S43&lt;T.PikettVetsuissebis,MIN(T.PikettVetsuissebis-S43,S44-S43),0),0),0),0),0),9),0)</f>
        <v>0</v>
      </c>
      <c r="T47" s="182" t="n">
        <f aca="false">IF(T45&gt;0,ROUND(T45- IF(T35&lt;T.PikettVetsuissebis,MIN(T.PikettVetsuissebis-T35,T36-T35)+IF(T37&lt;T.PikettVetsuissebis,MIN(T.PikettVetsuissebis-T37,T38-T37)+IF(T39&lt;T.PikettVetsuissebis,MIN(T.PikettVetsuissebis-T39,T40-T39)+IF(T41&lt;T.PikettVetsuissebis,MIN(T.PikettVetsuissebis-T41,T42-T41)+IF(T43&lt;T.PikettVetsuissebis,MIN(T.PikettVetsuissebis-T43,T44-T43),0),0),0),0),0),9),0)</f>
        <v>0</v>
      </c>
      <c r="U47" s="182" t="n">
        <f aca="false">IF(U45&gt;0,ROUND(U45- IF(U35&lt;T.PikettVetsuissebis,MIN(T.PikettVetsuissebis-U35,U36-U35)+IF(U37&lt;T.PikettVetsuissebis,MIN(T.PikettVetsuissebis-U37,U38-U37)+IF(U39&lt;T.PikettVetsuissebis,MIN(T.PikettVetsuissebis-U39,U40-U39)+IF(U41&lt;T.PikettVetsuissebis,MIN(T.PikettVetsuissebis-U41,U42-U41)+IF(U43&lt;T.PikettVetsuissebis,MIN(T.PikettVetsuissebis-U43,U44-U43),0),0),0),0),0),9),0)</f>
        <v>0</v>
      </c>
      <c r="V47" s="182" t="n">
        <f aca="false">IF(V45&gt;0,ROUND(V45- IF(V35&lt;T.PikettVetsuissebis,MIN(T.PikettVetsuissebis-V35,V36-V35)+IF(V37&lt;T.PikettVetsuissebis,MIN(T.PikettVetsuissebis-V37,V38-V37)+IF(V39&lt;T.PikettVetsuissebis,MIN(T.PikettVetsuissebis-V39,V40-V39)+IF(V41&lt;T.PikettVetsuissebis,MIN(T.PikettVetsuissebis-V41,V42-V41)+IF(V43&lt;T.PikettVetsuissebis,MIN(T.PikettVetsuissebis-V43,V44-V43),0),0),0),0),0),9),0)</f>
        <v>0</v>
      </c>
      <c r="W47" s="182" t="n">
        <f aca="false">IF(W45&gt;0,ROUND(W45- IF(W35&lt;T.PikettVetsuissebis,MIN(T.PikettVetsuissebis-W35,W36-W35)+IF(W37&lt;T.PikettVetsuissebis,MIN(T.PikettVetsuissebis-W37,W38-W37)+IF(W39&lt;T.PikettVetsuissebis,MIN(T.PikettVetsuissebis-W39,W40-W39)+IF(W41&lt;T.PikettVetsuissebis,MIN(T.PikettVetsuissebis-W41,W42-W41)+IF(W43&lt;T.PikettVetsuissebis,MIN(T.PikettVetsuissebis-W43,W44-W43),0),0),0),0),0),9),0)</f>
        <v>0</v>
      </c>
      <c r="X47" s="182" t="n">
        <f aca="false">IF(X45&gt;0,ROUND(X45- IF(X35&lt;T.PikettVetsuissebis,MIN(T.PikettVetsuissebis-X35,X36-X35)+IF(X37&lt;T.PikettVetsuissebis,MIN(T.PikettVetsuissebis-X37,X38-X37)+IF(X39&lt;T.PikettVetsuissebis,MIN(T.PikettVetsuissebis-X39,X40-X39)+IF(X41&lt;T.PikettVetsuissebis,MIN(T.PikettVetsuissebis-X41,X42-X41)+IF(X43&lt;T.PikettVetsuissebis,MIN(T.PikettVetsuissebis-X43,X44-X43),0),0),0),0),0),9),0)</f>
        <v>0</v>
      </c>
      <c r="Y47" s="182" t="n">
        <f aca="false">IF(Y45&gt;0,ROUND(Y45- IF(Y35&lt;T.PikettVetsuissebis,MIN(T.PikettVetsuissebis-Y35,Y36-Y35)+IF(Y37&lt;T.PikettVetsuissebis,MIN(T.PikettVetsuissebis-Y37,Y38-Y37)+IF(Y39&lt;T.PikettVetsuissebis,MIN(T.PikettVetsuissebis-Y39,Y40-Y39)+IF(Y41&lt;T.PikettVetsuissebis,MIN(T.PikettVetsuissebis-Y41,Y42-Y41)+IF(Y43&lt;T.PikettVetsuissebis,MIN(T.PikettVetsuissebis-Y43,Y44-Y43),0),0),0),0),0),9),0)</f>
        <v>0</v>
      </c>
      <c r="Z47" s="182" t="n">
        <f aca="false">IF(Z45&gt;0,ROUND(Z45- IF(Z35&lt;T.PikettVetsuissebis,MIN(T.PikettVetsuissebis-Z35,Z36-Z35)+IF(Z37&lt;T.PikettVetsuissebis,MIN(T.PikettVetsuissebis-Z37,Z38-Z37)+IF(Z39&lt;T.PikettVetsuissebis,MIN(T.PikettVetsuissebis-Z39,Z40-Z39)+IF(Z41&lt;T.PikettVetsuissebis,MIN(T.PikettVetsuissebis-Z41,Z42-Z41)+IF(Z43&lt;T.PikettVetsuissebis,MIN(T.PikettVetsuissebis-Z43,Z44-Z43),0),0),0),0),0),9),0)</f>
        <v>0</v>
      </c>
      <c r="AA47" s="182" t="n">
        <f aca="false">IF(AA45&gt;0,ROUND(AA45- IF(AA35&lt;T.PikettVetsuissebis,MIN(T.PikettVetsuissebis-AA35,AA36-AA35)+IF(AA37&lt;T.PikettVetsuissebis,MIN(T.PikettVetsuissebis-AA37,AA38-AA37)+IF(AA39&lt;T.PikettVetsuissebis,MIN(T.PikettVetsuissebis-AA39,AA40-AA39)+IF(AA41&lt;T.PikettVetsuissebis,MIN(T.PikettVetsuissebis-AA41,AA42-AA41)+IF(AA43&lt;T.PikettVetsuissebis,MIN(T.PikettVetsuissebis-AA43,AA44-AA43),0),0),0),0),0),9),0)</f>
        <v>0</v>
      </c>
      <c r="AB47" s="182" t="n">
        <f aca="false">IF(AB45&gt;0,ROUND(AB45- IF(AB35&lt;T.PikettVetsuissebis,MIN(T.PikettVetsuissebis-AB35,AB36-AB35)+IF(AB37&lt;T.PikettVetsuissebis,MIN(T.PikettVetsuissebis-AB37,AB38-AB37)+IF(AB39&lt;T.PikettVetsuissebis,MIN(T.PikettVetsuissebis-AB39,AB40-AB39)+IF(AB41&lt;T.PikettVetsuissebis,MIN(T.PikettVetsuissebis-AB41,AB42-AB41)+IF(AB43&lt;T.PikettVetsuissebis,MIN(T.PikettVetsuissebis-AB43,AB44-AB43),0),0),0),0),0),9),0)</f>
        <v>0</v>
      </c>
      <c r="AC47" s="182" t="n">
        <f aca="false">IF(AC45&gt;0,ROUND(AC45- IF(AC35&lt;T.PikettVetsuissebis,MIN(T.PikettVetsuissebis-AC35,AC36-AC35)+IF(AC37&lt;T.PikettVetsuissebis,MIN(T.PikettVetsuissebis-AC37,AC38-AC37)+IF(AC39&lt;T.PikettVetsuissebis,MIN(T.PikettVetsuissebis-AC39,AC40-AC39)+IF(AC41&lt;T.PikettVetsuissebis,MIN(T.PikettVetsuissebis-AC41,AC42-AC41)+IF(AC43&lt;T.PikettVetsuissebis,MIN(T.PikettVetsuissebis-AC43,AC44-AC43),0),0),0),0),0),9),0)</f>
        <v>0</v>
      </c>
      <c r="AD47" s="182" t="n">
        <f aca="false">IF(AD45&gt;0,ROUND(AD45- IF(AD35&lt;T.PikettVetsuissebis,MIN(T.PikettVetsuissebis-AD35,AD36-AD35)+IF(AD37&lt;T.PikettVetsuissebis,MIN(T.PikettVetsuissebis-AD37,AD38-AD37)+IF(AD39&lt;T.PikettVetsuissebis,MIN(T.PikettVetsuissebis-AD39,AD40-AD39)+IF(AD41&lt;T.PikettVetsuissebis,MIN(T.PikettVetsuissebis-AD41,AD42-AD41)+IF(AD43&lt;T.PikettVetsuissebis,MIN(T.PikettVetsuissebis-AD43,AD44-AD43),0),0),0),0),0),9),0)</f>
        <v>0</v>
      </c>
      <c r="AE47" s="182" t="n">
        <f aca="false">IF(AE45&gt;0,ROUND(AE45- IF(AE35&lt;T.PikettVetsuissebis,MIN(T.PikettVetsuissebis-AE35,AE36-AE35)+IF(AE37&lt;T.PikettVetsuissebis,MIN(T.PikettVetsuissebis-AE37,AE38-AE37)+IF(AE39&lt;T.PikettVetsuissebis,MIN(T.PikettVetsuissebis-AE39,AE40-AE39)+IF(AE41&lt;T.PikettVetsuissebis,MIN(T.PikettVetsuissebis-AE41,AE42-AE41)+IF(AE43&lt;T.PikettVetsuissebis,MIN(T.PikettVetsuissebis-AE43,AE44-AE43),0),0),0),0),0),9),0)</f>
        <v>0</v>
      </c>
      <c r="AF47" s="182" t="n">
        <f aca="false">IF(AF45&gt;0,ROUND(AF45- IF(AF35&lt;T.PikettVetsuissebis,MIN(T.PikettVetsuissebis-AF35,AF36-AF35)+IF(AF37&lt;T.PikettVetsuissebis,MIN(T.PikettVetsuissebis-AF37,AF38-AF37)+IF(AF39&lt;T.PikettVetsuissebis,MIN(T.PikettVetsuissebis-AF39,AF40-AF39)+IF(AF41&lt;T.PikettVetsuissebis,MIN(T.PikettVetsuissebis-AF41,AF42-AF41)+IF(AF43&lt;T.PikettVetsuissebis,MIN(T.PikettVetsuissebis-AF43,AF44-AF43),0),0),0),0),0),9),0)</f>
        <v>0</v>
      </c>
      <c r="AG47" s="183" t="str">
        <f aca="false">A47</f>
        <v>Total on call hours today</v>
      </c>
      <c r="AH47" s="146"/>
      <c r="AI47" s="179"/>
      <c r="AJ47" s="180"/>
      <c r="AK47" s="172"/>
      <c r="AL47" s="172"/>
      <c r="AM47" s="172"/>
      <c r="AN47" s="171"/>
      <c r="AO47" s="172"/>
      <c r="AP47" s="172"/>
      <c r="AQ47" s="39"/>
    </row>
    <row r="48" s="148" customFormat="true" ht="16.5" hidden="true" customHeight="true" outlineLevel="1" collapsed="false">
      <c r="A48" s="181" t="s">
        <v>137</v>
      </c>
      <c r="B48" s="193" t="n">
        <f aca="false">B45-B47</f>
        <v>0</v>
      </c>
      <c r="C48" s="193" t="n">
        <f aca="false">C45-C47</f>
        <v>0</v>
      </c>
      <c r="D48" s="193" t="n">
        <f aca="false">D45-D47</f>
        <v>0</v>
      </c>
      <c r="E48" s="193" t="n">
        <f aca="false">E45-E47</f>
        <v>0</v>
      </c>
      <c r="F48" s="193" t="n">
        <f aca="false">F45-F47</f>
        <v>0</v>
      </c>
      <c r="G48" s="193" t="n">
        <f aca="false">G45-G47</f>
        <v>0</v>
      </c>
      <c r="H48" s="193" t="n">
        <f aca="false">H45-H47</f>
        <v>0</v>
      </c>
      <c r="I48" s="193" t="n">
        <f aca="false">I45-I47</f>
        <v>0</v>
      </c>
      <c r="J48" s="193" t="n">
        <f aca="false">J45-J47</f>
        <v>0</v>
      </c>
      <c r="K48" s="193" t="n">
        <f aca="false">K45-K47</f>
        <v>0</v>
      </c>
      <c r="L48" s="193" t="n">
        <f aca="false">L45-L47</f>
        <v>0</v>
      </c>
      <c r="M48" s="193" t="n">
        <f aca="false">M45-M47</f>
        <v>0</v>
      </c>
      <c r="N48" s="193" t="n">
        <f aca="false">N45-N47</f>
        <v>0</v>
      </c>
      <c r="O48" s="193" t="n">
        <f aca="false">O45-O47</f>
        <v>0</v>
      </c>
      <c r="P48" s="193" t="n">
        <f aca="false">P45-P47</f>
        <v>0</v>
      </c>
      <c r="Q48" s="193" t="n">
        <f aca="false">Q45-Q47</f>
        <v>0</v>
      </c>
      <c r="R48" s="193" t="n">
        <f aca="false">R45-R47</f>
        <v>0</v>
      </c>
      <c r="S48" s="193" t="n">
        <f aca="false">S45-S47</f>
        <v>0</v>
      </c>
      <c r="T48" s="193" t="n">
        <f aca="false">T45-T47</f>
        <v>0</v>
      </c>
      <c r="U48" s="193" t="n">
        <f aca="false">U45-U47</f>
        <v>0</v>
      </c>
      <c r="V48" s="193" t="n">
        <f aca="false">V45-V47</f>
        <v>0</v>
      </c>
      <c r="W48" s="193" t="n">
        <f aca="false">W45-W47</f>
        <v>0</v>
      </c>
      <c r="X48" s="193" t="n">
        <f aca="false">X45-X47</f>
        <v>0</v>
      </c>
      <c r="Y48" s="193" t="n">
        <f aca="false">Y45-Y47</f>
        <v>0</v>
      </c>
      <c r="Z48" s="193" t="n">
        <f aca="false">Z45-Z47</f>
        <v>0</v>
      </c>
      <c r="AA48" s="193" t="n">
        <f aca="false">AA45-AA47</f>
        <v>0</v>
      </c>
      <c r="AB48" s="193" t="n">
        <f aca="false">AB45-AB47</f>
        <v>0</v>
      </c>
      <c r="AC48" s="193" t="n">
        <f aca="false">AC45-AC47</f>
        <v>0</v>
      </c>
      <c r="AD48" s="193" t="n">
        <f aca="false">AD45-AD47</f>
        <v>0</v>
      </c>
      <c r="AE48" s="193" t="n">
        <f aca="false">AE45-AE47</f>
        <v>0</v>
      </c>
      <c r="AF48" s="193" t="n">
        <f aca="false">AF45-AF47</f>
        <v>0</v>
      </c>
      <c r="AG48" s="183" t="str">
        <f aca="false">A48</f>
        <v>Total on call hours yesterday</v>
      </c>
      <c r="AH48" s="146"/>
      <c r="AI48" s="179"/>
      <c r="AJ48" s="180"/>
      <c r="AK48" s="172"/>
      <c r="AL48" s="172"/>
      <c r="AM48" s="199" t="n">
        <f aca="false">IF(EB.Anwendung&lt;&gt;"",IF(MONTH(Monat.Tag1)=12,0,IF(MONTH(Monat.Tag1)=1,February!Monat.PikettgesternTag1,IF(MONTH(Monat.Tag1)=2,March!Monat.PikettgesternTag1,IF(MONTH(Monat.Tag1)=3,April!Monat.PikettgesternTag1,IF(MONTH(Monat.Tag1)=4,Monat.PikettgesternTag1,IF(MONTH(Monat.Tag1)=5,June!Monat.PikettgesternTag1,IF(MONTH(Monat.Tag1)=6,July!Monat.PikettgesternTag1,IF(MONTH(Monat.Tag1)=7,August!Monat.PikettgesternTag1,IF(MONTH(Monat.Tag1)=8,September!Monat.PikettgesternTag1,IF(MONTH(Monat.Tag1)=9,October!Monat.PikettgesternTag1,IF(MONTH(Monat.Tag1)=10,November!Monat.PikettgesternTag1,IF(MONTH(Monat.Tag1)=11,December!Monat.PikettgesternTag1,"")))))))))))),"")</f>
        <v>0</v>
      </c>
      <c r="AN48" s="171"/>
      <c r="AO48" s="172"/>
      <c r="AP48" s="172"/>
      <c r="AQ48" s="39"/>
    </row>
    <row r="49" s="148" customFormat="true" ht="16.5" hidden="true" customHeight="true" outlineLevel="1" collapsed="false">
      <c r="A49" s="181" t="s">
        <v>138</v>
      </c>
      <c r="B49" s="182" t="n">
        <f aca="false">B47+IF(B$10=EOMONTH(B$10,0),$AM48,C48)</f>
        <v>0</v>
      </c>
      <c r="C49" s="182" t="n">
        <f aca="false">C47+IF(C$10=EOMONTH(C$10,0),$AM48,D48)</f>
        <v>0</v>
      </c>
      <c r="D49" s="182" t="n">
        <f aca="false">D47+IF(D$10=EOMONTH(D$10,0),$AM48,E48)</f>
        <v>0</v>
      </c>
      <c r="E49" s="182" t="n">
        <f aca="false">E47+IF(E$10=EOMONTH(E$10,0),$AM48,F48)</f>
        <v>0</v>
      </c>
      <c r="F49" s="182" t="n">
        <f aca="false">F47+IF(F$10=EOMONTH(F$10,0),$AM48,G48)</f>
        <v>0</v>
      </c>
      <c r="G49" s="182" t="n">
        <f aca="false">G47+IF(G$10=EOMONTH(G$10,0),$AM48,H48)</f>
        <v>0</v>
      </c>
      <c r="H49" s="182" t="n">
        <f aca="false">H47+IF(H$10=EOMONTH(H$10,0),$AM48,I48)</f>
        <v>0</v>
      </c>
      <c r="I49" s="182" t="n">
        <f aca="false">I47+IF(I$10=EOMONTH(I$10,0),$AM48,J48)</f>
        <v>0</v>
      </c>
      <c r="J49" s="182" t="n">
        <f aca="false">J47+IF(J$10=EOMONTH(J$10,0),$AM48,K48)</f>
        <v>0</v>
      </c>
      <c r="K49" s="182" t="n">
        <f aca="false">K47+IF(K$10=EOMONTH(K$10,0),$AM48,L48)</f>
        <v>0</v>
      </c>
      <c r="L49" s="182" t="n">
        <f aca="false">L47+IF(L$10=EOMONTH(L$10,0),$AM48,M48)</f>
        <v>0</v>
      </c>
      <c r="M49" s="182" t="n">
        <f aca="false">M47+IF(M$10=EOMONTH(M$10,0),$AM48,N48)</f>
        <v>0</v>
      </c>
      <c r="N49" s="182" t="n">
        <f aca="false">N47+IF(N$10=EOMONTH(N$10,0),$AM48,O48)</f>
        <v>0</v>
      </c>
      <c r="O49" s="182" t="n">
        <f aca="false">O47+IF(O$10=EOMONTH(O$10,0),$AM48,P48)</f>
        <v>0</v>
      </c>
      <c r="P49" s="182" t="n">
        <f aca="false">P47+IF(P$10=EOMONTH(P$10,0),$AM48,Q48)</f>
        <v>0</v>
      </c>
      <c r="Q49" s="182" t="n">
        <f aca="false">Q47+IF(Q$10=EOMONTH(Q$10,0),$AM48,R48)</f>
        <v>0</v>
      </c>
      <c r="R49" s="182" t="n">
        <f aca="false">R47+IF(R$10=EOMONTH(R$10,0),$AM48,S48)</f>
        <v>0</v>
      </c>
      <c r="S49" s="182" t="n">
        <f aca="false">S47+IF(S$10=EOMONTH(S$10,0),$AM48,T48)</f>
        <v>0</v>
      </c>
      <c r="T49" s="182" t="n">
        <f aca="false">T47+IF(T$10=EOMONTH(T$10,0),$AM48,U48)</f>
        <v>0</v>
      </c>
      <c r="U49" s="182" t="n">
        <f aca="false">U47+IF(U$10=EOMONTH(U$10,0),$AM48,V48)</f>
        <v>0</v>
      </c>
      <c r="V49" s="182" t="n">
        <f aca="false">V47+IF(V$10=EOMONTH(V$10,0),$AM48,W48)</f>
        <v>0</v>
      </c>
      <c r="W49" s="182" t="n">
        <f aca="false">W47+IF(W$10=EOMONTH(W$10,0),$AM48,X48)</f>
        <v>0</v>
      </c>
      <c r="X49" s="182" t="n">
        <f aca="false">X47+IF(X$10=EOMONTH(X$10,0),$AM48,Y48)</f>
        <v>0</v>
      </c>
      <c r="Y49" s="182" t="n">
        <f aca="false">Y47+IF(Y$10=EOMONTH(Y$10,0),$AM48,Z48)</f>
        <v>0</v>
      </c>
      <c r="Z49" s="182" t="n">
        <f aca="false">Z47+IF(Z$10=EOMONTH(Z$10,0),$AM48,AA48)</f>
        <v>0</v>
      </c>
      <c r="AA49" s="182" t="n">
        <f aca="false">AA47+IF(AA$10=EOMONTH(AA$10,0),$AM48,AB48)</f>
        <v>0</v>
      </c>
      <c r="AB49" s="182" t="n">
        <f aca="false">AB47+IF(AB$10=EOMONTH(AB$10,0),$AM48,AC48)</f>
        <v>0</v>
      </c>
      <c r="AC49" s="182" t="n">
        <f aca="false">AC47+IF(AC$10=EOMONTH(AC$10,0),$AM48,AD48)</f>
        <v>0</v>
      </c>
      <c r="AD49" s="182" t="n">
        <f aca="false">AD47+IF(AD$10=EOMONTH(AD$10,0),$AM48,AE48)</f>
        <v>0</v>
      </c>
      <c r="AE49" s="182" t="n">
        <f aca="false">AE47+IF(AE$10=EOMONTH(AE$10,0),$AM48,AF48)</f>
        <v>0</v>
      </c>
      <c r="AF49" s="182" t="n">
        <f aca="false">AF47+IF(AF$10=EOMONTH(AF$10,0),$AM48,AG48)</f>
        <v>0</v>
      </c>
      <c r="AG49" s="183" t="str">
        <f aca="false">A49</f>
        <v>Total on call standby hours</v>
      </c>
      <c r="AH49" s="184"/>
      <c r="AI49" s="185" t="n">
        <f aca="false">SUM(B49:AF49)</f>
        <v>0</v>
      </c>
      <c r="AJ49" s="180"/>
      <c r="AK49" s="172"/>
      <c r="AL49" s="172"/>
      <c r="AM49" s="172"/>
      <c r="AN49" s="171"/>
      <c r="AO49" s="172"/>
      <c r="AP49" s="172"/>
      <c r="AQ49" s="39"/>
    </row>
    <row r="50" s="148" customFormat="true" ht="3.75" hidden="false" customHeight="true" outlineLevel="0" collapsed="false">
      <c r="A50" s="200"/>
      <c r="B50" s="187"/>
      <c r="C50" s="187"/>
      <c r="D50" s="187"/>
      <c r="E50" s="187"/>
      <c r="F50" s="187"/>
      <c r="G50" s="187"/>
      <c r="H50" s="187"/>
      <c r="I50" s="187"/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87"/>
      <c r="U50" s="187"/>
      <c r="V50" s="187"/>
      <c r="W50" s="187"/>
      <c r="X50" s="187"/>
      <c r="Y50" s="187"/>
      <c r="Z50" s="187"/>
      <c r="AA50" s="187"/>
      <c r="AB50" s="187"/>
      <c r="AC50" s="187"/>
      <c r="AD50" s="187"/>
      <c r="AE50" s="187"/>
      <c r="AF50" s="188"/>
      <c r="AG50" s="201"/>
      <c r="AH50" s="202"/>
      <c r="AI50" s="188"/>
      <c r="AJ50" s="180"/>
      <c r="AK50" s="172"/>
      <c r="AL50" s="172"/>
      <c r="AM50" s="172"/>
      <c r="AN50" s="171"/>
      <c r="AO50" s="172"/>
      <c r="AP50" s="172"/>
      <c r="AQ50" s="39"/>
    </row>
    <row r="51" s="148" customFormat="true" ht="15" hidden="false" customHeight="true" outlineLevel="0" collapsed="false">
      <c r="A51" s="181" t="s">
        <v>139</v>
      </c>
      <c r="B51" s="203" t="n">
        <f aca="false">ROUND(B23+B45+B84+SUM(B86:B95)+IF(T.50_Vetsuisse,B71,0),9)</f>
        <v>0</v>
      </c>
      <c r="C51" s="203" t="n">
        <f aca="false">ROUND(C23+C45+C84+SUM(C86:C95)+IF(T.50_Vetsuisse,C71,0),9)</f>
        <v>0.354166667</v>
      </c>
      <c r="D51" s="203" t="n">
        <f aca="false">ROUND(D23+D45+D84+SUM(D86:D95)+IF(T.50_Vetsuisse,D71,0),9)</f>
        <v>0.395833333</v>
      </c>
      <c r="E51" s="204" t="n">
        <f aca="false">ROUND(E23+E45+E84+SUM(E86:E95)+IF(T.50_Vetsuisse,E71,0),9)</f>
        <v>0.444444444</v>
      </c>
      <c r="F51" s="203" t="n">
        <f aca="false">ROUND(F23+F45+F84+SUM(F86:F95)+IF(T.50_Vetsuisse,F71,0),9)</f>
        <v>0</v>
      </c>
      <c r="G51" s="203" t="n">
        <f aca="false">ROUND(G23+G45+G84+SUM(G86:G95)+IF(T.50_Vetsuisse,G71,0),9)</f>
        <v>0</v>
      </c>
      <c r="H51" s="203" t="n">
        <f aca="false">ROUND(H23+H45+H84+SUM(H86:H95)+IF(T.50_Vetsuisse,H71,0),9)</f>
        <v>0.402777778</v>
      </c>
      <c r="I51" s="203" t="n">
        <f aca="false">ROUND(I23+I45+I84+SUM(I86:I95)+IF(T.50_Vetsuisse,I71,0),9)</f>
        <v>0.423611111</v>
      </c>
      <c r="J51" s="205" t="n">
        <f aca="false">ROUND(J23+J45+J84+SUM(J86:J95)+IF(T.50_Vetsuisse,J71,0),9)</f>
        <v>0.291666667</v>
      </c>
      <c r="K51" s="203" t="n">
        <f aca="false">ROUND(K23+K45+K84+SUM(K86:K95)+IF(T.50_Vetsuisse,K71,0),9)</f>
        <v>0</v>
      </c>
      <c r="L51" s="205" t="n">
        <f aca="false">ROUND(L23+L45+L84+SUM(L86:L95)+IF(T.50_Vetsuisse,L71,0),9)</f>
        <v>0</v>
      </c>
      <c r="M51" s="203" t="n">
        <f aca="false">ROUND(M23+M45+M84+SUM(M86:M95)+IF(T.50_Vetsuisse,M71,0),9)</f>
        <v>0</v>
      </c>
      <c r="N51" s="203" t="n">
        <f aca="false">ROUND(N23+N45+N84+SUM(N86:N95)+IF(T.50_Vetsuisse,N71,0),9)</f>
        <v>0</v>
      </c>
      <c r="O51" s="203" t="n">
        <f aca="false">ROUND(O23+O45+O84+SUM(O86:O95)+IF(T.50_Vetsuisse,O71,0),9)</f>
        <v>0.375</v>
      </c>
      <c r="P51" s="203" t="n">
        <f aca="false">ROUND(P23+P45+P84+SUM(P86:P95)+IF(T.50_Vetsuisse,P71,0),9)</f>
        <v>0.430555556</v>
      </c>
      <c r="Q51" s="205" t="n">
        <f aca="false">ROUND(Q23+Q45+Q84+SUM(Q86:Q95)+IF(T.50_Vetsuisse,Q71,0),9)</f>
        <v>0.444444444</v>
      </c>
      <c r="R51" s="203" t="n">
        <f aca="false">ROUND(R23+R45+R84+SUM(R86:R95)+IF(T.50_Vetsuisse,R71,0),9)</f>
        <v>0.375</v>
      </c>
      <c r="S51" s="205" t="n">
        <f aca="false">ROUND(S23+S45+S84+SUM(S86:S95)+IF(T.50_Vetsuisse,S71,0),9)</f>
        <v>0.416666667</v>
      </c>
      <c r="T51" s="205" t="n">
        <f aca="false">ROUND(T23+T45+T84+SUM(T86:T95)+IF(T.50_Vetsuisse,T71,0),9)</f>
        <v>0</v>
      </c>
      <c r="U51" s="203" t="n">
        <f aca="false">ROUND(U23+U45+U84+SUM(U86:U95)+IF(T.50_Vetsuisse,U71,0),9)</f>
        <v>0</v>
      </c>
      <c r="V51" s="203" t="n">
        <f aca="false">ROUND(V23+V45+V84+SUM(V86:V95)+IF(T.50_Vetsuisse,V71,0),9)</f>
        <v>-0.298611111</v>
      </c>
      <c r="W51" s="203" t="n">
        <f aca="false">ROUND(W23+W45+W84+SUM(W86:W95)+IF(T.50_Vetsuisse,W71,0),9)</f>
        <v>-0.298611111</v>
      </c>
      <c r="X51" s="205" t="n">
        <f aca="false">ROUND(X23+X45+X84+SUM(X86:X95)+IF(T.50_Vetsuisse,X71,0),9)</f>
        <v>0</v>
      </c>
      <c r="Y51" s="203" t="n">
        <f aca="false">ROUND(Y23+Y45+Y84+SUM(Y86:Y95)+IF(T.50_Vetsuisse,Y71,0),9)</f>
        <v>0</v>
      </c>
      <c r="Z51" s="206" t="n">
        <f aca="false">ROUND(Z23+Z45+Z84+SUM(Z86:Z95)+IF(T.50_Vetsuisse,Z71,0),9)</f>
        <v>0</v>
      </c>
      <c r="AA51" s="203" t="n">
        <f aca="false">ROUND(AA23+AA45+AA84+SUM(AA86:AA95)+IF(T.50_Vetsuisse,AA71,0),9)</f>
        <v>0</v>
      </c>
      <c r="AB51" s="203" t="n">
        <f aca="false">ROUND(AB23+AB45+AB84+SUM(AB86:AB95)+IF(T.50_Vetsuisse,AB71,0),9)</f>
        <v>0</v>
      </c>
      <c r="AC51" s="203" t="n">
        <f aca="false">ROUND(AC23+AC45+AC84+SUM(AC86:AC95)+IF(T.50_Vetsuisse,AC71,0),9)</f>
        <v>0</v>
      </c>
      <c r="AD51" s="203" t="n">
        <f aca="false">ROUND(AD23+AD45+AD84+SUM(AD86:AD95)+IF(T.50_Vetsuisse,AD71,0),9)</f>
        <v>0</v>
      </c>
      <c r="AE51" s="205" t="n">
        <f aca="false">ROUND(AE23+AE45+AE84+SUM(AE86:AE95)+IF(T.50_Vetsuisse,AE71,0),9)</f>
        <v>0</v>
      </c>
      <c r="AF51" s="203" t="n">
        <f aca="false">ROUND(AF23+AF45+AF84+SUM(AF86:AF95)+IF(T.50_Vetsuisse,AF71,0),9)</f>
        <v>0</v>
      </c>
      <c r="AG51" s="183" t="str">
        <f aca="false">A51</f>
        <v>Actual hours worked</v>
      </c>
      <c r="AH51" s="184"/>
      <c r="AI51" s="207" t="n">
        <f aca="false">SUM(B51:AF51)</f>
        <v>3.756944445</v>
      </c>
      <c r="AJ51" s="180"/>
      <c r="AK51" s="172"/>
      <c r="AL51" s="172"/>
      <c r="AM51" s="172"/>
      <c r="AN51" s="208" t="n">
        <f aca="true">IF(WEEKDAY(EOMONTH(Monat.Tag1,0),2)=7,0,MAX(0,SUM(OFFSET(B51,0,DAY(EOMONTH(Monat.Tag1,0))-WEEKDAY(EOMONTH(Monat.Tag1,0),2),1,WEEKDAY(EOMONTH(Monat.Tag1,0),2)))))</f>
        <v>0</v>
      </c>
      <c r="AO51" s="172"/>
      <c r="AP51" s="172"/>
      <c r="AQ51" s="39"/>
    </row>
    <row r="52" s="148" customFormat="true" ht="15" hidden="false" customHeight="true" outlineLevel="1" collapsed="false">
      <c r="A52" s="175" t="s">
        <v>140</v>
      </c>
      <c r="B52" s="209" t="n">
        <f aca="false">IF(B$12=0,0,ROUND(INDEX(Monat.RAZ1_7.Bereich,WEEKDAY(B$10,2))*B$11,9))</f>
        <v>0</v>
      </c>
      <c r="C52" s="209" t="n">
        <f aca="false">IF(C$12=0,0,ROUND(INDEX(Monat.RAZ1_7.Bereich,WEEKDAY(C$10,2))*C$11,9))</f>
        <v>0.35</v>
      </c>
      <c r="D52" s="210" t="n">
        <f aca="false">IF(D$12=0,0,ROUND(INDEX(Monat.RAZ1_7.Bereich,WEEKDAY(D$10,2))*D$11,9))</f>
        <v>0.35</v>
      </c>
      <c r="E52" s="209" t="n">
        <f aca="false">IF(E$12=0,0,ROUND(INDEX(Monat.RAZ1_7.Bereich,WEEKDAY(E$10,2))*E$11,9))</f>
        <v>0.35</v>
      </c>
      <c r="F52" s="210" t="n">
        <f aca="false">IF(F$12=0,0,ROUND(INDEX(Monat.RAZ1_7.Bereich,WEEKDAY(F$10,2))*F$11,9))</f>
        <v>0</v>
      </c>
      <c r="G52" s="210" t="n">
        <f aca="false">IF(G$12=0,0,ROUND(INDEX(Monat.RAZ1_7.Bereich,WEEKDAY(G$10,2))*G$11,9))</f>
        <v>0</v>
      </c>
      <c r="H52" s="210" t="n">
        <f aca="false">IF(H$12=0,0,ROUND(INDEX(Monat.RAZ1_7.Bereich,WEEKDAY(H$10,2))*H$11,9))</f>
        <v>0.35</v>
      </c>
      <c r="I52" s="210" t="n">
        <f aca="false">IF(I$12=0,0,ROUND(INDEX(Monat.RAZ1_7.Bereich,WEEKDAY(I$10,2))*I$11,9))</f>
        <v>0.35</v>
      </c>
      <c r="J52" s="209" t="n">
        <f aca="false">IF(J$12=0,0,ROUND(INDEX(Monat.RAZ1_7.Bereich,WEEKDAY(J$10,2))*J$11,9))</f>
        <v>0.25</v>
      </c>
      <c r="K52" s="210" t="n">
        <f aca="false">IF(K$12=0,0,ROUND(INDEX(Monat.RAZ1_7.Bereich,WEEKDAY(K$10,2))*K$11,9))</f>
        <v>0</v>
      </c>
      <c r="L52" s="209" t="n">
        <f aca="false">IF(L$12=0,0,ROUND(INDEX(Monat.RAZ1_7.Bereich,WEEKDAY(L$10,2))*L$11,9))</f>
        <v>0.35</v>
      </c>
      <c r="M52" s="210" t="n">
        <f aca="false">IF(M$12=0,0,ROUND(INDEX(Monat.RAZ1_7.Bereich,WEEKDAY(M$10,2))*M$11,9))</f>
        <v>0</v>
      </c>
      <c r="N52" s="210" t="n">
        <f aca="false">IF(N$12=0,0,ROUND(INDEX(Monat.RAZ1_7.Bereich,WEEKDAY(N$10,2))*N$11,9))</f>
        <v>0</v>
      </c>
      <c r="O52" s="210" t="n">
        <f aca="false">IF(O$12=0,0,ROUND(INDEX(Monat.RAZ1_7.Bereich,WEEKDAY(O$10,2))*O$11,9))</f>
        <v>0.35</v>
      </c>
      <c r="P52" s="210" t="n">
        <f aca="false">IF(P$12=0,0,ROUND(INDEX(Monat.RAZ1_7.Bereich,WEEKDAY(P$10,2))*P$11,9))</f>
        <v>0.35</v>
      </c>
      <c r="Q52" s="209" t="n">
        <f aca="false">IF(Q$12=0,0,ROUND(INDEX(Monat.RAZ1_7.Bereich,WEEKDAY(Q$10,2))*Q$11,9))</f>
        <v>0.35</v>
      </c>
      <c r="R52" s="210" t="n">
        <f aca="false">IF(R$12=0,0,ROUND(INDEX(Monat.RAZ1_7.Bereich,WEEKDAY(R$10,2))*R$11,9))</f>
        <v>0.35</v>
      </c>
      <c r="S52" s="209" t="n">
        <f aca="false">IF(S$12=0,0,ROUND(INDEX(Monat.RAZ1_7.Bereich,WEEKDAY(S$10,2))*S$11,9))</f>
        <v>0.35</v>
      </c>
      <c r="T52" s="209" t="n">
        <f aca="false">IF(T$12=0,0,ROUND(INDEX(Monat.RAZ1_7.Bereich,WEEKDAY(T$10,2))*T$11,9))</f>
        <v>0</v>
      </c>
      <c r="U52" s="210" t="n">
        <f aca="false">IF(U$12=0,0,ROUND(INDEX(Monat.RAZ1_7.Bereich,WEEKDAY(U$10,2))*U$11,9))</f>
        <v>0</v>
      </c>
      <c r="V52" s="210" t="n">
        <f aca="false">IF(V$12=0,0,ROUND(INDEX(Monat.RAZ1_7.Bereich,WEEKDAY(V$10,2))*V$11,9))</f>
        <v>0</v>
      </c>
      <c r="W52" s="210" t="n">
        <f aca="false">IF(W$12=0,0,ROUND(INDEX(Monat.RAZ1_7.Bereich,WEEKDAY(W$10,2))*W$11,9))</f>
        <v>0.35</v>
      </c>
      <c r="X52" s="209" t="n">
        <f aca="false">IF(X$12=0,0,ROUND(INDEX(Monat.RAZ1_7.Bereich,WEEKDAY(X$10,2))*X$11,9))</f>
        <v>0.35</v>
      </c>
      <c r="Y52" s="210" t="n">
        <f aca="false">IF(Y$12=0,0,ROUND(INDEX(Monat.RAZ1_7.Bereich,WEEKDAY(Y$10,2))*Y$11,9))</f>
        <v>0.35</v>
      </c>
      <c r="Z52" s="211" t="n">
        <f aca="false">IF(Z$12=0,0,ROUND(INDEX(Monat.RAZ1_7.Bereich,WEEKDAY(Z$10,2))*Z$11,9))</f>
        <v>0.35</v>
      </c>
      <c r="AA52" s="210" t="n">
        <f aca="false">IF(AA$12=0,0,ROUND(INDEX(Monat.RAZ1_7.Bereich,WEEKDAY(AA$10,2))*AA$11,9))</f>
        <v>0</v>
      </c>
      <c r="AB52" s="210" t="n">
        <f aca="false">IF(AB$12=0,0,ROUND(INDEX(Monat.RAZ1_7.Bereich,WEEKDAY(AB$10,2))*AB$11,9))</f>
        <v>0</v>
      </c>
      <c r="AC52" s="210" t="n">
        <f aca="false">IF(AC$12=0,0,ROUND(INDEX(Monat.RAZ1_7.Bereich,WEEKDAY(AC$10,2))*AC$11,9))</f>
        <v>0.35</v>
      </c>
      <c r="AD52" s="210" t="n">
        <f aca="false">IF(AD$12=0,0,ROUND(INDEX(Monat.RAZ1_7.Bereich,WEEKDAY(AD$10,2))*AD$11,9))</f>
        <v>0.35</v>
      </c>
      <c r="AE52" s="209" t="n">
        <f aca="false">IF(AE$12=0,0,ROUND(INDEX(Monat.RAZ1_7.Bereich,WEEKDAY(AE$10,2))*AE$11,9))</f>
        <v>0.35</v>
      </c>
      <c r="AF52" s="210" t="n">
        <f aca="false">IF(AF$12=0,0,ROUND(INDEX(Monat.RAZ1_7.Bereich,WEEKDAY(AF$10,2))*AF$11,9))</f>
        <v>0.35</v>
      </c>
      <c r="AG52" s="212" t="str">
        <f aca="false">A52</f>
        <v>Standardized hours (Info)</v>
      </c>
      <c r="AH52" s="184"/>
      <c r="AI52" s="179"/>
      <c r="AJ52" s="180"/>
      <c r="AK52" s="172"/>
      <c r="AL52" s="172"/>
      <c r="AM52" s="172"/>
      <c r="AN52" s="171"/>
      <c r="AO52" s="172"/>
      <c r="AP52" s="172"/>
      <c r="AQ52" s="39"/>
    </row>
    <row r="53" s="148" customFormat="true" ht="15" hidden="false" customHeight="true" outlineLevel="0" collapsed="false">
      <c r="A53" s="175" t="s">
        <v>141</v>
      </c>
      <c r="B53" s="213" t="n">
        <f aca="false">IF(B$12=0,0,ROUND(INDEX(EB.AZSOLLTag100.Bereich,MATCH(INDEX(EB.Monate.Bereich,MONTH(Monat.Tag1)),EB.Monate.Bereich,0))*B$11*IF(WEEKDAY(B$10,2)&gt;5,0,1)*$V$2/100,9))</f>
        <v>0</v>
      </c>
      <c r="C53" s="213" t="n">
        <f aca="false">IF(C$12=0,0,ROUND(INDEX(EB.AZSOLLTag100.Bereich,MATCH(INDEX(EB.Monate.Bereich,MONTH(Monat.Tag1)),EB.Monate.Bereich,0))*C$11*IF(WEEKDAY(C$10,2)&gt;5,0,1)*$V$2/100,9))</f>
        <v>0.35</v>
      </c>
      <c r="D53" s="213" t="n">
        <f aca="false">IF(D$12=0,0,ROUND(INDEX(EB.AZSOLLTag100.Bereich,MATCH(INDEX(EB.Monate.Bereich,MONTH(Monat.Tag1)),EB.Monate.Bereich,0))*D$11*IF(WEEKDAY(D$10,2)&gt;5,0,1)*$V$2/100,9))</f>
        <v>0.35</v>
      </c>
      <c r="E53" s="213" t="n">
        <f aca="false">IF(E$12=0,0,ROUND(INDEX(EB.AZSOLLTag100.Bereich,MATCH(INDEX(EB.Monate.Bereich,MONTH(Monat.Tag1)),EB.Monate.Bereich,0))*E$11*IF(WEEKDAY(E$10,2)&gt;5,0,1)*$V$2/100,9))</f>
        <v>0.35</v>
      </c>
      <c r="F53" s="213" t="n">
        <f aca="false">IF(F$12=0,0,ROUND(INDEX(EB.AZSOLLTag100.Bereich,MATCH(INDEX(EB.Monate.Bereich,MONTH(Monat.Tag1)),EB.Monate.Bereich,0))*F$11*IF(WEEKDAY(F$10,2)&gt;5,0,1)*$V$2/100,9))</f>
        <v>0</v>
      </c>
      <c r="G53" s="213" t="n">
        <f aca="false">IF(G$12=0,0,ROUND(INDEX(EB.AZSOLLTag100.Bereich,MATCH(INDEX(EB.Monate.Bereich,MONTH(Monat.Tag1)),EB.Monate.Bereich,0))*G$11*IF(WEEKDAY(G$10,2)&gt;5,0,1)*$V$2/100,9))</f>
        <v>0</v>
      </c>
      <c r="H53" s="213" t="n">
        <f aca="false">IF(H$12=0,0,ROUND(INDEX(EB.AZSOLLTag100.Bereich,MATCH(INDEX(EB.Monate.Bereich,MONTH(Monat.Tag1)),EB.Monate.Bereich,0))*H$11*IF(WEEKDAY(H$10,2)&gt;5,0,1)*$V$2/100,9))</f>
        <v>0.35</v>
      </c>
      <c r="I53" s="213" t="n">
        <f aca="false">IF(I$12=0,0,ROUND(INDEX(EB.AZSOLLTag100.Bereich,MATCH(INDEX(EB.Monate.Bereich,MONTH(Monat.Tag1)),EB.Monate.Bereich,0))*I$11*IF(WEEKDAY(I$10,2)&gt;5,0,1)*$V$2/100,9))</f>
        <v>0.35</v>
      </c>
      <c r="J53" s="213" t="n">
        <f aca="false">IF(J$12=0,0,ROUND(INDEX(EB.AZSOLLTag100.Bereich,MATCH(INDEX(EB.Monate.Bereich,MONTH(Monat.Tag1)),EB.Monate.Bereich,0))*J$11*IF(WEEKDAY(J$10,2)&gt;5,0,1)*$V$2/100,9))</f>
        <v>0.25</v>
      </c>
      <c r="K53" s="213" t="n">
        <f aca="false">IF(K$12=0,0,ROUND(INDEX(EB.AZSOLLTag100.Bereich,MATCH(INDEX(EB.Monate.Bereich,MONTH(Monat.Tag1)),EB.Monate.Bereich,0))*K$11*IF(WEEKDAY(K$10,2)&gt;5,0,1)*$V$2/100,9))</f>
        <v>0</v>
      </c>
      <c r="L53" s="213" t="n">
        <f aca="false">IF(L$12=0,0,ROUND(INDEX(EB.AZSOLLTag100.Bereich,MATCH(INDEX(EB.Monate.Bereich,MONTH(Monat.Tag1)),EB.Monate.Bereich,0))*L$11*IF(WEEKDAY(L$10,2)&gt;5,0,1)*$V$2/100,9))</f>
        <v>0.35</v>
      </c>
      <c r="M53" s="213" t="n">
        <f aca="false">IF(M$12=0,0,ROUND(INDEX(EB.AZSOLLTag100.Bereich,MATCH(INDEX(EB.Monate.Bereich,MONTH(Monat.Tag1)),EB.Monate.Bereich,0))*M$11*IF(WEEKDAY(M$10,2)&gt;5,0,1)*$V$2/100,9))</f>
        <v>0</v>
      </c>
      <c r="N53" s="213" t="n">
        <f aca="false">IF(N$12=0,0,ROUND(INDEX(EB.AZSOLLTag100.Bereich,MATCH(INDEX(EB.Monate.Bereich,MONTH(Monat.Tag1)),EB.Monate.Bereich,0))*N$11*IF(WEEKDAY(N$10,2)&gt;5,0,1)*$V$2/100,9))</f>
        <v>0</v>
      </c>
      <c r="O53" s="213" t="n">
        <f aca="false">IF(O$12=0,0,ROUND(INDEX(EB.AZSOLLTag100.Bereich,MATCH(INDEX(EB.Monate.Bereich,MONTH(Monat.Tag1)),EB.Monate.Bereich,0))*O$11*IF(WEEKDAY(O$10,2)&gt;5,0,1)*$V$2/100,9))</f>
        <v>0.35</v>
      </c>
      <c r="P53" s="213" t="n">
        <f aca="false">IF(P$12=0,0,ROUND(INDEX(EB.AZSOLLTag100.Bereich,MATCH(INDEX(EB.Monate.Bereich,MONTH(Monat.Tag1)),EB.Monate.Bereich,0))*P$11*IF(WEEKDAY(P$10,2)&gt;5,0,1)*$V$2/100,9))</f>
        <v>0.35</v>
      </c>
      <c r="Q53" s="213" t="n">
        <f aca="false">IF(Q$12=0,0,ROUND(INDEX(EB.AZSOLLTag100.Bereich,MATCH(INDEX(EB.Monate.Bereich,MONTH(Monat.Tag1)),EB.Monate.Bereich,0))*Q$11*IF(WEEKDAY(Q$10,2)&gt;5,0,1)*$V$2/100,9))</f>
        <v>0.35</v>
      </c>
      <c r="R53" s="213" t="n">
        <f aca="false">IF(R$12=0,0,ROUND(INDEX(EB.AZSOLLTag100.Bereich,MATCH(INDEX(EB.Monate.Bereich,MONTH(Monat.Tag1)),EB.Monate.Bereich,0))*R$11*IF(WEEKDAY(R$10,2)&gt;5,0,1)*$V$2/100,9))</f>
        <v>0.35</v>
      </c>
      <c r="S53" s="213" t="n">
        <f aca="false">IF(S$12=0,0,ROUND(INDEX(EB.AZSOLLTag100.Bereich,MATCH(INDEX(EB.Monate.Bereich,MONTH(Monat.Tag1)),EB.Monate.Bereich,0))*S$11*IF(WEEKDAY(S$10,2)&gt;5,0,1)*$V$2/100,9))</f>
        <v>0.35</v>
      </c>
      <c r="T53" s="213" t="n">
        <f aca="false">IF(T$12=0,0,ROUND(INDEX(EB.AZSOLLTag100.Bereich,MATCH(INDEX(EB.Monate.Bereich,MONTH(Monat.Tag1)),EB.Monate.Bereich,0))*T$11*IF(WEEKDAY(T$10,2)&gt;5,0,1)*$V$2/100,9))</f>
        <v>0</v>
      </c>
      <c r="U53" s="213" t="n">
        <f aca="false">IF(U$12=0,0,ROUND(INDEX(EB.AZSOLLTag100.Bereich,MATCH(INDEX(EB.Monate.Bereich,MONTH(Monat.Tag1)),EB.Monate.Bereich,0))*U$11*IF(WEEKDAY(U$10,2)&gt;5,0,1)*$V$2/100,9))</f>
        <v>0</v>
      </c>
      <c r="V53" s="213" t="n">
        <f aca="false">IF(V$12=0,0,ROUND(INDEX(EB.AZSOLLTag100.Bereich,MATCH(INDEX(EB.Monate.Bereich,MONTH(Monat.Tag1)),EB.Monate.Bereich,0))*V$11*IF(WEEKDAY(V$10,2)&gt;5,0,1)*$V$2/100,9))</f>
        <v>0</v>
      </c>
      <c r="W53" s="213" t="n">
        <f aca="false">IF(W$12=0,0,ROUND(INDEX(EB.AZSOLLTag100.Bereich,MATCH(INDEX(EB.Monate.Bereich,MONTH(Monat.Tag1)),EB.Monate.Bereich,0))*W$11*IF(WEEKDAY(W$10,2)&gt;5,0,1)*$V$2/100,9))</f>
        <v>0.35</v>
      </c>
      <c r="X53" s="213" t="n">
        <f aca="false">IF(X$12=0,0,ROUND(INDEX(EB.AZSOLLTag100.Bereich,MATCH(INDEX(EB.Monate.Bereich,MONTH(Monat.Tag1)),EB.Monate.Bereich,0))*X$11*IF(WEEKDAY(X$10,2)&gt;5,0,1)*$V$2/100,9))</f>
        <v>0.35</v>
      </c>
      <c r="Y53" s="213" t="n">
        <f aca="false">IF(Y$12=0,0,ROUND(INDEX(EB.AZSOLLTag100.Bereich,MATCH(INDEX(EB.Monate.Bereich,MONTH(Monat.Tag1)),EB.Monate.Bereich,0))*Y$11*IF(WEEKDAY(Y$10,2)&gt;5,0,1)*$V$2/100,9))</f>
        <v>0.35</v>
      </c>
      <c r="Z53" s="213" t="n">
        <f aca="false">IF(Z$12=0,0,ROUND(INDEX(EB.AZSOLLTag100.Bereich,MATCH(INDEX(EB.Monate.Bereich,MONTH(Monat.Tag1)),EB.Monate.Bereich,0))*Z$11*IF(WEEKDAY(Z$10,2)&gt;5,0,1)*$V$2/100,9))</f>
        <v>0.35</v>
      </c>
      <c r="AA53" s="213" t="n">
        <f aca="false">IF(AA$12=0,0,ROUND(INDEX(EB.AZSOLLTag100.Bereich,MATCH(INDEX(EB.Monate.Bereich,MONTH(Monat.Tag1)),EB.Monate.Bereich,0))*AA$11*IF(WEEKDAY(AA$10,2)&gt;5,0,1)*$V$2/100,9))</f>
        <v>0</v>
      </c>
      <c r="AB53" s="213" t="n">
        <f aca="false">IF(AB$12=0,0,ROUND(INDEX(EB.AZSOLLTag100.Bereich,MATCH(INDEX(EB.Monate.Bereich,MONTH(Monat.Tag1)),EB.Monate.Bereich,0))*AB$11*IF(WEEKDAY(AB$10,2)&gt;5,0,1)*$V$2/100,9))</f>
        <v>0</v>
      </c>
      <c r="AC53" s="213" t="n">
        <f aca="false">IF(AC$12=0,0,ROUND(INDEX(EB.AZSOLLTag100.Bereich,MATCH(INDEX(EB.Monate.Bereich,MONTH(Monat.Tag1)),EB.Monate.Bereich,0))*AC$11*IF(WEEKDAY(AC$10,2)&gt;5,0,1)*$V$2/100,9))</f>
        <v>0.35</v>
      </c>
      <c r="AD53" s="213" t="n">
        <f aca="false">IF(AD$12=0,0,ROUND(INDEX(EB.AZSOLLTag100.Bereich,MATCH(INDEX(EB.Monate.Bereich,MONTH(Monat.Tag1)),EB.Monate.Bereich,0))*AD$11*IF(WEEKDAY(AD$10,2)&gt;5,0,1)*$V$2/100,9))</f>
        <v>0.35</v>
      </c>
      <c r="AE53" s="213" t="n">
        <f aca="false">IF(AE$12=0,0,ROUND(INDEX(EB.AZSOLLTag100.Bereich,MATCH(INDEX(EB.Monate.Bereich,MONTH(Monat.Tag1)),EB.Monate.Bereich,0))*AE$11*IF(WEEKDAY(AE$10,2)&gt;5,0,1)*$V$2/100,9))</f>
        <v>0.35</v>
      </c>
      <c r="AF53" s="213" t="n">
        <f aca="false">IF(AF$12=0,0,ROUND(INDEX(EB.AZSOLLTag100.Bereich,MATCH(INDEX(EB.Monate.Bereich,MONTH(Monat.Tag1)),EB.Monate.Bereich,0))*AF$11*IF(WEEKDAY(AF$10,2)&gt;5,0,1)*$V$2/100,9))</f>
        <v>0.35</v>
      </c>
      <c r="AG53" s="168" t="str">
        <f aca="false">A53</f>
        <v>Req. hours of work FTE</v>
      </c>
      <c r="AH53" s="184"/>
      <c r="AI53" s="207" t="n">
        <f aca="false">SUM(B53:AF53)</f>
        <v>6.9</v>
      </c>
      <c r="AJ53" s="180"/>
      <c r="AK53" s="172"/>
      <c r="AL53" s="172"/>
      <c r="AM53" s="172"/>
      <c r="AN53" s="171"/>
      <c r="AO53" s="172"/>
      <c r="AP53" s="172"/>
      <c r="AQ53" s="39"/>
    </row>
    <row r="54" s="148" customFormat="true" ht="15" hidden="true" customHeight="true" outlineLevel="1" collapsed="false">
      <c r="A54" s="175" t="s">
        <v>142</v>
      </c>
      <c r="B54" s="213" t="n">
        <f aca="false">ROUND(INDEX(EB.AZSOLLTag100.Bereich,MATCH(INDEX(EB.Monate.Bereich,MONTH(Monat.Tag1)),EB.Monate.Bereich,0))*B$11*IF(WEEKDAY(B$10,2)&gt;5,0,1),9)</f>
        <v>0</v>
      </c>
      <c r="C54" s="213" t="n">
        <f aca="false">ROUND(INDEX(EB.AZSOLLTag100.Bereich,MATCH(INDEX(EB.Monate.Bereich,MONTH(Monat.Tag1)),EB.Monate.Bereich,0))*C$11*IF(WEEKDAY(C$10,2)&gt;5,0,1),9)</f>
        <v>0.35</v>
      </c>
      <c r="D54" s="214" t="n">
        <f aca="false">ROUND(INDEX(EB.AZSOLLTag100.Bereich,MATCH(INDEX(EB.Monate.Bereich,MONTH(Monat.Tag1)),EB.Monate.Bereich,0))*D$11*IF(WEEKDAY(D$10,2)&gt;5,0,1),9)</f>
        <v>0.35</v>
      </c>
      <c r="E54" s="213" t="n">
        <f aca="false">ROUND(INDEX(EB.AZSOLLTag100.Bereich,MATCH(INDEX(EB.Monate.Bereich,MONTH(Monat.Tag1)),EB.Monate.Bereich,0))*E$11*IF(WEEKDAY(E$10,2)&gt;5,0,1),9)</f>
        <v>0.35</v>
      </c>
      <c r="F54" s="214" t="n">
        <f aca="false">ROUND(INDEX(EB.AZSOLLTag100.Bereich,MATCH(INDEX(EB.Monate.Bereich,MONTH(Monat.Tag1)),EB.Monate.Bereich,0))*F$11*IF(WEEKDAY(F$10,2)&gt;5,0,1),9)</f>
        <v>0</v>
      </c>
      <c r="G54" s="214" t="n">
        <f aca="false">ROUND(INDEX(EB.AZSOLLTag100.Bereich,MATCH(INDEX(EB.Monate.Bereich,MONTH(Monat.Tag1)),EB.Monate.Bereich,0))*G$11*IF(WEEKDAY(G$10,2)&gt;5,0,1),9)</f>
        <v>0</v>
      </c>
      <c r="H54" s="214" t="n">
        <f aca="false">ROUND(INDEX(EB.AZSOLLTag100.Bereich,MATCH(INDEX(EB.Monate.Bereich,MONTH(Monat.Tag1)),EB.Monate.Bereich,0))*H$11*IF(WEEKDAY(H$10,2)&gt;5,0,1),9)</f>
        <v>0.35</v>
      </c>
      <c r="I54" s="214" t="n">
        <f aca="false">ROUND(INDEX(EB.AZSOLLTag100.Bereich,MATCH(INDEX(EB.Monate.Bereich,MONTH(Monat.Tag1)),EB.Monate.Bereich,0))*I$11*IF(WEEKDAY(I$10,2)&gt;5,0,1),9)</f>
        <v>0.35</v>
      </c>
      <c r="J54" s="213" t="n">
        <f aca="false">ROUND(INDEX(EB.AZSOLLTag100.Bereich,MATCH(INDEX(EB.Monate.Bereich,MONTH(Monat.Tag1)),EB.Monate.Bereich,0))*J$11*IF(WEEKDAY(J$10,2)&gt;5,0,1),9)</f>
        <v>0.25</v>
      </c>
      <c r="K54" s="214" t="n">
        <f aca="false">ROUND(INDEX(EB.AZSOLLTag100.Bereich,MATCH(INDEX(EB.Monate.Bereich,MONTH(Monat.Tag1)),EB.Monate.Bereich,0))*K$11*IF(WEEKDAY(K$10,2)&gt;5,0,1),9)</f>
        <v>0</v>
      </c>
      <c r="L54" s="213" t="n">
        <f aca="false">ROUND(INDEX(EB.AZSOLLTag100.Bereich,MATCH(INDEX(EB.Monate.Bereich,MONTH(Monat.Tag1)),EB.Monate.Bereich,0))*L$11*IF(WEEKDAY(L$10,2)&gt;5,0,1),9)</f>
        <v>0.35</v>
      </c>
      <c r="M54" s="214" t="n">
        <f aca="false">ROUND(INDEX(EB.AZSOLLTag100.Bereich,MATCH(INDEX(EB.Monate.Bereich,MONTH(Monat.Tag1)),EB.Monate.Bereich,0))*M$11*IF(WEEKDAY(M$10,2)&gt;5,0,1),9)</f>
        <v>0</v>
      </c>
      <c r="N54" s="214" t="n">
        <f aca="false">ROUND(INDEX(EB.AZSOLLTag100.Bereich,MATCH(INDEX(EB.Monate.Bereich,MONTH(Monat.Tag1)),EB.Monate.Bereich,0))*N$11*IF(WEEKDAY(N$10,2)&gt;5,0,1),9)</f>
        <v>0</v>
      </c>
      <c r="O54" s="214" t="n">
        <f aca="false">ROUND(INDEX(EB.AZSOLLTag100.Bereich,MATCH(INDEX(EB.Monate.Bereich,MONTH(Monat.Tag1)),EB.Monate.Bereich,0))*O$11*IF(WEEKDAY(O$10,2)&gt;5,0,1),9)</f>
        <v>0.35</v>
      </c>
      <c r="P54" s="214" t="n">
        <f aca="false">ROUND(INDEX(EB.AZSOLLTag100.Bereich,MATCH(INDEX(EB.Monate.Bereich,MONTH(Monat.Tag1)),EB.Monate.Bereich,0))*P$11*IF(WEEKDAY(P$10,2)&gt;5,0,1),9)</f>
        <v>0.35</v>
      </c>
      <c r="Q54" s="213" t="n">
        <f aca="false">ROUND(INDEX(EB.AZSOLLTag100.Bereich,MATCH(INDEX(EB.Monate.Bereich,MONTH(Monat.Tag1)),EB.Monate.Bereich,0))*Q$11*IF(WEEKDAY(Q$10,2)&gt;5,0,1),9)</f>
        <v>0.35</v>
      </c>
      <c r="R54" s="214" t="n">
        <f aca="false">ROUND(INDEX(EB.AZSOLLTag100.Bereich,MATCH(INDEX(EB.Monate.Bereich,MONTH(Monat.Tag1)),EB.Monate.Bereich,0))*R$11*IF(WEEKDAY(R$10,2)&gt;5,0,1),9)</f>
        <v>0.35</v>
      </c>
      <c r="S54" s="213" t="n">
        <f aca="false">ROUND(INDEX(EB.AZSOLLTag100.Bereich,MATCH(INDEX(EB.Monate.Bereich,MONTH(Monat.Tag1)),EB.Monate.Bereich,0))*S$11*IF(WEEKDAY(S$10,2)&gt;5,0,1),9)</f>
        <v>0.35</v>
      </c>
      <c r="T54" s="213" t="n">
        <f aca="false">ROUND(INDEX(EB.AZSOLLTag100.Bereich,MATCH(INDEX(EB.Monate.Bereich,MONTH(Monat.Tag1)),EB.Monate.Bereich,0))*T$11*IF(WEEKDAY(T$10,2)&gt;5,0,1),9)</f>
        <v>0</v>
      </c>
      <c r="U54" s="214" t="n">
        <f aca="false">ROUND(INDEX(EB.AZSOLLTag100.Bereich,MATCH(INDEX(EB.Monate.Bereich,MONTH(Monat.Tag1)),EB.Monate.Bereich,0))*U$11*IF(WEEKDAY(U$10,2)&gt;5,0,1),9)</f>
        <v>0</v>
      </c>
      <c r="V54" s="214" t="n">
        <f aca="false">ROUND(INDEX(EB.AZSOLLTag100.Bereich,MATCH(INDEX(EB.Monate.Bereich,MONTH(Monat.Tag1)),EB.Monate.Bereich,0))*V$11*IF(WEEKDAY(V$10,2)&gt;5,0,1),9)</f>
        <v>0</v>
      </c>
      <c r="W54" s="214" t="n">
        <f aca="false">ROUND(INDEX(EB.AZSOLLTag100.Bereich,MATCH(INDEX(EB.Monate.Bereich,MONTH(Monat.Tag1)),EB.Monate.Bereich,0))*W$11*IF(WEEKDAY(W$10,2)&gt;5,0,1),9)</f>
        <v>0.35</v>
      </c>
      <c r="X54" s="213" t="n">
        <f aca="false">ROUND(INDEX(EB.AZSOLLTag100.Bereich,MATCH(INDEX(EB.Monate.Bereich,MONTH(Monat.Tag1)),EB.Monate.Bereich,0))*X$11*IF(WEEKDAY(X$10,2)&gt;5,0,1),9)</f>
        <v>0.35</v>
      </c>
      <c r="Y54" s="214" t="n">
        <f aca="false">ROUND(INDEX(EB.AZSOLLTag100.Bereich,MATCH(INDEX(EB.Monate.Bereich,MONTH(Monat.Tag1)),EB.Monate.Bereich,0))*Y$11*IF(WEEKDAY(Y$10,2)&gt;5,0,1),9)</f>
        <v>0.35</v>
      </c>
      <c r="Z54" s="215" t="n">
        <f aca="false">ROUND(INDEX(EB.AZSOLLTag100.Bereich,MATCH(INDEX(EB.Monate.Bereich,MONTH(Monat.Tag1)),EB.Monate.Bereich,0))*Z$11*IF(WEEKDAY(Z$10,2)&gt;5,0,1),9)</f>
        <v>0.35</v>
      </c>
      <c r="AA54" s="214" t="n">
        <f aca="false">ROUND(INDEX(EB.AZSOLLTag100.Bereich,MATCH(INDEX(EB.Monate.Bereich,MONTH(Monat.Tag1)),EB.Monate.Bereich,0))*AA$11*IF(WEEKDAY(AA$10,2)&gt;5,0,1),9)</f>
        <v>0</v>
      </c>
      <c r="AB54" s="214" t="n">
        <f aca="false">ROUND(INDEX(EB.AZSOLLTag100.Bereich,MATCH(INDEX(EB.Monate.Bereich,MONTH(Monat.Tag1)),EB.Monate.Bereich,0))*AB$11*IF(WEEKDAY(AB$10,2)&gt;5,0,1),9)</f>
        <v>0</v>
      </c>
      <c r="AC54" s="214" t="n">
        <f aca="false">ROUND(INDEX(EB.AZSOLLTag100.Bereich,MATCH(INDEX(EB.Monate.Bereich,MONTH(Monat.Tag1)),EB.Monate.Bereich,0))*AC$11*IF(WEEKDAY(AC$10,2)&gt;5,0,1),9)</f>
        <v>0.35</v>
      </c>
      <c r="AD54" s="214" t="n">
        <f aca="false">ROUND(INDEX(EB.AZSOLLTag100.Bereich,MATCH(INDEX(EB.Monate.Bereich,MONTH(Monat.Tag1)),EB.Monate.Bereich,0))*AD$11*IF(WEEKDAY(AD$10,2)&gt;5,0,1),9)</f>
        <v>0.35</v>
      </c>
      <c r="AE54" s="213" t="n">
        <f aca="false">ROUND(INDEX(EB.AZSOLLTag100.Bereich,MATCH(INDEX(EB.Monate.Bereich,MONTH(Monat.Tag1)),EB.Monate.Bereich,0))*AE$11*IF(WEEKDAY(AE$10,2)&gt;5,0,1),9)</f>
        <v>0.35</v>
      </c>
      <c r="AF54" s="214" t="n">
        <f aca="false">ROUND(INDEX(EB.AZSOLLTag100.Bereich,MATCH(INDEX(EB.Monate.Bereich,MONTH(Monat.Tag1)),EB.Monate.Bereich,0))*AF$11*IF(WEEKDAY(AF$10,2)&gt;5,0,1),9)</f>
        <v>0.35</v>
      </c>
      <c r="AG54" s="168" t="str">
        <f aca="false">A54</f>
        <v>Req. hours of work 100%</v>
      </c>
      <c r="AH54" s="184"/>
      <c r="AI54" s="207" t="n">
        <f aca="false">SUM(B54:AF54)</f>
        <v>6.9</v>
      </c>
      <c r="AJ54" s="180"/>
      <c r="AK54" s="172"/>
      <c r="AL54" s="172"/>
      <c r="AM54" s="172"/>
      <c r="AN54" s="171"/>
      <c r="AO54" s="172"/>
      <c r="AP54" s="172"/>
      <c r="AQ54" s="39"/>
    </row>
    <row r="55" s="148" customFormat="true" ht="15" hidden="false" customHeight="true" outlineLevel="0" collapsed="false">
      <c r="A55" s="175" t="s">
        <v>143</v>
      </c>
      <c r="B55" s="203" t="n">
        <f aca="false">ROUND(B51-B53,9)</f>
        <v>0</v>
      </c>
      <c r="C55" s="203" t="n">
        <f aca="false">ROUND(C51-C53,9)</f>
        <v>0.004166667</v>
      </c>
      <c r="D55" s="203" t="n">
        <f aca="false">ROUND(D51-D53,9)</f>
        <v>0.045833333</v>
      </c>
      <c r="E55" s="205" t="n">
        <f aca="false">ROUND(E51-E53,9)</f>
        <v>0.094444444</v>
      </c>
      <c r="F55" s="203" t="n">
        <f aca="false">ROUND(F51-F53,9)</f>
        <v>0</v>
      </c>
      <c r="G55" s="203" t="n">
        <f aca="false">ROUND(G51-G53,9)</f>
        <v>0</v>
      </c>
      <c r="H55" s="203" t="n">
        <f aca="false">ROUND(H51-H53,9)</f>
        <v>0.052777778</v>
      </c>
      <c r="I55" s="203" t="n">
        <f aca="false">ROUND(I51-I53,9)</f>
        <v>0.073611111</v>
      </c>
      <c r="J55" s="205" t="n">
        <f aca="false">ROUND(J51-J53,9)</f>
        <v>0.041666667</v>
      </c>
      <c r="K55" s="203" t="n">
        <f aca="false">ROUND(K51-K53,9)</f>
        <v>0</v>
      </c>
      <c r="L55" s="205" t="n">
        <f aca="false">ROUND(L51-L53,9)</f>
        <v>-0.35</v>
      </c>
      <c r="M55" s="203" t="n">
        <f aca="false">ROUND(M51-M53,9)</f>
        <v>0</v>
      </c>
      <c r="N55" s="203" t="n">
        <f aca="false">ROUND(N51-N53,9)</f>
        <v>0</v>
      </c>
      <c r="O55" s="203" t="n">
        <f aca="false">ROUND(O51-O53,9)</f>
        <v>0.025</v>
      </c>
      <c r="P55" s="203" t="n">
        <f aca="false">ROUND(P51-P53,9)</f>
        <v>0.080555556</v>
      </c>
      <c r="Q55" s="205" t="n">
        <f aca="false">ROUND(Q51-Q53,9)</f>
        <v>0.094444444</v>
      </c>
      <c r="R55" s="203" t="n">
        <f aca="false">ROUND(R51-R53,9)</f>
        <v>0.025</v>
      </c>
      <c r="S55" s="205" t="n">
        <f aca="false">ROUND(S51-S53,9)</f>
        <v>0.066666667</v>
      </c>
      <c r="T55" s="205" t="n">
        <f aca="false">ROUND(T51-T53,9)</f>
        <v>0</v>
      </c>
      <c r="U55" s="203" t="n">
        <f aca="false">ROUND(U51-U53,9)</f>
        <v>0</v>
      </c>
      <c r="V55" s="203" t="n">
        <f aca="false">ROUND(V51-V53,9)</f>
        <v>-0.298611111</v>
      </c>
      <c r="W55" s="203" t="n">
        <f aca="false">ROUND(W51-W53,9)</f>
        <v>-0.648611111</v>
      </c>
      <c r="X55" s="205" t="n">
        <f aca="false">ROUND(X51-X53,9)</f>
        <v>-0.35</v>
      </c>
      <c r="Y55" s="203" t="n">
        <f aca="false">ROUND(Y51-Y53,9)</f>
        <v>-0.35</v>
      </c>
      <c r="Z55" s="206" t="n">
        <f aca="false">ROUND(Z51-Z53,9)</f>
        <v>-0.35</v>
      </c>
      <c r="AA55" s="203" t="n">
        <f aca="false">ROUND(AA51-AA53,9)</f>
        <v>0</v>
      </c>
      <c r="AB55" s="203" t="n">
        <f aca="false">ROUND(AB51-AB53,9)</f>
        <v>0</v>
      </c>
      <c r="AC55" s="203" t="n">
        <f aca="false">ROUND(AC51-AC53,9)</f>
        <v>-0.35</v>
      </c>
      <c r="AD55" s="203" t="n">
        <f aca="false">ROUND(AD51-AD53,9)</f>
        <v>-0.35</v>
      </c>
      <c r="AE55" s="205" t="n">
        <f aca="false">ROUND(AE51-AE53,9)</f>
        <v>-0.35</v>
      </c>
      <c r="AF55" s="203" t="n">
        <f aca="false">ROUND(AF51-AF53,9)</f>
        <v>-0.35</v>
      </c>
      <c r="AG55" s="168" t="str">
        <f aca="false">A55</f>
        <v>+/- required/actual hours daily</v>
      </c>
      <c r="AH55" s="184"/>
      <c r="AI55" s="207" t="n">
        <f aca="false">SUM(B55:AF55)</f>
        <v>-3.143055555</v>
      </c>
      <c r="AJ55" s="180"/>
      <c r="AK55" s="172"/>
      <c r="AL55" s="216" t="n">
        <f aca="false">IF(EB.Anwendung&lt;&gt;"",IF(MONTH(Monat.Tag1)=1,0,IF(MONTH(Monat.Tag1)=2,January!Monat.Soll_Ist_UeVM,IF(MONTH(Monat.Tag1)=3,February!Monat.Soll_Ist_UeVM,IF(MONTH(Monat.Tag1)=4,March!Monat.Soll_Ist_UeVM,IF(MONTH(Monat.Tag1)=5,April!Monat.Soll_Ist_UeVM,IF(MONTH(Monat.Tag1)=6,Monat.Soll_Ist_UeVM,IF(MONTH(Monat.Tag1)=7,June!Monat.Soll_Ist_UeVM,IF(MONTH(Monat.Tag1)=8,July!Monat.Soll_Ist_UeVM,IF(MONTH(Monat.Tag1)=9,August!Monat.Soll_Ist_UeVM,IF(MONTH(Monat.Tag1)=10,September!Monat.Soll_Ist_UeVM,IF(MONTH(Monat.Tag1)=11,October!Monat.Soll_Ist_UeVM,IF(MONTH(Monat.Tag1)=12,November!Monat.Soll_Ist_UeVM,"")))))))))))),"")</f>
        <v>-0.075</v>
      </c>
      <c r="AM55" s="172"/>
      <c r="AN55" s="217" t="n">
        <f aca="false">IF(AH57="+",(AI55+AI57),(AI55-AI57))</f>
        <v>-3.143055555</v>
      </c>
      <c r="AO55" s="217" t="n">
        <f aca="true">SUM(OFFSET(J.AZSaldo.Total,-12,0,MONTH(Monat.Tag1),1))</f>
        <v>-3.218055555</v>
      </c>
      <c r="AP55" s="217" t="n">
        <f aca="false">J.AZSaldo.Total</f>
        <v>-54.918055555</v>
      </c>
      <c r="AQ55" s="39"/>
    </row>
    <row r="56" s="148" customFormat="true" ht="15" hidden="false" customHeight="true" outlineLevel="0" collapsed="false">
      <c r="A56" s="175" t="s">
        <v>144</v>
      </c>
      <c r="B56" s="218" t="n">
        <f aca="true">IF(EB.Anwendung&lt;&gt;"",IF(DAY(B$10)=1,IF(MONTH(Monat.Tag1)=1,ROUND(EB.ÜVMMS,9), IF(MONTH(Monat.Tag1)=2,January!Monat.MMS.UeVM,IF(MONTH(Monat.Tag1)=3,February!Monat.MMS.UeVM,IF(MONTH(Monat.Tag1)=4,March!Monat.MMS.UeVM,IF(MONTH(Monat.Tag1)=5,April!Monat.MMS.UeVM,IF(MONTH(Monat.Tag1)=6,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B$10&gt;TODAY(),0,B55), IF(B$10&gt;TODAY(),A56,A56+B55)),"")</f>
        <v>-0.0749999999999999</v>
      </c>
      <c r="C56" s="218" t="n">
        <f aca="true">IF(EB.Anwendung&lt;&gt;"",IF(DAY(C$10)=1,IF(MONTH(Monat.Tag1)=1,ROUND(EB.ÜVMMS,9), IF(MONTH(Monat.Tag1)=2,January!Monat.MMS.UeVM,IF(MONTH(Monat.Tag1)=3,February!Monat.MMS.UeVM,IF(MONTH(Monat.Tag1)=4,March!Monat.MMS.UeVM,IF(MONTH(Monat.Tag1)=5,April!Monat.MMS.UeVM,IF(MONTH(Monat.Tag1)=6,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C$10&gt;TODAY(),0,C55), IF(C$10&gt;TODAY(),B56,B56+C55)),"")</f>
        <v>-0.0708333329999999</v>
      </c>
      <c r="D56" s="218" t="n">
        <f aca="true">IF(EB.Anwendung&lt;&gt;"",IF(DAY(D$10)=1,IF(MONTH(Monat.Tag1)=1,ROUND(EB.ÜVMMS,9), IF(MONTH(Monat.Tag1)=2,January!Monat.MMS.UeVM,IF(MONTH(Monat.Tag1)=3,February!Monat.MMS.UeVM,IF(MONTH(Monat.Tag1)=4,March!Monat.MMS.UeVM,IF(MONTH(Monat.Tag1)=5,April!Monat.MMS.UeVM,IF(MONTH(Monat.Tag1)=6,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D$10&gt;TODAY(),0,D55), IF(D$10&gt;TODAY(),C56,C56+D55)),"")</f>
        <v>-0.0249999999999999</v>
      </c>
      <c r="E56" s="218" t="n">
        <f aca="true">IF(EB.Anwendung&lt;&gt;"",IF(DAY(E$10)=1,IF(MONTH(Monat.Tag1)=1,ROUND(EB.ÜVMMS,9), IF(MONTH(Monat.Tag1)=2,January!Monat.MMS.UeVM,IF(MONTH(Monat.Tag1)=3,February!Monat.MMS.UeVM,IF(MONTH(Monat.Tag1)=4,March!Monat.MMS.UeVM,IF(MONTH(Monat.Tag1)=5,April!Monat.MMS.UeVM,IF(MONTH(Monat.Tag1)=6,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E$10&gt;TODAY(),0,E55), IF(E$10&gt;TODAY(),D56,D56+E55)),"")</f>
        <v>0.0694444440000001</v>
      </c>
      <c r="F56" s="218" t="n">
        <f aca="true">IF(EB.Anwendung&lt;&gt;"",IF(DAY(F$10)=1,IF(MONTH(Monat.Tag1)=1,ROUND(EB.ÜVMMS,9), IF(MONTH(Monat.Tag1)=2,January!Monat.MMS.UeVM,IF(MONTH(Monat.Tag1)=3,February!Monat.MMS.UeVM,IF(MONTH(Monat.Tag1)=4,March!Monat.MMS.UeVM,IF(MONTH(Monat.Tag1)=5,April!Monat.MMS.UeVM,IF(MONTH(Monat.Tag1)=6,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F$10&gt;TODAY(),0,F55), IF(F$10&gt;TODAY(),E56,E56+F55)),"")</f>
        <v>0.0694444440000001</v>
      </c>
      <c r="G56" s="218" t="n">
        <f aca="true">IF(EB.Anwendung&lt;&gt;"",IF(DAY(G$10)=1,IF(MONTH(Monat.Tag1)=1,ROUND(EB.ÜVMMS,9), IF(MONTH(Monat.Tag1)=2,January!Monat.MMS.UeVM,IF(MONTH(Monat.Tag1)=3,February!Monat.MMS.UeVM,IF(MONTH(Monat.Tag1)=4,March!Monat.MMS.UeVM,IF(MONTH(Monat.Tag1)=5,April!Monat.MMS.UeVM,IF(MONTH(Monat.Tag1)=6,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G$10&gt;TODAY(),0,G55), IF(G$10&gt;TODAY(),F56,F56+G55)),"")</f>
        <v>0.0694444440000001</v>
      </c>
      <c r="H56" s="218" t="n">
        <f aca="true">IF(EB.Anwendung&lt;&gt;"",IF(DAY(H$10)=1,IF(MONTH(Monat.Tag1)=1,ROUND(EB.ÜVMMS,9), IF(MONTH(Monat.Tag1)=2,January!Monat.MMS.UeVM,IF(MONTH(Monat.Tag1)=3,February!Monat.MMS.UeVM,IF(MONTH(Monat.Tag1)=4,March!Monat.MMS.UeVM,IF(MONTH(Monat.Tag1)=5,April!Monat.MMS.UeVM,IF(MONTH(Monat.Tag1)=6,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H$10&gt;TODAY(),0,H55), IF(H$10&gt;TODAY(),G56,G56+H55)),"")</f>
        <v>0.122222222</v>
      </c>
      <c r="I56" s="218" t="n">
        <f aca="true">IF(EB.Anwendung&lt;&gt;"",IF(DAY(I$10)=1,IF(MONTH(Monat.Tag1)=1,ROUND(EB.ÜVMMS,9), IF(MONTH(Monat.Tag1)=2,January!Monat.MMS.UeVM,IF(MONTH(Monat.Tag1)=3,February!Monat.MMS.UeVM,IF(MONTH(Monat.Tag1)=4,March!Monat.MMS.UeVM,IF(MONTH(Monat.Tag1)=5,April!Monat.MMS.UeVM,IF(MONTH(Monat.Tag1)=6,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I$10&gt;TODAY(),0,I55), IF(I$10&gt;TODAY(),H56,H56+I55)),"")</f>
        <v>0.195833333</v>
      </c>
      <c r="J56" s="218" t="n">
        <f aca="true">IF(EB.Anwendung&lt;&gt;"",IF(DAY(J$10)=1,IF(MONTH(Monat.Tag1)=1,ROUND(EB.ÜVMMS,9), IF(MONTH(Monat.Tag1)=2,January!Monat.MMS.UeVM,IF(MONTH(Monat.Tag1)=3,February!Monat.MMS.UeVM,IF(MONTH(Monat.Tag1)=4,March!Monat.MMS.UeVM,IF(MONTH(Monat.Tag1)=5,April!Monat.MMS.UeVM,IF(MONTH(Monat.Tag1)=6,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J$10&gt;TODAY(),0,J55), IF(J$10&gt;TODAY(),I56,I56+J55)),"")</f>
        <v>0.2375</v>
      </c>
      <c r="K56" s="218" t="n">
        <f aca="true">IF(EB.Anwendung&lt;&gt;"",IF(DAY(K$10)=1,IF(MONTH(Monat.Tag1)=1,ROUND(EB.ÜVMMS,9), IF(MONTH(Monat.Tag1)=2,January!Monat.MMS.UeVM,IF(MONTH(Monat.Tag1)=3,February!Monat.MMS.UeVM,IF(MONTH(Monat.Tag1)=4,March!Monat.MMS.UeVM,IF(MONTH(Monat.Tag1)=5,April!Monat.MMS.UeVM,IF(MONTH(Monat.Tag1)=6,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K$10&gt;TODAY(),0,K55), IF(K$10&gt;TODAY(),J56,J56+K55)),"")</f>
        <v>0.2375</v>
      </c>
      <c r="L56" s="218" t="n">
        <f aca="true">IF(EB.Anwendung&lt;&gt;"",IF(DAY(L$10)=1,IF(MONTH(Monat.Tag1)=1,ROUND(EB.ÜVMMS,9), IF(MONTH(Monat.Tag1)=2,January!Monat.MMS.UeVM,IF(MONTH(Monat.Tag1)=3,February!Monat.MMS.UeVM,IF(MONTH(Monat.Tag1)=4,March!Monat.MMS.UeVM,IF(MONTH(Monat.Tag1)=5,April!Monat.MMS.UeVM,IF(MONTH(Monat.Tag1)=6,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L$10&gt;TODAY(),0,L55), IF(L$10&gt;TODAY(),K56,K56+L55)),"")</f>
        <v>-0.1125</v>
      </c>
      <c r="M56" s="218" t="n">
        <f aca="true">IF(EB.Anwendung&lt;&gt;"",IF(DAY(M$10)=1,IF(MONTH(Monat.Tag1)=1,ROUND(EB.ÜVMMS,9), IF(MONTH(Monat.Tag1)=2,January!Monat.MMS.UeVM,IF(MONTH(Monat.Tag1)=3,February!Monat.MMS.UeVM,IF(MONTH(Monat.Tag1)=4,March!Monat.MMS.UeVM,IF(MONTH(Monat.Tag1)=5,April!Monat.MMS.UeVM,IF(MONTH(Monat.Tag1)=6,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M$10&gt;TODAY(),0,M55), IF(M$10&gt;TODAY(),L56,L56+M55)),"")</f>
        <v>-0.1125</v>
      </c>
      <c r="N56" s="218" t="n">
        <f aca="true">IF(EB.Anwendung&lt;&gt;"",IF(DAY(N$10)=1,IF(MONTH(Monat.Tag1)=1,ROUND(EB.ÜVMMS,9), IF(MONTH(Monat.Tag1)=2,January!Monat.MMS.UeVM,IF(MONTH(Monat.Tag1)=3,February!Monat.MMS.UeVM,IF(MONTH(Monat.Tag1)=4,March!Monat.MMS.UeVM,IF(MONTH(Monat.Tag1)=5,April!Monat.MMS.UeVM,IF(MONTH(Monat.Tag1)=6,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N$10&gt;TODAY(),0,N55), IF(N$10&gt;TODAY(),M56,M56+N55)),"")</f>
        <v>-0.1125</v>
      </c>
      <c r="O56" s="218" t="n">
        <f aca="true">IF(EB.Anwendung&lt;&gt;"",IF(DAY(O$10)=1,IF(MONTH(Monat.Tag1)=1,ROUND(EB.ÜVMMS,9), IF(MONTH(Monat.Tag1)=2,January!Monat.MMS.UeVM,IF(MONTH(Monat.Tag1)=3,February!Monat.MMS.UeVM,IF(MONTH(Monat.Tag1)=4,March!Monat.MMS.UeVM,IF(MONTH(Monat.Tag1)=5,April!Monat.MMS.UeVM,IF(MONTH(Monat.Tag1)=6,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O$10&gt;TODAY(),0,O55), IF(O$10&gt;TODAY(),N56,N56+O55)),"")</f>
        <v>-0.0874999999999999</v>
      </c>
      <c r="P56" s="218" t="n">
        <f aca="true">IF(EB.Anwendung&lt;&gt;"",IF(DAY(P$10)=1,IF(MONTH(Monat.Tag1)=1,ROUND(EB.ÜVMMS,9), IF(MONTH(Monat.Tag1)=2,January!Monat.MMS.UeVM,IF(MONTH(Monat.Tag1)=3,February!Monat.MMS.UeVM,IF(MONTH(Monat.Tag1)=4,March!Monat.MMS.UeVM,IF(MONTH(Monat.Tag1)=5,April!Monat.MMS.UeVM,IF(MONTH(Monat.Tag1)=6,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P$10&gt;TODAY(),0,P55), IF(P$10&gt;TODAY(),O56,O56+P55)),"")</f>
        <v>-0.00694444399999991</v>
      </c>
      <c r="Q56" s="218" t="n">
        <f aca="true">IF(EB.Anwendung&lt;&gt;"",IF(DAY(Q$10)=1,IF(MONTH(Monat.Tag1)=1,ROUND(EB.ÜVMMS,9), IF(MONTH(Monat.Tag1)=2,January!Monat.MMS.UeVM,IF(MONTH(Monat.Tag1)=3,February!Monat.MMS.UeVM,IF(MONTH(Monat.Tag1)=4,March!Monat.MMS.UeVM,IF(MONTH(Monat.Tag1)=5,April!Monat.MMS.UeVM,IF(MONTH(Monat.Tag1)=6,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Q$10&gt;TODAY(),0,Q55), IF(Q$10&gt;TODAY(),P56,P56+Q55)),"")</f>
        <v>0.0875000000000001</v>
      </c>
      <c r="R56" s="218" t="n">
        <f aca="true">IF(EB.Anwendung&lt;&gt;"",IF(DAY(R$10)=1,IF(MONTH(Monat.Tag1)=1,ROUND(EB.ÜVMMS,9), IF(MONTH(Monat.Tag1)=2,January!Monat.MMS.UeVM,IF(MONTH(Monat.Tag1)=3,February!Monat.MMS.UeVM,IF(MONTH(Monat.Tag1)=4,March!Monat.MMS.UeVM,IF(MONTH(Monat.Tag1)=5,April!Monat.MMS.UeVM,IF(MONTH(Monat.Tag1)=6,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R$10&gt;TODAY(),0,R55), IF(R$10&gt;TODAY(),Q56,Q56+R55)),"")</f>
        <v>0.1125</v>
      </c>
      <c r="S56" s="218" t="n">
        <f aca="true">IF(EB.Anwendung&lt;&gt;"",IF(DAY(S$10)=1,IF(MONTH(Monat.Tag1)=1,ROUND(EB.ÜVMMS,9), IF(MONTH(Monat.Tag1)=2,January!Monat.MMS.UeVM,IF(MONTH(Monat.Tag1)=3,February!Monat.MMS.UeVM,IF(MONTH(Monat.Tag1)=4,March!Monat.MMS.UeVM,IF(MONTH(Monat.Tag1)=5,April!Monat.MMS.UeVM,IF(MONTH(Monat.Tag1)=6,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S$10&gt;TODAY(),0,S55), IF(S$10&gt;TODAY(),R56,R56+S55)),"")</f>
        <v>0.179166667</v>
      </c>
      <c r="T56" s="218" t="n">
        <f aca="true">IF(EB.Anwendung&lt;&gt;"",IF(DAY(T$10)=1,IF(MONTH(Monat.Tag1)=1,ROUND(EB.ÜVMMS,9), IF(MONTH(Monat.Tag1)=2,January!Monat.MMS.UeVM,IF(MONTH(Monat.Tag1)=3,February!Monat.MMS.UeVM,IF(MONTH(Monat.Tag1)=4,March!Monat.MMS.UeVM,IF(MONTH(Monat.Tag1)=5,April!Monat.MMS.UeVM,IF(MONTH(Monat.Tag1)=6,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T$10&gt;TODAY(),0,T55), IF(T$10&gt;TODAY(),S56,S56+T55)),"")</f>
        <v>0.179166667</v>
      </c>
      <c r="U56" s="218" t="n">
        <f aca="true">IF(EB.Anwendung&lt;&gt;"",IF(DAY(U$10)=1,IF(MONTH(Monat.Tag1)=1,ROUND(EB.ÜVMMS,9), IF(MONTH(Monat.Tag1)=2,January!Monat.MMS.UeVM,IF(MONTH(Monat.Tag1)=3,February!Monat.MMS.UeVM,IF(MONTH(Monat.Tag1)=4,March!Monat.MMS.UeVM,IF(MONTH(Monat.Tag1)=5,April!Monat.MMS.UeVM,IF(MONTH(Monat.Tag1)=6,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U$10&gt;TODAY(),0,U55), IF(U$10&gt;TODAY(),T56,T56+U55)),"")</f>
        <v>0.179166667</v>
      </c>
      <c r="V56" s="218" t="n">
        <f aca="true">IF(EB.Anwendung&lt;&gt;"",IF(DAY(V$10)=1,IF(MONTH(Monat.Tag1)=1,ROUND(EB.ÜVMMS,9), IF(MONTH(Monat.Tag1)=2,January!Monat.MMS.UeVM,IF(MONTH(Monat.Tag1)=3,February!Monat.MMS.UeVM,IF(MONTH(Monat.Tag1)=4,March!Monat.MMS.UeVM,IF(MONTH(Monat.Tag1)=5,April!Monat.MMS.UeVM,IF(MONTH(Monat.Tag1)=6,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V$10&gt;TODAY(),0,V55), IF(V$10&gt;TODAY(),U56,U56+V55)),"")</f>
        <v>-0.119444444</v>
      </c>
      <c r="W56" s="218" t="n">
        <f aca="true">IF(EB.Anwendung&lt;&gt;"",IF(DAY(W$10)=1,IF(MONTH(Monat.Tag1)=1,ROUND(EB.ÜVMMS,9), IF(MONTH(Monat.Tag1)=2,January!Monat.MMS.UeVM,IF(MONTH(Monat.Tag1)=3,February!Monat.MMS.UeVM,IF(MONTH(Monat.Tag1)=4,March!Monat.MMS.UeVM,IF(MONTH(Monat.Tag1)=5,April!Monat.MMS.UeVM,IF(MONTH(Monat.Tag1)=6,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W$10&gt;TODAY(),0,W55), IF(W$10&gt;TODAY(),V56,V56+W55)),"")</f>
        <v>-0.768055555</v>
      </c>
      <c r="X56" s="218" t="n">
        <f aca="true">IF(EB.Anwendung&lt;&gt;"",IF(DAY(X$10)=1,IF(MONTH(Monat.Tag1)=1,ROUND(EB.ÜVMMS,9), IF(MONTH(Monat.Tag1)=2,January!Monat.MMS.UeVM,IF(MONTH(Monat.Tag1)=3,February!Monat.MMS.UeVM,IF(MONTH(Monat.Tag1)=4,March!Monat.MMS.UeVM,IF(MONTH(Monat.Tag1)=5,April!Monat.MMS.UeVM,IF(MONTH(Monat.Tag1)=6,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X$10&gt;TODAY(),0,X55), IF(X$10&gt;TODAY(),W56,W56+X55)),"")</f>
        <v>-0.768055555</v>
      </c>
      <c r="Y56" s="218" t="n">
        <f aca="true">IF(EB.Anwendung&lt;&gt;"",IF(DAY(Y$10)=1,IF(MONTH(Monat.Tag1)=1,ROUND(EB.ÜVMMS,9), IF(MONTH(Monat.Tag1)=2,January!Monat.MMS.UeVM,IF(MONTH(Monat.Tag1)=3,February!Monat.MMS.UeVM,IF(MONTH(Monat.Tag1)=4,March!Monat.MMS.UeVM,IF(MONTH(Monat.Tag1)=5,April!Monat.MMS.UeVM,IF(MONTH(Monat.Tag1)=6,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Y$10&gt;TODAY(),0,Y55), IF(Y$10&gt;TODAY(),X56,X56+Y55)),"")</f>
        <v>-0.768055555</v>
      </c>
      <c r="Z56" s="218" t="n">
        <f aca="true">IF(EB.Anwendung&lt;&gt;"",IF(DAY(Z$10)=1,IF(MONTH(Monat.Tag1)=1,ROUND(EB.ÜVMMS,9), IF(MONTH(Monat.Tag1)=2,January!Monat.MMS.UeVM,IF(MONTH(Monat.Tag1)=3,February!Monat.MMS.UeVM,IF(MONTH(Monat.Tag1)=4,March!Monat.MMS.UeVM,IF(MONTH(Monat.Tag1)=5,April!Monat.MMS.UeVM,IF(MONTH(Monat.Tag1)=6,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Z$10&gt;TODAY(),0,Z55), IF(Z$10&gt;TODAY(),Y56,Y56+Z55)),"")</f>
        <v>-0.768055555</v>
      </c>
      <c r="AA56" s="218" t="n">
        <f aca="true">IF(EB.Anwendung&lt;&gt;"",IF(DAY(AA$10)=1,IF(MONTH(Monat.Tag1)=1,ROUND(EB.ÜVMMS,9), IF(MONTH(Monat.Tag1)=2,January!Monat.MMS.UeVM,IF(MONTH(Monat.Tag1)=3,February!Monat.MMS.UeVM,IF(MONTH(Monat.Tag1)=4,March!Monat.MMS.UeVM,IF(MONTH(Monat.Tag1)=5,April!Monat.MMS.UeVM,IF(MONTH(Monat.Tag1)=6,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AA$10&gt;TODAY(),0,AA55), IF(AA$10&gt;TODAY(),Z56,Z56+AA55)),"")</f>
        <v>-0.768055555</v>
      </c>
      <c r="AB56" s="218" t="n">
        <f aca="true">IF(EB.Anwendung&lt;&gt;"",IF(DAY(AB$10)=1,IF(MONTH(Monat.Tag1)=1,ROUND(EB.ÜVMMS,9), IF(MONTH(Monat.Tag1)=2,January!Monat.MMS.UeVM,IF(MONTH(Monat.Tag1)=3,February!Monat.MMS.UeVM,IF(MONTH(Monat.Tag1)=4,March!Monat.MMS.UeVM,IF(MONTH(Monat.Tag1)=5,April!Monat.MMS.UeVM,IF(MONTH(Monat.Tag1)=6,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AB$10&gt;TODAY(),0,AB55), IF(AB$10&gt;TODAY(),AA56,AA56+AB55)),"")</f>
        <v>-0.768055555</v>
      </c>
      <c r="AC56" s="218" t="n">
        <f aca="true">IF(EB.Anwendung&lt;&gt;"",IF(DAY(AC$10)=1,IF(MONTH(Monat.Tag1)=1,ROUND(EB.ÜVMMS,9), IF(MONTH(Monat.Tag1)=2,January!Monat.MMS.UeVM,IF(MONTH(Monat.Tag1)=3,February!Monat.MMS.UeVM,IF(MONTH(Monat.Tag1)=4,March!Monat.MMS.UeVM,IF(MONTH(Monat.Tag1)=5,April!Monat.MMS.UeVM,IF(MONTH(Monat.Tag1)=6,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AC$10&gt;TODAY(),0,AC55), IF(AC$10&gt;TODAY(),AB56,AB56+AC55)),"")</f>
        <v>-0.768055555</v>
      </c>
      <c r="AD56" s="218" t="n">
        <f aca="true">IF(EB.Anwendung&lt;&gt;"",IF(DAY(AD$10)=1,IF(MONTH(Monat.Tag1)=1,ROUND(EB.ÜVMMS,9), IF(MONTH(Monat.Tag1)=2,January!Monat.MMS.UeVM,IF(MONTH(Monat.Tag1)=3,February!Monat.MMS.UeVM,IF(MONTH(Monat.Tag1)=4,March!Monat.MMS.UeVM,IF(MONTH(Monat.Tag1)=5,April!Monat.MMS.UeVM,IF(MONTH(Monat.Tag1)=6,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AD$10&gt;TODAY(),0,AD55), IF(AD$10&gt;TODAY(),AC56,AC56+AD55)),"")</f>
        <v>-0.768055555</v>
      </c>
      <c r="AE56" s="218" t="n">
        <f aca="true">IF(EB.Anwendung&lt;&gt;"",IF(DAY(AE$10)=1,IF(MONTH(Monat.Tag1)=1,ROUND(EB.ÜVMMS,9), IF(MONTH(Monat.Tag1)=2,January!Monat.MMS.UeVM,IF(MONTH(Monat.Tag1)=3,February!Monat.MMS.UeVM,IF(MONTH(Monat.Tag1)=4,March!Monat.MMS.UeVM,IF(MONTH(Monat.Tag1)=5,April!Monat.MMS.UeVM,IF(MONTH(Monat.Tag1)=6,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AE$10&gt;TODAY(),0,AE55), IF(AE$10&gt;TODAY(),AD56,AD56+AE55)),"")</f>
        <v>-0.768055555</v>
      </c>
      <c r="AF56" s="218" t="n">
        <f aca="true">IF(EB.Anwendung&lt;&gt;"",IF(DAY(AF$10)=1,IF(MONTH(Monat.Tag1)=1,ROUND(EB.ÜVMMS,9), IF(MONTH(Monat.Tag1)=2,January!Monat.MMS.UeVM,IF(MONTH(Monat.Tag1)=3,February!Monat.MMS.UeVM,IF(MONTH(Monat.Tag1)=4,March!Monat.MMS.UeVM,IF(MONTH(Monat.Tag1)=5,April!Monat.MMS.UeVM,IF(MONTH(Monat.Tag1)=6,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+IF(AF$10&gt;TODAY(),0,AF55), IF(AF$10&gt;TODAY(),AE56,AE56+AF55)),"")</f>
        <v>-0.768055555</v>
      </c>
      <c r="AG56" s="168" t="str">
        <f aca="false">A56</f>
        <v>current extra/minus hours</v>
      </c>
      <c r="AH56" s="184"/>
      <c r="AI56" s="207" t="n">
        <f aca="true">OFFSET(B56,0,DAY(EOMONTH(Monat.Tag1,0))-1,1,1)</f>
        <v>-0.768055555</v>
      </c>
      <c r="AJ56" s="180"/>
      <c r="AK56" s="172"/>
      <c r="AL56" s="172"/>
      <c r="AM56" s="172"/>
      <c r="AN56" s="171"/>
      <c r="AO56" s="172"/>
      <c r="AP56" s="172"/>
      <c r="AQ56" s="39"/>
    </row>
    <row r="57" s="231" customFormat="true" ht="15" hidden="false" customHeight="true" outlineLevel="1" collapsed="false">
      <c r="A57" s="219"/>
      <c r="B57" s="220"/>
      <c r="C57" s="220"/>
      <c r="D57" s="220"/>
      <c r="E57" s="152"/>
      <c r="F57" s="220"/>
      <c r="G57" s="220"/>
      <c r="H57" s="221"/>
      <c r="I57" s="220"/>
      <c r="J57" s="222"/>
      <c r="K57" s="220"/>
      <c r="L57" s="223"/>
      <c r="M57" s="220"/>
      <c r="N57" s="220"/>
      <c r="O57" s="221"/>
      <c r="P57" s="220"/>
      <c r="Q57" s="152"/>
      <c r="R57" s="220"/>
      <c r="S57" s="223"/>
      <c r="T57" s="220"/>
      <c r="U57" s="220"/>
      <c r="V57" s="221"/>
      <c r="W57" s="220"/>
      <c r="X57" s="224"/>
      <c r="Y57" s="220"/>
      <c r="Z57" s="152"/>
      <c r="AA57" s="220"/>
      <c r="AB57" s="220"/>
      <c r="AC57" s="221"/>
      <c r="AD57" s="220"/>
      <c r="AE57" s="152"/>
      <c r="AF57" s="225"/>
      <c r="AG57" s="175" t="s">
        <v>145</v>
      </c>
      <c r="AH57" s="226" t="s">
        <v>146</v>
      </c>
      <c r="AI57" s="227"/>
      <c r="AJ57" s="228"/>
      <c r="AK57" s="229"/>
      <c r="AL57" s="172"/>
      <c r="AM57" s="172"/>
      <c r="AN57" s="171"/>
      <c r="AO57" s="230"/>
      <c r="AP57" s="230"/>
      <c r="AQ57" s="96"/>
    </row>
    <row r="58" s="236" customFormat="true" ht="15" hidden="false" customHeight="true" outlineLevel="0" collapsed="false">
      <c r="A58" s="232"/>
      <c r="B58" s="223"/>
      <c r="C58" s="223"/>
      <c r="D58" s="223"/>
      <c r="E58" s="152"/>
      <c r="F58" s="223"/>
      <c r="G58" s="223"/>
      <c r="H58" s="223"/>
      <c r="I58" s="223"/>
      <c r="J58" s="152"/>
      <c r="K58" s="223"/>
      <c r="L58" s="223"/>
      <c r="M58" s="223"/>
      <c r="N58" s="223"/>
      <c r="O58" s="223"/>
      <c r="P58" s="223"/>
      <c r="Q58" s="152"/>
      <c r="R58" s="223"/>
      <c r="S58" s="223"/>
      <c r="T58" s="223"/>
      <c r="U58" s="223"/>
      <c r="V58" s="223"/>
      <c r="W58" s="223"/>
      <c r="X58" s="224"/>
      <c r="Y58" s="223"/>
      <c r="Z58" s="152"/>
      <c r="AA58" s="223"/>
      <c r="AB58" s="223"/>
      <c r="AC58" s="223"/>
      <c r="AD58" s="223"/>
      <c r="AE58" s="152"/>
      <c r="AF58" s="233"/>
      <c r="AG58" s="234" t="s">
        <v>147</v>
      </c>
      <c r="AH58" s="184"/>
      <c r="AI58" s="207" t="n">
        <f aca="false">IF(AH57="+",(Monat.ZUeZ.Total+AI57),(Monat.ZUeZ.Total-AI57))</f>
        <v>-0.768055555</v>
      </c>
      <c r="AJ58" s="33"/>
      <c r="AK58" s="235"/>
      <c r="AL58" s="216" t="n">
        <f aca="false">IF(EB.Anwendung&lt;&gt;"",IF(MONTH(Monat.Tag1)=1,EB.MMS,IF(MONTH(Monat.Tag1)=2,January!Monat.MMS.UeVM,IF(MONTH(Monat.Tag1)=3,February!Monat.MMS.UeVM,IF(MONTH(Monat.Tag1)=4,March!Monat.MMS.UeVM,IF(MONTH(Monat.Tag1)=5,April!Monat.MMS.UeVM,IF(MONTH(Monat.Tag1)=6,Monat.MMS.UeVM,IF(MONTH(Monat.Tag1)=7,June!Monat.MMS.UeVM,IF(MONTH(Monat.Tag1)=8,July!Monat.MMS.UeVM,IF(MONTH(Monat.Tag1)=9,August!Monat.MMS.UeVM,IF(MONTH(Monat.Tag1)=10,September!Monat.MMS.UeVM,IF(MONTH(Monat.Tag1)=11,October!Monat.MMS.UeVM,IF(MONTH(Monat.Tag1)=12,November!Monat.MMS.UeVM,"")))))))))))),"")</f>
        <v>-0.0749999999999999</v>
      </c>
      <c r="AM58" s="172"/>
      <c r="AN58" s="217" t="n">
        <f aca="false">AI58</f>
        <v>-0.768055555</v>
      </c>
      <c r="AO58" s="172"/>
      <c r="AP58" s="172"/>
      <c r="AQ58" s="51"/>
    </row>
    <row r="59" s="148" customFormat="true" ht="11.25" hidden="false" customHeight="true" outlineLevel="0" collapsed="false">
      <c r="A59" s="186"/>
      <c r="B59" s="187"/>
      <c r="C59" s="187"/>
      <c r="D59" s="187"/>
      <c r="E59" s="187"/>
      <c r="F59" s="187"/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  <c r="U59" s="187"/>
      <c r="V59" s="187"/>
      <c r="W59" s="187"/>
      <c r="X59" s="187"/>
      <c r="Y59" s="187"/>
      <c r="Z59" s="187"/>
      <c r="AA59" s="187"/>
      <c r="AB59" s="187"/>
      <c r="AC59" s="187"/>
      <c r="AD59" s="187"/>
      <c r="AE59" s="187"/>
      <c r="AF59" s="188"/>
      <c r="AG59" s="168"/>
      <c r="AH59" s="146"/>
      <c r="AI59" s="179"/>
      <c r="AJ59" s="180"/>
      <c r="AK59" s="172"/>
      <c r="AL59" s="172"/>
      <c r="AM59" s="172"/>
      <c r="AN59" s="171"/>
      <c r="AO59" s="172"/>
      <c r="AP59" s="172"/>
      <c r="AQ59" s="39"/>
    </row>
    <row r="60" s="148" customFormat="true" ht="15" hidden="false" customHeight="true" outlineLevel="0" collapsed="false">
      <c r="A60" s="175" t="s">
        <v>148</v>
      </c>
      <c r="B60" s="237" t="str">
        <f aca="true">IF(EB.Wochenarbeitszeit=50/24,IF(T.50_Vetsuisse,IF(WEEKDAY(B$10,2)=7,MAX(0,SUM(OFFSET(B51,0,-MIN(6,DAY(B$10)-1),1,MIN(7,DAY(B$10))))+IF(AND(MONTH(Monat.Tag1)&lt;&gt;1,DAY(B$10)&lt;7), IF(MONTH(Monat.Tag1)=2,January!Monat.AZIstWRestUeVM,IF(MONTH(Monat.Tag1)=3,February!Monat.AZIstWRestUeVM,IF(MONTH(Monat.Tag1)=4,March!Monat.AZIstWRestUeVM,IF(MONTH(Monat.Tag1)=5,April!Monat.AZIstWRestUeVM,IF(MONTH(Monat.Tag1)=6,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-1/24*50),""),""),IF(B45=0,"",B45))</f>
        <v/>
      </c>
      <c r="C60" s="237" t="str">
        <f aca="true">IF(EB.Wochenarbeitszeit=50/24,IF(T.50_Vetsuisse,IF(WEEKDAY(C$10,2)=7,MAX(0,SUM(OFFSET(C51,0,-MIN(6,DAY(C$10)-1),1,MIN(7,DAY(C$10))))+IF(AND(MONTH(Monat.Tag1)&lt;&gt;1,DAY(C$10)&lt;7), IF(MONTH(Monat.Tag1)=2,January!Monat.AZIstWRestUeVM,IF(MONTH(Monat.Tag1)=3,February!Monat.AZIstWRestUeVM,IF(MONTH(Monat.Tag1)=4,March!Monat.AZIstWRestUeVM,IF(MONTH(Monat.Tag1)=5,April!Monat.AZIstWRestUeVM,IF(MONTH(Monat.Tag1)=6,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-1/24*50),""),""),IF(C45=0,"",C45))</f>
        <v/>
      </c>
      <c r="D60" s="237" t="str">
        <f aca="true">IF(EB.Wochenarbeitszeit=50/24,IF(T.50_Vetsuisse,IF(WEEKDAY(D$10,2)=7,MAX(0,SUM(OFFSET(D51,0,-MIN(6,DAY(D$10)-1),1,MIN(7,DAY(D$10))))+IF(AND(MONTH(Monat.Tag1)&lt;&gt;1,DAY(D$10)&lt;7), IF(MONTH(Monat.Tag1)=2,January!Monat.AZIstWRestUeVM,IF(MONTH(Monat.Tag1)=3,February!Monat.AZIstWRestUeVM,IF(MONTH(Monat.Tag1)=4,March!Monat.AZIstWRestUeVM,IF(MONTH(Monat.Tag1)=5,April!Monat.AZIstWRestUeVM,IF(MONTH(Monat.Tag1)=6,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-1/24*50),""),""),IF(D45=0,"",D45))</f>
        <v/>
      </c>
      <c r="E60" s="238" t="str">
        <f aca="true">IF(EB.Wochenarbeitszeit=50/24,IF(T.50_Vetsuisse,IF(WEEKDAY(E$10,2)=7,MAX(0,SUM(OFFSET(E51,0,-MIN(6,DAY(E$10)-1),1,MIN(7,DAY(E$10))))+IF(AND(MONTH(Monat.Tag1)&lt;&gt;1,DAY(E$10)&lt;7), IF(MONTH(Monat.Tag1)=2,January!Monat.AZIstWRestUeVM,IF(MONTH(Monat.Tag1)=3,February!Monat.AZIstWRestUeVM,IF(MONTH(Monat.Tag1)=4,March!Monat.AZIstWRestUeVM,IF(MONTH(Monat.Tag1)=5,April!Monat.AZIstWRestUeVM,IF(MONTH(Monat.Tag1)=6,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-1/24*50),""),""),IF(E45=0,"",E45))</f>
        <v/>
      </c>
      <c r="F60" s="237" t="str">
        <f aca="true">IF(EB.Wochenarbeitszeit=50/24,IF(T.50_Vetsuisse,IF(WEEKDAY(F$10,2)=7,MAX(0,SUM(OFFSET(F51,0,-MIN(6,DAY(F$10)-1),1,MIN(7,DAY(F$10))))+IF(AND(MONTH(Monat.Tag1)&lt;&gt;1,DAY(F$10)&lt;7), IF(MONTH(Monat.Tag1)=2,January!Monat.AZIstWRestUeVM,IF(MONTH(Monat.Tag1)=3,February!Monat.AZIstWRestUeVM,IF(MONTH(Monat.Tag1)=4,March!Monat.AZIstWRestUeVM,IF(MONTH(Monat.Tag1)=5,April!Monat.AZIstWRestUeVM,IF(MONTH(Monat.Tag1)=6,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-1/24*50),""),""),IF(F45=0,"",F45))</f>
        <v/>
      </c>
      <c r="G60" s="237" t="str">
        <f aca="true">IF(EB.Wochenarbeitszeit=50/24,IF(T.50_Vetsuisse,IF(WEEKDAY(G$10,2)=7,MAX(0,SUM(OFFSET(G51,0,-MIN(6,DAY(G$10)-1),1,MIN(7,DAY(G$10))))+IF(AND(MONTH(Monat.Tag1)&lt;&gt;1,DAY(G$10)&lt;7), IF(MONTH(Monat.Tag1)=2,January!Monat.AZIstWRestUeVM,IF(MONTH(Monat.Tag1)=3,February!Monat.AZIstWRestUeVM,IF(MONTH(Monat.Tag1)=4,March!Monat.AZIstWRestUeVM,IF(MONTH(Monat.Tag1)=5,April!Monat.AZIstWRestUeVM,IF(MONTH(Monat.Tag1)=6,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-1/24*50),""),""),IF(G45=0,"",G45))</f>
        <v/>
      </c>
      <c r="H60" s="237" t="str">
        <f aca="true">IF(EB.Wochenarbeitszeit=50/24,IF(T.50_Vetsuisse,IF(WEEKDAY(H$10,2)=7,MAX(0,SUM(OFFSET(H51,0,-MIN(6,DAY(H$10)-1),1,MIN(7,DAY(H$10))))+IF(AND(MONTH(Monat.Tag1)&lt;&gt;1,DAY(H$10)&lt;7), IF(MONTH(Monat.Tag1)=2,January!Monat.AZIstWRestUeVM,IF(MONTH(Monat.Tag1)=3,February!Monat.AZIstWRestUeVM,IF(MONTH(Monat.Tag1)=4,March!Monat.AZIstWRestUeVM,IF(MONTH(Monat.Tag1)=5,April!Monat.AZIstWRestUeVM,IF(MONTH(Monat.Tag1)=6,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-1/24*50),""),""),IF(H45=0,"",H45))</f>
        <v/>
      </c>
      <c r="I60" s="237" t="str">
        <f aca="true">IF(EB.Wochenarbeitszeit=50/24,IF(T.50_Vetsuisse,IF(WEEKDAY(I$10,2)=7,MAX(0,SUM(OFFSET(I51,0,-MIN(6,DAY(I$10)-1),1,MIN(7,DAY(I$10))))+IF(AND(MONTH(Monat.Tag1)&lt;&gt;1,DAY(I$10)&lt;7), IF(MONTH(Monat.Tag1)=2,January!Monat.AZIstWRestUeVM,IF(MONTH(Monat.Tag1)=3,February!Monat.AZIstWRestUeVM,IF(MONTH(Monat.Tag1)=4,March!Monat.AZIstWRestUeVM,IF(MONTH(Monat.Tag1)=5,April!Monat.AZIstWRestUeVM,IF(MONTH(Monat.Tag1)=6,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-1/24*50),""),""),IF(I45=0,"",I45))</f>
        <v/>
      </c>
      <c r="J60" s="238" t="str">
        <f aca="true">IF(EB.Wochenarbeitszeit=50/24,IF(T.50_Vetsuisse,IF(WEEKDAY(J$10,2)=7,MAX(0,SUM(OFFSET(J51,0,-MIN(6,DAY(J$10)-1),1,MIN(7,DAY(J$10))))+IF(AND(MONTH(Monat.Tag1)&lt;&gt;1,DAY(J$10)&lt;7), IF(MONTH(Monat.Tag1)=2,January!Monat.AZIstWRestUeVM,IF(MONTH(Monat.Tag1)=3,February!Monat.AZIstWRestUeVM,IF(MONTH(Monat.Tag1)=4,March!Monat.AZIstWRestUeVM,IF(MONTH(Monat.Tag1)=5,April!Monat.AZIstWRestUeVM,IF(MONTH(Monat.Tag1)=6,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-1/24*50),""),""),IF(J45=0,"",J45))</f>
        <v/>
      </c>
      <c r="K60" s="237" t="str">
        <f aca="true">IF(EB.Wochenarbeitszeit=50/24,IF(T.50_Vetsuisse,IF(WEEKDAY(K$10,2)=7,MAX(0,SUM(OFFSET(K51,0,-MIN(6,DAY(K$10)-1),1,MIN(7,DAY(K$10))))+IF(AND(MONTH(Monat.Tag1)&lt;&gt;1,DAY(K$10)&lt;7), IF(MONTH(Monat.Tag1)=2,January!Monat.AZIstWRestUeVM,IF(MONTH(Monat.Tag1)=3,February!Monat.AZIstWRestUeVM,IF(MONTH(Monat.Tag1)=4,March!Monat.AZIstWRestUeVM,IF(MONTH(Monat.Tag1)=5,April!Monat.AZIstWRestUeVM,IF(MONTH(Monat.Tag1)=6,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-1/24*50),""),""),IF(K45=0,"",K45))</f>
        <v/>
      </c>
      <c r="L60" s="238" t="str">
        <f aca="true">IF(EB.Wochenarbeitszeit=50/24,IF(T.50_Vetsuisse,IF(WEEKDAY(L$10,2)=7,MAX(0,SUM(OFFSET(L51,0,-MIN(6,DAY(L$10)-1),1,MIN(7,DAY(L$10))))+IF(AND(MONTH(Monat.Tag1)&lt;&gt;1,DAY(L$10)&lt;7), IF(MONTH(Monat.Tag1)=2,January!Monat.AZIstWRestUeVM,IF(MONTH(Monat.Tag1)=3,February!Monat.AZIstWRestUeVM,IF(MONTH(Monat.Tag1)=4,March!Monat.AZIstWRestUeVM,IF(MONTH(Monat.Tag1)=5,April!Monat.AZIstWRestUeVM,IF(MONTH(Monat.Tag1)=6,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-1/24*50),""),""),IF(L45=0,"",L45))</f>
        <v/>
      </c>
      <c r="M60" s="237" t="str">
        <f aca="true">IF(EB.Wochenarbeitszeit=50/24,IF(T.50_Vetsuisse,IF(WEEKDAY(M$10,2)=7,MAX(0,SUM(OFFSET(M51,0,-MIN(6,DAY(M$10)-1),1,MIN(7,DAY(M$10))))+IF(AND(MONTH(Monat.Tag1)&lt;&gt;1,DAY(M$10)&lt;7), IF(MONTH(Monat.Tag1)=2,January!Monat.AZIstWRestUeVM,IF(MONTH(Monat.Tag1)=3,February!Monat.AZIstWRestUeVM,IF(MONTH(Monat.Tag1)=4,March!Monat.AZIstWRestUeVM,IF(MONTH(Monat.Tag1)=5,April!Monat.AZIstWRestUeVM,IF(MONTH(Monat.Tag1)=6,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-1/24*50),""),""),IF(M45=0,"",M45))</f>
        <v/>
      </c>
      <c r="N60" s="237" t="str">
        <f aca="true">IF(EB.Wochenarbeitszeit=50/24,IF(T.50_Vetsuisse,IF(WEEKDAY(N$10,2)=7,MAX(0,SUM(OFFSET(N51,0,-MIN(6,DAY(N$10)-1),1,MIN(7,DAY(N$10))))+IF(AND(MONTH(Monat.Tag1)&lt;&gt;1,DAY(N$10)&lt;7), IF(MONTH(Monat.Tag1)=2,January!Monat.AZIstWRestUeVM,IF(MONTH(Monat.Tag1)=3,February!Monat.AZIstWRestUeVM,IF(MONTH(Monat.Tag1)=4,March!Monat.AZIstWRestUeVM,IF(MONTH(Monat.Tag1)=5,April!Monat.AZIstWRestUeVM,IF(MONTH(Monat.Tag1)=6,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-1/24*50),""),""),IF(N45=0,"",N45))</f>
        <v/>
      </c>
      <c r="O60" s="237" t="str">
        <f aca="true">IF(EB.Wochenarbeitszeit=50/24,IF(T.50_Vetsuisse,IF(WEEKDAY(O$10,2)=7,MAX(0,SUM(OFFSET(O51,0,-MIN(6,DAY(O$10)-1),1,MIN(7,DAY(O$10))))+IF(AND(MONTH(Monat.Tag1)&lt;&gt;1,DAY(O$10)&lt;7), IF(MONTH(Monat.Tag1)=2,January!Monat.AZIstWRestUeVM,IF(MONTH(Monat.Tag1)=3,February!Monat.AZIstWRestUeVM,IF(MONTH(Monat.Tag1)=4,March!Monat.AZIstWRestUeVM,IF(MONTH(Monat.Tag1)=5,April!Monat.AZIstWRestUeVM,IF(MONTH(Monat.Tag1)=6,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-1/24*50),""),""),IF(O45=0,"",O45))</f>
        <v/>
      </c>
      <c r="P60" s="237" t="str">
        <f aca="true">IF(EB.Wochenarbeitszeit=50/24,IF(T.50_Vetsuisse,IF(WEEKDAY(P$10,2)=7,MAX(0,SUM(OFFSET(P51,0,-MIN(6,DAY(P$10)-1),1,MIN(7,DAY(P$10))))+IF(AND(MONTH(Monat.Tag1)&lt;&gt;1,DAY(P$10)&lt;7), IF(MONTH(Monat.Tag1)=2,January!Monat.AZIstWRestUeVM,IF(MONTH(Monat.Tag1)=3,February!Monat.AZIstWRestUeVM,IF(MONTH(Monat.Tag1)=4,March!Monat.AZIstWRestUeVM,IF(MONTH(Monat.Tag1)=5,April!Monat.AZIstWRestUeVM,IF(MONTH(Monat.Tag1)=6,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-1/24*50),""),""),IF(P45=0,"",P45))</f>
        <v/>
      </c>
      <c r="Q60" s="238" t="str">
        <f aca="true">IF(EB.Wochenarbeitszeit=50/24,IF(T.50_Vetsuisse,IF(WEEKDAY(Q$10,2)=7,MAX(0,SUM(OFFSET(Q51,0,-MIN(6,DAY(Q$10)-1),1,MIN(7,DAY(Q$10))))+IF(AND(MONTH(Monat.Tag1)&lt;&gt;1,DAY(Q$10)&lt;7), IF(MONTH(Monat.Tag1)=2,January!Monat.AZIstWRestUeVM,IF(MONTH(Monat.Tag1)=3,February!Monat.AZIstWRestUeVM,IF(MONTH(Monat.Tag1)=4,March!Monat.AZIstWRestUeVM,IF(MONTH(Monat.Tag1)=5,April!Monat.AZIstWRestUeVM,IF(MONTH(Monat.Tag1)=6,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-1/24*50),""),""),IF(Q45=0,"",Q45))</f>
        <v/>
      </c>
      <c r="R60" s="237" t="str">
        <f aca="true">IF(EB.Wochenarbeitszeit=50/24,IF(T.50_Vetsuisse,IF(WEEKDAY(R$10,2)=7,MAX(0,SUM(OFFSET(R51,0,-MIN(6,DAY(R$10)-1),1,MIN(7,DAY(R$10))))+IF(AND(MONTH(Monat.Tag1)&lt;&gt;1,DAY(R$10)&lt;7), IF(MONTH(Monat.Tag1)=2,January!Monat.AZIstWRestUeVM,IF(MONTH(Monat.Tag1)=3,February!Monat.AZIstWRestUeVM,IF(MONTH(Monat.Tag1)=4,March!Monat.AZIstWRestUeVM,IF(MONTH(Monat.Tag1)=5,April!Monat.AZIstWRestUeVM,IF(MONTH(Monat.Tag1)=6,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-1/24*50),""),""),IF(R45=0,"",R45))</f>
        <v/>
      </c>
      <c r="S60" s="238" t="str">
        <f aca="true">IF(EB.Wochenarbeitszeit=50/24,IF(T.50_Vetsuisse,IF(WEEKDAY(S$10,2)=7,MAX(0,SUM(OFFSET(S51,0,-MIN(6,DAY(S$10)-1),1,MIN(7,DAY(S$10))))+IF(AND(MONTH(Monat.Tag1)&lt;&gt;1,DAY(S$10)&lt;7), IF(MONTH(Monat.Tag1)=2,January!Monat.AZIstWRestUeVM,IF(MONTH(Monat.Tag1)=3,February!Monat.AZIstWRestUeVM,IF(MONTH(Monat.Tag1)=4,March!Monat.AZIstWRestUeVM,IF(MONTH(Monat.Tag1)=5,April!Monat.AZIstWRestUeVM,IF(MONTH(Monat.Tag1)=6,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-1/24*50),""),""),IF(S45=0,"",S45))</f>
        <v/>
      </c>
      <c r="T60" s="238" t="str">
        <f aca="true">IF(EB.Wochenarbeitszeit=50/24,IF(T.50_Vetsuisse,IF(WEEKDAY(T$10,2)=7,MAX(0,SUM(OFFSET(T51,0,-MIN(6,DAY(T$10)-1),1,MIN(7,DAY(T$10))))+IF(AND(MONTH(Monat.Tag1)&lt;&gt;1,DAY(T$10)&lt;7), IF(MONTH(Monat.Tag1)=2,January!Monat.AZIstWRestUeVM,IF(MONTH(Monat.Tag1)=3,February!Monat.AZIstWRestUeVM,IF(MONTH(Monat.Tag1)=4,March!Monat.AZIstWRestUeVM,IF(MONTH(Monat.Tag1)=5,April!Monat.AZIstWRestUeVM,IF(MONTH(Monat.Tag1)=6,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-1/24*50),""),""),IF(T45=0,"",T45))</f>
        <v/>
      </c>
      <c r="U60" s="237" t="str">
        <f aca="true">IF(EB.Wochenarbeitszeit=50/24,IF(T.50_Vetsuisse,IF(WEEKDAY(U$10,2)=7,MAX(0,SUM(OFFSET(U51,0,-MIN(6,DAY(U$10)-1),1,MIN(7,DAY(U$10))))+IF(AND(MONTH(Monat.Tag1)&lt;&gt;1,DAY(U$10)&lt;7), IF(MONTH(Monat.Tag1)=2,January!Monat.AZIstWRestUeVM,IF(MONTH(Monat.Tag1)=3,February!Monat.AZIstWRestUeVM,IF(MONTH(Monat.Tag1)=4,March!Monat.AZIstWRestUeVM,IF(MONTH(Monat.Tag1)=5,April!Monat.AZIstWRestUeVM,IF(MONTH(Monat.Tag1)=6,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-1/24*50),""),""),IF(U45=0,"",U45))</f>
        <v/>
      </c>
      <c r="V60" s="237" t="str">
        <f aca="true">IF(EB.Wochenarbeitszeit=50/24,IF(T.50_Vetsuisse,IF(WEEKDAY(V$10,2)=7,MAX(0,SUM(OFFSET(V51,0,-MIN(6,DAY(V$10)-1),1,MIN(7,DAY(V$10))))+IF(AND(MONTH(Monat.Tag1)&lt;&gt;1,DAY(V$10)&lt;7), IF(MONTH(Monat.Tag1)=2,January!Monat.AZIstWRestUeVM,IF(MONTH(Monat.Tag1)=3,February!Monat.AZIstWRestUeVM,IF(MONTH(Monat.Tag1)=4,March!Monat.AZIstWRestUeVM,IF(MONTH(Monat.Tag1)=5,April!Monat.AZIstWRestUeVM,IF(MONTH(Monat.Tag1)=6,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-1/24*50),""),""),IF(V45=0,"",V45))</f>
        <v/>
      </c>
      <c r="W60" s="237" t="str">
        <f aca="true">IF(EB.Wochenarbeitszeit=50/24,IF(T.50_Vetsuisse,IF(WEEKDAY(W$10,2)=7,MAX(0,SUM(OFFSET(W51,0,-MIN(6,DAY(W$10)-1),1,MIN(7,DAY(W$10))))+IF(AND(MONTH(Monat.Tag1)&lt;&gt;1,DAY(W$10)&lt;7), IF(MONTH(Monat.Tag1)=2,January!Monat.AZIstWRestUeVM,IF(MONTH(Monat.Tag1)=3,February!Monat.AZIstWRestUeVM,IF(MONTH(Monat.Tag1)=4,March!Monat.AZIstWRestUeVM,IF(MONTH(Monat.Tag1)=5,April!Monat.AZIstWRestUeVM,IF(MONTH(Monat.Tag1)=6,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-1/24*50),""),""),IF(W45=0,"",W45))</f>
        <v/>
      </c>
      <c r="X60" s="238" t="str">
        <f aca="true">IF(EB.Wochenarbeitszeit=50/24,IF(T.50_Vetsuisse,IF(WEEKDAY(X$10,2)=7,MAX(0,SUM(OFFSET(X51,0,-MIN(6,DAY(X$10)-1),1,MIN(7,DAY(X$10))))+IF(AND(MONTH(Monat.Tag1)&lt;&gt;1,DAY(X$10)&lt;7), IF(MONTH(Monat.Tag1)=2,January!Monat.AZIstWRestUeVM,IF(MONTH(Monat.Tag1)=3,February!Monat.AZIstWRestUeVM,IF(MONTH(Monat.Tag1)=4,March!Monat.AZIstWRestUeVM,IF(MONTH(Monat.Tag1)=5,April!Monat.AZIstWRestUeVM,IF(MONTH(Monat.Tag1)=6,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-1/24*50),""),""),IF(X45=0,"",X45))</f>
        <v/>
      </c>
      <c r="Y60" s="237" t="str">
        <f aca="true">IF(EB.Wochenarbeitszeit=50/24,IF(T.50_Vetsuisse,IF(WEEKDAY(Y$10,2)=7,MAX(0,SUM(OFFSET(Y51,0,-MIN(6,DAY(Y$10)-1),1,MIN(7,DAY(Y$10))))+IF(AND(MONTH(Monat.Tag1)&lt;&gt;1,DAY(Y$10)&lt;7), IF(MONTH(Monat.Tag1)=2,January!Monat.AZIstWRestUeVM,IF(MONTH(Monat.Tag1)=3,February!Monat.AZIstWRestUeVM,IF(MONTH(Monat.Tag1)=4,March!Monat.AZIstWRestUeVM,IF(MONTH(Monat.Tag1)=5,April!Monat.AZIstWRestUeVM,IF(MONTH(Monat.Tag1)=6,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-1/24*50),""),""),IF(Y45=0,"",Y45))</f>
        <v/>
      </c>
      <c r="Z60" s="239" t="str">
        <f aca="true">IF(EB.Wochenarbeitszeit=50/24,IF(T.50_Vetsuisse,IF(WEEKDAY(Z$10,2)=7,MAX(0,SUM(OFFSET(Z51,0,-MIN(6,DAY(Z$10)-1),1,MIN(7,DAY(Z$10))))+IF(AND(MONTH(Monat.Tag1)&lt;&gt;1,DAY(Z$10)&lt;7), IF(MONTH(Monat.Tag1)=2,January!Monat.AZIstWRestUeVM,IF(MONTH(Monat.Tag1)=3,February!Monat.AZIstWRestUeVM,IF(MONTH(Monat.Tag1)=4,March!Monat.AZIstWRestUeVM,IF(MONTH(Monat.Tag1)=5,April!Monat.AZIstWRestUeVM,IF(MONTH(Monat.Tag1)=6,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-1/24*50),""),""),IF(Z45=0,"",Z45))</f>
        <v/>
      </c>
      <c r="AA60" s="237" t="str">
        <f aca="true">IF(EB.Wochenarbeitszeit=50/24,IF(T.50_Vetsuisse,IF(WEEKDAY(AA$10,2)=7,MAX(0,SUM(OFFSET(AA51,0,-MIN(6,DAY(AA$10)-1),1,MIN(7,DAY(AA$10))))+IF(AND(MONTH(Monat.Tag1)&lt;&gt;1,DAY(AA$10)&lt;7), IF(MONTH(Monat.Tag1)=2,January!Monat.AZIstWRestUeVM,IF(MONTH(Monat.Tag1)=3,February!Monat.AZIstWRestUeVM,IF(MONTH(Monat.Tag1)=4,March!Monat.AZIstWRestUeVM,IF(MONTH(Monat.Tag1)=5,April!Monat.AZIstWRestUeVM,IF(MONTH(Monat.Tag1)=6,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-1/24*50),""),""),IF(AA45=0,"",AA45))</f>
        <v/>
      </c>
      <c r="AB60" s="237" t="str">
        <f aca="true">IF(EB.Wochenarbeitszeit=50/24,IF(T.50_Vetsuisse,IF(WEEKDAY(AB$10,2)=7,MAX(0,SUM(OFFSET(AB51,0,-MIN(6,DAY(AB$10)-1),1,MIN(7,DAY(AB$10))))+IF(AND(MONTH(Monat.Tag1)&lt;&gt;1,DAY(AB$10)&lt;7), IF(MONTH(Monat.Tag1)=2,January!Monat.AZIstWRestUeVM,IF(MONTH(Monat.Tag1)=3,February!Monat.AZIstWRestUeVM,IF(MONTH(Monat.Tag1)=4,March!Monat.AZIstWRestUeVM,IF(MONTH(Monat.Tag1)=5,April!Monat.AZIstWRestUeVM,IF(MONTH(Monat.Tag1)=6,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-1/24*50),""),""),IF(AB45=0,"",AB45))</f>
        <v/>
      </c>
      <c r="AC60" s="237" t="str">
        <f aca="true">IF(EB.Wochenarbeitszeit=50/24,IF(T.50_Vetsuisse,IF(WEEKDAY(AC$10,2)=7,MAX(0,SUM(OFFSET(AC51,0,-MIN(6,DAY(AC$10)-1),1,MIN(7,DAY(AC$10))))+IF(AND(MONTH(Monat.Tag1)&lt;&gt;1,DAY(AC$10)&lt;7), IF(MONTH(Monat.Tag1)=2,January!Monat.AZIstWRestUeVM,IF(MONTH(Monat.Tag1)=3,February!Monat.AZIstWRestUeVM,IF(MONTH(Monat.Tag1)=4,March!Monat.AZIstWRestUeVM,IF(MONTH(Monat.Tag1)=5,April!Monat.AZIstWRestUeVM,IF(MONTH(Monat.Tag1)=6,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-1/24*50),""),""),IF(AC45=0,"",AC45))</f>
        <v/>
      </c>
      <c r="AD60" s="237" t="str">
        <f aca="true">IF(EB.Wochenarbeitszeit=50/24,IF(T.50_Vetsuisse,IF(WEEKDAY(AD$10,2)=7,MAX(0,SUM(OFFSET(AD51,0,-MIN(6,DAY(AD$10)-1),1,MIN(7,DAY(AD$10))))+IF(AND(MONTH(Monat.Tag1)&lt;&gt;1,DAY(AD$10)&lt;7), IF(MONTH(Monat.Tag1)=2,January!Monat.AZIstWRestUeVM,IF(MONTH(Monat.Tag1)=3,February!Monat.AZIstWRestUeVM,IF(MONTH(Monat.Tag1)=4,March!Monat.AZIstWRestUeVM,IF(MONTH(Monat.Tag1)=5,April!Monat.AZIstWRestUeVM,IF(MONTH(Monat.Tag1)=6,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-1/24*50),""),""),IF(AD45=0,"",AD45))</f>
        <v/>
      </c>
      <c r="AE60" s="238" t="str">
        <f aca="true">IF(EB.Wochenarbeitszeit=50/24,IF(T.50_Vetsuisse,IF(WEEKDAY(AE$10,2)=7,MAX(0,SUM(OFFSET(AE51,0,-MIN(6,DAY(AE$10)-1),1,MIN(7,DAY(AE$10))))+IF(AND(MONTH(Monat.Tag1)&lt;&gt;1,DAY(AE$10)&lt;7), IF(MONTH(Monat.Tag1)=2,January!Monat.AZIstWRestUeVM,IF(MONTH(Monat.Tag1)=3,February!Monat.AZIstWRestUeVM,IF(MONTH(Monat.Tag1)=4,March!Monat.AZIstWRestUeVM,IF(MONTH(Monat.Tag1)=5,April!Monat.AZIstWRestUeVM,IF(MONTH(Monat.Tag1)=6,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-1/24*50),""),""),IF(AE45=0,"",AE45))</f>
        <v/>
      </c>
      <c r="AF60" s="237" t="str">
        <f aca="true">IF(EB.Wochenarbeitszeit=50/24,IF(T.50_Vetsuisse,IF(WEEKDAY(AF$10,2)=7,MAX(0,SUM(OFFSET(AF51,0,-MIN(6,DAY(AF$10)-1),1,MIN(7,DAY(AF$10))))+IF(AND(MONTH(Monat.Tag1)&lt;&gt;1,DAY(AF$10)&lt;7), IF(MONTH(Monat.Tag1)=2,January!Monat.AZIstWRestUeVM,IF(MONTH(Monat.Tag1)=3,February!Monat.AZIstWRestUeVM,IF(MONTH(Monat.Tag1)=4,March!Monat.AZIstWRestUeVM,IF(MONTH(Monat.Tag1)=5,April!Monat.AZIstWRestUeVM,IF(MONTH(Monat.Tag1)=6,Monat.AZIstWRestUeVM,IF(MONTH(Monat.Tag1)=7,June!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-1/24*50),""),""),IF(AF45=0,"",AF45))</f>
        <v/>
      </c>
      <c r="AG60" s="168" t="str">
        <f aca="false">A60</f>
        <v>Ordered overtime</v>
      </c>
      <c r="AH60" s="184"/>
      <c r="AI60" s="207" t="n">
        <f aca="false">SUM(B60:AF60)</f>
        <v>0</v>
      </c>
      <c r="AJ60" s="180"/>
      <c r="AK60" s="172"/>
      <c r="AL60" s="216" t="n">
        <f aca="false">IF(EB.Anwendung&lt;&gt;"",IF(MONTH(Monat.Tag1)=1,0,IF(MONTH(Monat.Tag1)=2,January!Monat.AnUeZUeVM,IF(MONTH(Monat.Tag1)=3,February!Monat.AnUeZUeVM,IF(MONTH(Monat.Tag1)=4,March!Monat.AnUeZUeVM,IF(MONTH(Monat.Tag1)=5,April!Monat.AnUeZUeVM,IF(MONTH(Monat.Tag1)=6,Monat.AnUeZUeVM,IF(MONTH(Monat.Tag1)=7,June!Monat.AnUeZUeVM,IF(MONTH(Monat.Tag1)=8,July!Monat.AnUeZUeVM,IF(MONTH(Monat.Tag1)=9,August!Monat.AnUeZUeVM,IF(MONTH(Monat.Tag1)=10,September!Monat.AnUeZUeVM,IF(MONTH(Monat.Tag1)=11,October!Monat.AnUeZUeVM,IF(MONTH(Monat.Tag1)=12,November!Monat.AnUeZUeVM,"")))))))))))),"")</f>
        <v>0</v>
      </c>
      <c r="AM60" s="172"/>
      <c r="AN60" s="217" t="n">
        <f aca="false">AI60+AL60</f>
        <v>0</v>
      </c>
      <c r="AO60" s="217" t="n">
        <f aca="true">SUM(OFFSET(Jahr.AngÜZ,-12,0,MONTH(Monat.Tag1),1))</f>
        <v>0</v>
      </c>
      <c r="AP60" s="217" t="n">
        <f aca="false">Jahr.AngÜZ</f>
        <v>0</v>
      </c>
      <c r="AQ60" s="39"/>
    </row>
    <row r="61" s="148" customFormat="true" ht="15" hidden="false" customHeight="true" outlineLevel="0" collapsed="false">
      <c r="A61" s="175" t="s">
        <v>149</v>
      </c>
      <c r="B61" s="177"/>
      <c r="C61" s="177"/>
      <c r="D61" s="177"/>
      <c r="E61" s="177"/>
      <c r="F61" s="177"/>
      <c r="G61" s="177"/>
      <c r="H61" s="177"/>
      <c r="I61" s="177"/>
      <c r="J61" s="177"/>
      <c r="K61" s="177"/>
      <c r="L61" s="177"/>
      <c r="M61" s="177"/>
      <c r="N61" s="177"/>
      <c r="O61" s="177"/>
      <c r="P61" s="177"/>
      <c r="Q61" s="177"/>
      <c r="R61" s="177"/>
      <c r="S61" s="177"/>
      <c r="T61" s="177"/>
      <c r="U61" s="177"/>
      <c r="V61" s="177"/>
      <c r="W61" s="177"/>
      <c r="X61" s="177"/>
      <c r="Y61" s="177"/>
      <c r="Z61" s="178"/>
      <c r="AA61" s="177"/>
      <c r="AB61" s="177"/>
      <c r="AC61" s="177"/>
      <c r="AD61" s="177"/>
      <c r="AE61" s="177"/>
      <c r="AF61" s="177"/>
      <c r="AG61" s="168" t="str">
        <f aca="false">A61</f>
        <v>Compensation overtime</v>
      </c>
      <c r="AH61" s="184"/>
      <c r="AI61" s="207" t="n">
        <f aca="false">SUM(B61:AF61)</f>
        <v>0</v>
      </c>
      <c r="AJ61" s="180"/>
      <c r="AK61" s="172"/>
      <c r="AL61" s="172"/>
      <c r="AM61" s="172"/>
      <c r="AN61" s="171"/>
      <c r="AO61" s="172"/>
      <c r="AP61" s="172"/>
      <c r="AQ61" s="39"/>
    </row>
    <row r="62" s="231" customFormat="true" ht="15" hidden="true" customHeight="true" outlineLevel="1" collapsed="false">
      <c r="A62" s="219"/>
      <c r="B62" s="224"/>
      <c r="C62" s="224"/>
      <c r="D62" s="224"/>
      <c r="E62" s="152"/>
      <c r="F62" s="224"/>
      <c r="G62" s="224"/>
      <c r="H62" s="224"/>
      <c r="I62" s="224"/>
      <c r="J62" s="222"/>
      <c r="K62" s="224"/>
      <c r="L62" s="223"/>
      <c r="M62" s="224"/>
      <c r="N62" s="224"/>
      <c r="O62" s="224"/>
      <c r="P62" s="224"/>
      <c r="Q62" s="152"/>
      <c r="R62" s="224"/>
      <c r="S62" s="223"/>
      <c r="T62" s="224"/>
      <c r="U62" s="224"/>
      <c r="V62" s="224"/>
      <c r="W62" s="224"/>
      <c r="X62" s="224"/>
      <c r="Y62" s="224"/>
      <c r="Z62" s="152"/>
      <c r="AA62" s="224"/>
      <c r="AB62" s="224"/>
      <c r="AC62" s="224"/>
      <c r="AD62" s="224"/>
      <c r="AE62" s="152"/>
      <c r="AF62" s="240"/>
      <c r="AG62" s="241" t="s">
        <v>150</v>
      </c>
      <c r="AH62" s="242"/>
      <c r="AI62" s="207" t="n">
        <f aca="false">Monat.AnUeZ.Total-Monat.KomUeZ.Total</f>
        <v>0</v>
      </c>
      <c r="AJ62" s="180"/>
      <c r="AK62" s="230"/>
      <c r="AL62" s="230"/>
      <c r="AM62" s="172"/>
      <c r="AN62" s="230"/>
      <c r="AO62" s="230"/>
      <c r="AP62" s="230"/>
      <c r="AQ62" s="96"/>
    </row>
    <row r="63" s="148" customFormat="true" ht="15" hidden="false" customHeight="true" outlineLevel="0" collapsed="false">
      <c r="A63" s="186"/>
      <c r="B63" s="152"/>
      <c r="C63" s="152"/>
      <c r="D63" s="152"/>
      <c r="E63" s="152"/>
      <c r="F63" s="152"/>
      <c r="G63" s="152"/>
      <c r="H63" s="152"/>
      <c r="I63" s="152"/>
      <c r="J63" s="152"/>
      <c r="K63" s="152"/>
      <c r="L63" s="223"/>
      <c r="M63" s="152"/>
      <c r="N63" s="152"/>
      <c r="O63" s="152"/>
      <c r="P63" s="152"/>
      <c r="Q63" s="152"/>
      <c r="R63" s="152"/>
      <c r="S63" s="223"/>
      <c r="T63" s="152"/>
      <c r="U63" s="152"/>
      <c r="V63" s="152"/>
      <c r="W63" s="152"/>
      <c r="X63" s="224"/>
      <c r="Y63" s="152"/>
      <c r="Z63" s="152"/>
      <c r="AA63" s="152"/>
      <c r="AB63" s="152"/>
      <c r="AC63" s="152"/>
      <c r="AD63" s="152"/>
      <c r="AE63" s="152"/>
      <c r="AF63" s="243"/>
      <c r="AG63" s="175" t="s">
        <v>151</v>
      </c>
      <c r="AH63" s="184"/>
      <c r="AI63" s="207" t="n">
        <f aca="true">IF(T.50_Vetsuisse,0,IF(AND(AI62&gt;0,Monat.ÜZZSBerechtigt=INDEX(T.JaNein.Bereich,1,1)),(AI62*0.25),0))</f>
        <v>0</v>
      </c>
      <c r="AJ63" s="180"/>
      <c r="AK63" s="172"/>
      <c r="AL63" s="230"/>
      <c r="AM63" s="172"/>
      <c r="AN63" s="230"/>
      <c r="AO63" s="230"/>
      <c r="AP63" s="230"/>
      <c r="AQ63" s="39"/>
    </row>
    <row r="64" s="148" customFormat="true" ht="15" hidden="true" customHeight="true" outlineLevel="1" collapsed="false">
      <c r="A64" s="186"/>
      <c r="B64" s="152"/>
      <c r="C64" s="152"/>
      <c r="D64" s="152"/>
      <c r="E64" s="152"/>
      <c r="F64" s="152"/>
      <c r="G64" s="152"/>
      <c r="H64" s="152"/>
      <c r="I64" s="152"/>
      <c r="J64" s="152"/>
      <c r="K64" s="152"/>
      <c r="L64" s="223"/>
      <c r="M64" s="152"/>
      <c r="N64" s="152"/>
      <c r="O64" s="152"/>
      <c r="P64" s="152"/>
      <c r="Q64" s="152"/>
      <c r="R64" s="152"/>
      <c r="S64" s="223"/>
      <c r="T64" s="152"/>
      <c r="U64" s="152"/>
      <c r="V64" s="152"/>
      <c r="W64" s="152"/>
      <c r="X64" s="224"/>
      <c r="Y64" s="152"/>
      <c r="Z64" s="152"/>
      <c r="AA64" s="152"/>
      <c r="AB64" s="152"/>
      <c r="AC64" s="152"/>
      <c r="AD64" s="152"/>
      <c r="AE64" s="152"/>
      <c r="AF64" s="243"/>
      <c r="AG64" s="175" t="s">
        <v>152</v>
      </c>
      <c r="AH64" s="244" t="s">
        <v>146</v>
      </c>
      <c r="AI64" s="245"/>
      <c r="AJ64" s="246"/>
      <c r="AK64" s="172"/>
      <c r="AL64" s="230"/>
      <c r="AM64" s="172"/>
      <c r="AN64" s="230"/>
      <c r="AO64" s="230"/>
      <c r="AP64" s="230"/>
      <c r="AQ64" s="39"/>
    </row>
    <row r="65" s="231" customFormat="true" ht="15" hidden="false" customHeight="true" outlineLevel="0" collapsed="false">
      <c r="A65" s="219"/>
      <c r="B65" s="224"/>
      <c r="C65" s="224"/>
      <c r="D65" s="224"/>
      <c r="E65" s="152"/>
      <c r="F65" s="224"/>
      <c r="G65" s="224"/>
      <c r="H65" s="224"/>
      <c r="I65" s="224"/>
      <c r="J65" s="152"/>
      <c r="K65" s="224"/>
      <c r="L65" s="223"/>
      <c r="M65" s="224"/>
      <c r="N65" s="224"/>
      <c r="O65" s="224"/>
      <c r="P65" s="224"/>
      <c r="Q65" s="152"/>
      <c r="R65" s="224"/>
      <c r="S65" s="223"/>
      <c r="T65" s="224"/>
      <c r="U65" s="224"/>
      <c r="V65" s="224"/>
      <c r="W65" s="224"/>
      <c r="X65" s="224"/>
      <c r="Y65" s="224"/>
      <c r="Z65" s="152"/>
      <c r="AA65" s="224"/>
      <c r="AB65" s="224"/>
      <c r="AC65" s="224"/>
      <c r="AD65" s="224"/>
      <c r="AE65" s="152"/>
      <c r="AF65" s="240"/>
      <c r="AG65" s="234" t="s">
        <v>153</v>
      </c>
      <c r="AH65" s="242"/>
      <c r="AI65" s="207" t="n">
        <f aca="false">IF(AH64="+",(AI62+AI63+AI64),(AI62+AI63-AI64))</f>
        <v>0</v>
      </c>
      <c r="AJ65" s="33"/>
      <c r="AK65" s="247"/>
      <c r="AL65" s="216" t="n">
        <f aca="false">IF(EB.Anwendung&lt;&gt;"",IF(MONTH(Monat.Tag1)=1,EB.UeZ,IF(MONTH(Monat.Tag1)=2,January!Monat.UeZUeVM,IF(MONTH(Monat.Tag1)=3,February!Monat.UeZUeVM,IF(MONTH(Monat.Tag1)=4,March!Monat.UeZUeVM,IF(MONTH(Monat.Tag1)=5,April!Monat.UeZUeVM,IF(MONTH(Monat.Tag1)=6,Monat.UeZUeVM,IF(MONTH(Monat.Tag1)=7,June!Monat.UeZUeVM,IF(MONTH(Monat.Tag1)=8,July!Monat.UeZUeVM,IF(MONTH(Monat.Tag1)=9,August!Monat.UeZUeVM,IF(MONTH(Monat.Tag1)=10,September!Monat.UeZUeVM,IF(MONTH(Monat.Tag1)=11,October!Monat.UeZUeVM,IF(MONTH(Monat.Tag1)=12,November!Monat.UeZUeVM,"")))))))))))),"")</f>
        <v>0</v>
      </c>
      <c r="AM65" s="172"/>
      <c r="AN65" s="217" t="n">
        <f aca="false">AI65+AL65</f>
        <v>0</v>
      </c>
      <c r="AO65" s="217" t="n">
        <f aca="true">SUM(OFFSET(J.UeZ.Total,-12,0,MONTH(Monat.Tag1),1))</f>
        <v>0</v>
      </c>
      <c r="AP65" s="217" t="n">
        <f aca="false">J.UeZ.Total</f>
        <v>0</v>
      </c>
      <c r="AQ65" s="96"/>
    </row>
    <row r="66" s="148" customFormat="true" ht="11.25" hidden="false" customHeight="true" outlineLevel="1" collapsed="false">
      <c r="A66" s="186"/>
      <c r="B66" s="57"/>
      <c r="C66" s="57"/>
      <c r="D66" s="57"/>
      <c r="E66" s="152"/>
      <c r="F66" s="57"/>
      <c r="G66" s="57"/>
      <c r="H66" s="57"/>
      <c r="I66" s="57"/>
      <c r="J66" s="152"/>
      <c r="K66" s="57"/>
      <c r="L66" s="223"/>
      <c r="M66" s="57"/>
      <c r="N66" s="57"/>
      <c r="O66" s="57"/>
      <c r="P66" s="57"/>
      <c r="Q66" s="152"/>
      <c r="R66" s="57"/>
      <c r="S66" s="223"/>
      <c r="T66" s="57"/>
      <c r="U66" s="57"/>
      <c r="V66" s="57"/>
      <c r="W66" s="57"/>
      <c r="X66" s="224"/>
      <c r="Y66" s="57"/>
      <c r="Z66" s="152"/>
      <c r="AA66" s="57"/>
      <c r="AB66" s="57"/>
      <c r="AC66" s="57"/>
      <c r="AD66" s="57"/>
      <c r="AE66" s="152"/>
      <c r="AF66" s="179"/>
      <c r="AG66" s="175"/>
      <c r="AH66" s="146"/>
      <c r="AI66" s="179"/>
      <c r="AJ66" s="180"/>
      <c r="AK66" s="172"/>
      <c r="AL66" s="172"/>
      <c r="AM66" s="172"/>
      <c r="AN66" s="171"/>
      <c r="AO66" s="172"/>
      <c r="AP66" s="172"/>
      <c r="AQ66" s="39"/>
    </row>
    <row r="67" s="148" customFormat="true" ht="15" hidden="false" customHeight="true" outlineLevel="1" collapsed="false">
      <c r="A67" s="175" t="s">
        <v>154</v>
      </c>
      <c r="B67" s="177"/>
      <c r="C67" s="177"/>
      <c r="D67" s="177"/>
      <c r="E67" s="177"/>
      <c r="F67" s="177"/>
      <c r="G67" s="177"/>
      <c r="H67" s="177"/>
      <c r="I67" s="177"/>
      <c r="J67" s="177"/>
      <c r="K67" s="177"/>
      <c r="L67" s="177"/>
      <c r="M67" s="177"/>
      <c r="N67" s="177"/>
      <c r="O67" s="177"/>
      <c r="P67" s="177"/>
      <c r="Q67" s="177"/>
      <c r="R67" s="177"/>
      <c r="S67" s="177"/>
      <c r="T67" s="177"/>
      <c r="U67" s="177"/>
      <c r="V67" s="177"/>
      <c r="W67" s="177"/>
      <c r="X67" s="177"/>
      <c r="Y67" s="177"/>
      <c r="Z67" s="178"/>
      <c r="AA67" s="177"/>
      <c r="AB67" s="177"/>
      <c r="AC67" s="177"/>
      <c r="AD67" s="177"/>
      <c r="AE67" s="177"/>
      <c r="AF67" s="177"/>
      <c r="AG67" s="168" t="str">
        <f aca="false">A67</f>
        <v>Compensation working hours</v>
      </c>
      <c r="AH67" s="184"/>
      <c r="AI67" s="207" t="n">
        <f aca="false">SUM(B67:AF67)</f>
        <v>0</v>
      </c>
      <c r="AJ67" s="33"/>
      <c r="AK67" s="216" t="n">
        <f aca="true">OFFSET(EB.MKAStd.Knoten,MONTH(Monat.Tag1),0,1,1)</f>
        <v>0.4375</v>
      </c>
      <c r="AL67" s="248" t="n">
        <f aca="false">IF(EB.Anwendung&lt;&gt;"",IF(MONTH(Monat.Tag1)=1,0,IF(MONTH(Monat.Tag1)=2,January!Monat.KomUeVM,IF(MONTH(Monat.Tag1)=3,February!Monat.KomUeVM,IF(MONTH(Monat.Tag1)=4,March!Monat.KomUeVM,IF(MONTH(Monat.Tag1)=5,April!Monat.KomUeVM,IF(MONTH(Monat.Tag1)=6,Monat.KomUeVM,IF(MONTH(Monat.Tag1)=7,June!Monat.KomUeVM,IF(MONTH(Monat.Tag1)=8,July!Monat.KomUeVM,IF(MONTH(Monat.Tag1)=9,August!Monat.KomUeVM,IF(MONTH(Monat.Tag1)=10,September!Monat.KomUeVM,IF(MONTH(Monat.Tag1)=11,October!Monat.KomUeVM,IF(MONTH(Monat.Tag1)=12,November!Monat.KomUeVM,"")))))))))))),"")</f>
        <v>0.4375</v>
      </c>
      <c r="AM67" s="172"/>
      <c r="AN67" s="217" t="n">
        <f aca="false">AK67+AL67-Monat.KomAZ.Total</f>
        <v>0.875</v>
      </c>
      <c r="AO67" s="217" t="n">
        <f aca="true">Jahresabrechnung!P12-SUM(OFFSET(Jahresabrechnung!P15,0,0,MONTH(Monat.Tag1),1))</f>
        <v>3.9375</v>
      </c>
      <c r="AP67" s="217" t="n">
        <f aca="false">Jahresabrechnung!P28</f>
        <v>3.9375</v>
      </c>
      <c r="AQ67" s="39"/>
    </row>
    <row r="68" s="148" customFormat="true" ht="11.25" hidden="false" customHeight="true" outlineLevel="0" collapsed="false">
      <c r="A68" s="186"/>
      <c r="B68" s="187"/>
      <c r="C68" s="187"/>
      <c r="D68" s="187"/>
      <c r="E68" s="187"/>
      <c r="F68" s="187"/>
      <c r="G68" s="187"/>
      <c r="H68" s="187"/>
      <c r="I68" s="187"/>
      <c r="J68" s="187"/>
      <c r="K68" s="187"/>
      <c r="L68" s="187"/>
      <c r="M68" s="187"/>
      <c r="N68" s="187"/>
      <c r="O68" s="187"/>
      <c r="P68" s="187"/>
      <c r="Q68" s="187"/>
      <c r="R68" s="187"/>
      <c r="S68" s="187"/>
      <c r="T68" s="187"/>
      <c r="U68" s="187"/>
      <c r="V68" s="187"/>
      <c r="W68" s="187"/>
      <c r="X68" s="187"/>
      <c r="Y68" s="187"/>
      <c r="Z68" s="187"/>
      <c r="AA68" s="187"/>
      <c r="AB68" s="187"/>
      <c r="AC68" s="187"/>
      <c r="AD68" s="187"/>
      <c r="AE68" s="187"/>
      <c r="AF68" s="188"/>
      <c r="AG68" s="168"/>
      <c r="AH68" s="146"/>
      <c r="AI68" s="179"/>
      <c r="AJ68" s="180"/>
      <c r="AK68" s="172"/>
      <c r="AL68" s="172"/>
      <c r="AM68" s="172"/>
      <c r="AN68" s="171"/>
      <c r="AO68" s="172"/>
      <c r="AP68" s="172"/>
      <c r="AQ68" s="39"/>
    </row>
    <row r="69" s="148" customFormat="true" ht="15" hidden="true" customHeight="true" outlineLevel="0" collapsed="false">
      <c r="A69" s="175" t="s">
        <v>155</v>
      </c>
      <c r="B69" s="249" t="n">
        <f aca="true">IF(AND(T.50_Vetsuisse,B72=INDEX(T.JaNein.Bereich,1,1),B73&gt;0,MOD(IFERROR(MATCH(1,B13:B22,0),1),2)=0),1, IF(AND(T.ServiceCenterIrchel,B72=INDEX(T.JaNein.Bereich,1,1),B77&gt;0),1, IF(AND(T.50_Vetsuisse=0,T.ServiceCenterIrchel=0,B77&gt;0),1,0)))</f>
        <v>0</v>
      </c>
      <c r="C69" s="249" t="n">
        <f aca="true">IF(AND(T.50_Vetsuisse,C72=INDEX(T.JaNein.Bereich,1,1),C73&gt;0,MOD(IFERROR(MATCH(1,C13:C22,0),1),2)=0),1, IF(AND(T.ServiceCenterIrchel,C72=INDEX(T.JaNein.Bereich,1,1),C77&gt;0),1, IF(AND(T.50_Vetsuisse=0,T.ServiceCenterIrchel=0,C77&gt;0),1,0)))</f>
        <v>0</v>
      </c>
      <c r="D69" s="249" t="n">
        <f aca="true">IF(AND(T.50_Vetsuisse,D72=INDEX(T.JaNein.Bereich,1,1),D73&gt;0,MOD(IFERROR(MATCH(1,D13:D22,0),1),2)=0),1, IF(AND(T.ServiceCenterIrchel,D72=INDEX(T.JaNein.Bereich,1,1),D77&gt;0),1, IF(AND(T.50_Vetsuisse=0,T.ServiceCenterIrchel=0,D77&gt;0),1,0)))</f>
        <v>0</v>
      </c>
      <c r="E69" s="249" t="n">
        <f aca="true">IF(AND(T.50_Vetsuisse,E72=INDEX(T.JaNein.Bereich,1,1),E73&gt;0,MOD(IFERROR(MATCH(1,E13:E22,0),1),2)=0),1, IF(AND(T.ServiceCenterIrchel,E72=INDEX(T.JaNein.Bereich,1,1),E77&gt;0),1, IF(AND(T.50_Vetsuisse=0,T.ServiceCenterIrchel=0,E77&gt;0),1,0)))</f>
        <v>0</v>
      </c>
      <c r="F69" s="249" t="n">
        <f aca="true">IF(AND(T.50_Vetsuisse,F72=INDEX(T.JaNein.Bereich,1,1),F73&gt;0,MOD(IFERROR(MATCH(1,F13:F22,0),1),2)=0),1, IF(AND(T.ServiceCenterIrchel,F72=INDEX(T.JaNein.Bereich,1,1),F77&gt;0),1, IF(AND(T.50_Vetsuisse=0,T.ServiceCenterIrchel=0,F77&gt;0),1,0)))</f>
        <v>0</v>
      </c>
      <c r="G69" s="249" t="n">
        <f aca="true">IF(AND(T.50_Vetsuisse,G72=INDEX(T.JaNein.Bereich,1,1),G73&gt;0,MOD(IFERROR(MATCH(1,G13:G22,0),1),2)=0),1, IF(AND(T.ServiceCenterIrchel,G72=INDEX(T.JaNein.Bereich,1,1),G77&gt;0),1, IF(AND(T.50_Vetsuisse=0,T.ServiceCenterIrchel=0,G77&gt;0),1,0)))</f>
        <v>0</v>
      </c>
      <c r="H69" s="249" t="n">
        <f aca="true">IF(AND(T.50_Vetsuisse,H72=INDEX(T.JaNein.Bereich,1,1),H73&gt;0,MOD(IFERROR(MATCH(1,H13:H22,0),1),2)=0),1, IF(AND(T.ServiceCenterIrchel,H72=INDEX(T.JaNein.Bereich,1,1),H77&gt;0),1, IF(AND(T.50_Vetsuisse=0,T.ServiceCenterIrchel=0,H77&gt;0),1,0)))</f>
        <v>0</v>
      </c>
      <c r="I69" s="249" t="n">
        <f aca="true">IF(AND(T.50_Vetsuisse,I72=INDEX(T.JaNein.Bereich,1,1),I73&gt;0,MOD(IFERROR(MATCH(1,I13:I22,0),1),2)=0),1, IF(AND(T.ServiceCenterIrchel,I72=INDEX(T.JaNein.Bereich,1,1),I77&gt;0),1, IF(AND(T.50_Vetsuisse=0,T.ServiceCenterIrchel=0,I77&gt;0),1,0)))</f>
        <v>0</v>
      </c>
      <c r="J69" s="249" t="n">
        <f aca="true">IF(AND(T.50_Vetsuisse,J72=INDEX(T.JaNein.Bereich,1,1),J73&gt;0,MOD(IFERROR(MATCH(1,J13:J22,0),1),2)=0),1, IF(AND(T.ServiceCenterIrchel,J72=INDEX(T.JaNein.Bereich,1,1),J77&gt;0),1, IF(AND(T.50_Vetsuisse=0,T.ServiceCenterIrchel=0,J77&gt;0),1,0)))</f>
        <v>0</v>
      </c>
      <c r="K69" s="249" t="n">
        <f aca="true">IF(AND(T.50_Vetsuisse,K72=INDEX(T.JaNein.Bereich,1,1),K73&gt;0,MOD(IFERROR(MATCH(1,K13:K22,0),1),2)=0),1, IF(AND(T.ServiceCenterIrchel,K72=INDEX(T.JaNein.Bereich,1,1),K77&gt;0),1, IF(AND(T.50_Vetsuisse=0,T.ServiceCenterIrchel=0,K77&gt;0),1,0)))</f>
        <v>0</v>
      </c>
      <c r="L69" s="249" t="n">
        <f aca="true">IF(AND(T.50_Vetsuisse,L72=INDEX(T.JaNein.Bereich,1,1),L73&gt;0,MOD(IFERROR(MATCH(1,L13:L22,0),1),2)=0),1, IF(AND(T.ServiceCenterIrchel,L72=INDEX(T.JaNein.Bereich,1,1),L77&gt;0),1, IF(AND(T.50_Vetsuisse=0,T.ServiceCenterIrchel=0,L77&gt;0),1,0)))</f>
        <v>0</v>
      </c>
      <c r="M69" s="249" t="n">
        <f aca="true">IF(AND(T.50_Vetsuisse,M72=INDEX(T.JaNein.Bereich,1,1),M73&gt;0,MOD(IFERROR(MATCH(1,M13:M22,0),1),2)=0),1, IF(AND(T.ServiceCenterIrchel,M72=INDEX(T.JaNein.Bereich,1,1),M77&gt;0),1, IF(AND(T.50_Vetsuisse=0,T.ServiceCenterIrchel=0,M77&gt;0),1,0)))</f>
        <v>0</v>
      </c>
      <c r="N69" s="249" t="n">
        <f aca="true">IF(AND(T.50_Vetsuisse,N72=INDEX(T.JaNein.Bereich,1,1),N73&gt;0,MOD(IFERROR(MATCH(1,N13:N22,0),1),2)=0),1, IF(AND(T.ServiceCenterIrchel,N72=INDEX(T.JaNein.Bereich,1,1),N77&gt;0),1, IF(AND(T.50_Vetsuisse=0,T.ServiceCenterIrchel=0,N77&gt;0),1,0)))</f>
        <v>0</v>
      </c>
      <c r="O69" s="249" t="n">
        <f aca="true">IF(AND(T.50_Vetsuisse,O72=INDEX(T.JaNein.Bereich,1,1),O73&gt;0,MOD(IFERROR(MATCH(1,O13:O22,0),1),2)=0),1, IF(AND(T.ServiceCenterIrchel,O72=INDEX(T.JaNein.Bereich,1,1),O77&gt;0),1, IF(AND(T.50_Vetsuisse=0,T.ServiceCenterIrchel=0,O77&gt;0),1,0)))</f>
        <v>0</v>
      </c>
      <c r="P69" s="249" t="n">
        <f aca="true">IF(AND(T.50_Vetsuisse,P72=INDEX(T.JaNein.Bereich,1,1),P73&gt;0,MOD(IFERROR(MATCH(1,P13:P22,0),1),2)=0),1, IF(AND(T.ServiceCenterIrchel,P72=INDEX(T.JaNein.Bereich,1,1),P77&gt;0),1, IF(AND(T.50_Vetsuisse=0,T.ServiceCenterIrchel=0,P77&gt;0),1,0)))</f>
        <v>0</v>
      </c>
      <c r="Q69" s="249" t="n">
        <f aca="true">IF(AND(T.50_Vetsuisse,Q72=INDEX(T.JaNein.Bereich,1,1),Q73&gt;0,MOD(IFERROR(MATCH(1,Q13:Q22,0),1),2)=0),1, IF(AND(T.ServiceCenterIrchel,Q72=INDEX(T.JaNein.Bereich,1,1),Q77&gt;0),1, IF(AND(T.50_Vetsuisse=0,T.ServiceCenterIrchel=0,Q77&gt;0),1,0)))</f>
        <v>0</v>
      </c>
      <c r="R69" s="249" t="n">
        <f aca="true">IF(AND(T.50_Vetsuisse,R72=INDEX(T.JaNein.Bereich,1,1),R73&gt;0,MOD(IFERROR(MATCH(1,R13:R22,0),1),2)=0),1, IF(AND(T.ServiceCenterIrchel,R72=INDEX(T.JaNein.Bereich,1,1),R77&gt;0),1, IF(AND(T.50_Vetsuisse=0,T.ServiceCenterIrchel=0,R77&gt;0),1,0)))</f>
        <v>0</v>
      </c>
      <c r="S69" s="249" t="n">
        <f aca="true">IF(AND(T.50_Vetsuisse,S72=INDEX(T.JaNein.Bereich,1,1),S73&gt;0,MOD(IFERROR(MATCH(1,S13:S22,0),1),2)=0),1, IF(AND(T.ServiceCenterIrchel,S72=INDEX(T.JaNein.Bereich,1,1),S77&gt;0),1, IF(AND(T.50_Vetsuisse=0,T.ServiceCenterIrchel=0,S77&gt;0),1,0)))</f>
        <v>0</v>
      </c>
      <c r="T69" s="249" t="n">
        <f aca="true">IF(AND(T.50_Vetsuisse,T72=INDEX(T.JaNein.Bereich,1,1),T73&gt;0,MOD(IFERROR(MATCH(1,T13:T22,0),1),2)=0),1, IF(AND(T.ServiceCenterIrchel,T72=INDEX(T.JaNein.Bereich,1,1),T77&gt;0),1, IF(AND(T.50_Vetsuisse=0,T.ServiceCenterIrchel=0,T77&gt;0),1,0)))</f>
        <v>0</v>
      </c>
      <c r="U69" s="249" t="n">
        <f aca="true">IF(AND(T.50_Vetsuisse,U72=INDEX(T.JaNein.Bereich,1,1),U73&gt;0,MOD(IFERROR(MATCH(1,U13:U22,0),1),2)=0),1, IF(AND(T.ServiceCenterIrchel,U72=INDEX(T.JaNein.Bereich,1,1),U77&gt;0),1, IF(AND(T.50_Vetsuisse=0,T.ServiceCenterIrchel=0,U77&gt;0),1,0)))</f>
        <v>0</v>
      </c>
      <c r="V69" s="249" t="n">
        <f aca="true">IF(AND(T.50_Vetsuisse,V72=INDEX(T.JaNein.Bereich,1,1),V73&gt;0,MOD(IFERROR(MATCH(1,V13:V22,0),1),2)=0),1, IF(AND(T.ServiceCenterIrchel,V72=INDEX(T.JaNein.Bereich,1,1),V77&gt;0),1, IF(AND(T.50_Vetsuisse=0,T.ServiceCenterIrchel=0,V77&gt;0),1,0)))</f>
        <v>0</v>
      </c>
      <c r="W69" s="249" t="n">
        <f aca="true">IF(AND(T.50_Vetsuisse,W72=INDEX(T.JaNein.Bereich,1,1),W73&gt;0,MOD(IFERROR(MATCH(1,W13:W22,0),1),2)=0),1, IF(AND(T.ServiceCenterIrchel,W72=INDEX(T.JaNein.Bereich,1,1),W77&gt;0),1, IF(AND(T.50_Vetsuisse=0,T.ServiceCenterIrchel=0,W77&gt;0),1,0)))</f>
        <v>0</v>
      </c>
      <c r="X69" s="249" t="n">
        <f aca="true">IF(AND(T.50_Vetsuisse,X72=INDEX(T.JaNein.Bereich,1,1),X73&gt;0,MOD(IFERROR(MATCH(1,X13:X22,0),1),2)=0),1, IF(AND(T.ServiceCenterIrchel,X72=INDEX(T.JaNein.Bereich,1,1),X77&gt;0),1, IF(AND(T.50_Vetsuisse=0,T.ServiceCenterIrchel=0,X77&gt;0),1,0)))</f>
        <v>0</v>
      </c>
      <c r="Y69" s="249" t="n">
        <f aca="true">IF(AND(T.50_Vetsuisse,Y72=INDEX(T.JaNein.Bereich,1,1),Y73&gt;0,MOD(IFERROR(MATCH(1,Y13:Y22,0),1),2)=0),1, IF(AND(T.ServiceCenterIrchel,Y72=INDEX(T.JaNein.Bereich,1,1),Y77&gt;0),1, IF(AND(T.50_Vetsuisse=0,T.ServiceCenterIrchel=0,Y77&gt;0),1,0)))</f>
        <v>0</v>
      </c>
      <c r="Z69" s="249" t="n">
        <f aca="true">IF(AND(T.50_Vetsuisse,Z72=INDEX(T.JaNein.Bereich,1,1),Z73&gt;0,MOD(IFERROR(MATCH(1,Z13:Z22,0),1),2)=0),1, IF(AND(T.ServiceCenterIrchel,Z72=INDEX(T.JaNein.Bereich,1,1),Z77&gt;0),1, IF(AND(T.50_Vetsuisse=0,T.ServiceCenterIrchel=0,Z77&gt;0),1,0)))</f>
        <v>0</v>
      </c>
      <c r="AA69" s="249" t="n">
        <f aca="true">IF(AND(T.50_Vetsuisse,AA72=INDEX(T.JaNein.Bereich,1,1),AA73&gt;0,MOD(IFERROR(MATCH(1,AA13:AA22,0),1),2)=0),1, IF(AND(T.ServiceCenterIrchel,AA72=INDEX(T.JaNein.Bereich,1,1),AA77&gt;0),1, IF(AND(T.50_Vetsuisse=0,T.ServiceCenterIrchel=0,AA77&gt;0),1,0)))</f>
        <v>0</v>
      </c>
      <c r="AB69" s="249" t="n">
        <f aca="true">IF(AND(T.50_Vetsuisse,AB72=INDEX(T.JaNein.Bereich,1,1),AB73&gt;0,MOD(IFERROR(MATCH(1,AB13:AB22,0),1),2)=0),1, IF(AND(T.ServiceCenterIrchel,AB72=INDEX(T.JaNein.Bereich,1,1),AB77&gt;0),1, IF(AND(T.50_Vetsuisse=0,T.ServiceCenterIrchel=0,AB77&gt;0),1,0)))</f>
        <v>0</v>
      </c>
      <c r="AC69" s="249" t="n">
        <f aca="true">IF(AND(T.50_Vetsuisse,AC72=INDEX(T.JaNein.Bereich,1,1),AC73&gt;0,MOD(IFERROR(MATCH(1,AC13:AC22,0),1),2)=0),1, IF(AND(T.ServiceCenterIrchel,AC72=INDEX(T.JaNein.Bereich,1,1),AC77&gt;0),1, IF(AND(T.50_Vetsuisse=0,T.ServiceCenterIrchel=0,AC77&gt;0),1,0)))</f>
        <v>0</v>
      </c>
      <c r="AD69" s="249" t="n">
        <f aca="true">IF(AND(T.50_Vetsuisse,AD72=INDEX(T.JaNein.Bereich,1,1),AD73&gt;0,MOD(IFERROR(MATCH(1,AD13:AD22,0),1),2)=0),1, IF(AND(T.ServiceCenterIrchel,AD72=INDEX(T.JaNein.Bereich,1,1),AD77&gt;0),1, IF(AND(T.50_Vetsuisse=0,T.ServiceCenterIrchel=0,AD77&gt;0),1,0)))</f>
        <v>0</v>
      </c>
      <c r="AE69" s="249" t="n">
        <f aca="true">IF(AND(T.50_Vetsuisse,AE72=INDEX(T.JaNein.Bereich,1,1),AE73&gt;0,MOD(IFERROR(MATCH(1,AE13:AE22,0),1),2)=0),1, IF(AND(T.ServiceCenterIrchel,AE72=INDEX(T.JaNein.Bereich,1,1),AE77&gt;0),1, IF(AND(T.50_Vetsuisse=0,T.ServiceCenterIrchel=0,AE77&gt;0),1,0)))</f>
        <v>0</v>
      </c>
      <c r="AF69" s="249" t="n">
        <f aca="true">IF(AND(T.50_Vetsuisse,AF72=INDEX(T.JaNein.Bereich,1,1),AF73&gt;0,MOD(IFERROR(MATCH(1,AF13:AF22,0),1),2)=0),1, IF(AND(T.ServiceCenterIrchel,AF72=INDEX(T.JaNein.Bereich,1,1),AF77&gt;0),1, IF(AND(T.50_Vetsuisse=0,T.ServiceCenterIrchel=0,AF77&gt;0),1,0)))</f>
        <v>0</v>
      </c>
      <c r="AG69" s="168" t="str">
        <f aca="false">A69</f>
        <v>Counter night shift</v>
      </c>
      <c r="AH69" s="250"/>
      <c r="AI69" s="251" t="n">
        <f aca="false">SUM(B69:AF69)</f>
        <v>0</v>
      </c>
      <c r="AJ69" s="33"/>
      <c r="AK69" s="192"/>
      <c r="AL69" s="252" t="n">
        <f aca="false">IF(EB.Anwendung&lt;&gt;"",IF(MONTH(Monat.Tag1)=1,0,IF(MONTH(Monat.Tag1)=2,January!Monat.ZählerNDUe,IF(MONTH(Monat.Tag1)=3,February!Monat.ZählerNDUe,IF(MONTH(Monat.Tag1)=4,March!Monat.ZählerNDUe,IF(MONTH(Monat.Tag1)=5,April!Monat.ZählerNDUe,IF(MONTH(Monat.Tag1)=6,Monat.ZählerNDUe,IF(MONTH(Monat.Tag1)=7,June!Monat.ZählerNDUe,IF(MONTH(Monat.Tag1)=8,July!Monat.ZählerNDUe,IF(MONTH(Monat.Tag1)=9,August!Monat.ZählerNDUe,IF(MONTH(Monat.Tag1)=10,September!Monat.ZählerNDUe,IF(MONTH(Monat.Tag1)=11,October!Monat.ZählerNDUe,IF(MONTH(Monat.Tag1)=12,November!Monat.ZählerNDUe,"")))))))))))),"")</f>
        <v>0</v>
      </c>
      <c r="AM69" s="172"/>
      <c r="AN69" s="253" t="n">
        <f aca="false">AL69+AI69</f>
        <v>0</v>
      </c>
      <c r="AO69" s="171"/>
      <c r="AP69" s="171"/>
      <c r="AQ69" s="39"/>
    </row>
    <row r="70" s="148" customFormat="true" ht="15" hidden="true" customHeight="true" outlineLevel="0" collapsed="false">
      <c r="A70" s="175" t="s">
        <v>156</v>
      </c>
      <c r="B70" s="249" t="n">
        <f aca="false">IF(DAY(B$10)=1,$AL$69,A70)+B69</f>
        <v>0</v>
      </c>
      <c r="C70" s="249" t="n">
        <f aca="false">IF(DAY(C$10)=1,$AL$69,B70)+C69</f>
        <v>0</v>
      </c>
      <c r="D70" s="249" t="n">
        <f aca="false">IF(DAY(D$10)=1,$AL$69,C70)+D69</f>
        <v>0</v>
      </c>
      <c r="E70" s="249" t="n">
        <f aca="false">IF(DAY(E$10)=1,$AL$69,D70)+E69</f>
        <v>0</v>
      </c>
      <c r="F70" s="249" t="n">
        <f aca="false">IF(DAY(F$10)=1,$AL$69,E70)+F69</f>
        <v>0</v>
      </c>
      <c r="G70" s="249" t="n">
        <f aca="false">IF(DAY(G$10)=1,$AL$69,F70)+G69</f>
        <v>0</v>
      </c>
      <c r="H70" s="249" t="n">
        <f aca="false">IF(DAY(H$10)=1,$AL$69,G70)+H69</f>
        <v>0</v>
      </c>
      <c r="I70" s="249" t="n">
        <f aca="false">IF(DAY(I$10)=1,$AL$69,H70)+I69</f>
        <v>0</v>
      </c>
      <c r="J70" s="249" t="n">
        <f aca="false">IF(DAY(J$10)=1,$AL$69,I70)+J69</f>
        <v>0</v>
      </c>
      <c r="K70" s="249" t="n">
        <f aca="false">IF(DAY(K$10)=1,$AL$69,J70)+K69</f>
        <v>0</v>
      </c>
      <c r="L70" s="249" t="n">
        <f aca="false">IF(DAY(L$10)=1,$AL$69,K70)+L69</f>
        <v>0</v>
      </c>
      <c r="M70" s="249" t="n">
        <f aca="false">IF(DAY(M$10)=1,$AL$69,L70)+M69</f>
        <v>0</v>
      </c>
      <c r="N70" s="249" t="n">
        <f aca="false">IF(DAY(N$10)=1,$AL$69,M70)+N69</f>
        <v>0</v>
      </c>
      <c r="O70" s="249" t="n">
        <f aca="false">IF(DAY(O$10)=1,$AL$69,N70)+O69</f>
        <v>0</v>
      </c>
      <c r="P70" s="249" t="n">
        <f aca="false">IF(DAY(P$10)=1,$AL$69,O70)+P69</f>
        <v>0</v>
      </c>
      <c r="Q70" s="249" t="n">
        <f aca="false">IF(DAY(Q$10)=1,$AL$69,P70)+Q69</f>
        <v>0</v>
      </c>
      <c r="R70" s="249" t="n">
        <f aca="false">IF(DAY(R$10)=1,$AL$69,Q70)+R69</f>
        <v>0</v>
      </c>
      <c r="S70" s="249" t="n">
        <f aca="false">IF(DAY(S$10)=1,$AL$69,R70)+S69</f>
        <v>0</v>
      </c>
      <c r="T70" s="249" t="n">
        <f aca="false">IF(DAY(T$10)=1,$AL$69,S70)+T69</f>
        <v>0</v>
      </c>
      <c r="U70" s="249" t="n">
        <f aca="false">IF(DAY(U$10)=1,$AL$69,T70)+U69</f>
        <v>0</v>
      </c>
      <c r="V70" s="249" t="n">
        <f aca="false">IF(DAY(V$10)=1,$AL$69,U70)+V69</f>
        <v>0</v>
      </c>
      <c r="W70" s="249" t="n">
        <f aca="false">IF(DAY(W$10)=1,$AL$69,V70)+W69</f>
        <v>0</v>
      </c>
      <c r="X70" s="249" t="n">
        <f aca="false">IF(DAY(X$10)=1,$AL$69,W70)+X69</f>
        <v>0</v>
      </c>
      <c r="Y70" s="249" t="n">
        <f aca="false">IF(DAY(Y$10)=1,$AL$69,X70)+Y69</f>
        <v>0</v>
      </c>
      <c r="Z70" s="249" t="n">
        <f aca="false">IF(DAY(Z$10)=1,$AL$69,Y70)+Z69</f>
        <v>0</v>
      </c>
      <c r="AA70" s="249" t="n">
        <f aca="false">IF(DAY(AA$10)=1,$AL$69,Z70)+AA69</f>
        <v>0</v>
      </c>
      <c r="AB70" s="249" t="n">
        <f aca="false">IF(DAY(AB$10)=1,$AL$69,AA70)+AB69</f>
        <v>0</v>
      </c>
      <c r="AC70" s="249" t="n">
        <f aca="false">IF(DAY(AC$10)=1,$AL$69,AB70)+AC69</f>
        <v>0</v>
      </c>
      <c r="AD70" s="249" t="n">
        <f aca="false">IF(DAY(AD$10)=1,$AL$69,AC70)+AD69</f>
        <v>0</v>
      </c>
      <c r="AE70" s="249" t="n">
        <f aca="false">IF(DAY(AE$10)=1,$AL$69,AD70)+AE69</f>
        <v>0</v>
      </c>
      <c r="AF70" s="249" t="n">
        <f aca="false">IF(DAY(AF$10)=1,$AL$69,AE70)+AF69</f>
        <v>0</v>
      </c>
      <c r="AG70" s="168" t="str">
        <f aca="false">A70</f>
        <v>Balance counter night shift</v>
      </c>
      <c r="AH70" s="197"/>
      <c r="AI70" s="192"/>
      <c r="AJ70" s="27"/>
      <c r="AK70" s="235"/>
      <c r="AL70" s="235"/>
      <c r="AM70" s="172"/>
      <c r="AN70" s="254"/>
      <c r="AO70" s="171"/>
      <c r="AP70" s="171"/>
      <c r="AQ70" s="39"/>
    </row>
    <row r="71" s="148" customFormat="true" ht="15" hidden="true" customHeight="true" outlineLevel="1" collapsed="false">
      <c r="A71" s="175" t="s">
        <v>157</v>
      </c>
      <c r="B71" s="176"/>
      <c r="C71" s="176"/>
      <c r="D71" s="176"/>
      <c r="E71" s="177"/>
      <c r="F71" s="176"/>
      <c r="G71" s="176"/>
      <c r="H71" s="176"/>
      <c r="I71" s="176"/>
      <c r="J71" s="177"/>
      <c r="K71" s="176"/>
      <c r="L71" s="177"/>
      <c r="M71" s="176"/>
      <c r="N71" s="176"/>
      <c r="O71" s="176"/>
      <c r="P71" s="176"/>
      <c r="Q71" s="177"/>
      <c r="R71" s="176"/>
      <c r="S71" s="177"/>
      <c r="T71" s="177"/>
      <c r="U71" s="176"/>
      <c r="V71" s="176"/>
      <c r="W71" s="176"/>
      <c r="X71" s="177"/>
      <c r="Y71" s="176"/>
      <c r="Z71" s="178"/>
      <c r="AA71" s="176"/>
      <c r="AB71" s="176"/>
      <c r="AC71" s="176"/>
      <c r="AD71" s="176"/>
      <c r="AE71" s="177"/>
      <c r="AF71" s="176"/>
      <c r="AG71" s="168" t="str">
        <f aca="false">A71</f>
        <v>Compensation TS night shift</v>
      </c>
      <c r="AH71" s="184"/>
      <c r="AI71" s="207" t="n">
        <f aca="false">SUM(B71:AF71)</f>
        <v>0</v>
      </c>
      <c r="AJ71" s="33"/>
      <c r="AK71" s="235"/>
      <c r="AL71" s="216" t="n">
        <f aca="false">IF(EB.Anwendung&lt;&gt;"",IF(MONTH(Monat.Tag1)=1,0,IF(MONTH(Monat.Tag1)=2,January!Monat.KompZZSNDUeVM,IF(MONTH(Monat.Tag1)=3,February!Monat.KompZZSNDUeVM,IF(MONTH(Monat.Tag1)=4,March!Monat.KompZZSNDUeVM,IF(MONTH(Monat.Tag1)=5,April!Monat.KompZZSNDUeVM,IF(MONTH(Monat.Tag1)=6,Monat.KompZZSNDUeVM,IF(MONTH(Monat.Tag1)=7,June!Monat.KompZZSNDUeVM,IF(MONTH(Monat.Tag1)=8,July!Monat.KompZZSNDUeVM,IF(MONTH(Monat.Tag1)=9,August!Monat.KompZZSNDUeVM,IF(MONTH(Monat.Tag1)=10,September!Monat.KompZZSNDUeVM,IF(MONTH(Monat.Tag1)=11,October!Monat.KompZZSNDUeVM,IF(MONTH(Monat.Tag1)=12,November!Monat.KompZZSNDUeVM,"")))))))))))),"")</f>
        <v>0</v>
      </c>
      <c r="AM71" s="172"/>
      <c r="AN71" s="217" t="n">
        <f aca="false">AI71+AL71</f>
        <v>0</v>
      </c>
      <c r="AO71" s="217" t="n">
        <f aca="true">SUM(OFFSET(Jahr.KompZZSND,-12,0,MONTH(Monat.Tag1),1))</f>
        <v>0</v>
      </c>
      <c r="AP71" s="217" t="n">
        <f aca="false">Jahr.KompZZSND</f>
        <v>0</v>
      </c>
      <c r="AQ71" s="39"/>
    </row>
    <row r="72" s="148" customFormat="true" ht="15" hidden="true" customHeight="true" outlineLevel="1" collapsed="false">
      <c r="A72" s="175" t="s">
        <v>158</v>
      </c>
      <c r="B72" s="255"/>
      <c r="C72" s="255"/>
      <c r="D72" s="255"/>
      <c r="E72" s="255"/>
      <c r="F72" s="255"/>
      <c r="G72" s="255"/>
      <c r="H72" s="255"/>
      <c r="I72" s="255"/>
      <c r="J72" s="255"/>
      <c r="K72" s="255"/>
      <c r="L72" s="255"/>
      <c r="M72" s="255"/>
      <c r="N72" s="255"/>
      <c r="O72" s="255"/>
      <c r="P72" s="255"/>
      <c r="Q72" s="255"/>
      <c r="R72" s="255"/>
      <c r="S72" s="255"/>
      <c r="T72" s="255"/>
      <c r="U72" s="255"/>
      <c r="V72" s="255"/>
      <c r="W72" s="255"/>
      <c r="X72" s="255"/>
      <c r="Y72" s="255"/>
      <c r="Z72" s="255"/>
      <c r="AA72" s="255"/>
      <c r="AB72" s="255"/>
      <c r="AC72" s="255"/>
      <c r="AD72" s="255"/>
      <c r="AE72" s="255"/>
      <c r="AF72" s="255"/>
      <c r="AG72" s="168" t="str">
        <f aca="false">A72</f>
        <v>Start pl. night shift Yes/No</v>
      </c>
      <c r="AH72" s="184"/>
      <c r="AI72" s="192"/>
      <c r="AJ72" s="198" t="n">
        <f aca="true">IFERROR(SUMPRODUCT((B72:AF72=INDEX(T.JaNein.Bereich,1))*(B72:AF72&lt;&gt;"")),0)</f>
        <v>0</v>
      </c>
      <c r="AK72" s="235"/>
      <c r="AL72" s="198" t="n">
        <f aca="false">AL69</f>
        <v>0</v>
      </c>
      <c r="AM72" s="172"/>
      <c r="AN72" s="253" t="n">
        <f aca="false">AN69</f>
        <v>0</v>
      </c>
      <c r="AO72" s="172"/>
      <c r="AP72" s="172"/>
      <c r="AQ72" s="39"/>
    </row>
    <row r="73" s="148" customFormat="true" ht="15" hidden="false" customHeight="true" outlineLevel="1" collapsed="false">
      <c r="A73" s="175" t="s">
        <v>159</v>
      </c>
      <c r="B73" s="256" t="n">
        <f aca="false">IF(B$12=0,0,IF(OR(T.50_Vetsuisse,T.ServiceCenterIrchel),ROUND(B14-B13+MAX(0,T.Nachtab-MAX(T.Nachtbis,B14))-MAX(0,T.Nachtab-MAX(B13,T.Nachtbis))+(B13&gt;B14)*(1+T.Nachtbis-T.Nachtab)+B16-B15+MAX(0,T.Nachtab-MAX(T.Nachtbis,B16))-MAX(0,T.Nachtab-MAX(B15,T.Nachtbis))+(B15&gt;B16)*(1+T.Nachtbis-T.Nachtab)+B18-B17+MAX(0,T.Nachtab-MAX(T.Nachtbis,B18))-MAX(0,T.Nachtab-MAX(B17,T.Nachtbis))+(B17&gt;B18)*(1+T.Nachtbis-T.Nachtab)+B20-B19+MAX(0,T.Nachtab-MAX(T.Nachtbis,B20))-MAX(0,T.Nachtab-MAX(B19,T.Nachtbis))+(B19&gt;B20)*(1+T.Nachtbis-T.Nachtab)+B22-B21+MAX(0,T.Nachtab-MAX(T.Nachtbis,B22))-MAX(0,T.Nachtab-MAX(B21,T.Nachtbis))+(B21&gt;B22)*(1+T.Nachtbis-T.Nachtab),9), IF(AND(WEEKDAY(B$10,2)&lt;6,B$11&lt;&gt;0),ROUND(B36-B35+MAX(0,T.Nachtab-MAX(T.Nachtbis,B36))-MAX(0,T.Nachtab-MAX(B35,T.Nachtbis))+(B35&gt;B36)*(1+T.Nachtbis-T.Nachtab)+B38-B37+MAX(0,T.Nachtab-MAX(T.Nachtbis,B38))-MAX(0,T.Nachtab-MAX(B37,T.Nachtbis))+(B37&gt;B38)*(1+T.Nachtbis-T.Nachtab)+B40-B39+MAX(0,T.Nachtab-MAX(T.Nachtbis,B40))-MAX(0,T.Nachtab-MAX(B39,T.Nachtbis))+(B39&gt;B40)*(1+T.Nachtbis-T.Nachtab)+B42-B41+MAX(0,T.Nachtab-MAX(T.Nachtbis,B42))-MAX(0,T.Nachtab-MAX(B41,T.Nachtbis))+(B41&gt;B42)*(1+T.Nachtbis-T.Nachtab)+B44-B43+MAX(0,T.Nachtab-MAX(T.Nachtbis,B44))-MAX(0,T.Nachtab-MAX(B43,T.Nachtbis))+(B43&gt;B44)*(1+T.Nachtbis-T.Nachtab),9),0)))</f>
        <v>0</v>
      </c>
      <c r="C73" s="256" t="n">
        <f aca="false">IF(C$12=0,0,IF(OR(T.50_Vetsuisse,T.ServiceCenterIrchel),ROUND(C14-C13+MAX(0,T.Nachtab-MAX(T.Nachtbis,C14))-MAX(0,T.Nachtab-MAX(C13,T.Nachtbis))+(C13&gt;C14)*(1+T.Nachtbis-T.Nachtab)+C16-C15+MAX(0,T.Nachtab-MAX(T.Nachtbis,C16))-MAX(0,T.Nachtab-MAX(C15,T.Nachtbis))+(C15&gt;C16)*(1+T.Nachtbis-T.Nachtab)+C18-C17+MAX(0,T.Nachtab-MAX(T.Nachtbis,C18))-MAX(0,T.Nachtab-MAX(C17,T.Nachtbis))+(C17&gt;C18)*(1+T.Nachtbis-T.Nachtab)+C20-C19+MAX(0,T.Nachtab-MAX(T.Nachtbis,C20))-MAX(0,T.Nachtab-MAX(C19,T.Nachtbis))+(C19&gt;C20)*(1+T.Nachtbis-T.Nachtab)+C22-C21+MAX(0,T.Nachtab-MAX(T.Nachtbis,C22))-MAX(0,T.Nachtab-MAX(C21,T.Nachtbis))+(C21&gt;C22)*(1+T.Nachtbis-T.Nachtab),9), IF(AND(WEEKDAY(C$10,2)&lt;6,C$11&lt;&gt;0),ROUND(C36-C35+MAX(0,T.Nachtab-MAX(T.Nachtbis,C36))-MAX(0,T.Nachtab-MAX(C35,T.Nachtbis))+(C35&gt;C36)*(1+T.Nachtbis-T.Nachtab)+C38-C37+MAX(0,T.Nachtab-MAX(T.Nachtbis,C38))-MAX(0,T.Nachtab-MAX(C37,T.Nachtbis))+(C37&gt;C38)*(1+T.Nachtbis-T.Nachtab)+C40-C39+MAX(0,T.Nachtab-MAX(T.Nachtbis,C40))-MAX(0,T.Nachtab-MAX(C39,T.Nachtbis))+(C39&gt;C40)*(1+T.Nachtbis-T.Nachtab)+C42-C41+MAX(0,T.Nachtab-MAX(T.Nachtbis,C42))-MAX(0,T.Nachtab-MAX(C41,T.Nachtbis))+(C41&gt;C42)*(1+T.Nachtbis-T.Nachtab)+C44-C43+MAX(0,T.Nachtab-MAX(T.Nachtbis,C44))-MAX(0,T.Nachtab-MAX(C43,T.Nachtbis))+(C43&gt;C44)*(1+T.Nachtbis-T.Nachtab),9),0)))</f>
        <v>0</v>
      </c>
      <c r="D73" s="256" t="n">
        <f aca="false">IF(D$12=0,0,IF(OR(T.50_Vetsuisse,T.ServiceCenterIrchel),ROUND(D14-D13+MAX(0,T.Nachtab-MAX(T.Nachtbis,D14))-MAX(0,T.Nachtab-MAX(D13,T.Nachtbis))+(D13&gt;D14)*(1+T.Nachtbis-T.Nachtab)+D16-D15+MAX(0,T.Nachtab-MAX(T.Nachtbis,D16))-MAX(0,T.Nachtab-MAX(D15,T.Nachtbis))+(D15&gt;D16)*(1+T.Nachtbis-T.Nachtab)+D18-D17+MAX(0,T.Nachtab-MAX(T.Nachtbis,D18))-MAX(0,T.Nachtab-MAX(D17,T.Nachtbis))+(D17&gt;D18)*(1+T.Nachtbis-T.Nachtab)+D20-D19+MAX(0,T.Nachtab-MAX(T.Nachtbis,D20))-MAX(0,T.Nachtab-MAX(D19,T.Nachtbis))+(D19&gt;D20)*(1+T.Nachtbis-T.Nachtab)+D22-D21+MAX(0,T.Nachtab-MAX(T.Nachtbis,D22))-MAX(0,T.Nachtab-MAX(D21,T.Nachtbis))+(D21&gt;D22)*(1+T.Nachtbis-T.Nachtab),9), IF(AND(WEEKDAY(D$10,2)&lt;6,D$11&lt;&gt;0),ROUND(D36-D35+MAX(0,T.Nachtab-MAX(T.Nachtbis,D36))-MAX(0,T.Nachtab-MAX(D35,T.Nachtbis))+(D35&gt;D36)*(1+T.Nachtbis-T.Nachtab)+D38-D37+MAX(0,T.Nachtab-MAX(T.Nachtbis,D38))-MAX(0,T.Nachtab-MAX(D37,T.Nachtbis))+(D37&gt;D38)*(1+T.Nachtbis-T.Nachtab)+D40-D39+MAX(0,T.Nachtab-MAX(T.Nachtbis,D40))-MAX(0,T.Nachtab-MAX(D39,T.Nachtbis))+(D39&gt;D40)*(1+T.Nachtbis-T.Nachtab)+D42-D41+MAX(0,T.Nachtab-MAX(T.Nachtbis,D42))-MAX(0,T.Nachtab-MAX(D41,T.Nachtbis))+(D41&gt;D42)*(1+T.Nachtbis-T.Nachtab)+D44-D43+MAX(0,T.Nachtab-MAX(T.Nachtbis,D44))-MAX(0,T.Nachtab-MAX(D43,T.Nachtbis))+(D43&gt;D44)*(1+T.Nachtbis-T.Nachtab),9),0)))</f>
        <v>0</v>
      </c>
      <c r="E73" s="256" t="n">
        <f aca="false">IF(E$12=0,0,IF(OR(T.50_Vetsuisse,T.ServiceCenterIrchel),ROUND(E14-E13+MAX(0,T.Nachtab-MAX(T.Nachtbis,E14))-MAX(0,T.Nachtab-MAX(E13,T.Nachtbis))+(E13&gt;E14)*(1+T.Nachtbis-T.Nachtab)+E16-E15+MAX(0,T.Nachtab-MAX(T.Nachtbis,E16))-MAX(0,T.Nachtab-MAX(E15,T.Nachtbis))+(E15&gt;E16)*(1+T.Nachtbis-T.Nachtab)+E18-E17+MAX(0,T.Nachtab-MAX(T.Nachtbis,E18))-MAX(0,T.Nachtab-MAX(E17,T.Nachtbis))+(E17&gt;E18)*(1+T.Nachtbis-T.Nachtab)+E20-E19+MAX(0,T.Nachtab-MAX(T.Nachtbis,E20))-MAX(0,T.Nachtab-MAX(E19,T.Nachtbis))+(E19&gt;E20)*(1+T.Nachtbis-T.Nachtab)+E22-E21+MAX(0,T.Nachtab-MAX(T.Nachtbis,E22))-MAX(0,T.Nachtab-MAX(E21,T.Nachtbis))+(E21&gt;E22)*(1+T.Nachtbis-T.Nachtab),9), IF(AND(WEEKDAY(E$10,2)&lt;6,E$11&lt;&gt;0),ROUND(E36-E35+MAX(0,T.Nachtab-MAX(T.Nachtbis,E36))-MAX(0,T.Nachtab-MAX(E35,T.Nachtbis))+(E35&gt;E36)*(1+T.Nachtbis-T.Nachtab)+E38-E37+MAX(0,T.Nachtab-MAX(T.Nachtbis,E38))-MAX(0,T.Nachtab-MAX(E37,T.Nachtbis))+(E37&gt;E38)*(1+T.Nachtbis-T.Nachtab)+E40-E39+MAX(0,T.Nachtab-MAX(T.Nachtbis,E40))-MAX(0,T.Nachtab-MAX(E39,T.Nachtbis))+(E39&gt;E40)*(1+T.Nachtbis-T.Nachtab)+E42-E41+MAX(0,T.Nachtab-MAX(T.Nachtbis,E42))-MAX(0,T.Nachtab-MAX(E41,T.Nachtbis))+(E41&gt;E42)*(1+T.Nachtbis-T.Nachtab)+E44-E43+MAX(0,T.Nachtab-MAX(T.Nachtbis,E44))-MAX(0,T.Nachtab-MAX(E43,T.Nachtbis))+(E43&gt;E44)*(1+T.Nachtbis-T.Nachtab),9),0)))</f>
        <v>0</v>
      </c>
      <c r="F73" s="256" t="n">
        <f aca="false">IF(F$12=0,0,IF(OR(T.50_Vetsuisse,T.ServiceCenterIrchel),ROUND(F14-F13+MAX(0,T.Nachtab-MAX(T.Nachtbis,F14))-MAX(0,T.Nachtab-MAX(F13,T.Nachtbis))+(F13&gt;F14)*(1+T.Nachtbis-T.Nachtab)+F16-F15+MAX(0,T.Nachtab-MAX(T.Nachtbis,F16))-MAX(0,T.Nachtab-MAX(F15,T.Nachtbis))+(F15&gt;F16)*(1+T.Nachtbis-T.Nachtab)+F18-F17+MAX(0,T.Nachtab-MAX(T.Nachtbis,F18))-MAX(0,T.Nachtab-MAX(F17,T.Nachtbis))+(F17&gt;F18)*(1+T.Nachtbis-T.Nachtab)+F20-F19+MAX(0,T.Nachtab-MAX(T.Nachtbis,F20))-MAX(0,T.Nachtab-MAX(F19,T.Nachtbis))+(F19&gt;F20)*(1+T.Nachtbis-T.Nachtab)+F22-F21+MAX(0,T.Nachtab-MAX(T.Nachtbis,F22))-MAX(0,T.Nachtab-MAX(F21,T.Nachtbis))+(F21&gt;F22)*(1+T.Nachtbis-T.Nachtab),9), IF(AND(WEEKDAY(F$10,2)&lt;6,F$11&lt;&gt;0),ROUND(F36-F35+MAX(0,T.Nachtab-MAX(T.Nachtbis,F36))-MAX(0,T.Nachtab-MAX(F35,T.Nachtbis))+(F35&gt;F36)*(1+T.Nachtbis-T.Nachtab)+F38-F37+MAX(0,T.Nachtab-MAX(T.Nachtbis,F38))-MAX(0,T.Nachtab-MAX(F37,T.Nachtbis))+(F37&gt;F38)*(1+T.Nachtbis-T.Nachtab)+F40-F39+MAX(0,T.Nachtab-MAX(T.Nachtbis,F40))-MAX(0,T.Nachtab-MAX(F39,T.Nachtbis))+(F39&gt;F40)*(1+T.Nachtbis-T.Nachtab)+F42-F41+MAX(0,T.Nachtab-MAX(T.Nachtbis,F42))-MAX(0,T.Nachtab-MAX(F41,T.Nachtbis))+(F41&gt;F42)*(1+T.Nachtbis-T.Nachtab)+F44-F43+MAX(0,T.Nachtab-MAX(T.Nachtbis,F44))-MAX(0,T.Nachtab-MAX(F43,T.Nachtbis))+(F43&gt;F44)*(1+T.Nachtbis-T.Nachtab),9),0)))</f>
        <v>0</v>
      </c>
      <c r="G73" s="256" t="n">
        <f aca="false">IF(G$12=0,0,IF(OR(T.50_Vetsuisse,T.ServiceCenterIrchel),ROUND(G14-G13+MAX(0,T.Nachtab-MAX(T.Nachtbis,G14))-MAX(0,T.Nachtab-MAX(G13,T.Nachtbis))+(G13&gt;G14)*(1+T.Nachtbis-T.Nachtab)+G16-G15+MAX(0,T.Nachtab-MAX(T.Nachtbis,G16))-MAX(0,T.Nachtab-MAX(G15,T.Nachtbis))+(G15&gt;G16)*(1+T.Nachtbis-T.Nachtab)+G18-G17+MAX(0,T.Nachtab-MAX(T.Nachtbis,G18))-MAX(0,T.Nachtab-MAX(G17,T.Nachtbis))+(G17&gt;G18)*(1+T.Nachtbis-T.Nachtab)+G20-G19+MAX(0,T.Nachtab-MAX(T.Nachtbis,G20))-MAX(0,T.Nachtab-MAX(G19,T.Nachtbis))+(G19&gt;G20)*(1+T.Nachtbis-T.Nachtab)+G22-G21+MAX(0,T.Nachtab-MAX(T.Nachtbis,G22))-MAX(0,T.Nachtab-MAX(G21,T.Nachtbis))+(G21&gt;G22)*(1+T.Nachtbis-T.Nachtab),9), IF(AND(WEEKDAY(G$10,2)&lt;6,G$11&lt;&gt;0),ROUND(G36-G35+MAX(0,T.Nachtab-MAX(T.Nachtbis,G36))-MAX(0,T.Nachtab-MAX(G35,T.Nachtbis))+(G35&gt;G36)*(1+T.Nachtbis-T.Nachtab)+G38-G37+MAX(0,T.Nachtab-MAX(T.Nachtbis,G38))-MAX(0,T.Nachtab-MAX(G37,T.Nachtbis))+(G37&gt;G38)*(1+T.Nachtbis-T.Nachtab)+G40-G39+MAX(0,T.Nachtab-MAX(T.Nachtbis,G40))-MAX(0,T.Nachtab-MAX(G39,T.Nachtbis))+(G39&gt;G40)*(1+T.Nachtbis-T.Nachtab)+G42-G41+MAX(0,T.Nachtab-MAX(T.Nachtbis,G42))-MAX(0,T.Nachtab-MAX(G41,T.Nachtbis))+(G41&gt;G42)*(1+T.Nachtbis-T.Nachtab)+G44-G43+MAX(0,T.Nachtab-MAX(T.Nachtbis,G44))-MAX(0,T.Nachtab-MAX(G43,T.Nachtbis))+(G43&gt;G44)*(1+T.Nachtbis-T.Nachtab),9),0)))</f>
        <v>0</v>
      </c>
      <c r="H73" s="256" t="n">
        <f aca="false">IF(H$12=0,0,IF(OR(T.50_Vetsuisse,T.ServiceCenterIrchel),ROUND(H14-H13+MAX(0,T.Nachtab-MAX(T.Nachtbis,H14))-MAX(0,T.Nachtab-MAX(H13,T.Nachtbis))+(H13&gt;H14)*(1+T.Nachtbis-T.Nachtab)+H16-H15+MAX(0,T.Nachtab-MAX(T.Nachtbis,H16))-MAX(0,T.Nachtab-MAX(H15,T.Nachtbis))+(H15&gt;H16)*(1+T.Nachtbis-T.Nachtab)+H18-H17+MAX(0,T.Nachtab-MAX(T.Nachtbis,H18))-MAX(0,T.Nachtab-MAX(H17,T.Nachtbis))+(H17&gt;H18)*(1+T.Nachtbis-T.Nachtab)+H20-H19+MAX(0,T.Nachtab-MAX(T.Nachtbis,H20))-MAX(0,T.Nachtab-MAX(H19,T.Nachtbis))+(H19&gt;H20)*(1+T.Nachtbis-T.Nachtab)+H22-H21+MAX(0,T.Nachtab-MAX(T.Nachtbis,H22))-MAX(0,T.Nachtab-MAX(H21,T.Nachtbis))+(H21&gt;H22)*(1+T.Nachtbis-T.Nachtab),9), IF(AND(WEEKDAY(H$10,2)&lt;6,H$11&lt;&gt;0),ROUND(H36-H35+MAX(0,T.Nachtab-MAX(T.Nachtbis,H36))-MAX(0,T.Nachtab-MAX(H35,T.Nachtbis))+(H35&gt;H36)*(1+T.Nachtbis-T.Nachtab)+H38-H37+MAX(0,T.Nachtab-MAX(T.Nachtbis,H38))-MAX(0,T.Nachtab-MAX(H37,T.Nachtbis))+(H37&gt;H38)*(1+T.Nachtbis-T.Nachtab)+H40-H39+MAX(0,T.Nachtab-MAX(T.Nachtbis,H40))-MAX(0,T.Nachtab-MAX(H39,T.Nachtbis))+(H39&gt;H40)*(1+T.Nachtbis-T.Nachtab)+H42-H41+MAX(0,T.Nachtab-MAX(T.Nachtbis,H42))-MAX(0,T.Nachtab-MAX(H41,T.Nachtbis))+(H41&gt;H42)*(1+T.Nachtbis-T.Nachtab)+H44-H43+MAX(0,T.Nachtab-MAX(T.Nachtbis,H44))-MAX(0,T.Nachtab-MAX(H43,T.Nachtbis))+(H43&gt;H44)*(1+T.Nachtbis-T.Nachtab),9),0)))</f>
        <v>0</v>
      </c>
      <c r="I73" s="256" t="n">
        <f aca="false">IF(I$12=0,0,IF(OR(T.50_Vetsuisse,T.ServiceCenterIrchel),ROUND(I14-I13+MAX(0,T.Nachtab-MAX(T.Nachtbis,I14))-MAX(0,T.Nachtab-MAX(I13,T.Nachtbis))+(I13&gt;I14)*(1+T.Nachtbis-T.Nachtab)+I16-I15+MAX(0,T.Nachtab-MAX(T.Nachtbis,I16))-MAX(0,T.Nachtab-MAX(I15,T.Nachtbis))+(I15&gt;I16)*(1+T.Nachtbis-T.Nachtab)+I18-I17+MAX(0,T.Nachtab-MAX(T.Nachtbis,I18))-MAX(0,T.Nachtab-MAX(I17,T.Nachtbis))+(I17&gt;I18)*(1+T.Nachtbis-T.Nachtab)+I20-I19+MAX(0,T.Nachtab-MAX(T.Nachtbis,I20))-MAX(0,T.Nachtab-MAX(I19,T.Nachtbis))+(I19&gt;I20)*(1+T.Nachtbis-T.Nachtab)+I22-I21+MAX(0,T.Nachtab-MAX(T.Nachtbis,I22))-MAX(0,T.Nachtab-MAX(I21,T.Nachtbis))+(I21&gt;I22)*(1+T.Nachtbis-T.Nachtab),9), IF(AND(WEEKDAY(I$10,2)&lt;6,I$11&lt;&gt;0),ROUND(I36-I35+MAX(0,T.Nachtab-MAX(T.Nachtbis,I36))-MAX(0,T.Nachtab-MAX(I35,T.Nachtbis))+(I35&gt;I36)*(1+T.Nachtbis-T.Nachtab)+I38-I37+MAX(0,T.Nachtab-MAX(T.Nachtbis,I38))-MAX(0,T.Nachtab-MAX(I37,T.Nachtbis))+(I37&gt;I38)*(1+T.Nachtbis-T.Nachtab)+I40-I39+MAX(0,T.Nachtab-MAX(T.Nachtbis,I40))-MAX(0,T.Nachtab-MAX(I39,T.Nachtbis))+(I39&gt;I40)*(1+T.Nachtbis-T.Nachtab)+I42-I41+MAX(0,T.Nachtab-MAX(T.Nachtbis,I42))-MAX(0,T.Nachtab-MAX(I41,T.Nachtbis))+(I41&gt;I42)*(1+T.Nachtbis-T.Nachtab)+I44-I43+MAX(0,T.Nachtab-MAX(T.Nachtbis,I44))-MAX(0,T.Nachtab-MAX(I43,T.Nachtbis))+(I43&gt;I44)*(1+T.Nachtbis-T.Nachtab),9),0)))</f>
        <v>0</v>
      </c>
      <c r="J73" s="256" t="n">
        <f aca="false">IF(J$12=0,0,IF(OR(T.50_Vetsuisse,T.ServiceCenterIrchel),ROUND(J14-J13+MAX(0,T.Nachtab-MAX(T.Nachtbis,J14))-MAX(0,T.Nachtab-MAX(J13,T.Nachtbis))+(J13&gt;J14)*(1+T.Nachtbis-T.Nachtab)+J16-J15+MAX(0,T.Nachtab-MAX(T.Nachtbis,J16))-MAX(0,T.Nachtab-MAX(J15,T.Nachtbis))+(J15&gt;J16)*(1+T.Nachtbis-T.Nachtab)+J18-J17+MAX(0,T.Nachtab-MAX(T.Nachtbis,J18))-MAX(0,T.Nachtab-MAX(J17,T.Nachtbis))+(J17&gt;J18)*(1+T.Nachtbis-T.Nachtab)+J20-J19+MAX(0,T.Nachtab-MAX(T.Nachtbis,J20))-MAX(0,T.Nachtab-MAX(J19,T.Nachtbis))+(J19&gt;J20)*(1+T.Nachtbis-T.Nachtab)+J22-J21+MAX(0,T.Nachtab-MAX(T.Nachtbis,J22))-MAX(0,T.Nachtab-MAX(J21,T.Nachtbis))+(J21&gt;J22)*(1+T.Nachtbis-T.Nachtab),9), IF(AND(WEEKDAY(J$10,2)&lt;6,J$11&lt;&gt;0),ROUND(J36-J35+MAX(0,T.Nachtab-MAX(T.Nachtbis,J36))-MAX(0,T.Nachtab-MAX(J35,T.Nachtbis))+(J35&gt;J36)*(1+T.Nachtbis-T.Nachtab)+J38-J37+MAX(0,T.Nachtab-MAX(T.Nachtbis,J38))-MAX(0,T.Nachtab-MAX(J37,T.Nachtbis))+(J37&gt;J38)*(1+T.Nachtbis-T.Nachtab)+J40-J39+MAX(0,T.Nachtab-MAX(T.Nachtbis,J40))-MAX(0,T.Nachtab-MAX(J39,T.Nachtbis))+(J39&gt;J40)*(1+T.Nachtbis-T.Nachtab)+J42-J41+MAX(0,T.Nachtab-MAX(T.Nachtbis,J42))-MAX(0,T.Nachtab-MAX(J41,T.Nachtbis))+(J41&gt;J42)*(1+T.Nachtbis-T.Nachtab)+J44-J43+MAX(0,T.Nachtab-MAX(T.Nachtbis,J44))-MAX(0,T.Nachtab-MAX(J43,T.Nachtbis))+(J43&gt;J44)*(1+T.Nachtbis-T.Nachtab),9),0)))</f>
        <v>0</v>
      </c>
      <c r="K73" s="256" t="n">
        <f aca="false">IF(K$12=0,0,IF(OR(T.50_Vetsuisse,T.ServiceCenterIrchel),ROUND(K14-K13+MAX(0,T.Nachtab-MAX(T.Nachtbis,K14))-MAX(0,T.Nachtab-MAX(K13,T.Nachtbis))+(K13&gt;K14)*(1+T.Nachtbis-T.Nachtab)+K16-K15+MAX(0,T.Nachtab-MAX(T.Nachtbis,K16))-MAX(0,T.Nachtab-MAX(K15,T.Nachtbis))+(K15&gt;K16)*(1+T.Nachtbis-T.Nachtab)+K18-K17+MAX(0,T.Nachtab-MAX(T.Nachtbis,K18))-MAX(0,T.Nachtab-MAX(K17,T.Nachtbis))+(K17&gt;K18)*(1+T.Nachtbis-T.Nachtab)+K20-K19+MAX(0,T.Nachtab-MAX(T.Nachtbis,K20))-MAX(0,T.Nachtab-MAX(K19,T.Nachtbis))+(K19&gt;K20)*(1+T.Nachtbis-T.Nachtab)+K22-K21+MAX(0,T.Nachtab-MAX(T.Nachtbis,K22))-MAX(0,T.Nachtab-MAX(K21,T.Nachtbis))+(K21&gt;K22)*(1+T.Nachtbis-T.Nachtab),9), IF(AND(WEEKDAY(K$10,2)&lt;6,K$11&lt;&gt;0),ROUND(K36-K35+MAX(0,T.Nachtab-MAX(T.Nachtbis,K36))-MAX(0,T.Nachtab-MAX(K35,T.Nachtbis))+(K35&gt;K36)*(1+T.Nachtbis-T.Nachtab)+K38-K37+MAX(0,T.Nachtab-MAX(T.Nachtbis,K38))-MAX(0,T.Nachtab-MAX(K37,T.Nachtbis))+(K37&gt;K38)*(1+T.Nachtbis-T.Nachtab)+K40-K39+MAX(0,T.Nachtab-MAX(T.Nachtbis,K40))-MAX(0,T.Nachtab-MAX(K39,T.Nachtbis))+(K39&gt;K40)*(1+T.Nachtbis-T.Nachtab)+K42-K41+MAX(0,T.Nachtab-MAX(T.Nachtbis,K42))-MAX(0,T.Nachtab-MAX(K41,T.Nachtbis))+(K41&gt;K42)*(1+T.Nachtbis-T.Nachtab)+K44-K43+MAX(0,T.Nachtab-MAX(T.Nachtbis,K44))-MAX(0,T.Nachtab-MAX(K43,T.Nachtbis))+(K43&gt;K44)*(1+T.Nachtbis-T.Nachtab),9),0)))</f>
        <v>0</v>
      </c>
      <c r="L73" s="256" t="n">
        <f aca="false">IF(L$12=0,0,IF(OR(T.50_Vetsuisse,T.ServiceCenterIrchel),ROUND(L14-L13+MAX(0,T.Nachtab-MAX(T.Nachtbis,L14))-MAX(0,T.Nachtab-MAX(L13,T.Nachtbis))+(L13&gt;L14)*(1+T.Nachtbis-T.Nachtab)+L16-L15+MAX(0,T.Nachtab-MAX(T.Nachtbis,L16))-MAX(0,T.Nachtab-MAX(L15,T.Nachtbis))+(L15&gt;L16)*(1+T.Nachtbis-T.Nachtab)+L18-L17+MAX(0,T.Nachtab-MAX(T.Nachtbis,L18))-MAX(0,T.Nachtab-MAX(L17,T.Nachtbis))+(L17&gt;L18)*(1+T.Nachtbis-T.Nachtab)+L20-L19+MAX(0,T.Nachtab-MAX(T.Nachtbis,L20))-MAX(0,T.Nachtab-MAX(L19,T.Nachtbis))+(L19&gt;L20)*(1+T.Nachtbis-T.Nachtab)+L22-L21+MAX(0,T.Nachtab-MAX(T.Nachtbis,L22))-MAX(0,T.Nachtab-MAX(L21,T.Nachtbis))+(L21&gt;L22)*(1+T.Nachtbis-T.Nachtab),9), IF(AND(WEEKDAY(L$10,2)&lt;6,L$11&lt;&gt;0),ROUND(L36-L35+MAX(0,T.Nachtab-MAX(T.Nachtbis,L36))-MAX(0,T.Nachtab-MAX(L35,T.Nachtbis))+(L35&gt;L36)*(1+T.Nachtbis-T.Nachtab)+L38-L37+MAX(0,T.Nachtab-MAX(T.Nachtbis,L38))-MAX(0,T.Nachtab-MAX(L37,T.Nachtbis))+(L37&gt;L38)*(1+T.Nachtbis-T.Nachtab)+L40-L39+MAX(0,T.Nachtab-MAX(T.Nachtbis,L40))-MAX(0,T.Nachtab-MAX(L39,T.Nachtbis))+(L39&gt;L40)*(1+T.Nachtbis-T.Nachtab)+L42-L41+MAX(0,T.Nachtab-MAX(T.Nachtbis,L42))-MAX(0,T.Nachtab-MAX(L41,T.Nachtbis))+(L41&gt;L42)*(1+T.Nachtbis-T.Nachtab)+L44-L43+MAX(0,T.Nachtab-MAX(T.Nachtbis,L44))-MAX(0,T.Nachtab-MAX(L43,T.Nachtbis))+(L43&gt;L44)*(1+T.Nachtbis-T.Nachtab),9),0)))</f>
        <v>0</v>
      </c>
      <c r="M73" s="256" t="n">
        <f aca="false">IF(M$12=0,0,IF(OR(T.50_Vetsuisse,T.ServiceCenterIrchel),ROUND(M14-M13+MAX(0,T.Nachtab-MAX(T.Nachtbis,M14))-MAX(0,T.Nachtab-MAX(M13,T.Nachtbis))+(M13&gt;M14)*(1+T.Nachtbis-T.Nachtab)+M16-M15+MAX(0,T.Nachtab-MAX(T.Nachtbis,M16))-MAX(0,T.Nachtab-MAX(M15,T.Nachtbis))+(M15&gt;M16)*(1+T.Nachtbis-T.Nachtab)+M18-M17+MAX(0,T.Nachtab-MAX(T.Nachtbis,M18))-MAX(0,T.Nachtab-MAX(M17,T.Nachtbis))+(M17&gt;M18)*(1+T.Nachtbis-T.Nachtab)+M20-M19+MAX(0,T.Nachtab-MAX(T.Nachtbis,M20))-MAX(0,T.Nachtab-MAX(M19,T.Nachtbis))+(M19&gt;M20)*(1+T.Nachtbis-T.Nachtab)+M22-M21+MAX(0,T.Nachtab-MAX(T.Nachtbis,M22))-MAX(0,T.Nachtab-MAX(M21,T.Nachtbis))+(M21&gt;M22)*(1+T.Nachtbis-T.Nachtab),9), IF(AND(WEEKDAY(M$10,2)&lt;6,M$11&lt;&gt;0),ROUND(M36-M35+MAX(0,T.Nachtab-MAX(T.Nachtbis,M36))-MAX(0,T.Nachtab-MAX(M35,T.Nachtbis))+(M35&gt;M36)*(1+T.Nachtbis-T.Nachtab)+M38-M37+MAX(0,T.Nachtab-MAX(T.Nachtbis,M38))-MAX(0,T.Nachtab-MAX(M37,T.Nachtbis))+(M37&gt;M38)*(1+T.Nachtbis-T.Nachtab)+M40-M39+MAX(0,T.Nachtab-MAX(T.Nachtbis,M40))-MAX(0,T.Nachtab-MAX(M39,T.Nachtbis))+(M39&gt;M40)*(1+T.Nachtbis-T.Nachtab)+M42-M41+MAX(0,T.Nachtab-MAX(T.Nachtbis,M42))-MAX(0,T.Nachtab-MAX(M41,T.Nachtbis))+(M41&gt;M42)*(1+T.Nachtbis-T.Nachtab)+M44-M43+MAX(0,T.Nachtab-MAX(T.Nachtbis,M44))-MAX(0,T.Nachtab-MAX(M43,T.Nachtbis))+(M43&gt;M44)*(1+T.Nachtbis-T.Nachtab),9),0)))</f>
        <v>0</v>
      </c>
      <c r="N73" s="256" t="n">
        <f aca="false">IF(N$12=0,0,IF(OR(T.50_Vetsuisse,T.ServiceCenterIrchel),ROUND(N14-N13+MAX(0,T.Nachtab-MAX(T.Nachtbis,N14))-MAX(0,T.Nachtab-MAX(N13,T.Nachtbis))+(N13&gt;N14)*(1+T.Nachtbis-T.Nachtab)+N16-N15+MAX(0,T.Nachtab-MAX(T.Nachtbis,N16))-MAX(0,T.Nachtab-MAX(N15,T.Nachtbis))+(N15&gt;N16)*(1+T.Nachtbis-T.Nachtab)+N18-N17+MAX(0,T.Nachtab-MAX(T.Nachtbis,N18))-MAX(0,T.Nachtab-MAX(N17,T.Nachtbis))+(N17&gt;N18)*(1+T.Nachtbis-T.Nachtab)+N20-N19+MAX(0,T.Nachtab-MAX(T.Nachtbis,N20))-MAX(0,T.Nachtab-MAX(N19,T.Nachtbis))+(N19&gt;N20)*(1+T.Nachtbis-T.Nachtab)+N22-N21+MAX(0,T.Nachtab-MAX(T.Nachtbis,N22))-MAX(0,T.Nachtab-MAX(N21,T.Nachtbis))+(N21&gt;N22)*(1+T.Nachtbis-T.Nachtab),9), IF(AND(WEEKDAY(N$10,2)&lt;6,N$11&lt;&gt;0),ROUND(N36-N35+MAX(0,T.Nachtab-MAX(T.Nachtbis,N36))-MAX(0,T.Nachtab-MAX(N35,T.Nachtbis))+(N35&gt;N36)*(1+T.Nachtbis-T.Nachtab)+N38-N37+MAX(0,T.Nachtab-MAX(T.Nachtbis,N38))-MAX(0,T.Nachtab-MAX(N37,T.Nachtbis))+(N37&gt;N38)*(1+T.Nachtbis-T.Nachtab)+N40-N39+MAX(0,T.Nachtab-MAX(T.Nachtbis,N40))-MAX(0,T.Nachtab-MAX(N39,T.Nachtbis))+(N39&gt;N40)*(1+T.Nachtbis-T.Nachtab)+N42-N41+MAX(0,T.Nachtab-MAX(T.Nachtbis,N42))-MAX(0,T.Nachtab-MAX(N41,T.Nachtbis))+(N41&gt;N42)*(1+T.Nachtbis-T.Nachtab)+N44-N43+MAX(0,T.Nachtab-MAX(T.Nachtbis,N44))-MAX(0,T.Nachtab-MAX(N43,T.Nachtbis))+(N43&gt;N44)*(1+T.Nachtbis-T.Nachtab),9),0)))</f>
        <v>0</v>
      </c>
      <c r="O73" s="256" t="n">
        <f aca="false">IF(O$12=0,0,IF(OR(T.50_Vetsuisse,T.ServiceCenterIrchel),ROUND(O14-O13+MAX(0,T.Nachtab-MAX(T.Nachtbis,O14))-MAX(0,T.Nachtab-MAX(O13,T.Nachtbis))+(O13&gt;O14)*(1+T.Nachtbis-T.Nachtab)+O16-O15+MAX(0,T.Nachtab-MAX(T.Nachtbis,O16))-MAX(0,T.Nachtab-MAX(O15,T.Nachtbis))+(O15&gt;O16)*(1+T.Nachtbis-T.Nachtab)+O18-O17+MAX(0,T.Nachtab-MAX(T.Nachtbis,O18))-MAX(0,T.Nachtab-MAX(O17,T.Nachtbis))+(O17&gt;O18)*(1+T.Nachtbis-T.Nachtab)+O20-O19+MAX(0,T.Nachtab-MAX(T.Nachtbis,O20))-MAX(0,T.Nachtab-MAX(O19,T.Nachtbis))+(O19&gt;O20)*(1+T.Nachtbis-T.Nachtab)+O22-O21+MAX(0,T.Nachtab-MAX(T.Nachtbis,O22))-MAX(0,T.Nachtab-MAX(O21,T.Nachtbis))+(O21&gt;O22)*(1+T.Nachtbis-T.Nachtab),9), IF(AND(WEEKDAY(O$10,2)&lt;6,O$11&lt;&gt;0),ROUND(O36-O35+MAX(0,T.Nachtab-MAX(T.Nachtbis,O36))-MAX(0,T.Nachtab-MAX(O35,T.Nachtbis))+(O35&gt;O36)*(1+T.Nachtbis-T.Nachtab)+O38-O37+MAX(0,T.Nachtab-MAX(T.Nachtbis,O38))-MAX(0,T.Nachtab-MAX(O37,T.Nachtbis))+(O37&gt;O38)*(1+T.Nachtbis-T.Nachtab)+O40-O39+MAX(0,T.Nachtab-MAX(T.Nachtbis,O40))-MAX(0,T.Nachtab-MAX(O39,T.Nachtbis))+(O39&gt;O40)*(1+T.Nachtbis-T.Nachtab)+O42-O41+MAX(0,T.Nachtab-MAX(T.Nachtbis,O42))-MAX(0,T.Nachtab-MAX(O41,T.Nachtbis))+(O41&gt;O42)*(1+T.Nachtbis-T.Nachtab)+O44-O43+MAX(0,T.Nachtab-MAX(T.Nachtbis,O44))-MAX(0,T.Nachtab-MAX(O43,T.Nachtbis))+(O43&gt;O44)*(1+T.Nachtbis-T.Nachtab),9),0)))</f>
        <v>0</v>
      </c>
      <c r="P73" s="256" t="n">
        <f aca="false">IF(P$12=0,0,IF(OR(T.50_Vetsuisse,T.ServiceCenterIrchel),ROUND(P14-P13+MAX(0,T.Nachtab-MAX(T.Nachtbis,P14))-MAX(0,T.Nachtab-MAX(P13,T.Nachtbis))+(P13&gt;P14)*(1+T.Nachtbis-T.Nachtab)+P16-P15+MAX(0,T.Nachtab-MAX(T.Nachtbis,P16))-MAX(0,T.Nachtab-MAX(P15,T.Nachtbis))+(P15&gt;P16)*(1+T.Nachtbis-T.Nachtab)+P18-P17+MAX(0,T.Nachtab-MAX(T.Nachtbis,P18))-MAX(0,T.Nachtab-MAX(P17,T.Nachtbis))+(P17&gt;P18)*(1+T.Nachtbis-T.Nachtab)+P20-P19+MAX(0,T.Nachtab-MAX(T.Nachtbis,P20))-MAX(0,T.Nachtab-MAX(P19,T.Nachtbis))+(P19&gt;P20)*(1+T.Nachtbis-T.Nachtab)+P22-P21+MAX(0,T.Nachtab-MAX(T.Nachtbis,P22))-MAX(0,T.Nachtab-MAX(P21,T.Nachtbis))+(P21&gt;P22)*(1+T.Nachtbis-T.Nachtab),9), IF(AND(WEEKDAY(P$10,2)&lt;6,P$11&lt;&gt;0),ROUND(P36-P35+MAX(0,T.Nachtab-MAX(T.Nachtbis,P36))-MAX(0,T.Nachtab-MAX(P35,T.Nachtbis))+(P35&gt;P36)*(1+T.Nachtbis-T.Nachtab)+P38-P37+MAX(0,T.Nachtab-MAX(T.Nachtbis,P38))-MAX(0,T.Nachtab-MAX(P37,T.Nachtbis))+(P37&gt;P38)*(1+T.Nachtbis-T.Nachtab)+P40-P39+MAX(0,T.Nachtab-MAX(T.Nachtbis,P40))-MAX(0,T.Nachtab-MAX(P39,T.Nachtbis))+(P39&gt;P40)*(1+T.Nachtbis-T.Nachtab)+P42-P41+MAX(0,T.Nachtab-MAX(T.Nachtbis,P42))-MAX(0,T.Nachtab-MAX(P41,T.Nachtbis))+(P41&gt;P42)*(1+T.Nachtbis-T.Nachtab)+P44-P43+MAX(0,T.Nachtab-MAX(T.Nachtbis,P44))-MAX(0,T.Nachtab-MAX(P43,T.Nachtbis))+(P43&gt;P44)*(1+T.Nachtbis-T.Nachtab),9),0)))</f>
        <v>0</v>
      </c>
      <c r="Q73" s="256" t="n">
        <f aca="false">IF(Q$12=0,0,IF(OR(T.50_Vetsuisse,T.ServiceCenterIrchel),ROUND(Q14-Q13+MAX(0,T.Nachtab-MAX(T.Nachtbis,Q14))-MAX(0,T.Nachtab-MAX(Q13,T.Nachtbis))+(Q13&gt;Q14)*(1+T.Nachtbis-T.Nachtab)+Q16-Q15+MAX(0,T.Nachtab-MAX(T.Nachtbis,Q16))-MAX(0,T.Nachtab-MAX(Q15,T.Nachtbis))+(Q15&gt;Q16)*(1+T.Nachtbis-T.Nachtab)+Q18-Q17+MAX(0,T.Nachtab-MAX(T.Nachtbis,Q18))-MAX(0,T.Nachtab-MAX(Q17,T.Nachtbis))+(Q17&gt;Q18)*(1+T.Nachtbis-T.Nachtab)+Q20-Q19+MAX(0,T.Nachtab-MAX(T.Nachtbis,Q20))-MAX(0,T.Nachtab-MAX(Q19,T.Nachtbis))+(Q19&gt;Q20)*(1+T.Nachtbis-T.Nachtab)+Q22-Q21+MAX(0,T.Nachtab-MAX(T.Nachtbis,Q22))-MAX(0,T.Nachtab-MAX(Q21,T.Nachtbis))+(Q21&gt;Q22)*(1+T.Nachtbis-T.Nachtab),9), IF(AND(WEEKDAY(Q$10,2)&lt;6,Q$11&lt;&gt;0),ROUND(Q36-Q35+MAX(0,T.Nachtab-MAX(T.Nachtbis,Q36))-MAX(0,T.Nachtab-MAX(Q35,T.Nachtbis))+(Q35&gt;Q36)*(1+T.Nachtbis-T.Nachtab)+Q38-Q37+MAX(0,T.Nachtab-MAX(T.Nachtbis,Q38))-MAX(0,T.Nachtab-MAX(Q37,T.Nachtbis))+(Q37&gt;Q38)*(1+T.Nachtbis-T.Nachtab)+Q40-Q39+MAX(0,T.Nachtab-MAX(T.Nachtbis,Q40))-MAX(0,T.Nachtab-MAX(Q39,T.Nachtbis))+(Q39&gt;Q40)*(1+T.Nachtbis-T.Nachtab)+Q42-Q41+MAX(0,T.Nachtab-MAX(T.Nachtbis,Q42))-MAX(0,T.Nachtab-MAX(Q41,T.Nachtbis))+(Q41&gt;Q42)*(1+T.Nachtbis-T.Nachtab)+Q44-Q43+MAX(0,T.Nachtab-MAX(T.Nachtbis,Q44))-MAX(0,T.Nachtab-MAX(Q43,T.Nachtbis))+(Q43&gt;Q44)*(1+T.Nachtbis-T.Nachtab),9),0)))</f>
        <v>0</v>
      </c>
      <c r="R73" s="256" t="n">
        <f aca="false">IF(R$12=0,0,IF(OR(T.50_Vetsuisse,T.ServiceCenterIrchel),ROUND(R14-R13+MAX(0,T.Nachtab-MAX(T.Nachtbis,R14))-MAX(0,T.Nachtab-MAX(R13,T.Nachtbis))+(R13&gt;R14)*(1+T.Nachtbis-T.Nachtab)+R16-R15+MAX(0,T.Nachtab-MAX(T.Nachtbis,R16))-MAX(0,T.Nachtab-MAX(R15,T.Nachtbis))+(R15&gt;R16)*(1+T.Nachtbis-T.Nachtab)+R18-R17+MAX(0,T.Nachtab-MAX(T.Nachtbis,R18))-MAX(0,T.Nachtab-MAX(R17,T.Nachtbis))+(R17&gt;R18)*(1+T.Nachtbis-T.Nachtab)+R20-R19+MAX(0,T.Nachtab-MAX(T.Nachtbis,R20))-MAX(0,T.Nachtab-MAX(R19,T.Nachtbis))+(R19&gt;R20)*(1+T.Nachtbis-T.Nachtab)+R22-R21+MAX(0,T.Nachtab-MAX(T.Nachtbis,R22))-MAX(0,T.Nachtab-MAX(R21,T.Nachtbis))+(R21&gt;R22)*(1+T.Nachtbis-T.Nachtab),9), IF(AND(WEEKDAY(R$10,2)&lt;6,R$11&lt;&gt;0),ROUND(R36-R35+MAX(0,T.Nachtab-MAX(T.Nachtbis,R36))-MAX(0,T.Nachtab-MAX(R35,T.Nachtbis))+(R35&gt;R36)*(1+T.Nachtbis-T.Nachtab)+R38-R37+MAX(0,T.Nachtab-MAX(T.Nachtbis,R38))-MAX(0,T.Nachtab-MAX(R37,T.Nachtbis))+(R37&gt;R38)*(1+T.Nachtbis-T.Nachtab)+R40-R39+MAX(0,T.Nachtab-MAX(T.Nachtbis,R40))-MAX(0,T.Nachtab-MAX(R39,T.Nachtbis))+(R39&gt;R40)*(1+T.Nachtbis-T.Nachtab)+R42-R41+MAX(0,T.Nachtab-MAX(T.Nachtbis,R42))-MAX(0,T.Nachtab-MAX(R41,T.Nachtbis))+(R41&gt;R42)*(1+T.Nachtbis-T.Nachtab)+R44-R43+MAX(0,T.Nachtab-MAX(T.Nachtbis,R44))-MAX(0,T.Nachtab-MAX(R43,T.Nachtbis))+(R43&gt;R44)*(1+T.Nachtbis-T.Nachtab),9),0)))</f>
        <v>0</v>
      </c>
      <c r="S73" s="256" t="n">
        <f aca="false">IF(S$12=0,0,IF(OR(T.50_Vetsuisse,T.ServiceCenterIrchel),ROUND(S14-S13+MAX(0,T.Nachtab-MAX(T.Nachtbis,S14))-MAX(0,T.Nachtab-MAX(S13,T.Nachtbis))+(S13&gt;S14)*(1+T.Nachtbis-T.Nachtab)+S16-S15+MAX(0,T.Nachtab-MAX(T.Nachtbis,S16))-MAX(0,T.Nachtab-MAX(S15,T.Nachtbis))+(S15&gt;S16)*(1+T.Nachtbis-T.Nachtab)+S18-S17+MAX(0,T.Nachtab-MAX(T.Nachtbis,S18))-MAX(0,T.Nachtab-MAX(S17,T.Nachtbis))+(S17&gt;S18)*(1+T.Nachtbis-T.Nachtab)+S20-S19+MAX(0,T.Nachtab-MAX(T.Nachtbis,S20))-MAX(0,T.Nachtab-MAX(S19,T.Nachtbis))+(S19&gt;S20)*(1+T.Nachtbis-T.Nachtab)+S22-S21+MAX(0,T.Nachtab-MAX(T.Nachtbis,S22))-MAX(0,T.Nachtab-MAX(S21,T.Nachtbis))+(S21&gt;S22)*(1+T.Nachtbis-T.Nachtab),9), IF(AND(WEEKDAY(S$10,2)&lt;6,S$11&lt;&gt;0),ROUND(S36-S35+MAX(0,T.Nachtab-MAX(T.Nachtbis,S36))-MAX(0,T.Nachtab-MAX(S35,T.Nachtbis))+(S35&gt;S36)*(1+T.Nachtbis-T.Nachtab)+S38-S37+MAX(0,T.Nachtab-MAX(T.Nachtbis,S38))-MAX(0,T.Nachtab-MAX(S37,T.Nachtbis))+(S37&gt;S38)*(1+T.Nachtbis-T.Nachtab)+S40-S39+MAX(0,T.Nachtab-MAX(T.Nachtbis,S40))-MAX(0,T.Nachtab-MAX(S39,T.Nachtbis))+(S39&gt;S40)*(1+T.Nachtbis-T.Nachtab)+S42-S41+MAX(0,T.Nachtab-MAX(T.Nachtbis,S42))-MAX(0,T.Nachtab-MAX(S41,T.Nachtbis))+(S41&gt;S42)*(1+T.Nachtbis-T.Nachtab)+S44-S43+MAX(0,T.Nachtab-MAX(T.Nachtbis,S44))-MAX(0,T.Nachtab-MAX(S43,T.Nachtbis))+(S43&gt;S44)*(1+T.Nachtbis-T.Nachtab),9),0)))</f>
        <v>0</v>
      </c>
      <c r="T73" s="256" t="n">
        <f aca="false">IF(T$12=0,0,IF(OR(T.50_Vetsuisse,T.ServiceCenterIrchel),ROUND(T14-T13+MAX(0,T.Nachtab-MAX(T.Nachtbis,T14))-MAX(0,T.Nachtab-MAX(T13,T.Nachtbis))+(T13&gt;T14)*(1+T.Nachtbis-T.Nachtab)+T16-T15+MAX(0,T.Nachtab-MAX(T.Nachtbis,T16))-MAX(0,T.Nachtab-MAX(T15,T.Nachtbis))+(T15&gt;T16)*(1+T.Nachtbis-T.Nachtab)+T18-T17+MAX(0,T.Nachtab-MAX(T.Nachtbis,T18))-MAX(0,T.Nachtab-MAX(T17,T.Nachtbis))+(T17&gt;T18)*(1+T.Nachtbis-T.Nachtab)+T20-T19+MAX(0,T.Nachtab-MAX(T.Nachtbis,T20))-MAX(0,T.Nachtab-MAX(T19,T.Nachtbis))+(T19&gt;T20)*(1+T.Nachtbis-T.Nachtab)+T22-T21+MAX(0,T.Nachtab-MAX(T.Nachtbis,T22))-MAX(0,T.Nachtab-MAX(T21,T.Nachtbis))+(T21&gt;T22)*(1+T.Nachtbis-T.Nachtab),9), IF(AND(WEEKDAY(T$10,2)&lt;6,T$11&lt;&gt;0),ROUND(T36-T35+MAX(0,T.Nachtab-MAX(T.Nachtbis,T36))-MAX(0,T.Nachtab-MAX(T35,T.Nachtbis))+(T35&gt;T36)*(1+T.Nachtbis-T.Nachtab)+T38-T37+MAX(0,T.Nachtab-MAX(T.Nachtbis,T38))-MAX(0,T.Nachtab-MAX(T37,T.Nachtbis))+(T37&gt;T38)*(1+T.Nachtbis-T.Nachtab)+T40-T39+MAX(0,T.Nachtab-MAX(T.Nachtbis,T40))-MAX(0,T.Nachtab-MAX(T39,T.Nachtbis))+(T39&gt;T40)*(1+T.Nachtbis-T.Nachtab)+T42-T41+MAX(0,T.Nachtab-MAX(T.Nachtbis,T42))-MAX(0,T.Nachtab-MAX(T41,T.Nachtbis))+(T41&gt;T42)*(1+T.Nachtbis-T.Nachtab)+T44-T43+MAX(0,T.Nachtab-MAX(T.Nachtbis,T44))-MAX(0,T.Nachtab-MAX(T43,T.Nachtbis))+(T43&gt;T44)*(1+T.Nachtbis-T.Nachtab),9),0)))</f>
        <v>0</v>
      </c>
      <c r="U73" s="256" t="n">
        <f aca="false">IF(U$12=0,0,IF(OR(T.50_Vetsuisse,T.ServiceCenterIrchel),ROUND(U14-U13+MAX(0,T.Nachtab-MAX(T.Nachtbis,U14))-MAX(0,T.Nachtab-MAX(U13,T.Nachtbis))+(U13&gt;U14)*(1+T.Nachtbis-T.Nachtab)+U16-U15+MAX(0,T.Nachtab-MAX(T.Nachtbis,U16))-MAX(0,T.Nachtab-MAX(U15,T.Nachtbis))+(U15&gt;U16)*(1+T.Nachtbis-T.Nachtab)+U18-U17+MAX(0,T.Nachtab-MAX(T.Nachtbis,U18))-MAX(0,T.Nachtab-MAX(U17,T.Nachtbis))+(U17&gt;U18)*(1+T.Nachtbis-T.Nachtab)+U20-U19+MAX(0,T.Nachtab-MAX(T.Nachtbis,U20))-MAX(0,T.Nachtab-MAX(U19,T.Nachtbis))+(U19&gt;U20)*(1+T.Nachtbis-T.Nachtab)+U22-U21+MAX(0,T.Nachtab-MAX(T.Nachtbis,U22))-MAX(0,T.Nachtab-MAX(U21,T.Nachtbis))+(U21&gt;U22)*(1+T.Nachtbis-T.Nachtab),9), IF(AND(WEEKDAY(U$10,2)&lt;6,U$11&lt;&gt;0),ROUND(U36-U35+MAX(0,T.Nachtab-MAX(T.Nachtbis,U36))-MAX(0,T.Nachtab-MAX(U35,T.Nachtbis))+(U35&gt;U36)*(1+T.Nachtbis-T.Nachtab)+U38-U37+MAX(0,T.Nachtab-MAX(T.Nachtbis,U38))-MAX(0,T.Nachtab-MAX(U37,T.Nachtbis))+(U37&gt;U38)*(1+T.Nachtbis-T.Nachtab)+U40-U39+MAX(0,T.Nachtab-MAX(T.Nachtbis,U40))-MAX(0,T.Nachtab-MAX(U39,T.Nachtbis))+(U39&gt;U40)*(1+T.Nachtbis-T.Nachtab)+U42-U41+MAX(0,T.Nachtab-MAX(T.Nachtbis,U42))-MAX(0,T.Nachtab-MAX(U41,T.Nachtbis))+(U41&gt;U42)*(1+T.Nachtbis-T.Nachtab)+U44-U43+MAX(0,T.Nachtab-MAX(T.Nachtbis,U44))-MAX(0,T.Nachtab-MAX(U43,T.Nachtbis))+(U43&gt;U44)*(1+T.Nachtbis-T.Nachtab),9),0)))</f>
        <v>0</v>
      </c>
      <c r="V73" s="256" t="n">
        <f aca="false">IF(V$12=0,0,IF(OR(T.50_Vetsuisse,T.ServiceCenterIrchel),ROUND(V14-V13+MAX(0,T.Nachtab-MAX(T.Nachtbis,V14))-MAX(0,T.Nachtab-MAX(V13,T.Nachtbis))+(V13&gt;V14)*(1+T.Nachtbis-T.Nachtab)+V16-V15+MAX(0,T.Nachtab-MAX(T.Nachtbis,V16))-MAX(0,T.Nachtab-MAX(V15,T.Nachtbis))+(V15&gt;V16)*(1+T.Nachtbis-T.Nachtab)+V18-V17+MAX(0,T.Nachtab-MAX(T.Nachtbis,V18))-MAX(0,T.Nachtab-MAX(V17,T.Nachtbis))+(V17&gt;V18)*(1+T.Nachtbis-T.Nachtab)+V20-V19+MAX(0,T.Nachtab-MAX(T.Nachtbis,V20))-MAX(0,T.Nachtab-MAX(V19,T.Nachtbis))+(V19&gt;V20)*(1+T.Nachtbis-T.Nachtab)+V22-V21+MAX(0,T.Nachtab-MAX(T.Nachtbis,V22))-MAX(0,T.Nachtab-MAX(V21,T.Nachtbis))+(V21&gt;V22)*(1+T.Nachtbis-T.Nachtab),9), IF(AND(WEEKDAY(V$10,2)&lt;6,V$11&lt;&gt;0),ROUND(V36-V35+MAX(0,T.Nachtab-MAX(T.Nachtbis,V36))-MAX(0,T.Nachtab-MAX(V35,T.Nachtbis))+(V35&gt;V36)*(1+T.Nachtbis-T.Nachtab)+V38-V37+MAX(0,T.Nachtab-MAX(T.Nachtbis,V38))-MAX(0,T.Nachtab-MAX(V37,T.Nachtbis))+(V37&gt;V38)*(1+T.Nachtbis-T.Nachtab)+V40-V39+MAX(0,T.Nachtab-MAX(T.Nachtbis,V40))-MAX(0,T.Nachtab-MAX(V39,T.Nachtbis))+(V39&gt;V40)*(1+T.Nachtbis-T.Nachtab)+V42-V41+MAX(0,T.Nachtab-MAX(T.Nachtbis,V42))-MAX(0,T.Nachtab-MAX(V41,T.Nachtbis))+(V41&gt;V42)*(1+T.Nachtbis-T.Nachtab)+V44-V43+MAX(0,T.Nachtab-MAX(T.Nachtbis,V44))-MAX(0,T.Nachtab-MAX(V43,T.Nachtbis))+(V43&gt;V44)*(1+T.Nachtbis-T.Nachtab),9),0)))</f>
        <v>0</v>
      </c>
      <c r="W73" s="256" t="n">
        <f aca="false">IF(W$12=0,0,IF(OR(T.50_Vetsuisse,T.ServiceCenterIrchel),ROUND(W14-W13+MAX(0,T.Nachtab-MAX(T.Nachtbis,W14))-MAX(0,T.Nachtab-MAX(W13,T.Nachtbis))+(W13&gt;W14)*(1+T.Nachtbis-T.Nachtab)+W16-W15+MAX(0,T.Nachtab-MAX(T.Nachtbis,W16))-MAX(0,T.Nachtab-MAX(W15,T.Nachtbis))+(W15&gt;W16)*(1+T.Nachtbis-T.Nachtab)+W18-W17+MAX(0,T.Nachtab-MAX(T.Nachtbis,W18))-MAX(0,T.Nachtab-MAX(W17,T.Nachtbis))+(W17&gt;W18)*(1+T.Nachtbis-T.Nachtab)+W20-W19+MAX(0,T.Nachtab-MAX(T.Nachtbis,W20))-MAX(0,T.Nachtab-MAX(W19,T.Nachtbis))+(W19&gt;W20)*(1+T.Nachtbis-T.Nachtab)+W22-W21+MAX(0,T.Nachtab-MAX(T.Nachtbis,W22))-MAX(0,T.Nachtab-MAX(W21,T.Nachtbis))+(W21&gt;W22)*(1+T.Nachtbis-T.Nachtab),9), IF(AND(WEEKDAY(W$10,2)&lt;6,W$11&lt;&gt;0),ROUND(W36-W35+MAX(0,T.Nachtab-MAX(T.Nachtbis,W36))-MAX(0,T.Nachtab-MAX(W35,T.Nachtbis))+(W35&gt;W36)*(1+T.Nachtbis-T.Nachtab)+W38-W37+MAX(0,T.Nachtab-MAX(T.Nachtbis,W38))-MAX(0,T.Nachtab-MAX(W37,T.Nachtbis))+(W37&gt;W38)*(1+T.Nachtbis-T.Nachtab)+W40-W39+MAX(0,T.Nachtab-MAX(T.Nachtbis,W40))-MAX(0,T.Nachtab-MAX(W39,T.Nachtbis))+(W39&gt;W40)*(1+T.Nachtbis-T.Nachtab)+W42-W41+MAX(0,T.Nachtab-MAX(T.Nachtbis,W42))-MAX(0,T.Nachtab-MAX(W41,T.Nachtbis))+(W41&gt;W42)*(1+T.Nachtbis-T.Nachtab)+W44-W43+MAX(0,T.Nachtab-MAX(T.Nachtbis,W44))-MAX(0,T.Nachtab-MAX(W43,T.Nachtbis))+(W43&gt;W44)*(1+T.Nachtbis-T.Nachtab),9),0)))</f>
        <v>0</v>
      </c>
      <c r="X73" s="256" t="n">
        <f aca="false">IF(X$12=0,0,IF(OR(T.50_Vetsuisse,T.ServiceCenterIrchel),ROUND(X14-X13+MAX(0,T.Nachtab-MAX(T.Nachtbis,X14))-MAX(0,T.Nachtab-MAX(X13,T.Nachtbis))+(X13&gt;X14)*(1+T.Nachtbis-T.Nachtab)+X16-X15+MAX(0,T.Nachtab-MAX(T.Nachtbis,X16))-MAX(0,T.Nachtab-MAX(X15,T.Nachtbis))+(X15&gt;X16)*(1+T.Nachtbis-T.Nachtab)+X18-X17+MAX(0,T.Nachtab-MAX(T.Nachtbis,X18))-MAX(0,T.Nachtab-MAX(X17,T.Nachtbis))+(X17&gt;X18)*(1+T.Nachtbis-T.Nachtab)+X20-X19+MAX(0,T.Nachtab-MAX(T.Nachtbis,X20))-MAX(0,T.Nachtab-MAX(X19,T.Nachtbis))+(X19&gt;X20)*(1+T.Nachtbis-T.Nachtab)+X22-X21+MAX(0,T.Nachtab-MAX(T.Nachtbis,X22))-MAX(0,T.Nachtab-MAX(X21,T.Nachtbis))+(X21&gt;X22)*(1+T.Nachtbis-T.Nachtab),9), IF(AND(WEEKDAY(X$10,2)&lt;6,X$11&lt;&gt;0),ROUND(X36-X35+MAX(0,T.Nachtab-MAX(T.Nachtbis,X36))-MAX(0,T.Nachtab-MAX(X35,T.Nachtbis))+(X35&gt;X36)*(1+T.Nachtbis-T.Nachtab)+X38-X37+MAX(0,T.Nachtab-MAX(T.Nachtbis,X38))-MAX(0,T.Nachtab-MAX(X37,T.Nachtbis))+(X37&gt;X38)*(1+T.Nachtbis-T.Nachtab)+X40-X39+MAX(0,T.Nachtab-MAX(T.Nachtbis,X40))-MAX(0,T.Nachtab-MAX(X39,T.Nachtbis))+(X39&gt;X40)*(1+T.Nachtbis-T.Nachtab)+X42-X41+MAX(0,T.Nachtab-MAX(T.Nachtbis,X42))-MAX(0,T.Nachtab-MAX(X41,T.Nachtbis))+(X41&gt;X42)*(1+T.Nachtbis-T.Nachtab)+X44-X43+MAX(0,T.Nachtab-MAX(T.Nachtbis,X44))-MAX(0,T.Nachtab-MAX(X43,T.Nachtbis))+(X43&gt;X44)*(1+T.Nachtbis-T.Nachtab),9),0)))</f>
        <v>0</v>
      </c>
      <c r="Y73" s="256" t="n">
        <f aca="false">IF(Y$12=0,0,IF(OR(T.50_Vetsuisse,T.ServiceCenterIrchel),ROUND(Y14-Y13+MAX(0,T.Nachtab-MAX(T.Nachtbis,Y14))-MAX(0,T.Nachtab-MAX(Y13,T.Nachtbis))+(Y13&gt;Y14)*(1+T.Nachtbis-T.Nachtab)+Y16-Y15+MAX(0,T.Nachtab-MAX(T.Nachtbis,Y16))-MAX(0,T.Nachtab-MAX(Y15,T.Nachtbis))+(Y15&gt;Y16)*(1+T.Nachtbis-T.Nachtab)+Y18-Y17+MAX(0,T.Nachtab-MAX(T.Nachtbis,Y18))-MAX(0,T.Nachtab-MAX(Y17,T.Nachtbis))+(Y17&gt;Y18)*(1+T.Nachtbis-T.Nachtab)+Y20-Y19+MAX(0,T.Nachtab-MAX(T.Nachtbis,Y20))-MAX(0,T.Nachtab-MAX(Y19,T.Nachtbis))+(Y19&gt;Y20)*(1+T.Nachtbis-T.Nachtab)+Y22-Y21+MAX(0,T.Nachtab-MAX(T.Nachtbis,Y22))-MAX(0,T.Nachtab-MAX(Y21,T.Nachtbis))+(Y21&gt;Y22)*(1+T.Nachtbis-T.Nachtab),9), IF(AND(WEEKDAY(Y$10,2)&lt;6,Y$11&lt;&gt;0),ROUND(Y36-Y35+MAX(0,T.Nachtab-MAX(T.Nachtbis,Y36))-MAX(0,T.Nachtab-MAX(Y35,T.Nachtbis))+(Y35&gt;Y36)*(1+T.Nachtbis-T.Nachtab)+Y38-Y37+MAX(0,T.Nachtab-MAX(T.Nachtbis,Y38))-MAX(0,T.Nachtab-MAX(Y37,T.Nachtbis))+(Y37&gt;Y38)*(1+T.Nachtbis-T.Nachtab)+Y40-Y39+MAX(0,T.Nachtab-MAX(T.Nachtbis,Y40))-MAX(0,T.Nachtab-MAX(Y39,T.Nachtbis))+(Y39&gt;Y40)*(1+T.Nachtbis-T.Nachtab)+Y42-Y41+MAX(0,T.Nachtab-MAX(T.Nachtbis,Y42))-MAX(0,T.Nachtab-MAX(Y41,T.Nachtbis))+(Y41&gt;Y42)*(1+T.Nachtbis-T.Nachtab)+Y44-Y43+MAX(0,T.Nachtab-MAX(T.Nachtbis,Y44))-MAX(0,T.Nachtab-MAX(Y43,T.Nachtbis))+(Y43&gt;Y44)*(1+T.Nachtbis-T.Nachtab),9),0)))</f>
        <v>0</v>
      </c>
      <c r="Z73" s="256" t="n">
        <f aca="false">IF(Z$12=0,0,IF(OR(T.50_Vetsuisse,T.ServiceCenterIrchel),ROUND(Z14-Z13+MAX(0,T.Nachtab-MAX(T.Nachtbis,Z14))-MAX(0,T.Nachtab-MAX(Z13,T.Nachtbis))+(Z13&gt;Z14)*(1+T.Nachtbis-T.Nachtab)+Z16-Z15+MAX(0,T.Nachtab-MAX(T.Nachtbis,Z16))-MAX(0,T.Nachtab-MAX(Z15,T.Nachtbis))+(Z15&gt;Z16)*(1+T.Nachtbis-T.Nachtab)+Z18-Z17+MAX(0,T.Nachtab-MAX(T.Nachtbis,Z18))-MAX(0,T.Nachtab-MAX(Z17,T.Nachtbis))+(Z17&gt;Z18)*(1+T.Nachtbis-T.Nachtab)+Z20-Z19+MAX(0,T.Nachtab-MAX(T.Nachtbis,Z20))-MAX(0,T.Nachtab-MAX(Z19,T.Nachtbis))+(Z19&gt;Z20)*(1+T.Nachtbis-T.Nachtab)+Z22-Z21+MAX(0,T.Nachtab-MAX(T.Nachtbis,Z22))-MAX(0,T.Nachtab-MAX(Z21,T.Nachtbis))+(Z21&gt;Z22)*(1+T.Nachtbis-T.Nachtab),9), IF(AND(WEEKDAY(Z$10,2)&lt;6,Z$11&lt;&gt;0),ROUND(Z36-Z35+MAX(0,T.Nachtab-MAX(T.Nachtbis,Z36))-MAX(0,T.Nachtab-MAX(Z35,T.Nachtbis))+(Z35&gt;Z36)*(1+T.Nachtbis-T.Nachtab)+Z38-Z37+MAX(0,T.Nachtab-MAX(T.Nachtbis,Z38))-MAX(0,T.Nachtab-MAX(Z37,T.Nachtbis))+(Z37&gt;Z38)*(1+T.Nachtbis-T.Nachtab)+Z40-Z39+MAX(0,T.Nachtab-MAX(T.Nachtbis,Z40))-MAX(0,T.Nachtab-MAX(Z39,T.Nachtbis))+(Z39&gt;Z40)*(1+T.Nachtbis-T.Nachtab)+Z42-Z41+MAX(0,T.Nachtab-MAX(T.Nachtbis,Z42))-MAX(0,T.Nachtab-MAX(Z41,T.Nachtbis))+(Z41&gt;Z42)*(1+T.Nachtbis-T.Nachtab)+Z44-Z43+MAX(0,T.Nachtab-MAX(T.Nachtbis,Z44))-MAX(0,T.Nachtab-MAX(Z43,T.Nachtbis))+(Z43&gt;Z44)*(1+T.Nachtbis-T.Nachtab),9),0)))</f>
        <v>0</v>
      </c>
      <c r="AA73" s="256" t="n">
        <f aca="false">IF(AA$12=0,0,IF(OR(T.50_Vetsuisse,T.ServiceCenterIrchel),ROUND(AA14-AA13+MAX(0,T.Nachtab-MAX(T.Nachtbis,AA14))-MAX(0,T.Nachtab-MAX(AA13,T.Nachtbis))+(AA13&gt;AA14)*(1+T.Nachtbis-T.Nachtab)+AA16-AA15+MAX(0,T.Nachtab-MAX(T.Nachtbis,AA16))-MAX(0,T.Nachtab-MAX(AA15,T.Nachtbis))+(AA15&gt;AA16)*(1+T.Nachtbis-T.Nachtab)+AA18-AA17+MAX(0,T.Nachtab-MAX(T.Nachtbis,AA18))-MAX(0,T.Nachtab-MAX(AA17,T.Nachtbis))+(AA17&gt;AA18)*(1+T.Nachtbis-T.Nachtab)+AA20-AA19+MAX(0,T.Nachtab-MAX(T.Nachtbis,AA20))-MAX(0,T.Nachtab-MAX(AA19,T.Nachtbis))+(AA19&gt;AA20)*(1+T.Nachtbis-T.Nachtab)+AA22-AA21+MAX(0,T.Nachtab-MAX(T.Nachtbis,AA22))-MAX(0,T.Nachtab-MAX(AA21,T.Nachtbis))+(AA21&gt;AA22)*(1+T.Nachtbis-T.Nachtab),9), IF(AND(WEEKDAY(AA$10,2)&lt;6,AA$11&lt;&gt;0),ROUND(AA36-AA35+MAX(0,T.Nachtab-MAX(T.Nachtbis,AA36))-MAX(0,T.Nachtab-MAX(AA35,T.Nachtbis))+(AA35&gt;AA36)*(1+T.Nachtbis-T.Nachtab)+AA38-AA37+MAX(0,T.Nachtab-MAX(T.Nachtbis,AA38))-MAX(0,T.Nachtab-MAX(AA37,T.Nachtbis))+(AA37&gt;AA38)*(1+T.Nachtbis-T.Nachtab)+AA40-AA39+MAX(0,T.Nachtab-MAX(T.Nachtbis,AA40))-MAX(0,T.Nachtab-MAX(AA39,T.Nachtbis))+(AA39&gt;AA40)*(1+T.Nachtbis-T.Nachtab)+AA42-AA41+MAX(0,T.Nachtab-MAX(T.Nachtbis,AA42))-MAX(0,T.Nachtab-MAX(AA41,T.Nachtbis))+(AA41&gt;AA42)*(1+T.Nachtbis-T.Nachtab)+AA44-AA43+MAX(0,T.Nachtab-MAX(T.Nachtbis,AA44))-MAX(0,T.Nachtab-MAX(AA43,T.Nachtbis))+(AA43&gt;AA44)*(1+T.Nachtbis-T.Nachtab),9),0)))</f>
        <v>0</v>
      </c>
      <c r="AB73" s="256" t="n">
        <f aca="false">IF(AB$12=0,0,IF(OR(T.50_Vetsuisse,T.ServiceCenterIrchel),ROUND(AB14-AB13+MAX(0,T.Nachtab-MAX(T.Nachtbis,AB14))-MAX(0,T.Nachtab-MAX(AB13,T.Nachtbis))+(AB13&gt;AB14)*(1+T.Nachtbis-T.Nachtab)+AB16-AB15+MAX(0,T.Nachtab-MAX(T.Nachtbis,AB16))-MAX(0,T.Nachtab-MAX(AB15,T.Nachtbis))+(AB15&gt;AB16)*(1+T.Nachtbis-T.Nachtab)+AB18-AB17+MAX(0,T.Nachtab-MAX(T.Nachtbis,AB18))-MAX(0,T.Nachtab-MAX(AB17,T.Nachtbis))+(AB17&gt;AB18)*(1+T.Nachtbis-T.Nachtab)+AB20-AB19+MAX(0,T.Nachtab-MAX(T.Nachtbis,AB20))-MAX(0,T.Nachtab-MAX(AB19,T.Nachtbis))+(AB19&gt;AB20)*(1+T.Nachtbis-T.Nachtab)+AB22-AB21+MAX(0,T.Nachtab-MAX(T.Nachtbis,AB22))-MAX(0,T.Nachtab-MAX(AB21,T.Nachtbis))+(AB21&gt;AB22)*(1+T.Nachtbis-T.Nachtab),9), IF(AND(WEEKDAY(AB$10,2)&lt;6,AB$11&lt;&gt;0),ROUND(AB36-AB35+MAX(0,T.Nachtab-MAX(T.Nachtbis,AB36))-MAX(0,T.Nachtab-MAX(AB35,T.Nachtbis))+(AB35&gt;AB36)*(1+T.Nachtbis-T.Nachtab)+AB38-AB37+MAX(0,T.Nachtab-MAX(T.Nachtbis,AB38))-MAX(0,T.Nachtab-MAX(AB37,T.Nachtbis))+(AB37&gt;AB38)*(1+T.Nachtbis-T.Nachtab)+AB40-AB39+MAX(0,T.Nachtab-MAX(T.Nachtbis,AB40))-MAX(0,T.Nachtab-MAX(AB39,T.Nachtbis))+(AB39&gt;AB40)*(1+T.Nachtbis-T.Nachtab)+AB42-AB41+MAX(0,T.Nachtab-MAX(T.Nachtbis,AB42))-MAX(0,T.Nachtab-MAX(AB41,T.Nachtbis))+(AB41&gt;AB42)*(1+T.Nachtbis-T.Nachtab)+AB44-AB43+MAX(0,T.Nachtab-MAX(T.Nachtbis,AB44))-MAX(0,T.Nachtab-MAX(AB43,T.Nachtbis))+(AB43&gt;AB44)*(1+T.Nachtbis-T.Nachtab),9),0)))</f>
        <v>0</v>
      </c>
      <c r="AC73" s="256" t="n">
        <f aca="false">IF(AC$12=0,0,IF(OR(T.50_Vetsuisse,T.ServiceCenterIrchel),ROUND(AC14-AC13+MAX(0,T.Nachtab-MAX(T.Nachtbis,AC14))-MAX(0,T.Nachtab-MAX(AC13,T.Nachtbis))+(AC13&gt;AC14)*(1+T.Nachtbis-T.Nachtab)+AC16-AC15+MAX(0,T.Nachtab-MAX(T.Nachtbis,AC16))-MAX(0,T.Nachtab-MAX(AC15,T.Nachtbis))+(AC15&gt;AC16)*(1+T.Nachtbis-T.Nachtab)+AC18-AC17+MAX(0,T.Nachtab-MAX(T.Nachtbis,AC18))-MAX(0,T.Nachtab-MAX(AC17,T.Nachtbis))+(AC17&gt;AC18)*(1+T.Nachtbis-T.Nachtab)+AC20-AC19+MAX(0,T.Nachtab-MAX(T.Nachtbis,AC20))-MAX(0,T.Nachtab-MAX(AC19,T.Nachtbis))+(AC19&gt;AC20)*(1+T.Nachtbis-T.Nachtab)+AC22-AC21+MAX(0,T.Nachtab-MAX(T.Nachtbis,AC22))-MAX(0,T.Nachtab-MAX(AC21,T.Nachtbis))+(AC21&gt;AC22)*(1+T.Nachtbis-T.Nachtab),9), IF(AND(WEEKDAY(AC$10,2)&lt;6,AC$11&lt;&gt;0),ROUND(AC36-AC35+MAX(0,T.Nachtab-MAX(T.Nachtbis,AC36))-MAX(0,T.Nachtab-MAX(AC35,T.Nachtbis))+(AC35&gt;AC36)*(1+T.Nachtbis-T.Nachtab)+AC38-AC37+MAX(0,T.Nachtab-MAX(T.Nachtbis,AC38))-MAX(0,T.Nachtab-MAX(AC37,T.Nachtbis))+(AC37&gt;AC38)*(1+T.Nachtbis-T.Nachtab)+AC40-AC39+MAX(0,T.Nachtab-MAX(T.Nachtbis,AC40))-MAX(0,T.Nachtab-MAX(AC39,T.Nachtbis))+(AC39&gt;AC40)*(1+T.Nachtbis-T.Nachtab)+AC42-AC41+MAX(0,T.Nachtab-MAX(T.Nachtbis,AC42))-MAX(0,T.Nachtab-MAX(AC41,T.Nachtbis))+(AC41&gt;AC42)*(1+T.Nachtbis-T.Nachtab)+AC44-AC43+MAX(0,T.Nachtab-MAX(T.Nachtbis,AC44))-MAX(0,T.Nachtab-MAX(AC43,T.Nachtbis))+(AC43&gt;AC44)*(1+T.Nachtbis-T.Nachtab),9),0)))</f>
        <v>0</v>
      </c>
      <c r="AD73" s="256" t="n">
        <f aca="false">IF(AD$12=0,0,IF(OR(T.50_Vetsuisse,T.ServiceCenterIrchel),ROUND(AD14-AD13+MAX(0,T.Nachtab-MAX(T.Nachtbis,AD14))-MAX(0,T.Nachtab-MAX(AD13,T.Nachtbis))+(AD13&gt;AD14)*(1+T.Nachtbis-T.Nachtab)+AD16-AD15+MAX(0,T.Nachtab-MAX(T.Nachtbis,AD16))-MAX(0,T.Nachtab-MAX(AD15,T.Nachtbis))+(AD15&gt;AD16)*(1+T.Nachtbis-T.Nachtab)+AD18-AD17+MAX(0,T.Nachtab-MAX(T.Nachtbis,AD18))-MAX(0,T.Nachtab-MAX(AD17,T.Nachtbis))+(AD17&gt;AD18)*(1+T.Nachtbis-T.Nachtab)+AD20-AD19+MAX(0,T.Nachtab-MAX(T.Nachtbis,AD20))-MAX(0,T.Nachtab-MAX(AD19,T.Nachtbis))+(AD19&gt;AD20)*(1+T.Nachtbis-T.Nachtab)+AD22-AD21+MAX(0,T.Nachtab-MAX(T.Nachtbis,AD22))-MAX(0,T.Nachtab-MAX(AD21,T.Nachtbis))+(AD21&gt;AD22)*(1+T.Nachtbis-T.Nachtab),9), IF(AND(WEEKDAY(AD$10,2)&lt;6,AD$11&lt;&gt;0),ROUND(AD36-AD35+MAX(0,T.Nachtab-MAX(T.Nachtbis,AD36))-MAX(0,T.Nachtab-MAX(AD35,T.Nachtbis))+(AD35&gt;AD36)*(1+T.Nachtbis-T.Nachtab)+AD38-AD37+MAX(0,T.Nachtab-MAX(T.Nachtbis,AD38))-MAX(0,T.Nachtab-MAX(AD37,T.Nachtbis))+(AD37&gt;AD38)*(1+T.Nachtbis-T.Nachtab)+AD40-AD39+MAX(0,T.Nachtab-MAX(T.Nachtbis,AD40))-MAX(0,T.Nachtab-MAX(AD39,T.Nachtbis))+(AD39&gt;AD40)*(1+T.Nachtbis-T.Nachtab)+AD42-AD41+MAX(0,T.Nachtab-MAX(T.Nachtbis,AD42))-MAX(0,T.Nachtab-MAX(AD41,T.Nachtbis))+(AD41&gt;AD42)*(1+T.Nachtbis-T.Nachtab)+AD44-AD43+MAX(0,T.Nachtab-MAX(T.Nachtbis,AD44))-MAX(0,T.Nachtab-MAX(AD43,T.Nachtbis))+(AD43&gt;AD44)*(1+T.Nachtbis-T.Nachtab),9),0)))</f>
        <v>0</v>
      </c>
      <c r="AE73" s="256" t="n">
        <f aca="false">IF(AE$12=0,0,IF(OR(T.50_Vetsuisse,T.ServiceCenterIrchel),ROUND(AE14-AE13+MAX(0,T.Nachtab-MAX(T.Nachtbis,AE14))-MAX(0,T.Nachtab-MAX(AE13,T.Nachtbis))+(AE13&gt;AE14)*(1+T.Nachtbis-T.Nachtab)+AE16-AE15+MAX(0,T.Nachtab-MAX(T.Nachtbis,AE16))-MAX(0,T.Nachtab-MAX(AE15,T.Nachtbis))+(AE15&gt;AE16)*(1+T.Nachtbis-T.Nachtab)+AE18-AE17+MAX(0,T.Nachtab-MAX(T.Nachtbis,AE18))-MAX(0,T.Nachtab-MAX(AE17,T.Nachtbis))+(AE17&gt;AE18)*(1+T.Nachtbis-T.Nachtab)+AE20-AE19+MAX(0,T.Nachtab-MAX(T.Nachtbis,AE20))-MAX(0,T.Nachtab-MAX(AE19,T.Nachtbis))+(AE19&gt;AE20)*(1+T.Nachtbis-T.Nachtab)+AE22-AE21+MAX(0,T.Nachtab-MAX(T.Nachtbis,AE22))-MAX(0,T.Nachtab-MAX(AE21,T.Nachtbis))+(AE21&gt;AE22)*(1+T.Nachtbis-T.Nachtab),9), IF(AND(WEEKDAY(AE$10,2)&lt;6,AE$11&lt;&gt;0),ROUND(AE36-AE35+MAX(0,T.Nachtab-MAX(T.Nachtbis,AE36))-MAX(0,T.Nachtab-MAX(AE35,T.Nachtbis))+(AE35&gt;AE36)*(1+T.Nachtbis-T.Nachtab)+AE38-AE37+MAX(0,T.Nachtab-MAX(T.Nachtbis,AE38))-MAX(0,T.Nachtab-MAX(AE37,T.Nachtbis))+(AE37&gt;AE38)*(1+T.Nachtbis-T.Nachtab)+AE40-AE39+MAX(0,T.Nachtab-MAX(T.Nachtbis,AE40))-MAX(0,T.Nachtab-MAX(AE39,T.Nachtbis))+(AE39&gt;AE40)*(1+T.Nachtbis-T.Nachtab)+AE42-AE41+MAX(0,T.Nachtab-MAX(T.Nachtbis,AE42))-MAX(0,T.Nachtab-MAX(AE41,T.Nachtbis))+(AE41&gt;AE42)*(1+T.Nachtbis-T.Nachtab)+AE44-AE43+MAX(0,T.Nachtab-MAX(T.Nachtbis,AE44))-MAX(0,T.Nachtab-MAX(AE43,T.Nachtbis))+(AE43&gt;AE44)*(1+T.Nachtbis-T.Nachtab),9),0)))</f>
        <v>0</v>
      </c>
      <c r="AF73" s="256" t="n">
        <f aca="false">IF(AF$12=0,0,IF(OR(T.50_Vetsuisse,T.ServiceCenterIrchel),ROUND(AF14-AF13+MAX(0,T.Nachtab-MAX(T.Nachtbis,AF14))-MAX(0,T.Nachtab-MAX(AF13,T.Nachtbis))+(AF13&gt;AF14)*(1+T.Nachtbis-T.Nachtab)+AF16-AF15+MAX(0,T.Nachtab-MAX(T.Nachtbis,AF16))-MAX(0,T.Nachtab-MAX(AF15,T.Nachtbis))+(AF15&gt;AF16)*(1+T.Nachtbis-T.Nachtab)+AF18-AF17+MAX(0,T.Nachtab-MAX(T.Nachtbis,AF18))-MAX(0,T.Nachtab-MAX(AF17,T.Nachtbis))+(AF17&gt;AF18)*(1+T.Nachtbis-T.Nachtab)+AF20-AF19+MAX(0,T.Nachtab-MAX(T.Nachtbis,AF20))-MAX(0,T.Nachtab-MAX(AF19,T.Nachtbis))+(AF19&gt;AF20)*(1+T.Nachtbis-T.Nachtab)+AF22-AF21+MAX(0,T.Nachtab-MAX(T.Nachtbis,AF22))-MAX(0,T.Nachtab-MAX(AF21,T.Nachtbis))+(AF21&gt;AF22)*(1+T.Nachtbis-T.Nachtab),9), IF(AND(WEEKDAY(AF$10,2)&lt;6,AF$11&lt;&gt;0),ROUND(AF36-AF35+MAX(0,T.Nachtab-MAX(T.Nachtbis,AF36))-MAX(0,T.Nachtab-MAX(AF35,T.Nachtbis))+(AF35&gt;AF36)*(1+T.Nachtbis-T.Nachtab)+AF38-AF37+MAX(0,T.Nachtab-MAX(T.Nachtbis,AF38))-MAX(0,T.Nachtab-MAX(AF37,T.Nachtbis))+(AF37&gt;AF38)*(1+T.Nachtbis-T.Nachtab)+AF40-AF39+MAX(0,T.Nachtab-MAX(T.Nachtbis,AF40))-MAX(0,T.Nachtab-MAX(AF39,T.Nachtbis))+(AF39&gt;AF40)*(1+T.Nachtbis-T.Nachtab)+AF42-AF41+MAX(0,T.Nachtab-MAX(T.Nachtbis,AF42))-MAX(0,T.Nachtab-MAX(AF41,T.Nachtbis))+(AF41&gt;AF42)*(1+T.Nachtbis-T.Nachtab)+AF44-AF43+MAX(0,T.Nachtab-MAX(T.Nachtbis,AF44))-MAX(0,T.Nachtab-MAX(AF43,T.Nachtbis))+(AF43&gt;AF44)*(1+T.Nachtbis-T.Nachtab),9),0)))</f>
        <v>0</v>
      </c>
      <c r="AG73" s="168" t="str">
        <f aca="false">A73</f>
        <v>Night shift</v>
      </c>
      <c r="AH73" s="197"/>
      <c r="AI73" s="207" t="n">
        <f aca="false">SUM(B73:AF73)</f>
        <v>0</v>
      </c>
      <c r="AJ73" s="198" t="n">
        <f aca="false">IF(OR(T.50_Vetsuisse,T.ServiceCenterIrchel),AI69, IFERROR(SUMPRODUCT((B77:AF77&gt;0)*(B77:AF77&lt;&gt;"")),0))</f>
        <v>0</v>
      </c>
      <c r="AK73" s="192"/>
      <c r="AL73" s="216" t="n">
        <f aca="false">IF(EB.Anwendung&lt;&gt;"",IF(MONTH(Monat.Tag1)=1,0,IF(MONTH(Monat.Tag1)=2,January!Monat.NDUeVM,IF(MONTH(Monat.Tag1)=3,February!Monat.NDUeVM,IF(MONTH(Monat.Tag1)=4,March!Monat.NDUeVM,IF(MONTH(Monat.Tag1)=5,April!Monat.NDUeVM,IF(MONTH(Monat.Tag1)=6,Monat.NDUeVM,IF(MONTH(Monat.Tag1)=7,June!Monat.NDUeVM,IF(MONTH(Monat.Tag1)=8,July!Monat.NDUeVM,IF(MONTH(Monat.Tag1)=9,August!Monat.NDUeVM,IF(MONTH(Monat.Tag1)=10,September!Monat.NDUeVM,IF(MONTH(Monat.Tag1)=11,October!Monat.NDUeVM,IF(MONTH(Monat.Tag1)=12,November!Monat.NDUeVM,"")))))))))))),"")</f>
        <v>0</v>
      </c>
      <c r="AM73" s="172"/>
      <c r="AN73" s="217" t="n">
        <f aca="false">AI73+AL73</f>
        <v>0</v>
      </c>
      <c r="AO73" s="171"/>
      <c r="AP73" s="171"/>
      <c r="AQ73" s="39"/>
    </row>
    <row r="74" s="148" customFormat="true" ht="3.75" hidden="true" customHeight="true" outlineLevel="0" collapsed="false">
      <c r="A74" s="186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179"/>
      <c r="AG74" s="168"/>
      <c r="AH74" s="146"/>
      <c r="AI74" s="179"/>
      <c r="AJ74" s="180"/>
      <c r="AK74" s="172"/>
      <c r="AL74" s="172"/>
      <c r="AM74" s="172"/>
      <c r="AN74" s="171"/>
      <c r="AO74" s="172"/>
      <c r="AP74" s="172"/>
      <c r="AQ74" s="39"/>
    </row>
    <row r="75" s="148" customFormat="true" ht="16.5" hidden="true" customHeight="true" outlineLevel="1" collapsed="false">
      <c r="A75" s="181" t="s">
        <v>160</v>
      </c>
      <c r="B75" s="182" t="n">
        <f aca="false">IF(B73&gt;0,ROUND(B73- IF(B13&lt;T.Nachtbis,MIN(T.Nachtbis-B13,B14-B13)+IF(B15&lt;T.Nachtbis,MIN(T.Nachtbis-B15,B16-B15)+IF(B17&lt;T.Nachtbis,MIN(T.Nachtbis-B17,B18-B17)+IF(B19&lt;T.Nachtbis,MIN(T.Nachtbis-B19,B20-B19)+IF(B21&lt;T.Nachtbis,MIN(T.Nachtbis-B21,B22-B21),0),0),0),0),0),9),0)</f>
        <v>0</v>
      </c>
      <c r="C75" s="182" t="n">
        <f aca="false">IF(C73&gt;0,ROUND(C73- IF(C13&lt;T.Nachtbis,MIN(T.Nachtbis-C13,C14-C13)+IF(C15&lt;T.Nachtbis,MIN(T.Nachtbis-C15,C16-C15)+IF(C17&lt;T.Nachtbis,MIN(T.Nachtbis-C17,C18-C17)+IF(C19&lt;T.Nachtbis,MIN(T.Nachtbis-C19,C20-C19)+IF(C21&lt;T.Nachtbis,MIN(T.Nachtbis-C21,C22-C21),0),0),0),0),0),9),0)</f>
        <v>0</v>
      </c>
      <c r="D75" s="182" t="n">
        <f aca="false">IF(D73&gt;0,ROUND(D73- IF(D13&lt;T.Nachtbis,MIN(T.Nachtbis-D13,D14-D13)+IF(D15&lt;T.Nachtbis,MIN(T.Nachtbis-D15,D16-D15)+IF(D17&lt;T.Nachtbis,MIN(T.Nachtbis-D17,D18-D17)+IF(D19&lt;T.Nachtbis,MIN(T.Nachtbis-D19,D20-D19)+IF(D21&lt;T.Nachtbis,MIN(T.Nachtbis-D21,D22-D21),0),0),0),0),0),9),0)</f>
        <v>0</v>
      </c>
      <c r="E75" s="182" t="n">
        <f aca="false">IF(E73&gt;0,ROUND(E73- IF(E13&lt;T.Nachtbis,MIN(T.Nachtbis-E13,E14-E13)+IF(E15&lt;T.Nachtbis,MIN(T.Nachtbis-E15,E16-E15)+IF(E17&lt;T.Nachtbis,MIN(T.Nachtbis-E17,E18-E17)+IF(E19&lt;T.Nachtbis,MIN(T.Nachtbis-E19,E20-E19)+IF(E21&lt;T.Nachtbis,MIN(T.Nachtbis-E21,E22-E21),0),0),0),0),0),9),0)</f>
        <v>0</v>
      </c>
      <c r="F75" s="182" t="n">
        <f aca="false">IF(F73&gt;0,ROUND(F73- IF(F13&lt;T.Nachtbis,MIN(T.Nachtbis-F13,F14-F13)+IF(F15&lt;T.Nachtbis,MIN(T.Nachtbis-F15,F16-F15)+IF(F17&lt;T.Nachtbis,MIN(T.Nachtbis-F17,F18-F17)+IF(F19&lt;T.Nachtbis,MIN(T.Nachtbis-F19,F20-F19)+IF(F21&lt;T.Nachtbis,MIN(T.Nachtbis-F21,F22-F21),0),0),0),0),0),9),0)</f>
        <v>0</v>
      </c>
      <c r="G75" s="182" t="n">
        <f aca="false">IF(G73&gt;0,ROUND(G73- IF(G13&lt;T.Nachtbis,MIN(T.Nachtbis-G13,G14-G13)+IF(G15&lt;T.Nachtbis,MIN(T.Nachtbis-G15,G16-G15)+IF(G17&lt;T.Nachtbis,MIN(T.Nachtbis-G17,G18-G17)+IF(G19&lt;T.Nachtbis,MIN(T.Nachtbis-G19,G20-G19)+IF(G21&lt;T.Nachtbis,MIN(T.Nachtbis-G21,G22-G21),0),0),0),0),0),9),0)</f>
        <v>0</v>
      </c>
      <c r="H75" s="182" t="n">
        <f aca="false">IF(H73&gt;0,ROUND(H73- IF(H13&lt;T.Nachtbis,MIN(T.Nachtbis-H13,H14-H13)+IF(H15&lt;T.Nachtbis,MIN(T.Nachtbis-H15,H16-H15)+IF(H17&lt;T.Nachtbis,MIN(T.Nachtbis-H17,H18-H17)+IF(H19&lt;T.Nachtbis,MIN(T.Nachtbis-H19,H20-H19)+IF(H21&lt;T.Nachtbis,MIN(T.Nachtbis-H21,H22-H21),0),0),0),0),0),9),0)</f>
        <v>0</v>
      </c>
      <c r="I75" s="182" t="n">
        <f aca="false">IF(I73&gt;0,ROUND(I73- IF(I13&lt;T.Nachtbis,MIN(T.Nachtbis-I13,I14-I13)+IF(I15&lt;T.Nachtbis,MIN(T.Nachtbis-I15,I16-I15)+IF(I17&lt;T.Nachtbis,MIN(T.Nachtbis-I17,I18-I17)+IF(I19&lt;T.Nachtbis,MIN(T.Nachtbis-I19,I20-I19)+IF(I21&lt;T.Nachtbis,MIN(T.Nachtbis-I21,I22-I21),0),0),0),0),0),9),0)</f>
        <v>0</v>
      </c>
      <c r="J75" s="182" t="n">
        <f aca="false">IF(J73&gt;0,ROUND(J73- IF(J13&lt;T.Nachtbis,MIN(T.Nachtbis-J13,J14-J13)+IF(J15&lt;T.Nachtbis,MIN(T.Nachtbis-J15,J16-J15)+IF(J17&lt;T.Nachtbis,MIN(T.Nachtbis-J17,J18-J17)+IF(J19&lt;T.Nachtbis,MIN(T.Nachtbis-J19,J20-J19)+IF(J21&lt;T.Nachtbis,MIN(T.Nachtbis-J21,J22-J21),0),0),0),0),0),9),0)</f>
        <v>0</v>
      </c>
      <c r="K75" s="182" t="n">
        <f aca="false">IF(K73&gt;0,ROUND(K73- IF(K13&lt;T.Nachtbis,MIN(T.Nachtbis-K13,K14-K13)+IF(K15&lt;T.Nachtbis,MIN(T.Nachtbis-K15,K16-K15)+IF(K17&lt;T.Nachtbis,MIN(T.Nachtbis-K17,K18-K17)+IF(K19&lt;T.Nachtbis,MIN(T.Nachtbis-K19,K20-K19)+IF(K21&lt;T.Nachtbis,MIN(T.Nachtbis-K21,K22-K21),0),0),0),0),0),9),0)</f>
        <v>0</v>
      </c>
      <c r="L75" s="182" t="n">
        <f aca="false">IF(L73&gt;0,ROUND(L73- IF(L13&lt;T.Nachtbis,MIN(T.Nachtbis-L13,L14-L13)+IF(L15&lt;T.Nachtbis,MIN(T.Nachtbis-L15,L16-L15)+IF(L17&lt;T.Nachtbis,MIN(T.Nachtbis-L17,L18-L17)+IF(L19&lt;T.Nachtbis,MIN(T.Nachtbis-L19,L20-L19)+IF(L21&lt;T.Nachtbis,MIN(T.Nachtbis-L21,L22-L21),0),0),0),0),0),9),0)</f>
        <v>0</v>
      </c>
      <c r="M75" s="182" t="n">
        <f aca="false">IF(M73&gt;0,ROUND(M73- IF(M13&lt;T.Nachtbis,MIN(T.Nachtbis-M13,M14-M13)+IF(M15&lt;T.Nachtbis,MIN(T.Nachtbis-M15,M16-M15)+IF(M17&lt;T.Nachtbis,MIN(T.Nachtbis-M17,M18-M17)+IF(M19&lt;T.Nachtbis,MIN(T.Nachtbis-M19,M20-M19)+IF(M21&lt;T.Nachtbis,MIN(T.Nachtbis-M21,M22-M21),0),0),0),0),0),9),0)</f>
        <v>0</v>
      </c>
      <c r="N75" s="182" t="n">
        <f aca="false">IF(N73&gt;0,ROUND(N73- IF(N13&lt;T.Nachtbis,MIN(T.Nachtbis-N13,N14-N13)+IF(N15&lt;T.Nachtbis,MIN(T.Nachtbis-N15,N16-N15)+IF(N17&lt;T.Nachtbis,MIN(T.Nachtbis-N17,N18-N17)+IF(N19&lt;T.Nachtbis,MIN(T.Nachtbis-N19,N20-N19)+IF(N21&lt;T.Nachtbis,MIN(T.Nachtbis-N21,N22-N21),0),0),0),0),0),9),0)</f>
        <v>0</v>
      </c>
      <c r="O75" s="182" t="n">
        <f aca="false">IF(O73&gt;0,ROUND(O73- IF(O13&lt;T.Nachtbis,MIN(T.Nachtbis-O13,O14-O13)+IF(O15&lt;T.Nachtbis,MIN(T.Nachtbis-O15,O16-O15)+IF(O17&lt;T.Nachtbis,MIN(T.Nachtbis-O17,O18-O17)+IF(O19&lt;T.Nachtbis,MIN(T.Nachtbis-O19,O20-O19)+IF(O21&lt;T.Nachtbis,MIN(T.Nachtbis-O21,O22-O21),0),0),0),0),0),9),0)</f>
        <v>0</v>
      </c>
      <c r="P75" s="182" t="n">
        <f aca="false">IF(P73&gt;0,ROUND(P73- IF(P13&lt;T.Nachtbis,MIN(T.Nachtbis-P13,P14-P13)+IF(P15&lt;T.Nachtbis,MIN(T.Nachtbis-P15,P16-P15)+IF(P17&lt;T.Nachtbis,MIN(T.Nachtbis-P17,P18-P17)+IF(P19&lt;T.Nachtbis,MIN(T.Nachtbis-P19,P20-P19)+IF(P21&lt;T.Nachtbis,MIN(T.Nachtbis-P21,P22-P21),0),0),0),0),0),9),0)</f>
        <v>0</v>
      </c>
      <c r="Q75" s="182" t="n">
        <f aca="false">IF(Q73&gt;0,ROUND(Q73- IF(Q13&lt;T.Nachtbis,MIN(T.Nachtbis-Q13,Q14-Q13)+IF(Q15&lt;T.Nachtbis,MIN(T.Nachtbis-Q15,Q16-Q15)+IF(Q17&lt;T.Nachtbis,MIN(T.Nachtbis-Q17,Q18-Q17)+IF(Q19&lt;T.Nachtbis,MIN(T.Nachtbis-Q19,Q20-Q19)+IF(Q21&lt;T.Nachtbis,MIN(T.Nachtbis-Q21,Q22-Q21),0),0),0),0),0),9),0)</f>
        <v>0</v>
      </c>
      <c r="R75" s="182" t="n">
        <f aca="false">IF(R73&gt;0,ROUND(R73- IF(R13&lt;T.Nachtbis,MIN(T.Nachtbis-R13,R14-R13)+IF(R15&lt;T.Nachtbis,MIN(T.Nachtbis-R15,R16-R15)+IF(R17&lt;T.Nachtbis,MIN(T.Nachtbis-R17,R18-R17)+IF(R19&lt;T.Nachtbis,MIN(T.Nachtbis-R19,R20-R19)+IF(R21&lt;T.Nachtbis,MIN(T.Nachtbis-R21,R22-R21),0),0),0),0),0),9),0)</f>
        <v>0</v>
      </c>
      <c r="S75" s="182" t="n">
        <f aca="false">IF(S73&gt;0,ROUND(S73- IF(S13&lt;T.Nachtbis,MIN(T.Nachtbis-S13,S14-S13)+IF(S15&lt;T.Nachtbis,MIN(T.Nachtbis-S15,S16-S15)+IF(S17&lt;T.Nachtbis,MIN(T.Nachtbis-S17,S18-S17)+IF(S19&lt;T.Nachtbis,MIN(T.Nachtbis-S19,S20-S19)+IF(S21&lt;T.Nachtbis,MIN(T.Nachtbis-S21,S22-S21),0),0),0),0),0),9),0)</f>
        <v>0</v>
      </c>
      <c r="T75" s="182" t="n">
        <f aca="false">IF(T73&gt;0,ROUND(T73- IF(T13&lt;T.Nachtbis,MIN(T.Nachtbis-T13,T14-T13)+IF(T15&lt;T.Nachtbis,MIN(T.Nachtbis-T15,T16-T15)+IF(T17&lt;T.Nachtbis,MIN(T.Nachtbis-T17,T18-T17)+IF(T19&lt;T.Nachtbis,MIN(T.Nachtbis-T19,T20-T19)+IF(T21&lt;T.Nachtbis,MIN(T.Nachtbis-T21,T22-T21),0),0),0),0),0),9),0)</f>
        <v>0</v>
      </c>
      <c r="U75" s="182" t="n">
        <f aca="false">IF(U73&gt;0,ROUND(U73- IF(U13&lt;T.Nachtbis,MIN(T.Nachtbis-U13,U14-U13)+IF(U15&lt;T.Nachtbis,MIN(T.Nachtbis-U15,U16-U15)+IF(U17&lt;T.Nachtbis,MIN(T.Nachtbis-U17,U18-U17)+IF(U19&lt;T.Nachtbis,MIN(T.Nachtbis-U19,U20-U19)+IF(U21&lt;T.Nachtbis,MIN(T.Nachtbis-U21,U22-U21),0),0),0),0),0),9),0)</f>
        <v>0</v>
      </c>
      <c r="V75" s="182" t="n">
        <f aca="false">IF(V73&gt;0,ROUND(V73- IF(V13&lt;T.Nachtbis,MIN(T.Nachtbis-V13,V14-V13)+IF(V15&lt;T.Nachtbis,MIN(T.Nachtbis-V15,V16-V15)+IF(V17&lt;T.Nachtbis,MIN(T.Nachtbis-V17,V18-V17)+IF(V19&lt;T.Nachtbis,MIN(T.Nachtbis-V19,V20-V19)+IF(V21&lt;T.Nachtbis,MIN(T.Nachtbis-V21,V22-V21),0),0),0),0),0),9),0)</f>
        <v>0</v>
      </c>
      <c r="W75" s="182" t="n">
        <f aca="false">IF(W73&gt;0,ROUND(W73- IF(W13&lt;T.Nachtbis,MIN(T.Nachtbis-W13,W14-W13)+IF(W15&lt;T.Nachtbis,MIN(T.Nachtbis-W15,W16-W15)+IF(W17&lt;T.Nachtbis,MIN(T.Nachtbis-W17,W18-W17)+IF(W19&lt;T.Nachtbis,MIN(T.Nachtbis-W19,W20-W19)+IF(W21&lt;T.Nachtbis,MIN(T.Nachtbis-W21,W22-W21),0),0),0),0),0),9),0)</f>
        <v>0</v>
      </c>
      <c r="X75" s="182" t="n">
        <f aca="false">IF(X73&gt;0,ROUND(X73- IF(X13&lt;T.Nachtbis,MIN(T.Nachtbis-X13,X14-X13)+IF(X15&lt;T.Nachtbis,MIN(T.Nachtbis-X15,X16-X15)+IF(X17&lt;T.Nachtbis,MIN(T.Nachtbis-X17,X18-X17)+IF(X19&lt;T.Nachtbis,MIN(T.Nachtbis-X19,X20-X19)+IF(X21&lt;T.Nachtbis,MIN(T.Nachtbis-X21,X22-X21),0),0),0),0),0),9),0)</f>
        <v>0</v>
      </c>
      <c r="Y75" s="182" t="n">
        <f aca="false">IF(Y73&gt;0,ROUND(Y73- IF(Y13&lt;T.Nachtbis,MIN(T.Nachtbis-Y13,Y14-Y13)+IF(Y15&lt;T.Nachtbis,MIN(T.Nachtbis-Y15,Y16-Y15)+IF(Y17&lt;T.Nachtbis,MIN(T.Nachtbis-Y17,Y18-Y17)+IF(Y19&lt;T.Nachtbis,MIN(T.Nachtbis-Y19,Y20-Y19)+IF(Y21&lt;T.Nachtbis,MIN(T.Nachtbis-Y21,Y22-Y21),0),0),0),0),0),9),0)</f>
        <v>0</v>
      </c>
      <c r="Z75" s="182" t="n">
        <f aca="false">IF(Z73&gt;0,ROUND(Z73- IF(Z13&lt;T.Nachtbis,MIN(T.Nachtbis-Z13,Z14-Z13)+IF(Z15&lt;T.Nachtbis,MIN(T.Nachtbis-Z15,Z16-Z15)+IF(Z17&lt;T.Nachtbis,MIN(T.Nachtbis-Z17,Z18-Z17)+IF(Z19&lt;T.Nachtbis,MIN(T.Nachtbis-Z19,Z20-Z19)+IF(Z21&lt;T.Nachtbis,MIN(T.Nachtbis-Z21,Z22-Z21),0),0),0),0),0),9),0)</f>
        <v>0</v>
      </c>
      <c r="AA75" s="182" t="n">
        <f aca="false">IF(AA73&gt;0,ROUND(AA73- IF(AA13&lt;T.Nachtbis,MIN(T.Nachtbis-AA13,AA14-AA13)+IF(AA15&lt;T.Nachtbis,MIN(T.Nachtbis-AA15,AA16-AA15)+IF(AA17&lt;T.Nachtbis,MIN(T.Nachtbis-AA17,AA18-AA17)+IF(AA19&lt;T.Nachtbis,MIN(T.Nachtbis-AA19,AA20-AA19)+IF(AA21&lt;T.Nachtbis,MIN(T.Nachtbis-AA21,AA22-AA21),0),0),0),0),0),9),0)</f>
        <v>0</v>
      </c>
      <c r="AB75" s="182" t="n">
        <f aca="false">IF(AB73&gt;0,ROUND(AB73- IF(AB13&lt;T.Nachtbis,MIN(T.Nachtbis-AB13,AB14-AB13)+IF(AB15&lt;T.Nachtbis,MIN(T.Nachtbis-AB15,AB16-AB15)+IF(AB17&lt;T.Nachtbis,MIN(T.Nachtbis-AB17,AB18-AB17)+IF(AB19&lt;T.Nachtbis,MIN(T.Nachtbis-AB19,AB20-AB19)+IF(AB21&lt;T.Nachtbis,MIN(T.Nachtbis-AB21,AB22-AB21),0),0),0),0),0),9),0)</f>
        <v>0</v>
      </c>
      <c r="AC75" s="182" t="n">
        <f aca="false">IF(AC73&gt;0,ROUND(AC73- IF(AC13&lt;T.Nachtbis,MIN(T.Nachtbis-AC13,AC14-AC13)+IF(AC15&lt;T.Nachtbis,MIN(T.Nachtbis-AC15,AC16-AC15)+IF(AC17&lt;T.Nachtbis,MIN(T.Nachtbis-AC17,AC18-AC17)+IF(AC19&lt;T.Nachtbis,MIN(T.Nachtbis-AC19,AC20-AC19)+IF(AC21&lt;T.Nachtbis,MIN(T.Nachtbis-AC21,AC22-AC21),0),0),0),0),0),9),0)</f>
        <v>0</v>
      </c>
      <c r="AD75" s="182" t="n">
        <f aca="false">IF(AD73&gt;0,ROUND(AD73- IF(AD13&lt;T.Nachtbis,MIN(T.Nachtbis-AD13,AD14-AD13)+IF(AD15&lt;T.Nachtbis,MIN(T.Nachtbis-AD15,AD16-AD15)+IF(AD17&lt;T.Nachtbis,MIN(T.Nachtbis-AD17,AD18-AD17)+IF(AD19&lt;T.Nachtbis,MIN(T.Nachtbis-AD19,AD20-AD19)+IF(AD21&lt;T.Nachtbis,MIN(T.Nachtbis-AD21,AD22-AD21),0),0),0),0),0),9),0)</f>
        <v>0</v>
      </c>
      <c r="AE75" s="182" t="n">
        <f aca="false">IF(AE73&gt;0,ROUND(AE73- IF(AE13&lt;T.Nachtbis,MIN(T.Nachtbis-AE13,AE14-AE13)+IF(AE15&lt;T.Nachtbis,MIN(T.Nachtbis-AE15,AE16-AE15)+IF(AE17&lt;T.Nachtbis,MIN(T.Nachtbis-AE17,AE18-AE17)+IF(AE19&lt;T.Nachtbis,MIN(T.Nachtbis-AE19,AE20-AE19)+IF(AE21&lt;T.Nachtbis,MIN(T.Nachtbis-AE21,AE22-AE21),0),0),0),0),0),9),0)</f>
        <v>0</v>
      </c>
      <c r="AF75" s="182" t="n">
        <f aca="false">IF(AF73&gt;0,ROUND(AF73- IF(AF13&lt;T.Nachtbis,MIN(T.Nachtbis-AF13,AF14-AF13)+IF(AF15&lt;T.Nachtbis,MIN(T.Nachtbis-AF15,AF16-AF15)+IF(AF17&lt;T.Nachtbis,MIN(T.Nachtbis-AF17,AF18-AF17)+IF(AF19&lt;T.Nachtbis,MIN(T.Nachtbis-AF19,AF20-AF19)+IF(AF21&lt;T.Nachtbis,MIN(T.Nachtbis-AF21,AF22-AF21),0),0),0),0),0),9),0)</f>
        <v>0</v>
      </c>
      <c r="AG75" s="183" t="str">
        <f aca="false">A75</f>
        <v>Total NS hours today</v>
      </c>
      <c r="AH75" s="146"/>
      <c r="AI75" s="179"/>
      <c r="AJ75" s="180"/>
      <c r="AK75" s="172"/>
      <c r="AL75" s="172"/>
      <c r="AM75" s="172"/>
      <c r="AN75" s="171"/>
      <c r="AO75" s="172"/>
      <c r="AP75" s="172"/>
      <c r="AQ75" s="39"/>
    </row>
    <row r="76" s="148" customFormat="true" ht="16.5" hidden="true" customHeight="true" outlineLevel="1" collapsed="false">
      <c r="A76" s="181" t="s">
        <v>161</v>
      </c>
      <c r="B76" s="193" t="n">
        <f aca="false">B73-B75</f>
        <v>0</v>
      </c>
      <c r="C76" s="193" t="n">
        <f aca="false">C73-C75</f>
        <v>0</v>
      </c>
      <c r="D76" s="193" t="n">
        <f aca="false">D73-D75</f>
        <v>0</v>
      </c>
      <c r="E76" s="193" t="n">
        <f aca="false">E73-E75</f>
        <v>0</v>
      </c>
      <c r="F76" s="193" t="n">
        <f aca="false">F73-F75</f>
        <v>0</v>
      </c>
      <c r="G76" s="193" t="n">
        <f aca="false">G73-G75</f>
        <v>0</v>
      </c>
      <c r="H76" s="193" t="n">
        <f aca="false">H73-H75</f>
        <v>0</v>
      </c>
      <c r="I76" s="193" t="n">
        <f aca="false">I73-I75</f>
        <v>0</v>
      </c>
      <c r="J76" s="193" t="n">
        <f aca="false">J73-J75</f>
        <v>0</v>
      </c>
      <c r="K76" s="193" t="n">
        <f aca="false">K73-K75</f>
        <v>0</v>
      </c>
      <c r="L76" s="193" t="n">
        <f aca="false">L73-L75</f>
        <v>0</v>
      </c>
      <c r="M76" s="193" t="n">
        <f aca="false">M73-M75</f>
        <v>0</v>
      </c>
      <c r="N76" s="193" t="n">
        <f aca="false">N73-N75</f>
        <v>0</v>
      </c>
      <c r="O76" s="193" t="n">
        <f aca="false">O73-O75</f>
        <v>0</v>
      </c>
      <c r="P76" s="193" t="n">
        <f aca="false">P73-P75</f>
        <v>0</v>
      </c>
      <c r="Q76" s="193" t="n">
        <f aca="false">Q73-Q75</f>
        <v>0</v>
      </c>
      <c r="R76" s="193" t="n">
        <f aca="false">R73-R75</f>
        <v>0</v>
      </c>
      <c r="S76" s="193" t="n">
        <f aca="false">S73-S75</f>
        <v>0</v>
      </c>
      <c r="T76" s="193" t="n">
        <f aca="false">T73-T75</f>
        <v>0</v>
      </c>
      <c r="U76" s="193" t="n">
        <f aca="false">U73-U75</f>
        <v>0</v>
      </c>
      <c r="V76" s="193" t="n">
        <f aca="false">V73-V75</f>
        <v>0</v>
      </c>
      <c r="W76" s="193" t="n">
        <f aca="false">W73-W75</f>
        <v>0</v>
      </c>
      <c r="X76" s="193" t="n">
        <f aca="false">X73-X75</f>
        <v>0</v>
      </c>
      <c r="Y76" s="193" t="n">
        <f aca="false">Y73-Y75</f>
        <v>0</v>
      </c>
      <c r="Z76" s="193" t="n">
        <f aca="false">Z73-Z75</f>
        <v>0</v>
      </c>
      <c r="AA76" s="193" t="n">
        <f aca="false">AA73-AA75</f>
        <v>0</v>
      </c>
      <c r="AB76" s="193" t="n">
        <f aca="false">AB73-AB75</f>
        <v>0</v>
      </c>
      <c r="AC76" s="193" t="n">
        <f aca="false">AC73-AC75</f>
        <v>0</v>
      </c>
      <c r="AD76" s="193" t="n">
        <f aca="false">AD73-AD75</f>
        <v>0</v>
      </c>
      <c r="AE76" s="193" t="n">
        <f aca="false">AE73-AE75</f>
        <v>0</v>
      </c>
      <c r="AF76" s="193" t="n">
        <f aca="false">AF73-AF75</f>
        <v>0</v>
      </c>
      <c r="AG76" s="183" t="str">
        <f aca="false">A76</f>
        <v>Total NS hours yesterday</v>
      </c>
      <c r="AH76" s="146"/>
      <c r="AI76" s="179"/>
      <c r="AJ76" s="180"/>
      <c r="AK76" s="172"/>
      <c r="AL76" s="172"/>
      <c r="AM76" s="199" t="n">
        <f aca="false">IF(EB.Anwendung&lt;&gt;"",IF(MONTH(Monat.Tag1)=12,0,IF(MONTH(Monat.Tag1)=1,February!Monat.NDgesternTag1,IF(MONTH(Monat.Tag1)=2,March!Monat.NDgesternTag1,IF(MONTH(Monat.Tag1)=3,April!Monat.NDgesternTag1,IF(MONTH(Monat.Tag1)=4,Monat.NDgesternTag1,IF(MONTH(Monat.Tag1)=5,June!Monat.NDgesternTag1,IF(MONTH(Monat.Tag1)=6,July!Monat.NDgesternTag1,IF(MONTH(Monat.Tag1)=7,August!Monat.NDgesternTag1,IF(MONTH(Monat.Tag1)=8,September!Monat.NDgesternTag1,IF(MONTH(Monat.Tag1)=9,October!Monat.NDgesternTag1,IF(MONTH(Monat.Tag1)=10,November!Monat.NDgesternTag1,IF(MONTH(Monat.Tag1)=11,December!Monat.NDgesternTag1,"")))))))))))),"")</f>
        <v>0</v>
      </c>
      <c r="AN76" s="171"/>
      <c r="AO76" s="172"/>
      <c r="AP76" s="172"/>
      <c r="AQ76" s="39"/>
    </row>
    <row r="77" s="148" customFormat="true" ht="16.5" hidden="true" customHeight="true" outlineLevel="1" collapsed="false">
      <c r="A77" s="181" t="s">
        <v>162</v>
      </c>
      <c r="B77" s="182" t="n">
        <f aca="false">B75+IF(B$10=EOMONTH(B$10,0),$AM76,C76)</f>
        <v>0</v>
      </c>
      <c r="C77" s="182" t="n">
        <f aca="false">C75+IF(C$10=EOMONTH(C$10,0),$AM76,D76)</f>
        <v>0</v>
      </c>
      <c r="D77" s="182" t="n">
        <f aca="false">D75+IF(D$10=EOMONTH(D$10,0),$AM76,E76)</f>
        <v>0</v>
      </c>
      <c r="E77" s="182" t="n">
        <f aca="false">E75+IF(E$10=EOMONTH(E$10,0),$AM76,F76)</f>
        <v>0</v>
      </c>
      <c r="F77" s="182" t="n">
        <f aca="false">F75+IF(F$10=EOMONTH(F$10,0),$AM76,G76)</f>
        <v>0</v>
      </c>
      <c r="G77" s="182" t="n">
        <f aca="false">G75+IF(G$10=EOMONTH(G$10,0),$AM76,H76)</f>
        <v>0</v>
      </c>
      <c r="H77" s="182" t="n">
        <f aca="false">H75+IF(H$10=EOMONTH(H$10,0),$AM76,I76)</f>
        <v>0</v>
      </c>
      <c r="I77" s="182" t="n">
        <f aca="false">I75+IF(I$10=EOMONTH(I$10,0),$AM76,J76)</f>
        <v>0</v>
      </c>
      <c r="J77" s="182" t="n">
        <f aca="false">J75+IF(J$10=EOMONTH(J$10,0),$AM76,K76)</f>
        <v>0</v>
      </c>
      <c r="K77" s="182" t="n">
        <f aca="false">K75+IF(K$10=EOMONTH(K$10,0),$AM76,L76)</f>
        <v>0</v>
      </c>
      <c r="L77" s="182" t="n">
        <f aca="false">L75+IF(L$10=EOMONTH(L$10,0),$AM76,M76)</f>
        <v>0</v>
      </c>
      <c r="M77" s="182" t="n">
        <f aca="false">M75+IF(M$10=EOMONTH(M$10,0),$AM76,N76)</f>
        <v>0</v>
      </c>
      <c r="N77" s="182" t="n">
        <f aca="false">N75+IF(N$10=EOMONTH(N$10,0),$AM76,O76)</f>
        <v>0</v>
      </c>
      <c r="O77" s="182" t="n">
        <f aca="false">O75+IF(O$10=EOMONTH(O$10,0),$AM76,P76)</f>
        <v>0</v>
      </c>
      <c r="P77" s="182" t="n">
        <f aca="false">P75+IF(P$10=EOMONTH(P$10,0),$AM76,Q76)</f>
        <v>0</v>
      </c>
      <c r="Q77" s="182" t="n">
        <f aca="false">Q75+IF(Q$10=EOMONTH(Q$10,0),$AM76,R76)</f>
        <v>0</v>
      </c>
      <c r="R77" s="182" t="n">
        <f aca="false">R75+IF(R$10=EOMONTH(R$10,0),$AM76,S76)</f>
        <v>0</v>
      </c>
      <c r="S77" s="182" t="n">
        <f aca="false">S75+IF(S$10=EOMONTH(S$10,0),$AM76,T76)</f>
        <v>0</v>
      </c>
      <c r="T77" s="182" t="n">
        <f aca="false">T75+IF(T$10=EOMONTH(T$10,0),$AM76,U76)</f>
        <v>0</v>
      </c>
      <c r="U77" s="182" t="n">
        <f aca="false">U75+IF(U$10=EOMONTH(U$10,0),$AM76,V76)</f>
        <v>0</v>
      </c>
      <c r="V77" s="182" t="n">
        <f aca="false">V75+IF(V$10=EOMONTH(V$10,0),$AM76,W76)</f>
        <v>0</v>
      </c>
      <c r="W77" s="182" t="n">
        <f aca="false">W75+IF(W$10=EOMONTH(W$10,0),$AM76,X76)</f>
        <v>0</v>
      </c>
      <c r="X77" s="182" t="n">
        <f aca="false">X75+IF(X$10=EOMONTH(X$10,0),$AM76,Y76)</f>
        <v>0</v>
      </c>
      <c r="Y77" s="182" t="n">
        <f aca="false">Y75+IF(Y$10=EOMONTH(Y$10,0),$AM76,Z76)</f>
        <v>0</v>
      </c>
      <c r="Z77" s="182" t="n">
        <f aca="false">Z75+IF(Z$10=EOMONTH(Z$10,0),$AM76,AA76)</f>
        <v>0</v>
      </c>
      <c r="AA77" s="182" t="n">
        <f aca="false">AA75+IF(AA$10=EOMONTH(AA$10,0),$AM76,AB76)</f>
        <v>0</v>
      </c>
      <c r="AB77" s="182" t="n">
        <f aca="false">AB75+IF(AB$10=EOMONTH(AB$10,0),$AM76,AC76)</f>
        <v>0</v>
      </c>
      <c r="AC77" s="182" t="n">
        <f aca="false">AC75+IF(AC$10=EOMONTH(AC$10,0),$AM76,AD76)</f>
        <v>0</v>
      </c>
      <c r="AD77" s="182" t="n">
        <f aca="false">AD75+IF(AD$10=EOMONTH(AD$10,0),$AM76,AE76)</f>
        <v>0</v>
      </c>
      <c r="AE77" s="182" t="n">
        <f aca="false">AE75+IF(AE$10=EOMONTH(AE$10,0),$AM76,AF76)</f>
        <v>0</v>
      </c>
      <c r="AF77" s="182" t="n">
        <f aca="false">AF75+IF(AF$10=EOMONTH(AF$10,0),$AM76,AG76)</f>
        <v>0</v>
      </c>
      <c r="AG77" s="183" t="str">
        <f aca="false">A77</f>
        <v>Total NS hours</v>
      </c>
      <c r="AH77" s="184"/>
      <c r="AI77" s="185" t="n">
        <f aca="false">SUM(B77:AF77)</f>
        <v>0</v>
      </c>
      <c r="AJ77" s="180"/>
      <c r="AK77" s="172"/>
      <c r="AL77" s="172"/>
      <c r="AM77" s="172"/>
      <c r="AN77" s="171"/>
      <c r="AO77" s="172"/>
      <c r="AP77" s="172"/>
      <c r="AQ77" s="39"/>
    </row>
    <row r="78" s="148" customFormat="true" ht="3.75" hidden="true" customHeight="true" outlineLevel="0" collapsed="false">
      <c r="A78" s="186"/>
      <c r="B78" s="187"/>
      <c r="C78" s="187"/>
      <c r="D78" s="187"/>
      <c r="E78" s="187"/>
      <c r="F78" s="187"/>
      <c r="G78" s="187"/>
      <c r="H78" s="187"/>
      <c r="I78" s="187"/>
      <c r="J78" s="187"/>
      <c r="K78" s="187"/>
      <c r="L78" s="187"/>
      <c r="M78" s="187"/>
      <c r="N78" s="187"/>
      <c r="O78" s="187"/>
      <c r="P78" s="187"/>
      <c r="Q78" s="187"/>
      <c r="R78" s="187"/>
      <c r="S78" s="187"/>
      <c r="T78" s="187"/>
      <c r="U78" s="187"/>
      <c r="V78" s="187"/>
      <c r="W78" s="187"/>
      <c r="X78" s="187"/>
      <c r="Y78" s="187"/>
      <c r="Z78" s="187"/>
      <c r="AA78" s="187"/>
      <c r="AB78" s="187"/>
      <c r="AC78" s="187"/>
      <c r="AD78" s="187"/>
      <c r="AE78" s="187"/>
      <c r="AF78" s="188"/>
      <c r="AG78" s="168"/>
      <c r="AH78" s="202"/>
      <c r="AI78" s="188"/>
      <c r="AJ78" s="180"/>
      <c r="AK78" s="172"/>
      <c r="AL78" s="172"/>
      <c r="AM78" s="172"/>
      <c r="AN78" s="171"/>
      <c r="AO78" s="172"/>
      <c r="AP78" s="172"/>
      <c r="AQ78" s="39"/>
    </row>
    <row r="79" s="148" customFormat="true" ht="15" hidden="true" customHeight="true" outlineLevel="1" collapsed="false">
      <c r="A79" s="175" t="s">
        <v>84</v>
      </c>
      <c r="B79" s="256" t="n">
        <f aca="false">IF(AND(T.50_Vetsuisse,B70&gt;24),ROUND(B73*T.50_VetsuisseZZSND,9), IF(AND(T.ServiceCenterIrchel,B69&gt;0,B77&gt;=ROUND(1/24*8,9)),ROUND(B77*T.ServiceCenterIrchelZZSND,9),))</f>
        <v>0</v>
      </c>
      <c r="C79" s="256" t="n">
        <f aca="false">IF(AND(T.50_Vetsuisse,C70&gt;24),ROUND(C73*T.50_VetsuisseZZSND,9), IF(AND(T.ServiceCenterIrchel,C69&gt;0,C77&gt;=ROUND(1/24*8,9)),ROUND(C77*T.ServiceCenterIrchelZZSND,9),))</f>
        <v>0</v>
      </c>
      <c r="D79" s="256" t="n">
        <f aca="false">IF(AND(T.50_Vetsuisse,D70&gt;24),ROUND(D73*T.50_VetsuisseZZSND,9), IF(AND(T.ServiceCenterIrchel,D69&gt;0,D77&gt;=ROUND(1/24*8,9)),ROUND(D77*T.ServiceCenterIrchelZZSND,9),))</f>
        <v>0</v>
      </c>
      <c r="E79" s="256" t="n">
        <f aca="false">IF(AND(T.50_Vetsuisse,E70&gt;24),ROUND(E73*T.50_VetsuisseZZSND,9), IF(AND(T.ServiceCenterIrchel,E69&gt;0,E77&gt;=ROUND(1/24*8,9)),ROUND(E77*T.ServiceCenterIrchelZZSND,9),))</f>
        <v>0</v>
      </c>
      <c r="F79" s="256" t="n">
        <f aca="false">IF(AND(T.50_Vetsuisse,F70&gt;24),ROUND(F73*T.50_VetsuisseZZSND,9), IF(AND(T.ServiceCenterIrchel,F69&gt;0,F77&gt;=ROUND(1/24*8,9)),ROUND(F77*T.ServiceCenterIrchelZZSND,9),))</f>
        <v>0</v>
      </c>
      <c r="G79" s="256" t="n">
        <f aca="false">IF(AND(T.50_Vetsuisse,G70&gt;24),ROUND(G73*T.50_VetsuisseZZSND,9), IF(AND(T.ServiceCenterIrchel,G69&gt;0,G77&gt;=ROUND(1/24*8,9)),ROUND(G77*T.ServiceCenterIrchelZZSND,9),))</f>
        <v>0</v>
      </c>
      <c r="H79" s="256" t="n">
        <f aca="false">IF(AND(T.50_Vetsuisse,H70&gt;24),ROUND(H73*T.50_VetsuisseZZSND,9), IF(AND(T.ServiceCenterIrchel,H69&gt;0,H77&gt;=ROUND(1/24*8,9)),ROUND(H77*T.ServiceCenterIrchelZZSND,9),))</f>
        <v>0</v>
      </c>
      <c r="I79" s="256" t="n">
        <f aca="false">IF(AND(T.50_Vetsuisse,I70&gt;24),ROUND(I73*T.50_VetsuisseZZSND,9), IF(AND(T.ServiceCenterIrchel,I69&gt;0,I77&gt;=ROUND(1/24*8,9)),ROUND(I77*T.ServiceCenterIrchelZZSND,9),))</f>
        <v>0</v>
      </c>
      <c r="J79" s="256" t="n">
        <f aca="false">IF(AND(T.50_Vetsuisse,J70&gt;24),ROUND(J73*T.50_VetsuisseZZSND,9), IF(AND(T.ServiceCenterIrchel,J69&gt;0,J77&gt;=ROUND(1/24*8,9)),ROUND(J77*T.ServiceCenterIrchelZZSND,9),))</f>
        <v>0</v>
      </c>
      <c r="K79" s="256" t="n">
        <f aca="false">IF(AND(T.50_Vetsuisse,K70&gt;24),ROUND(K73*T.50_VetsuisseZZSND,9), IF(AND(T.ServiceCenterIrchel,K69&gt;0,K77&gt;=ROUND(1/24*8,9)),ROUND(K77*T.ServiceCenterIrchelZZSND,9),))</f>
        <v>0</v>
      </c>
      <c r="L79" s="256" t="n">
        <f aca="false">IF(AND(T.50_Vetsuisse,L70&gt;24),ROUND(L73*T.50_VetsuisseZZSND,9), IF(AND(T.ServiceCenterIrchel,L69&gt;0,L77&gt;=ROUND(1/24*8,9)),ROUND(L77*T.ServiceCenterIrchelZZSND,9),))</f>
        <v>0</v>
      </c>
      <c r="M79" s="256" t="n">
        <f aca="false">IF(AND(T.50_Vetsuisse,M70&gt;24),ROUND(M73*T.50_VetsuisseZZSND,9), IF(AND(T.ServiceCenterIrchel,M69&gt;0,M77&gt;=ROUND(1/24*8,9)),ROUND(M77*T.ServiceCenterIrchelZZSND,9),))</f>
        <v>0</v>
      </c>
      <c r="N79" s="256" t="n">
        <f aca="false">IF(AND(T.50_Vetsuisse,N70&gt;24),ROUND(N73*T.50_VetsuisseZZSND,9), IF(AND(T.ServiceCenterIrchel,N69&gt;0,N77&gt;=ROUND(1/24*8,9)),ROUND(N77*T.ServiceCenterIrchelZZSND,9),))</f>
        <v>0</v>
      </c>
      <c r="O79" s="256" t="n">
        <f aca="false">IF(AND(T.50_Vetsuisse,O70&gt;24),ROUND(O73*T.50_VetsuisseZZSND,9), IF(AND(T.ServiceCenterIrchel,O69&gt;0,O77&gt;=ROUND(1/24*8,9)),ROUND(O77*T.ServiceCenterIrchelZZSND,9),))</f>
        <v>0</v>
      </c>
      <c r="P79" s="256" t="n">
        <f aca="false">IF(AND(T.50_Vetsuisse,P70&gt;24),ROUND(P73*T.50_VetsuisseZZSND,9), IF(AND(T.ServiceCenterIrchel,P69&gt;0,P77&gt;=ROUND(1/24*8,9)),ROUND(P77*T.ServiceCenterIrchelZZSND,9),))</f>
        <v>0</v>
      </c>
      <c r="Q79" s="256" t="n">
        <f aca="false">IF(AND(T.50_Vetsuisse,Q70&gt;24),ROUND(Q73*T.50_VetsuisseZZSND,9), IF(AND(T.ServiceCenterIrchel,Q69&gt;0,Q77&gt;=ROUND(1/24*8,9)),ROUND(Q77*T.ServiceCenterIrchelZZSND,9),))</f>
        <v>0</v>
      </c>
      <c r="R79" s="256" t="n">
        <f aca="false">IF(AND(T.50_Vetsuisse,R70&gt;24),ROUND(R73*T.50_VetsuisseZZSND,9), IF(AND(T.ServiceCenterIrchel,R69&gt;0,R77&gt;=ROUND(1/24*8,9)),ROUND(R77*T.ServiceCenterIrchelZZSND,9),))</f>
        <v>0</v>
      </c>
      <c r="S79" s="256" t="n">
        <f aca="false">IF(AND(T.50_Vetsuisse,S70&gt;24),ROUND(S73*T.50_VetsuisseZZSND,9), IF(AND(T.ServiceCenterIrchel,S69&gt;0,S77&gt;=ROUND(1/24*8,9)),ROUND(S77*T.ServiceCenterIrchelZZSND,9),))</f>
        <v>0</v>
      </c>
      <c r="T79" s="256" t="n">
        <f aca="false">IF(AND(T.50_Vetsuisse,T70&gt;24),ROUND(T73*T.50_VetsuisseZZSND,9), IF(AND(T.ServiceCenterIrchel,T69&gt;0,T77&gt;=ROUND(1/24*8,9)),ROUND(T77*T.ServiceCenterIrchelZZSND,9),))</f>
        <v>0</v>
      </c>
      <c r="U79" s="256" t="n">
        <f aca="false">IF(AND(T.50_Vetsuisse,U70&gt;24),ROUND(U73*T.50_VetsuisseZZSND,9), IF(AND(T.ServiceCenterIrchel,U69&gt;0,U77&gt;=ROUND(1/24*8,9)),ROUND(U77*T.ServiceCenterIrchelZZSND,9),))</f>
        <v>0</v>
      </c>
      <c r="V79" s="256" t="n">
        <f aca="false">IF(AND(T.50_Vetsuisse,V70&gt;24),ROUND(V73*T.50_VetsuisseZZSND,9), IF(AND(T.ServiceCenterIrchel,V69&gt;0,V77&gt;=ROUND(1/24*8,9)),ROUND(V77*T.ServiceCenterIrchelZZSND,9),))</f>
        <v>0</v>
      </c>
      <c r="W79" s="256" t="n">
        <f aca="false">IF(AND(T.50_Vetsuisse,W70&gt;24),ROUND(W73*T.50_VetsuisseZZSND,9), IF(AND(T.ServiceCenterIrchel,W69&gt;0,W77&gt;=ROUND(1/24*8,9)),ROUND(W77*T.ServiceCenterIrchelZZSND,9),))</f>
        <v>0</v>
      </c>
      <c r="X79" s="256" t="n">
        <f aca="false">IF(AND(T.50_Vetsuisse,X70&gt;24),ROUND(X73*T.50_VetsuisseZZSND,9), IF(AND(T.ServiceCenterIrchel,X69&gt;0,X77&gt;=ROUND(1/24*8,9)),ROUND(X77*T.ServiceCenterIrchelZZSND,9),))</f>
        <v>0</v>
      </c>
      <c r="Y79" s="256" t="n">
        <f aca="false">IF(AND(T.50_Vetsuisse,Y70&gt;24),ROUND(Y73*T.50_VetsuisseZZSND,9), IF(AND(T.ServiceCenterIrchel,Y69&gt;0,Y77&gt;=ROUND(1/24*8,9)),ROUND(Y77*T.ServiceCenterIrchelZZSND,9),))</f>
        <v>0</v>
      </c>
      <c r="Z79" s="256" t="n">
        <f aca="false">IF(AND(T.50_Vetsuisse,Z70&gt;24),ROUND(Z73*T.50_VetsuisseZZSND,9), IF(AND(T.ServiceCenterIrchel,Z69&gt;0,Z77&gt;=ROUND(1/24*8,9)),ROUND(Z77*T.ServiceCenterIrchelZZSND,9),))</f>
        <v>0</v>
      </c>
      <c r="AA79" s="256" t="n">
        <f aca="false">IF(AND(T.50_Vetsuisse,AA70&gt;24),ROUND(AA73*T.50_VetsuisseZZSND,9), IF(AND(T.ServiceCenterIrchel,AA69&gt;0,AA77&gt;=ROUND(1/24*8,9)),ROUND(AA77*T.ServiceCenterIrchelZZSND,9),))</f>
        <v>0</v>
      </c>
      <c r="AB79" s="256" t="n">
        <f aca="false">IF(AND(T.50_Vetsuisse,AB70&gt;24),ROUND(AB73*T.50_VetsuisseZZSND,9), IF(AND(T.ServiceCenterIrchel,AB69&gt;0,AB77&gt;=ROUND(1/24*8,9)),ROUND(AB77*T.ServiceCenterIrchelZZSND,9),))</f>
        <v>0</v>
      </c>
      <c r="AC79" s="256" t="n">
        <f aca="false">IF(AND(T.50_Vetsuisse,AC70&gt;24),ROUND(AC73*T.50_VetsuisseZZSND,9), IF(AND(T.ServiceCenterIrchel,AC69&gt;0,AC77&gt;=ROUND(1/24*8,9)),ROUND(AC77*T.ServiceCenterIrchelZZSND,9),))</f>
        <v>0</v>
      </c>
      <c r="AD79" s="256" t="n">
        <f aca="false">IF(AND(T.50_Vetsuisse,AD70&gt;24),ROUND(AD73*T.50_VetsuisseZZSND,9), IF(AND(T.ServiceCenterIrchel,AD69&gt;0,AD77&gt;=ROUND(1/24*8,9)),ROUND(AD77*T.ServiceCenterIrchelZZSND,9),))</f>
        <v>0</v>
      </c>
      <c r="AE79" s="256" t="n">
        <f aca="false">IF(AND(T.50_Vetsuisse,AE70&gt;24),ROUND(AE73*T.50_VetsuisseZZSND,9), IF(AND(T.ServiceCenterIrchel,AE69&gt;0,AE77&gt;=ROUND(1/24*8,9)),ROUND(AE77*T.ServiceCenterIrchelZZSND,9),))</f>
        <v>0</v>
      </c>
      <c r="AF79" s="256" t="n">
        <f aca="false">IF(AND(T.50_Vetsuisse,AF70&gt;24),ROUND(AF73*T.50_VetsuisseZZSND,9), IF(AND(T.ServiceCenterIrchel,AF69&gt;0,AF77&gt;=ROUND(1/24*8,9)),ROUND(AF77*T.ServiceCenterIrchelZZSND,9),))</f>
        <v>0</v>
      </c>
      <c r="AG79" s="168" t="str">
        <f aca="false">A79</f>
        <v>Time supplement night shift</v>
      </c>
      <c r="AH79" s="250"/>
      <c r="AI79" s="207" t="n">
        <f aca="false">SUM(B79:AF79)</f>
        <v>0</v>
      </c>
      <c r="AJ79" s="33"/>
      <c r="AK79" s="192"/>
      <c r="AL79" s="216" t="n">
        <f aca="false">IF(EB.Anwendung&lt;&gt;"",IF(MONTH(Monat.Tag1)=1,EB.ZZNd,IF(MONTH(Monat.Tag1)=2,January!Monat.ZZNdUe,IF(MONTH(Monat.Tag1)=3,February!Monat.ZZNdUe,IF(MONTH(Monat.Tag1)=4,March!Monat.ZZNdUe,IF(MONTH(Monat.Tag1)=5,April!Monat.ZZNdUe,IF(MONTH(Monat.Tag1)=6,Monat.ZZNdUe,IF(MONTH(Monat.Tag1)=7,June!Monat.ZZNdUe,IF(MONTH(Monat.Tag1)=8,July!Monat.ZZNdUe,IF(MONTH(Monat.Tag1)=9,August!Monat.ZZNdUe,IF(MONTH(Monat.Tag1)=10,September!Monat.ZZNdUe,IF(MONTH(Monat.Tag1)=11,October!Monat.ZZNdUe,IF(MONTH(Monat.Tag1)=12,November!Monat.ZZNdUe,"")))))))))))),"")</f>
        <v>0</v>
      </c>
      <c r="AM79" s="172"/>
      <c r="AN79" s="217" t="n">
        <f aca="false">AI79+AL79-AI71</f>
        <v>0</v>
      </c>
      <c r="AO79" s="217" t="n">
        <f aca="true">OFFSET(Jahr.ZZSNDSaldo,-13+MONTH(Monat.Tag1),0,1,1)</f>
        <v>0</v>
      </c>
      <c r="AP79" s="217" t="n">
        <f aca="false">Jahr.ZZSNDSaldo</f>
        <v>0</v>
      </c>
      <c r="AQ79" s="39"/>
    </row>
    <row r="80" s="148" customFormat="true" ht="15" hidden="true" customHeight="true" outlineLevel="1" collapsed="false">
      <c r="A80" s="175" t="s">
        <v>163</v>
      </c>
      <c r="B80" s="256" t="str">
        <f aca="false">IF(T.50_Vetsuisse,IF(OR(B$12=0,B$11=0,WEEKDAY(B$10,2)&gt;5),0,ROUND(MAX(0,T.Abendbis-MAX(B13,T.Abendab))-MAX(0,T.Abendbis-MAX(T.Abendab,B14))+(B13&gt;B14)*(1+T.Abendab-T.Abendbis)+MAX(0,T.Abendbis-MAX(B15,T.Abendab))-MAX(0,T.Abendbis-MAX(T.Abendab,B16))+(B15&gt;B16)*(1+T.Abendab-T.Abendbis)+MAX(0,T.Abendbis-MAX(B17,T.Abendab))-MAX(0,T.Abendbis-MAX(T.Abendab,B18))+(B17&gt;B18)*(1+T.Abendab-T.Abendbis)+MAX(0,T.Abendbis-MAX(B19,T.Abendab))-MAX(0,T.Abendbis-MAX(T.Abendab,B20))+(B19&gt;B20)*(1+T.Abendab-T.Abendbis)+MAX(0,T.Abendbis-MAX(B21,T.Abendab))-MAX(0,T.Abendbis-MAX(T.Abendab,B22))+(B21&gt;B22)*(1+T.Abendab-T.Abendbis),9)),"")</f>
        <v/>
      </c>
      <c r="C80" s="256" t="str">
        <f aca="false">IF(T.50_Vetsuisse,IF(OR(C$12=0,C$11=0,WEEKDAY(C$10,2)&gt;5),0,ROUND(MAX(0,T.Abendbis-MAX(C13,T.Abendab))-MAX(0,T.Abendbis-MAX(T.Abendab,C14))+(C13&gt;C14)*(1+T.Abendab-T.Abendbis)+MAX(0,T.Abendbis-MAX(C15,T.Abendab))-MAX(0,T.Abendbis-MAX(T.Abendab,C16))+(C15&gt;C16)*(1+T.Abendab-T.Abendbis)+MAX(0,T.Abendbis-MAX(C17,T.Abendab))-MAX(0,T.Abendbis-MAX(T.Abendab,C18))+(C17&gt;C18)*(1+T.Abendab-T.Abendbis)+MAX(0,T.Abendbis-MAX(C19,T.Abendab))-MAX(0,T.Abendbis-MAX(T.Abendab,C20))+(C19&gt;C20)*(1+T.Abendab-T.Abendbis)+MAX(0,T.Abendbis-MAX(C21,T.Abendab))-MAX(0,T.Abendbis-MAX(T.Abendab,C22))+(C21&gt;C22)*(1+T.Abendab-T.Abendbis),9)),"")</f>
        <v/>
      </c>
      <c r="D80" s="256" t="str">
        <f aca="false">IF(T.50_Vetsuisse,IF(OR(D$12=0,D$11=0,WEEKDAY(D$10,2)&gt;5),0,ROUND(MAX(0,T.Abendbis-MAX(D13,T.Abendab))-MAX(0,T.Abendbis-MAX(T.Abendab,D14))+(D13&gt;D14)*(1+T.Abendab-T.Abendbis)+MAX(0,T.Abendbis-MAX(D15,T.Abendab))-MAX(0,T.Abendbis-MAX(T.Abendab,D16))+(D15&gt;D16)*(1+T.Abendab-T.Abendbis)+MAX(0,T.Abendbis-MAX(D17,T.Abendab))-MAX(0,T.Abendbis-MAX(T.Abendab,D18))+(D17&gt;D18)*(1+T.Abendab-T.Abendbis)+MAX(0,T.Abendbis-MAX(D19,T.Abendab))-MAX(0,T.Abendbis-MAX(T.Abendab,D20))+(D19&gt;D20)*(1+T.Abendab-T.Abendbis)+MAX(0,T.Abendbis-MAX(D21,T.Abendab))-MAX(0,T.Abendbis-MAX(T.Abendab,D22))+(D21&gt;D22)*(1+T.Abendab-T.Abendbis),9)),"")</f>
        <v/>
      </c>
      <c r="E80" s="256" t="str">
        <f aca="false">IF(T.50_Vetsuisse,IF(OR(E$12=0,E$11=0,WEEKDAY(E$10,2)&gt;5),0,ROUND(MAX(0,T.Abendbis-MAX(E13,T.Abendab))-MAX(0,T.Abendbis-MAX(T.Abendab,E14))+(E13&gt;E14)*(1+T.Abendab-T.Abendbis)+MAX(0,T.Abendbis-MAX(E15,T.Abendab))-MAX(0,T.Abendbis-MAX(T.Abendab,E16))+(E15&gt;E16)*(1+T.Abendab-T.Abendbis)+MAX(0,T.Abendbis-MAX(E17,T.Abendab))-MAX(0,T.Abendbis-MAX(T.Abendab,E18))+(E17&gt;E18)*(1+T.Abendab-T.Abendbis)+MAX(0,T.Abendbis-MAX(E19,T.Abendab))-MAX(0,T.Abendbis-MAX(T.Abendab,E20))+(E19&gt;E20)*(1+T.Abendab-T.Abendbis)+MAX(0,T.Abendbis-MAX(E21,T.Abendab))-MAX(0,T.Abendbis-MAX(T.Abendab,E22))+(E21&gt;E22)*(1+T.Abendab-T.Abendbis),9)),"")</f>
        <v/>
      </c>
      <c r="F80" s="256" t="str">
        <f aca="false">IF(T.50_Vetsuisse,IF(OR(F$12=0,F$11=0,WEEKDAY(F$10,2)&gt;5),0,ROUND(MAX(0,T.Abendbis-MAX(F13,T.Abendab))-MAX(0,T.Abendbis-MAX(T.Abendab,F14))+(F13&gt;F14)*(1+T.Abendab-T.Abendbis)+MAX(0,T.Abendbis-MAX(F15,T.Abendab))-MAX(0,T.Abendbis-MAX(T.Abendab,F16))+(F15&gt;F16)*(1+T.Abendab-T.Abendbis)+MAX(0,T.Abendbis-MAX(F17,T.Abendab))-MAX(0,T.Abendbis-MAX(T.Abendab,F18))+(F17&gt;F18)*(1+T.Abendab-T.Abendbis)+MAX(0,T.Abendbis-MAX(F19,T.Abendab))-MAX(0,T.Abendbis-MAX(T.Abendab,F20))+(F19&gt;F20)*(1+T.Abendab-T.Abendbis)+MAX(0,T.Abendbis-MAX(F21,T.Abendab))-MAX(0,T.Abendbis-MAX(T.Abendab,F22))+(F21&gt;F22)*(1+T.Abendab-T.Abendbis),9)),"")</f>
        <v/>
      </c>
      <c r="G80" s="256" t="str">
        <f aca="false">IF(T.50_Vetsuisse,IF(OR(G$12=0,G$11=0,WEEKDAY(G$10,2)&gt;5),0,ROUND(MAX(0,T.Abendbis-MAX(G13,T.Abendab))-MAX(0,T.Abendbis-MAX(T.Abendab,G14))+(G13&gt;G14)*(1+T.Abendab-T.Abendbis)+MAX(0,T.Abendbis-MAX(G15,T.Abendab))-MAX(0,T.Abendbis-MAX(T.Abendab,G16))+(G15&gt;G16)*(1+T.Abendab-T.Abendbis)+MAX(0,T.Abendbis-MAX(G17,T.Abendab))-MAX(0,T.Abendbis-MAX(T.Abendab,G18))+(G17&gt;G18)*(1+T.Abendab-T.Abendbis)+MAX(0,T.Abendbis-MAX(G19,T.Abendab))-MAX(0,T.Abendbis-MAX(T.Abendab,G20))+(G19&gt;G20)*(1+T.Abendab-T.Abendbis)+MAX(0,T.Abendbis-MAX(G21,T.Abendab))-MAX(0,T.Abendbis-MAX(T.Abendab,G22))+(G21&gt;G22)*(1+T.Abendab-T.Abendbis),9)),"")</f>
        <v/>
      </c>
      <c r="H80" s="256" t="str">
        <f aca="false">IF(T.50_Vetsuisse,IF(OR(H$12=0,H$11=0,WEEKDAY(H$10,2)&gt;5),0,ROUND(MAX(0,T.Abendbis-MAX(H13,T.Abendab))-MAX(0,T.Abendbis-MAX(T.Abendab,H14))+(H13&gt;H14)*(1+T.Abendab-T.Abendbis)+MAX(0,T.Abendbis-MAX(H15,T.Abendab))-MAX(0,T.Abendbis-MAX(T.Abendab,H16))+(H15&gt;H16)*(1+T.Abendab-T.Abendbis)+MAX(0,T.Abendbis-MAX(H17,T.Abendab))-MAX(0,T.Abendbis-MAX(T.Abendab,H18))+(H17&gt;H18)*(1+T.Abendab-T.Abendbis)+MAX(0,T.Abendbis-MAX(H19,T.Abendab))-MAX(0,T.Abendbis-MAX(T.Abendab,H20))+(H19&gt;H20)*(1+T.Abendab-T.Abendbis)+MAX(0,T.Abendbis-MAX(H21,T.Abendab))-MAX(0,T.Abendbis-MAX(T.Abendab,H22))+(H21&gt;H22)*(1+T.Abendab-T.Abendbis),9)),"")</f>
        <v/>
      </c>
      <c r="I80" s="256" t="str">
        <f aca="false">IF(T.50_Vetsuisse,IF(OR(I$12=0,I$11=0,WEEKDAY(I$10,2)&gt;5),0,ROUND(MAX(0,T.Abendbis-MAX(I13,T.Abendab))-MAX(0,T.Abendbis-MAX(T.Abendab,I14))+(I13&gt;I14)*(1+T.Abendab-T.Abendbis)+MAX(0,T.Abendbis-MAX(I15,T.Abendab))-MAX(0,T.Abendbis-MAX(T.Abendab,I16))+(I15&gt;I16)*(1+T.Abendab-T.Abendbis)+MAX(0,T.Abendbis-MAX(I17,T.Abendab))-MAX(0,T.Abendbis-MAX(T.Abendab,I18))+(I17&gt;I18)*(1+T.Abendab-T.Abendbis)+MAX(0,T.Abendbis-MAX(I19,T.Abendab))-MAX(0,T.Abendbis-MAX(T.Abendab,I20))+(I19&gt;I20)*(1+T.Abendab-T.Abendbis)+MAX(0,T.Abendbis-MAX(I21,T.Abendab))-MAX(0,T.Abendbis-MAX(T.Abendab,I22))+(I21&gt;I22)*(1+T.Abendab-T.Abendbis),9)),"")</f>
        <v/>
      </c>
      <c r="J80" s="256" t="str">
        <f aca="false">IF(T.50_Vetsuisse,IF(OR(J$12=0,J$11=0,WEEKDAY(J$10,2)&gt;5),0,ROUND(MAX(0,T.Abendbis-MAX(J13,T.Abendab))-MAX(0,T.Abendbis-MAX(T.Abendab,J14))+(J13&gt;J14)*(1+T.Abendab-T.Abendbis)+MAX(0,T.Abendbis-MAX(J15,T.Abendab))-MAX(0,T.Abendbis-MAX(T.Abendab,J16))+(J15&gt;J16)*(1+T.Abendab-T.Abendbis)+MAX(0,T.Abendbis-MAX(J17,T.Abendab))-MAX(0,T.Abendbis-MAX(T.Abendab,J18))+(J17&gt;J18)*(1+T.Abendab-T.Abendbis)+MAX(0,T.Abendbis-MAX(J19,T.Abendab))-MAX(0,T.Abendbis-MAX(T.Abendab,J20))+(J19&gt;J20)*(1+T.Abendab-T.Abendbis)+MAX(0,T.Abendbis-MAX(J21,T.Abendab))-MAX(0,T.Abendbis-MAX(T.Abendab,J22))+(J21&gt;J22)*(1+T.Abendab-T.Abendbis),9)),"")</f>
        <v/>
      </c>
      <c r="K80" s="256" t="str">
        <f aca="false">IF(T.50_Vetsuisse,IF(OR(K$12=0,K$11=0,WEEKDAY(K$10,2)&gt;5),0,ROUND(MAX(0,T.Abendbis-MAX(K13,T.Abendab))-MAX(0,T.Abendbis-MAX(T.Abendab,K14))+(K13&gt;K14)*(1+T.Abendab-T.Abendbis)+MAX(0,T.Abendbis-MAX(K15,T.Abendab))-MAX(0,T.Abendbis-MAX(T.Abendab,K16))+(K15&gt;K16)*(1+T.Abendab-T.Abendbis)+MAX(0,T.Abendbis-MAX(K17,T.Abendab))-MAX(0,T.Abendbis-MAX(T.Abendab,K18))+(K17&gt;K18)*(1+T.Abendab-T.Abendbis)+MAX(0,T.Abendbis-MAX(K19,T.Abendab))-MAX(0,T.Abendbis-MAX(T.Abendab,K20))+(K19&gt;K20)*(1+T.Abendab-T.Abendbis)+MAX(0,T.Abendbis-MAX(K21,T.Abendab))-MAX(0,T.Abendbis-MAX(T.Abendab,K22))+(K21&gt;K22)*(1+T.Abendab-T.Abendbis),9)),"")</f>
        <v/>
      </c>
      <c r="L80" s="256" t="str">
        <f aca="false">IF(T.50_Vetsuisse,IF(OR(L$12=0,L$11=0,WEEKDAY(L$10,2)&gt;5),0,ROUND(MAX(0,T.Abendbis-MAX(L13,T.Abendab))-MAX(0,T.Abendbis-MAX(T.Abendab,L14))+(L13&gt;L14)*(1+T.Abendab-T.Abendbis)+MAX(0,T.Abendbis-MAX(L15,T.Abendab))-MAX(0,T.Abendbis-MAX(T.Abendab,L16))+(L15&gt;L16)*(1+T.Abendab-T.Abendbis)+MAX(0,T.Abendbis-MAX(L17,T.Abendab))-MAX(0,T.Abendbis-MAX(T.Abendab,L18))+(L17&gt;L18)*(1+T.Abendab-T.Abendbis)+MAX(0,T.Abendbis-MAX(L19,T.Abendab))-MAX(0,T.Abendbis-MAX(T.Abendab,L20))+(L19&gt;L20)*(1+T.Abendab-T.Abendbis)+MAX(0,T.Abendbis-MAX(L21,T.Abendab))-MAX(0,T.Abendbis-MAX(T.Abendab,L22))+(L21&gt;L22)*(1+T.Abendab-T.Abendbis),9)),"")</f>
        <v/>
      </c>
      <c r="M80" s="256" t="str">
        <f aca="false">IF(T.50_Vetsuisse,IF(OR(M$12=0,M$11=0,WEEKDAY(M$10,2)&gt;5),0,ROUND(MAX(0,T.Abendbis-MAX(M13,T.Abendab))-MAX(0,T.Abendbis-MAX(T.Abendab,M14))+(M13&gt;M14)*(1+T.Abendab-T.Abendbis)+MAX(0,T.Abendbis-MAX(M15,T.Abendab))-MAX(0,T.Abendbis-MAX(T.Abendab,M16))+(M15&gt;M16)*(1+T.Abendab-T.Abendbis)+MAX(0,T.Abendbis-MAX(M17,T.Abendab))-MAX(0,T.Abendbis-MAX(T.Abendab,M18))+(M17&gt;M18)*(1+T.Abendab-T.Abendbis)+MAX(0,T.Abendbis-MAX(M19,T.Abendab))-MAX(0,T.Abendbis-MAX(T.Abendab,M20))+(M19&gt;M20)*(1+T.Abendab-T.Abendbis)+MAX(0,T.Abendbis-MAX(M21,T.Abendab))-MAX(0,T.Abendbis-MAX(T.Abendab,M22))+(M21&gt;M22)*(1+T.Abendab-T.Abendbis),9)),"")</f>
        <v/>
      </c>
      <c r="N80" s="256" t="str">
        <f aca="false">IF(T.50_Vetsuisse,IF(OR(N$12=0,N$11=0,WEEKDAY(N$10,2)&gt;5),0,ROUND(MAX(0,T.Abendbis-MAX(N13,T.Abendab))-MAX(0,T.Abendbis-MAX(T.Abendab,N14))+(N13&gt;N14)*(1+T.Abendab-T.Abendbis)+MAX(0,T.Abendbis-MAX(N15,T.Abendab))-MAX(0,T.Abendbis-MAX(T.Abendab,N16))+(N15&gt;N16)*(1+T.Abendab-T.Abendbis)+MAX(0,T.Abendbis-MAX(N17,T.Abendab))-MAX(0,T.Abendbis-MAX(T.Abendab,N18))+(N17&gt;N18)*(1+T.Abendab-T.Abendbis)+MAX(0,T.Abendbis-MAX(N19,T.Abendab))-MAX(0,T.Abendbis-MAX(T.Abendab,N20))+(N19&gt;N20)*(1+T.Abendab-T.Abendbis)+MAX(0,T.Abendbis-MAX(N21,T.Abendab))-MAX(0,T.Abendbis-MAX(T.Abendab,N22))+(N21&gt;N22)*(1+T.Abendab-T.Abendbis),9)),"")</f>
        <v/>
      </c>
      <c r="O80" s="256" t="str">
        <f aca="false">IF(T.50_Vetsuisse,IF(OR(O$12=0,O$11=0,WEEKDAY(O$10,2)&gt;5),0,ROUND(MAX(0,T.Abendbis-MAX(O13,T.Abendab))-MAX(0,T.Abendbis-MAX(T.Abendab,O14))+(O13&gt;O14)*(1+T.Abendab-T.Abendbis)+MAX(0,T.Abendbis-MAX(O15,T.Abendab))-MAX(0,T.Abendbis-MAX(T.Abendab,O16))+(O15&gt;O16)*(1+T.Abendab-T.Abendbis)+MAX(0,T.Abendbis-MAX(O17,T.Abendab))-MAX(0,T.Abendbis-MAX(T.Abendab,O18))+(O17&gt;O18)*(1+T.Abendab-T.Abendbis)+MAX(0,T.Abendbis-MAX(O19,T.Abendab))-MAX(0,T.Abendbis-MAX(T.Abendab,O20))+(O19&gt;O20)*(1+T.Abendab-T.Abendbis)+MAX(0,T.Abendbis-MAX(O21,T.Abendab))-MAX(0,T.Abendbis-MAX(T.Abendab,O22))+(O21&gt;O22)*(1+T.Abendab-T.Abendbis),9)),"")</f>
        <v/>
      </c>
      <c r="P80" s="256" t="str">
        <f aca="false">IF(T.50_Vetsuisse,IF(OR(P$12=0,P$11=0,WEEKDAY(P$10,2)&gt;5),0,ROUND(MAX(0,T.Abendbis-MAX(P13,T.Abendab))-MAX(0,T.Abendbis-MAX(T.Abendab,P14))+(P13&gt;P14)*(1+T.Abendab-T.Abendbis)+MAX(0,T.Abendbis-MAX(P15,T.Abendab))-MAX(0,T.Abendbis-MAX(T.Abendab,P16))+(P15&gt;P16)*(1+T.Abendab-T.Abendbis)+MAX(0,T.Abendbis-MAX(P17,T.Abendab))-MAX(0,T.Abendbis-MAX(T.Abendab,P18))+(P17&gt;P18)*(1+T.Abendab-T.Abendbis)+MAX(0,T.Abendbis-MAX(P19,T.Abendab))-MAX(0,T.Abendbis-MAX(T.Abendab,P20))+(P19&gt;P20)*(1+T.Abendab-T.Abendbis)+MAX(0,T.Abendbis-MAX(P21,T.Abendab))-MAX(0,T.Abendbis-MAX(T.Abendab,P22))+(P21&gt;P22)*(1+T.Abendab-T.Abendbis),9)),"")</f>
        <v/>
      </c>
      <c r="Q80" s="256" t="str">
        <f aca="false">IF(T.50_Vetsuisse,IF(OR(Q$12=0,Q$11=0,WEEKDAY(Q$10,2)&gt;5),0,ROUND(MAX(0,T.Abendbis-MAX(Q13,T.Abendab))-MAX(0,T.Abendbis-MAX(T.Abendab,Q14))+(Q13&gt;Q14)*(1+T.Abendab-T.Abendbis)+MAX(0,T.Abendbis-MAX(Q15,T.Abendab))-MAX(0,T.Abendbis-MAX(T.Abendab,Q16))+(Q15&gt;Q16)*(1+T.Abendab-T.Abendbis)+MAX(0,T.Abendbis-MAX(Q17,T.Abendab))-MAX(0,T.Abendbis-MAX(T.Abendab,Q18))+(Q17&gt;Q18)*(1+T.Abendab-T.Abendbis)+MAX(0,T.Abendbis-MAX(Q19,T.Abendab))-MAX(0,T.Abendbis-MAX(T.Abendab,Q20))+(Q19&gt;Q20)*(1+T.Abendab-T.Abendbis)+MAX(0,T.Abendbis-MAX(Q21,T.Abendab))-MAX(0,T.Abendbis-MAX(T.Abendab,Q22))+(Q21&gt;Q22)*(1+T.Abendab-T.Abendbis),9)),"")</f>
        <v/>
      </c>
      <c r="R80" s="256" t="str">
        <f aca="false">IF(T.50_Vetsuisse,IF(OR(R$12=0,R$11=0,WEEKDAY(R$10,2)&gt;5),0,ROUND(MAX(0,T.Abendbis-MAX(R13,T.Abendab))-MAX(0,T.Abendbis-MAX(T.Abendab,R14))+(R13&gt;R14)*(1+T.Abendab-T.Abendbis)+MAX(0,T.Abendbis-MAX(R15,T.Abendab))-MAX(0,T.Abendbis-MAX(T.Abendab,R16))+(R15&gt;R16)*(1+T.Abendab-T.Abendbis)+MAX(0,T.Abendbis-MAX(R17,T.Abendab))-MAX(0,T.Abendbis-MAX(T.Abendab,R18))+(R17&gt;R18)*(1+T.Abendab-T.Abendbis)+MAX(0,T.Abendbis-MAX(R19,T.Abendab))-MAX(0,T.Abendbis-MAX(T.Abendab,R20))+(R19&gt;R20)*(1+T.Abendab-T.Abendbis)+MAX(0,T.Abendbis-MAX(R21,T.Abendab))-MAX(0,T.Abendbis-MAX(T.Abendab,R22))+(R21&gt;R22)*(1+T.Abendab-T.Abendbis),9)),"")</f>
        <v/>
      </c>
      <c r="S80" s="256" t="str">
        <f aca="false">IF(T.50_Vetsuisse,IF(OR(S$12=0,S$11=0,WEEKDAY(S$10,2)&gt;5),0,ROUND(MAX(0,T.Abendbis-MAX(S13,T.Abendab))-MAX(0,T.Abendbis-MAX(T.Abendab,S14))+(S13&gt;S14)*(1+T.Abendab-T.Abendbis)+MAX(0,T.Abendbis-MAX(S15,T.Abendab))-MAX(0,T.Abendbis-MAX(T.Abendab,S16))+(S15&gt;S16)*(1+T.Abendab-T.Abendbis)+MAX(0,T.Abendbis-MAX(S17,T.Abendab))-MAX(0,T.Abendbis-MAX(T.Abendab,S18))+(S17&gt;S18)*(1+T.Abendab-T.Abendbis)+MAX(0,T.Abendbis-MAX(S19,T.Abendab))-MAX(0,T.Abendbis-MAX(T.Abendab,S20))+(S19&gt;S20)*(1+T.Abendab-T.Abendbis)+MAX(0,T.Abendbis-MAX(S21,T.Abendab))-MAX(0,T.Abendbis-MAX(T.Abendab,S22))+(S21&gt;S22)*(1+T.Abendab-T.Abendbis),9)),"")</f>
        <v/>
      </c>
      <c r="T80" s="256" t="str">
        <f aca="false">IF(T.50_Vetsuisse,IF(OR(T$12=0,T$11=0,WEEKDAY(T$10,2)&gt;5),0,ROUND(MAX(0,T.Abendbis-MAX(T13,T.Abendab))-MAX(0,T.Abendbis-MAX(T.Abendab,T14))+(T13&gt;T14)*(1+T.Abendab-T.Abendbis)+MAX(0,T.Abendbis-MAX(T15,T.Abendab))-MAX(0,T.Abendbis-MAX(T.Abendab,T16))+(T15&gt;T16)*(1+T.Abendab-T.Abendbis)+MAX(0,T.Abendbis-MAX(T17,T.Abendab))-MAX(0,T.Abendbis-MAX(T.Abendab,T18))+(T17&gt;T18)*(1+T.Abendab-T.Abendbis)+MAX(0,T.Abendbis-MAX(T19,T.Abendab))-MAX(0,T.Abendbis-MAX(T.Abendab,T20))+(T19&gt;T20)*(1+T.Abendab-T.Abendbis)+MAX(0,T.Abendbis-MAX(T21,T.Abendab))-MAX(0,T.Abendbis-MAX(T.Abendab,T22))+(T21&gt;T22)*(1+T.Abendab-T.Abendbis),9)),"")</f>
        <v/>
      </c>
      <c r="U80" s="256" t="str">
        <f aca="false">IF(T.50_Vetsuisse,IF(OR(U$12=0,U$11=0,WEEKDAY(U$10,2)&gt;5),0,ROUND(MAX(0,T.Abendbis-MAX(U13,T.Abendab))-MAX(0,T.Abendbis-MAX(T.Abendab,U14))+(U13&gt;U14)*(1+T.Abendab-T.Abendbis)+MAX(0,T.Abendbis-MAX(U15,T.Abendab))-MAX(0,T.Abendbis-MAX(T.Abendab,U16))+(U15&gt;U16)*(1+T.Abendab-T.Abendbis)+MAX(0,T.Abendbis-MAX(U17,T.Abendab))-MAX(0,T.Abendbis-MAX(T.Abendab,U18))+(U17&gt;U18)*(1+T.Abendab-T.Abendbis)+MAX(0,T.Abendbis-MAX(U19,T.Abendab))-MAX(0,T.Abendbis-MAX(T.Abendab,U20))+(U19&gt;U20)*(1+T.Abendab-T.Abendbis)+MAX(0,T.Abendbis-MAX(U21,T.Abendab))-MAX(0,T.Abendbis-MAX(T.Abendab,U22))+(U21&gt;U22)*(1+T.Abendab-T.Abendbis),9)),"")</f>
        <v/>
      </c>
      <c r="V80" s="256" t="str">
        <f aca="false">IF(T.50_Vetsuisse,IF(OR(V$12=0,V$11=0,WEEKDAY(V$10,2)&gt;5),0,ROUND(MAX(0,T.Abendbis-MAX(V13,T.Abendab))-MAX(0,T.Abendbis-MAX(T.Abendab,V14))+(V13&gt;V14)*(1+T.Abendab-T.Abendbis)+MAX(0,T.Abendbis-MAX(V15,T.Abendab))-MAX(0,T.Abendbis-MAX(T.Abendab,V16))+(V15&gt;V16)*(1+T.Abendab-T.Abendbis)+MAX(0,T.Abendbis-MAX(V17,T.Abendab))-MAX(0,T.Abendbis-MAX(T.Abendab,V18))+(V17&gt;V18)*(1+T.Abendab-T.Abendbis)+MAX(0,T.Abendbis-MAX(V19,T.Abendab))-MAX(0,T.Abendbis-MAX(T.Abendab,V20))+(V19&gt;V20)*(1+T.Abendab-T.Abendbis)+MAX(0,T.Abendbis-MAX(V21,T.Abendab))-MAX(0,T.Abendbis-MAX(T.Abendab,V22))+(V21&gt;V22)*(1+T.Abendab-T.Abendbis),9)),"")</f>
        <v/>
      </c>
      <c r="W80" s="256" t="str">
        <f aca="false">IF(T.50_Vetsuisse,IF(OR(W$12=0,W$11=0,WEEKDAY(W$10,2)&gt;5),0,ROUND(MAX(0,T.Abendbis-MAX(W13,T.Abendab))-MAX(0,T.Abendbis-MAX(T.Abendab,W14))+(W13&gt;W14)*(1+T.Abendab-T.Abendbis)+MAX(0,T.Abendbis-MAX(W15,T.Abendab))-MAX(0,T.Abendbis-MAX(T.Abendab,W16))+(W15&gt;W16)*(1+T.Abendab-T.Abendbis)+MAX(0,T.Abendbis-MAX(W17,T.Abendab))-MAX(0,T.Abendbis-MAX(T.Abendab,W18))+(W17&gt;W18)*(1+T.Abendab-T.Abendbis)+MAX(0,T.Abendbis-MAX(W19,T.Abendab))-MAX(0,T.Abendbis-MAX(T.Abendab,W20))+(W19&gt;W20)*(1+T.Abendab-T.Abendbis)+MAX(0,T.Abendbis-MAX(W21,T.Abendab))-MAX(0,T.Abendbis-MAX(T.Abendab,W22))+(W21&gt;W22)*(1+T.Abendab-T.Abendbis),9)),"")</f>
        <v/>
      </c>
      <c r="X80" s="256" t="str">
        <f aca="false">IF(T.50_Vetsuisse,IF(OR(X$12=0,X$11=0,WEEKDAY(X$10,2)&gt;5),0,ROUND(MAX(0,T.Abendbis-MAX(X13,T.Abendab))-MAX(0,T.Abendbis-MAX(T.Abendab,X14))+(X13&gt;X14)*(1+T.Abendab-T.Abendbis)+MAX(0,T.Abendbis-MAX(X15,T.Abendab))-MAX(0,T.Abendbis-MAX(T.Abendab,X16))+(X15&gt;X16)*(1+T.Abendab-T.Abendbis)+MAX(0,T.Abendbis-MAX(X17,T.Abendab))-MAX(0,T.Abendbis-MAX(T.Abendab,X18))+(X17&gt;X18)*(1+T.Abendab-T.Abendbis)+MAX(0,T.Abendbis-MAX(X19,T.Abendab))-MAX(0,T.Abendbis-MAX(T.Abendab,X20))+(X19&gt;X20)*(1+T.Abendab-T.Abendbis)+MAX(0,T.Abendbis-MAX(X21,T.Abendab))-MAX(0,T.Abendbis-MAX(T.Abendab,X22))+(X21&gt;X22)*(1+T.Abendab-T.Abendbis),9)),"")</f>
        <v/>
      </c>
      <c r="Y80" s="256" t="str">
        <f aca="false">IF(T.50_Vetsuisse,IF(OR(Y$12=0,Y$11=0,WEEKDAY(Y$10,2)&gt;5),0,ROUND(MAX(0,T.Abendbis-MAX(Y13,T.Abendab))-MAX(0,T.Abendbis-MAX(T.Abendab,Y14))+(Y13&gt;Y14)*(1+T.Abendab-T.Abendbis)+MAX(0,T.Abendbis-MAX(Y15,T.Abendab))-MAX(0,T.Abendbis-MAX(T.Abendab,Y16))+(Y15&gt;Y16)*(1+T.Abendab-T.Abendbis)+MAX(0,T.Abendbis-MAX(Y17,T.Abendab))-MAX(0,T.Abendbis-MAX(T.Abendab,Y18))+(Y17&gt;Y18)*(1+T.Abendab-T.Abendbis)+MAX(0,T.Abendbis-MAX(Y19,T.Abendab))-MAX(0,T.Abendbis-MAX(T.Abendab,Y20))+(Y19&gt;Y20)*(1+T.Abendab-T.Abendbis)+MAX(0,T.Abendbis-MAX(Y21,T.Abendab))-MAX(0,T.Abendbis-MAX(T.Abendab,Y22))+(Y21&gt;Y22)*(1+T.Abendab-T.Abendbis),9)),"")</f>
        <v/>
      </c>
      <c r="Z80" s="256" t="str">
        <f aca="false">IF(T.50_Vetsuisse,IF(OR(Z$12=0,Z$11=0,WEEKDAY(Z$10,2)&gt;5),0,ROUND(MAX(0,T.Abendbis-MAX(Z13,T.Abendab))-MAX(0,T.Abendbis-MAX(T.Abendab,Z14))+(Z13&gt;Z14)*(1+T.Abendab-T.Abendbis)+MAX(0,T.Abendbis-MAX(Z15,T.Abendab))-MAX(0,T.Abendbis-MAX(T.Abendab,Z16))+(Z15&gt;Z16)*(1+T.Abendab-T.Abendbis)+MAX(0,T.Abendbis-MAX(Z17,T.Abendab))-MAX(0,T.Abendbis-MAX(T.Abendab,Z18))+(Z17&gt;Z18)*(1+T.Abendab-T.Abendbis)+MAX(0,T.Abendbis-MAX(Z19,T.Abendab))-MAX(0,T.Abendbis-MAX(T.Abendab,Z20))+(Z19&gt;Z20)*(1+T.Abendab-T.Abendbis)+MAX(0,T.Abendbis-MAX(Z21,T.Abendab))-MAX(0,T.Abendbis-MAX(T.Abendab,Z22))+(Z21&gt;Z22)*(1+T.Abendab-T.Abendbis),9)),"")</f>
        <v/>
      </c>
      <c r="AA80" s="256" t="str">
        <f aca="false">IF(T.50_Vetsuisse,IF(OR(AA$12=0,AA$11=0,WEEKDAY(AA$10,2)&gt;5),0,ROUND(MAX(0,T.Abendbis-MAX(AA13,T.Abendab))-MAX(0,T.Abendbis-MAX(T.Abendab,AA14))+(AA13&gt;AA14)*(1+T.Abendab-T.Abendbis)+MAX(0,T.Abendbis-MAX(AA15,T.Abendab))-MAX(0,T.Abendbis-MAX(T.Abendab,AA16))+(AA15&gt;AA16)*(1+T.Abendab-T.Abendbis)+MAX(0,T.Abendbis-MAX(AA17,T.Abendab))-MAX(0,T.Abendbis-MAX(T.Abendab,AA18))+(AA17&gt;AA18)*(1+T.Abendab-T.Abendbis)+MAX(0,T.Abendbis-MAX(AA19,T.Abendab))-MAX(0,T.Abendbis-MAX(T.Abendab,AA20))+(AA19&gt;AA20)*(1+T.Abendab-T.Abendbis)+MAX(0,T.Abendbis-MAX(AA21,T.Abendab))-MAX(0,T.Abendbis-MAX(T.Abendab,AA22))+(AA21&gt;AA22)*(1+T.Abendab-T.Abendbis),9)),"")</f>
        <v/>
      </c>
      <c r="AB80" s="256" t="str">
        <f aca="false">IF(T.50_Vetsuisse,IF(OR(AB$12=0,AB$11=0,WEEKDAY(AB$10,2)&gt;5),0,ROUND(MAX(0,T.Abendbis-MAX(AB13,T.Abendab))-MAX(0,T.Abendbis-MAX(T.Abendab,AB14))+(AB13&gt;AB14)*(1+T.Abendab-T.Abendbis)+MAX(0,T.Abendbis-MAX(AB15,T.Abendab))-MAX(0,T.Abendbis-MAX(T.Abendab,AB16))+(AB15&gt;AB16)*(1+T.Abendab-T.Abendbis)+MAX(0,T.Abendbis-MAX(AB17,T.Abendab))-MAX(0,T.Abendbis-MAX(T.Abendab,AB18))+(AB17&gt;AB18)*(1+T.Abendab-T.Abendbis)+MAX(0,T.Abendbis-MAX(AB19,T.Abendab))-MAX(0,T.Abendbis-MAX(T.Abendab,AB20))+(AB19&gt;AB20)*(1+T.Abendab-T.Abendbis)+MAX(0,T.Abendbis-MAX(AB21,T.Abendab))-MAX(0,T.Abendbis-MAX(T.Abendab,AB22))+(AB21&gt;AB22)*(1+T.Abendab-T.Abendbis),9)),"")</f>
        <v/>
      </c>
      <c r="AC80" s="256" t="str">
        <f aca="false">IF(T.50_Vetsuisse,IF(OR(AC$12=0,AC$11=0,WEEKDAY(AC$10,2)&gt;5),0,ROUND(MAX(0,T.Abendbis-MAX(AC13,T.Abendab))-MAX(0,T.Abendbis-MAX(T.Abendab,AC14))+(AC13&gt;AC14)*(1+T.Abendab-T.Abendbis)+MAX(0,T.Abendbis-MAX(AC15,T.Abendab))-MAX(0,T.Abendbis-MAX(T.Abendab,AC16))+(AC15&gt;AC16)*(1+T.Abendab-T.Abendbis)+MAX(0,T.Abendbis-MAX(AC17,T.Abendab))-MAX(0,T.Abendbis-MAX(T.Abendab,AC18))+(AC17&gt;AC18)*(1+T.Abendab-T.Abendbis)+MAX(0,T.Abendbis-MAX(AC19,T.Abendab))-MAX(0,T.Abendbis-MAX(T.Abendab,AC20))+(AC19&gt;AC20)*(1+T.Abendab-T.Abendbis)+MAX(0,T.Abendbis-MAX(AC21,T.Abendab))-MAX(0,T.Abendbis-MAX(T.Abendab,AC22))+(AC21&gt;AC22)*(1+T.Abendab-T.Abendbis),9)),"")</f>
        <v/>
      </c>
      <c r="AD80" s="256" t="str">
        <f aca="false">IF(T.50_Vetsuisse,IF(OR(AD$12=0,AD$11=0,WEEKDAY(AD$10,2)&gt;5),0,ROUND(MAX(0,T.Abendbis-MAX(AD13,T.Abendab))-MAX(0,T.Abendbis-MAX(T.Abendab,AD14))+(AD13&gt;AD14)*(1+T.Abendab-T.Abendbis)+MAX(0,T.Abendbis-MAX(AD15,T.Abendab))-MAX(0,T.Abendbis-MAX(T.Abendab,AD16))+(AD15&gt;AD16)*(1+T.Abendab-T.Abendbis)+MAX(0,T.Abendbis-MAX(AD17,T.Abendab))-MAX(0,T.Abendbis-MAX(T.Abendab,AD18))+(AD17&gt;AD18)*(1+T.Abendab-T.Abendbis)+MAX(0,T.Abendbis-MAX(AD19,T.Abendab))-MAX(0,T.Abendbis-MAX(T.Abendab,AD20))+(AD19&gt;AD20)*(1+T.Abendab-T.Abendbis)+MAX(0,T.Abendbis-MAX(AD21,T.Abendab))-MAX(0,T.Abendbis-MAX(T.Abendab,AD22))+(AD21&gt;AD22)*(1+T.Abendab-T.Abendbis),9)),"")</f>
        <v/>
      </c>
      <c r="AE80" s="256" t="str">
        <f aca="false">IF(T.50_Vetsuisse,IF(OR(AE$12=0,AE$11=0,WEEKDAY(AE$10,2)&gt;5),0,ROUND(MAX(0,T.Abendbis-MAX(AE13,T.Abendab))-MAX(0,T.Abendbis-MAX(T.Abendab,AE14))+(AE13&gt;AE14)*(1+T.Abendab-T.Abendbis)+MAX(0,T.Abendbis-MAX(AE15,T.Abendab))-MAX(0,T.Abendbis-MAX(T.Abendab,AE16))+(AE15&gt;AE16)*(1+T.Abendab-T.Abendbis)+MAX(0,T.Abendbis-MAX(AE17,T.Abendab))-MAX(0,T.Abendbis-MAX(T.Abendab,AE18))+(AE17&gt;AE18)*(1+T.Abendab-T.Abendbis)+MAX(0,T.Abendbis-MAX(AE19,T.Abendab))-MAX(0,T.Abendbis-MAX(T.Abendab,AE20))+(AE19&gt;AE20)*(1+T.Abendab-T.Abendbis)+MAX(0,T.Abendbis-MAX(AE21,T.Abendab))-MAX(0,T.Abendbis-MAX(T.Abendab,AE22))+(AE21&gt;AE22)*(1+T.Abendab-T.Abendbis),9)),"")</f>
        <v/>
      </c>
      <c r="AF80" s="256" t="str">
        <f aca="false">IF(T.50_Vetsuisse,IF(OR(AF$12=0,AF$11=0,WEEKDAY(AF$10,2)&gt;5),0,ROUND(MAX(0,T.Abendbis-MAX(AF13,T.Abendab))-MAX(0,T.Abendbis-MAX(T.Abendab,AF14))+(AF13&gt;AF14)*(1+T.Abendab-T.Abendbis)+MAX(0,T.Abendbis-MAX(AF15,T.Abendab))-MAX(0,T.Abendbis-MAX(T.Abendab,AF16))+(AF15&gt;AF16)*(1+T.Abendab-T.Abendbis)+MAX(0,T.Abendbis-MAX(AF17,T.Abendab))-MAX(0,T.Abendbis-MAX(T.Abendab,AF18))+(AF17&gt;AF18)*(1+T.Abendab-T.Abendbis)+MAX(0,T.Abendbis-MAX(AF19,T.Abendab))-MAX(0,T.Abendbis-MAX(T.Abendab,AF20))+(AF19&gt;AF20)*(1+T.Abendab-T.Abendbis)+MAX(0,T.Abendbis-MAX(AF21,T.Abendab))-MAX(0,T.Abendbis-MAX(T.Abendab,AF22))+(AF21&gt;AF22)*(1+T.Abendab-T.Abendbis),9)),"")</f>
        <v/>
      </c>
      <c r="AG80" s="168" t="str">
        <f aca="false">A80</f>
        <v>Evening work</v>
      </c>
      <c r="AH80" s="250"/>
      <c r="AI80" s="207" t="n">
        <f aca="false">SUM(B80:AF80)</f>
        <v>0</v>
      </c>
      <c r="AJ80" s="33"/>
      <c r="AK80" s="192"/>
      <c r="AL80" s="216" t="n">
        <f aca="false">IF(EB.Anwendung&lt;&gt;"",IF(MONTH(Monat.Tag1)=1,0,IF(MONTH(Monat.Tag1)=2,January!Monat.AAUeVM,IF(MONTH(Monat.Tag1)=3,February!Monat.AAUeVM,IF(MONTH(Monat.Tag1)=4,March!Monat.AAUeVM,IF(MONTH(Monat.Tag1)=5,April!Monat.AAUeVM,IF(MONTH(Monat.Tag1)=6,Monat.AAUeVM,IF(MONTH(Monat.Tag1)=7,June!Monat.AAUeVM,IF(MONTH(Monat.Tag1)=8,July!Monat.AAUeVM,IF(MONTH(Monat.Tag1)=9,August!Monat.AAUeVM,IF(MONTH(Monat.Tag1)=10,September!Monat.AAUeVM,IF(MONTH(Monat.Tag1)=11,October!Monat.AAUeVM,IF(MONTH(Monat.Tag1)=12,November!Monat.AAUeVM,"")))))))))))),"")</f>
        <v>0</v>
      </c>
      <c r="AM80" s="172"/>
      <c r="AN80" s="217" t="n">
        <f aca="false">AI80+AL80</f>
        <v>0</v>
      </c>
      <c r="AO80" s="171"/>
      <c r="AP80" s="171"/>
      <c r="AQ80" s="39"/>
    </row>
    <row r="81" s="148" customFormat="true" ht="15" hidden="false" customHeight="true" outlineLevel="1" collapsed="false">
      <c r="A81" s="175" t="s">
        <v>164</v>
      </c>
      <c r="B81" s="256" t="n">
        <f aca="true">IF(EB.Wochenarbeitszeit=50/24,"",IF(B$12=0,0,IF(OR(WEEKDAY(B$10,2)&gt;5,B$11=0),IF(NOT(B$34=INDEX(T.Pikett.Bereich,1)),1,0),IF(WEEKDAY(B$10,2)&lt;6,IF(AND(OR(B$34=INDEX(T.Pikett.Bereich,2),B$34=INDEX(T.Pikett.Bereich,3)),B$11=1),8/24,0))+IF(WEEKDAY(B$10,2)&lt;6,IF(AND(OR(B$34=INDEX(T.Pikett.Bereich,2),B$34=INDEX(T.Pikett.Bereich,3)),B$11=6/8.4),10/24,0)) +IF(WEEKDAY(B$10,2)&lt;6,IF(AND(OR(B$34=INDEX(T.Pikett.Bereich,2),B$34=INDEX(T.Pikett.Bereich,3)),B$11=0.5),0.5,0)) +IF(AND(B$34=INDEX(T.Pikett.Bereich,4),B$11=6/8.4),0.75,0)+IF(AND(B$34=INDEX(T.Pikett.Bereich,4),B$11=1),16/24,0) +IF(AND(B$34=INDEX(T.Pikett.Bereich,4),B$11=0.5),20/24,0))))</f>
        <v>0</v>
      </c>
      <c r="C81" s="256" t="n">
        <f aca="true">IF(EB.Wochenarbeitszeit=50/24,"",IF(C$12=0,0,IF(OR(WEEKDAY(C$10,2)&gt;5,C$11=0),IF(NOT(C$34=INDEX(T.Pikett.Bereich,1)),1,0),IF(WEEKDAY(C$10,2)&lt;6,IF(AND(OR(C$34=INDEX(T.Pikett.Bereich,2),C$34=INDEX(T.Pikett.Bereich,3)),C$11=1),8/24,0))+IF(WEEKDAY(C$10,2)&lt;6,IF(AND(OR(C$34=INDEX(T.Pikett.Bereich,2),C$34=INDEX(T.Pikett.Bereich,3)),C$11=6/8.4),10/24,0)) +IF(WEEKDAY(C$10,2)&lt;6,IF(AND(OR(C$34=INDEX(T.Pikett.Bereich,2),C$34=INDEX(T.Pikett.Bereich,3)),C$11=0.5),0.5,0)) +IF(AND(C$34=INDEX(T.Pikett.Bereich,4),C$11=6/8.4),0.75,0)+IF(AND(C$34=INDEX(T.Pikett.Bereich,4),C$11=1),16/24,0) +IF(AND(C$34=INDEX(T.Pikett.Bereich,4),C$11=0.5),20/24,0))))</f>
        <v>0</v>
      </c>
      <c r="D81" s="256" t="n">
        <f aca="true">IF(EB.Wochenarbeitszeit=50/24,"",IF(D$12=0,0,IF(OR(WEEKDAY(D$10,2)&gt;5,D$11=0),IF(NOT(D$34=INDEX(T.Pikett.Bereich,1)),1,0),IF(WEEKDAY(D$10,2)&lt;6,IF(AND(OR(D$34=INDEX(T.Pikett.Bereich,2),D$34=INDEX(T.Pikett.Bereich,3)),D$11=1),8/24,0))+IF(WEEKDAY(D$10,2)&lt;6,IF(AND(OR(D$34=INDEX(T.Pikett.Bereich,2),D$34=INDEX(T.Pikett.Bereich,3)),D$11=6/8.4),10/24,0)) +IF(WEEKDAY(D$10,2)&lt;6,IF(AND(OR(D$34=INDEX(T.Pikett.Bereich,2),D$34=INDEX(T.Pikett.Bereich,3)),D$11=0.5),0.5,0)) +IF(AND(D$34=INDEX(T.Pikett.Bereich,4),D$11=6/8.4),0.75,0)+IF(AND(D$34=INDEX(T.Pikett.Bereich,4),D$11=1),16/24,0) +IF(AND(D$34=INDEX(T.Pikett.Bereich,4),D$11=0.5),20/24,0))))</f>
        <v>0</v>
      </c>
      <c r="E81" s="256" t="n">
        <f aca="true">IF(EB.Wochenarbeitszeit=50/24,"",IF(E$12=0,0,IF(OR(WEEKDAY(E$10,2)&gt;5,E$11=0),IF(NOT(E$34=INDEX(T.Pikett.Bereich,1)),1,0),IF(WEEKDAY(E$10,2)&lt;6,IF(AND(OR(E$34=INDEX(T.Pikett.Bereich,2),E$34=INDEX(T.Pikett.Bereich,3)),E$11=1),8/24,0))+IF(WEEKDAY(E$10,2)&lt;6,IF(AND(OR(E$34=INDEX(T.Pikett.Bereich,2),E$34=INDEX(T.Pikett.Bereich,3)),E$11=6/8.4),10/24,0)) +IF(WEEKDAY(E$10,2)&lt;6,IF(AND(OR(E$34=INDEX(T.Pikett.Bereich,2),E$34=INDEX(T.Pikett.Bereich,3)),E$11=0.5),0.5,0)) +IF(AND(E$34=INDEX(T.Pikett.Bereich,4),E$11=6/8.4),0.75,0)+IF(AND(E$34=INDEX(T.Pikett.Bereich,4),E$11=1),16/24,0) +IF(AND(E$34=INDEX(T.Pikett.Bereich,4),E$11=0.5),20/24,0))))</f>
        <v>0</v>
      </c>
      <c r="F81" s="256" t="n">
        <f aca="true">IF(EB.Wochenarbeitszeit=50/24,"",IF(F$12=0,0,IF(OR(WEEKDAY(F$10,2)&gt;5,F$11=0),IF(NOT(F$34=INDEX(T.Pikett.Bereich,1)),1,0),IF(WEEKDAY(F$10,2)&lt;6,IF(AND(OR(F$34=INDEX(T.Pikett.Bereich,2),F$34=INDEX(T.Pikett.Bereich,3)),F$11=1),8/24,0))+IF(WEEKDAY(F$10,2)&lt;6,IF(AND(OR(F$34=INDEX(T.Pikett.Bereich,2),F$34=INDEX(T.Pikett.Bereich,3)),F$11=6/8.4),10/24,0)) +IF(WEEKDAY(F$10,2)&lt;6,IF(AND(OR(F$34=INDEX(T.Pikett.Bereich,2),F$34=INDEX(T.Pikett.Bereich,3)),F$11=0.5),0.5,0)) +IF(AND(F$34=INDEX(T.Pikett.Bereich,4),F$11=6/8.4),0.75,0)+IF(AND(F$34=INDEX(T.Pikett.Bereich,4),F$11=1),16/24,0) +IF(AND(F$34=INDEX(T.Pikett.Bereich,4),F$11=0.5),20/24,0))))</f>
        <v>0</v>
      </c>
      <c r="G81" s="256" t="n">
        <f aca="true">IF(EB.Wochenarbeitszeit=50/24,"",IF(G$12=0,0,IF(OR(WEEKDAY(G$10,2)&gt;5,G$11=0),IF(NOT(G$34=INDEX(T.Pikett.Bereich,1)),1,0),IF(WEEKDAY(G$10,2)&lt;6,IF(AND(OR(G$34=INDEX(T.Pikett.Bereich,2),G$34=INDEX(T.Pikett.Bereich,3)),G$11=1),8/24,0))+IF(WEEKDAY(G$10,2)&lt;6,IF(AND(OR(G$34=INDEX(T.Pikett.Bereich,2),G$34=INDEX(T.Pikett.Bereich,3)),G$11=6/8.4),10/24,0)) +IF(WEEKDAY(G$10,2)&lt;6,IF(AND(OR(G$34=INDEX(T.Pikett.Bereich,2),G$34=INDEX(T.Pikett.Bereich,3)),G$11=0.5),0.5,0)) +IF(AND(G$34=INDEX(T.Pikett.Bereich,4),G$11=6/8.4),0.75,0)+IF(AND(G$34=INDEX(T.Pikett.Bereich,4),G$11=1),16/24,0) +IF(AND(G$34=INDEX(T.Pikett.Bereich,4),G$11=0.5),20/24,0))))</f>
        <v>0</v>
      </c>
      <c r="H81" s="256" t="n">
        <f aca="true">IF(EB.Wochenarbeitszeit=50/24,"",IF(H$12=0,0,IF(OR(WEEKDAY(H$10,2)&gt;5,H$11=0),IF(NOT(H$34=INDEX(T.Pikett.Bereich,1)),1,0),IF(WEEKDAY(H$10,2)&lt;6,IF(AND(OR(H$34=INDEX(T.Pikett.Bereich,2),H$34=INDEX(T.Pikett.Bereich,3)),H$11=1),8/24,0))+IF(WEEKDAY(H$10,2)&lt;6,IF(AND(OR(H$34=INDEX(T.Pikett.Bereich,2),H$34=INDEX(T.Pikett.Bereich,3)),H$11=6/8.4),10/24,0)) +IF(WEEKDAY(H$10,2)&lt;6,IF(AND(OR(H$34=INDEX(T.Pikett.Bereich,2),H$34=INDEX(T.Pikett.Bereich,3)),H$11=0.5),0.5,0)) +IF(AND(H$34=INDEX(T.Pikett.Bereich,4),H$11=6/8.4),0.75,0)+IF(AND(H$34=INDEX(T.Pikett.Bereich,4),H$11=1),16/24,0) +IF(AND(H$34=INDEX(T.Pikett.Bereich,4),H$11=0.5),20/24,0))))</f>
        <v>0</v>
      </c>
      <c r="I81" s="256" t="n">
        <f aca="true">IF(EB.Wochenarbeitszeit=50/24,"",IF(I$12=0,0,IF(OR(WEEKDAY(I$10,2)&gt;5,I$11=0),IF(NOT(I$34=INDEX(T.Pikett.Bereich,1)),1,0),IF(WEEKDAY(I$10,2)&lt;6,IF(AND(OR(I$34=INDEX(T.Pikett.Bereich,2),I$34=INDEX(T.Pikett.Bereich,3)),I$11=1),8/24,0))+IF(WEEKDAY(I$10,2)&lt;6,IF(AND(OR(I$34=INDEX(T.Pikett.Bereich,2),I$34=INDEX(T.Pikett.Bereich,3)),I$11=6/8.4),10/24,0)) +IF(WEEKDAY(I$10,2)&lt;6,IF(AND(OR(I$34=INDEX(T.Pikett.Bereich,2),I$34=INDEX(T.Pikett.Bereich,3)),I$11=0.5),0.5,0)) +IF(AND(I$34=INDEX(T.Pikett.Bereich,4),I$11=6/8.4),0.75,0)+IF(AND(I$34=INDEX(T.Pikett.Bereich,4),I$11=1),16/24,0) +IF(AND(I$34=INDEX(T.Pikett.Bereich,4),I$11=0.5),20/24,0))))</f>
        <v>0</v>
      </c>
      <c r="J81" s="256" t="n">
        <f aca="true">IF(EB.Wochenarbeitszeit=50/24,"",IF(J$12=0,0,IF(OR(WEEKDAY(J$10,2)&gt;5,J$11=0),IF(NOT(J$34=INDEX(T.Pikett.Bereich,1)),1,0),IF(WEEKDAY(J$10,2)&lt;6,IF(AND(OR(J$34=INDEX(T.Pikett.Bereich,2),J$34=INDEX(T.Pikett.Bereich,3)),J$11=1),8/24,0))+IF(WEEKDAY(J$10,2)&lt;6,IF(AND(OR(J$34=INDEX(T.Pikett.Bereich,2),J$34=INDEX(T.Pikett.Bereich,3)),J$11=6/8.4),10/24,0)) +IF(WEEKDAY(J$10,2)&lt;6,IF(AND(OR(J$34=INDEX(T.Pikett.Bereich,2),J$34=INDEX(T.Pikett.Bereich,3)),J$11=0.5),0.5,0)) +IF(AND(J$34=INDEX(T.Pikett.Bereich,4),J$11=6/8.4),0.75,0)+IF(AND(J$34=INDEX(T.Pikett.Bereich,4),J$11=1),16/24,0) +IF(AND(J$34=INDEX(T.Pikett.Bereich,4),J$11=0.5),20/24,0))))</f>
        <v>0</v>
      </c>
      <c r="K81" s="256" t="n">
        <f aca="true">IF(EB.Wochenarbeitszeit=50/24,"",IF(K$12=0,0,IF(OR(WEEKDAY(K$10,2)&gt;5,K$11=0),IF(NOT(K$34=INDEX(T.Pikett.Bereich,1)),1,0),IF(WEEKDAY(K$10,2)&lt;6,IF(AND(OR(K$34=INDEX(T.Pikett.Bereich,2),K$34=INDEX(T.Pikett.Bereich,3)),K$11=1),8/24,0))+IF(WEEKDAY(K$10,2)&lt;6,IF(AND(OR(K$34=INDEX(T.Pikett.Bereich,2),K$34=INDEX(T.Pikett.Bereich,3)),K$11=6/8.4),10/24,0)) +IF(WEEKDAY(K$10,2)&lt;6,IF(AND(OR(K$34=INDEX(T.Pikett.Bereich,2),K$34=INDEX(T.Pikett.Bereich,3)),K$11=0.5),0.5,0)) +IF(AND(K$34=INDEX(T.Pikett.Bereich,4),K$11=6/8.4),0.75,0)+IF(AND(K$34=INDEX(T.Pikett.Bereich,4),K$11=1),16/24,0) +IF(AND(K$34=INDEX(T.Pikett.Bereich,4),K$11=0.5),20/24,0))))</f>
        <v>0</v>
      </c>
      <c r="L81" s="256" t="n">
        <f aca="true">IF(EB.Wochenarbeitszeit=50/24,"",IF(L$12=0,0,IF(OR(WEEKDAY(L$10,2)&gt;5,L$11=0),IF(NOT(L$34=INDEX(T.Pikett.Bereich,1)),1,0),IF(WEEKDAY(L$10,2)&lt;6,IF(AND(OR(L$34=INDEX(T.Pikett.Bereich,2),L$34=INDEX(T.Pikett.Bereich,3)),L$11=1),8/24,0))+IF(WEEKDAY(L$10,2)&lt;6,IF(AND(OR(L$34=INDEX(T.Pikett.Bereich,2),L$34=INDEX(T.Pikett.Bereich,3)),L$11=6/8.4),10/24,0)) +IF(WEEKDAY(L$10,2)&lt;6,IF(AND(OR(L$34=INDEX(T.Pikett.Bereich,2),L$34=INDEX(T.Pikett.Bereich,3)),L$11=0.5),0.5,0)) +IF(AND(L$34=INDEX(T.Pikett.Bereich,4),L$11=6/8.4),0.75,0)+IF(AND(L$34=INDEX(T.Pikett.Bereich,4),L$11=1),16/24,0) +IF(AND(L$34=INDEX(T.Pikett.Bereich,4),L$11=0.5),20/24,0))))</f>
        <v>0</v>
      </c>
      <c r="M81" s="256" t="n">
        <f aca="true">IF(EB.Wochenarbeitszeit=50/24,"",IF(M$12=0,0,IF(OR(WEEKDAY(M$10,2)&gt;5,M$11=0),IF(NOT(M$34=INDEX(T.Pikett.Bereich,1)),1,0),IF(WEEKDAY(M$10,2)&lt;6,IF(AND(OR(M$34=INDEX(T.Pikett.Bereich,2),M$34=INDEX(T.Pikett.Bereich,3)),M$11=1),8/24,0))+IF(WEEKDAY(M$10,2)&lt;6,IF(AND(OR(M$34=INDEX(T.Pikett.Bereich,2),M$34=INDEX(T.Pikett.Bereich,3)),M$11=6/8.4),10/24,0)) +IF(WEEKDAY(M$10,2)&lt;6,IF(AND(OR(M$34=INDEX(T.Pikett.Bereich,2),M$34=INDEX(T.Pikett.Bereich,3)),M$11=0.5),0.5,0)) +IF(AND(M$34=INDEX(T.Pikett.Bereich,4),M$11=6/8.4),0.75,0)+IF(AND(M$34=INDEX(T.Pikett.Bereich,4),M$11=1),16/24,0) +IF(AND(M$34=INDEX(T.Pikett.Bereich,4),M$11=0.5),20/24,0))))</f>
        <v>0</v>
      </c>
      <c r="N81" s="256" t="n">
        <f aca="true">IF(EB.Wochenarbeitszeit=50/24,"",IF(N$12=0,0,IF(OR(WEEKDAY(N$10,2)&gt;5,N$11=0),IF(NOT(N$34=INDEX(T.Pikett.Bereich,1)),1,0),IF(WEEKDAY(N$10,2)&lt;6,IF(AND(OR(N$34=INDEX(T.Pikett.Bereich,2),N$34=INDEX(T.Pikett.Bereich,3)),N$11=1),8/24,0))+IF(WEEKDAY(N$10,2)&lt;6,IF(AND(OR(N$34=INDEX(T.Pikett.Bereich,2),N$34=INDEX(T.Pikett.Bereich,3)),N$11=6/8.4),10/24,0)) +IF(WEEKDAY(N$10,2)&lt;6,IF(AND(OR(N$34=INDEX(T.Pikett.Bereich,2),N$34=INDEX(T.Pikett.Bereich,3)),N$11=0.5),0.5,0)) +IF(AND(N$34=INDEX(T.Pikett.Bereich,4),N$11=6/8.4),0.75,0)+IF(AND(N$34=INDEX(T.Pikett.Bereich,4),N$11=1),16/24,0) +IF(AND(N$34=INDEX(T.Pikett.Bereich,4),N$11=0.5),20/24,0))))</f>
        <v>0</v>
      </c>
      <c r="O81" s="256" t="n">
        <f aca="true">IF(EB.Wochenarbeitszeit=50/24,"",IF(O$12=0,0,IF(OR(WEEKDAY(O$10,2)&gt;5,O$11=0),IF(NOT(O$34=INDEX(T.Pikett.Bereich,1)),1,0),IF(WEEKDAY(O$10,2)&lt;6,IF(AND(OR(O$34=INDEX(T.Pikett.Bereich,2),O$34=INDEX(T.Pikett.Bereich,3)),O$11=1),8/24,0))+IF(WEEKDAY(O$10,2)&lt;6,IF(AND(OR(O$34=INDEX(T.Pikett.Bereich,2),O$34=INDEX(T.Pikett.Bereich,3)),O$11=6/8.4),10/24,0)) +IF(WEEKDAY(O$10,2)&lt;6,IF(AND(OR(O$34=INDEX(T.Pikett.Bereich,2),O$34=INDEX(T.Pikett.Bereich,3)),O$11=0.5),0.5,0)) +IF(AND(O$34=INDEX(T.Pikett.Bereich,4),O$11=6/8.4),0.75,0)+IF(AND(O$34=INDEX(T.Pikett.Bereich,4),O$11=1),16/24,0) +IF(AND(O$34=INDEX(T.Pikett.Bereich,4),O$11=0.5),20/24,0))))</f>
        <v>0</v>
      </c>
      <c r="P81" s="256" t="n">
        <f aca="true">IF(EB.Wochenarbeitszeit=50/24,"",IF(P$12=0,0,IF(OR(WEEKDAY(P$10,2)&gt;5,P$11=0),IF(NOT(P$34=INDEX(T.Pikett.Bereich,1)),1,0),IF(WEEKDAY(P$10,2)&lt;6,IF(AND(OR(P$34=INDEX(T.Pikett.Bereich,2),P$34=INDEX(T.Pikett.Bereich,3)),P$11=1),8/24,0))+IF(WEEKDAY(P$10,2)&lt;6,IF(AND(OR(P$34=INDEX(T.Pikett.Bereich,2),P$34=INDEX(T.Pikett.Bereich,3)),P$11=6/8.4),10/24,0)) +IF(WEEKDAY(P$10,2)&lt;6,IF(AND(OR(P$34=INDEX(T.Pikett.Bereich,2),P$34=INDEX(T.Pikett.Bereich,3)),P$11=0.5),0.5,0)) +IF(AND(P$34=INDEX(T.Pikett.Bereich,4),P$11=6/8.4),0.75,0)+IF(AND(P$34=INDEX(T.Pikett.Bereich,4),P$11=1),16/24,0) +IF(AND(P$34=INDEX(T.Pikett.Bereich,4),P$11=0.5),20/24,0))))</f>
        <v>0</v>
      </c>
      <c r="Q81" s="256" t="n">
        <f aca="true">IF(EB.Wochenarbeitszeit=50/24,"",IF(Q$12=0,0,IF(OR(WEEKDAY(Q$10,2)&gt;5,Q$11=0),IF(NOT(Q$34=INDEX(T.Pikett.Bereich,1)),1,0),IF(WEEKDAY(Q$10,2)&lt;6,IF(AND(OR(Q$34=INDEX(T.Pikett.Bereich,2),Q$34=INDEX(T.Pikett.Bereich,3)),Q$11=1),8/24,0))+IF(WEEKDAY(Q$10,2)&lt;6,IF(AND(OR(Q$34=INDEX(T.Pikett.Bereich,2),Q$34=INDEX(T.Pikett.Bereich,3)),Q$11=6/8.4),10/24,0)) +IF(WEEKDAY(Q$10,2)&lt;6,IF(AND(OR(Q$34=INDEX(T.Pikett.Bereich,2),Q$34=INDEX(T.Pikett.Bereich,3)),Q$11=0.5),0.5,0)) +IF(AND(Q$34=INDEX(T.Pikett.Bereich,4),Q$11=6/8.4),0.75,0)+IF(AND(Q$34=INDEX(T.Pikett.Bereich,4),Q$11=1),16/24,0) +IF(AND(Q$34=INDEX(T.Pikett.Bereich,4),Q$11=0.5),20/24,0))))</f>
        <v>0</v>
      </c>
      <c r="R81" s="256" t="n">
        <f aca="true">IF(EB.Wochenarbeitszeit=50/24,"",IF(R$12=0,0,IF(OR(WEEKDAY(R$10,2)&gt;5,R$11=0),IF(NOT(R$34=INDEX(T.Pikett.Bereich,1)),1,0),IF(WEEKDAY(R$10,2)&lt;6,IF(AND(OR(R$34=INDEX(T.Pikett.Bereich,2),R$34=INDEX(T.Pikett.Bereich,3)),R$11=1),8/24,0))+IF(WEEKDAY(R$10,2)&lt;6,IF(AND(OR(R$34=INDEX(T.Pikett.Bereich,2),R$34=INDEX(T.Pikett.Bereich,3)),R$11=6/8.4),10/24,0)) +IF(WEEKDAY(R$10,2)&lt;6,IF(AND(OR(R$34=INDEX(T.Pikett.Bereich,2),R$34=INDEX(T.Pikett.Bereich,3)),R$11=0.5),0.5,0)) +IF(AND(R$34=INDEX(T.Pikett.Bereich,4),R$11=6/8.4),0.75,0)+IF(AND(R$34=INDEX(T.Pikett.Bereich,4),R$11=1),16/24,0) +IF(AND(R$34=INDEX(T.Pikett.Bereich,4),R$11=0.5),20/24,0))))</f>
        <v>0</v>
      </c>
      <c r="S81" s="256" t="n">
        <f aca="true">IF(EB.Wochenarbeitszeit=50/24,"",IF(S$12=0,0,IF(OR(WEEKDAY(S$10,2)&gt;5,S$11=0),IF(NOT(S$34=INDEX(T.Pikett.Bereich,1)),1,0),IF(WEEKDAY(S$10,2)&lt;6,IF(AND(OR(S$34=INDEX(T.Pikett.Bereich,2),S$34=INDEX(T.Pikett.Bereich,3)),S$11=1),8/24,0))+IF(WEEKDAY(S$10,2)&lt;6,IF(AND(OR(S$34=INDEX(T.Pikett.Bereich,2),S$34=INDEX(T.Pikett.Bereich,3)),S$11=6/8.4),10/24,0)) +IF(WEEKDAY(S$10,2)&lt;6,IF(AND(OR(S$34=INDEX(T.Pikett.Bereich,2),S$34=INDEX(T.Pikett.Bereich,3)),S$11=0.5),0.5,0)) +IF(AND(S$34=INDEX(T.Pikett.Bereich,4),S$11=6/8.4),0.75,0)+IF(AND(S$34=INDEX(T.Pikett.Bereich,4),S$11=1),16/24,0) +IF(AND(S$34=INDEX(T.Pikett.Bereich,4),S$11=0.5),20/24,0))))</f>
        <v>0</v>
      </c>
      <c r="T81" s="256" t="n">
        <f aca="true">IF(EB.Wochenarbeitszeit=50/24,"",IF(T$12=0,0,IF(OR(WEEKDAY(T$10,2)&gt;5,T$11=0),IF(NOT(T$34=INDEX(T.Pikett.Bereich,1)),1,0),IF(WEEKDAY(T$10,2)&lt;6,IF(AND(OR(T$34=INDEX(T.Pikett.Bereich,2),T$34=INDEX(T.Pikett.Bereich,3)),T$11=1),8/24,0))+IF(WEEKDAY(T$10,2)&lt;6,IF(AND(OR(T$34=INDEX(T.Pikett.Bereich,2),T$34=INDEX(T.Pikett.Bereich,3)),T$11=6/8.4),10/24,0)) +IF(WEEKDAY(T$10,2)&lt;6,IF(AND(OR(T$34=INDEX(T.Pikett.Bereich,2),T$34=INDEX(T.Pikett.Bereich,3)),T$11=0.5),0.5,0)) +IF(AND(T$34=INDEX(T.Pikett.Bereich,4),T$11=6/8.4),0.75,0)+IF(AND(T$34=INDEX(T.Pikett.Bereich,4),T$11=1),16/24,0) +IF(AND(T$34=INDEX(T.Pikett.Bereich,4),T$11=0.5),20/24,0))))</f>
        <v>0</v>
      </c>
      <c r="U81" s="256" t="n">
        <f aca="true">IF(EB.Wochenarbeitszeit=50/24,"",IF(U$12=0,0,IF(OR(WEEKDAY(U$10,2)&gt;5,U$11=0),IF(NOT(U$34=INDEX(T.Pikett.Bereich,1)),1,0),IF(WEEKDAY(U$10,2)&lt;6,IF(AND(OR(U$34=INDEX(T.Pikett.Bereich,2),U$34=INDEX(T.Pikett.Bereich,3)),U$11=1),8/24,0))+IF(WEEKDAY(U$10,2)&lt;6,IF(AND(OR(U$34=INDEX(T.Pikett.Bereich,2),U$34=INDEX(T.Pikett.Bereich,3)),U$11=6/8.4),10/24,0)) +IF(WEEKDAY(U$10,2)&lt;6,IF(AND(OR(U$34=INDEX(T.Pikett.Bereich,2),U$34=INDEX(T.Pikett.Bereich,3)),U$11=0.5),0.5,0)) +IF(AND(U$34=INDEX(T.Pikett.Bereich,4),U$11=6/8.4),0.75,0)+IF(AND(U$34=INDEX(T.Pikett.Bereich,4),U$11=1),16/24,0) +IF(AND(U$34=INDEX(T.Pikett.Bereich,4),U$11=0.5),20/24,0))))</f>
        <v>0</v>
      </c>
      <c r="V81" s="256" t="n">
        <f aca="true">IF(EB.Wochenarbeitszeit=50/24,"",IF(V$12=0,0,IF(OR(WEEKDAY(V$10,2)&gt;5,V$11=0),IF(NOT(V$34=INDEX(T.Pikett.Bereich,1)),1,0),IF(WEEKDAY(V$10,2)&lt;6,IF(AND(OR(V$34=INDEX(T.Pikett.Bereich,2),V$34=INDEX(T.Pikett.Bereich,3)),V$11=1),8/24,0))+IF(WEEKDAY(V$10,2)&lt;6,IF(AND(OR(V$34=INDEX(T.Pikett.Bereich,2),V$34=INDEX(T.Pikett.Bereich,3)),V$11=6/8.4),10/24,0)) +IF(WEEKDAY(V$10,2)&lt;6,IF(AND(OR(V$34=INDEX(T.Pikett.Bereich,2),V$34=INDEX(T.Pikett.Bereich,3)),V$11=0.5),0.5,0)) +IF(AND(V$34=INDEX(T.Pikett.Bereich,4),V$11=6/8.4),0.75,0)+IF(AND(V$34=INDEX(T.Pikett.Bereich,4),V$11=1),16/24,0) +IF(AND(V$34=INDEX(T.Pikett.Bereich,4),V$11=0.5),20/24,0))))</f>
        <v>0</v>
      </c>
      <c r="W81" s="256" t="n">
        <f aca="true">IF(EB.Wochenarbeitszeit=50/24,"",IF(W$12=0,0,IF(OR(WEEKDAY(W$10,2)&gt;5,W$11=0),IF(NOT(W$34=INDEX(T.Pikett.Bereich,1)),1,0),IF(WEEKDAY(W$10,2)&lt;6,IF(AND(OR(W$34=INDEX(T.Pikett.Bereich,2),W$34=INDEX(T.Pikett.Bereich,3)),W$11=1),8/24,0))+IF(WEEKDAY(W$10,2)&lt;6,IF(AND(OR(W$34=INDEX(T.Pikett.Bereich,2),W$34=INDEX(T.Pikett.Bereich,3)),W$11=6/8.4),10/24,0)) +IF(WEEKDAY(W$10,2)&lt;6,IF(AND(OR(W$34=INDEX(T.Pikett.Bereich,2),W$34=INDEX(T.Pikett.Bereich,3)),W$11=0.5),0.5,0)) +IF(AND(W$34=INDEX(T.Pikett.Bereich,4),W$11=6/8.4),0.75,0)+IF(AND(W$34=INDEX(T.Pikett.Bereich,4),W$11=1),16/24,0) +IF(AND(W$34=INDEX(T.Pikett.Bereich,4),W$11=0.5),20/24,0))))</f>
        <v>0</v>
      </c>
      <c r="X81" s="256" t="n">
        <f aca="true">IF(EB.Wochenarbeitszeit=50/24,"",IF(X$12=0,0,IF(OR(WEEKDAY(X$10,2)&gt;5,X$11=0),IF(NOT(X$34=INDEX(T.Pikett.Bereich,1)),1,0),IF(WEEKDAY(X$10,2)&lt;6,IF(AND(OR(X$34=INDEX(T.Pikett.Bereich,2),X$34=INDEX(T.Pikett.Bereich,3)),X$11=1),8/24,0))+IF(WEEKDAY(X$10,2)&lt;6,IF(AND(OR(X$34=INDEX(T.Pikett.Bereich,2),X$34=INDEX(T.Pikett.Bereich,3)),X$11=6/8.4),10/24,0)) +IF(WEEKDAY(X$10,2)&lt;6,IF(AND(OR(X$34=INDEX(T.Pikett.Bereich,2),X$34=INDEX(T.Pikett.Bereich,3)),X$11=0.5),0.5,0)) +IF(AND(X$34=INDEX(T.Pikett.Bereich,4),X$11=6/8.4),0.75,0)+IF(AND(X$34=INDEX(T.Pikett.Bereich,4),X$11=1),16/24,0) +IF(AND(X$34=INDEX(T.Pikett.Bereich,4),X$11=0.5),20/24,0))))</f>
        <v>0</v>
      </c>
      <c r="Y81" s="256" t="n">
        <f aca="true">IF(EB.Wochenarbeitszeit=50/24,"",IF(Y$12=0,0,IF(OR(WEEKDAY(Y$10,2)&gt;5,Y$11=0),IF(NOT(Y$34=INDEX(T.Pikett.Bereich,1)),1,0),IF(WEEKDAY(Y$10,2)&lt;6,IF(AND(OR(Y$34=INDEX(T.Pikett.Bereich,2),Y$34=INDEX(T.Pikett.Bereich,3)),Y$11=1),8/24,0))+IF(WEEKDAY(Y$10,2)&lt;6,IF(AND(OR(Y$34=INDEX(T.Pikett.Bereich,2),Y$34=INDEX(T.Pikett.Bereich,3)),Y$11=6/8.4),10/24,0)) +IF(WEEKDAY(Y$10,2)&lt;6,IF(AND(OR(Y$34=INDEX(T.Pikett.Bereich,2),Y$34=INDEX(T.Pikett.Bereich,3)),Y$11=0.5),0.5,0)) +IF(AND(Y$34=INDEX(T.Pikett.Bereich,4),Y$11=6/8.4),0.75,0)+IF(AND(Y$34=INDEX(T.Pikett.Bereich,4),Y$11=1),16/24,0) +IF(AND(Y$34=INDEX(T.Pikett.Bereich,4),Y$11=0.5),20/24,0))))</f>
        <v>0</v>
      </c>
      <c r="Z81" s="256" t="n">
        <f aca="true">IF(EB.Wochenarbeitszeit=50/24,"",IF(Z$12=0,0,IF(OR(WEEKDAY(Z$10,2)&gt;5,Z$11=0),IF(NOT(Z$34=INDEX(T.Pikett.Bereich,1)),1,0),IF(WEEKDAY(Z$10,2)&lt;6,IF(AND(OR(Z$34=INDEX(T.Pikett.Bereich,2),Z$34=INDEX(T.Pikett.Bereich,3)),Z$11=1),8/24,0))+IF(WEEKDAY(Z$10,2)&lt;6,IF(AND(OR(Z$34=INDEX(T.Pikett.Bereich,2),Z$34=INDEX(T.Pikett.Bereich,3)),Z$11=6/8.4),10/24,0)) +IF(WEEKDAY(Z$10,2)&lt;6,IF(AND(OR(Z$34=INDEX(T.Pikett.Bereich,2),Z$34=INDEX(T.Pikett.Bereich,3)),Z$11=0.5),0.5,0)) +IF(AND(Z$34=INDEX(T.Pikett.Bereich,4),Z$11=6/8.4),0.75,0)+IF(AND(Z$34=INDEX(T.Pikett.Bereich,4),Z$11=1),16/24,0) +IF(AND(Z$34=INDEX(T.Pikett.Bereich,4),Z$11=0.5),20/24,0))))</f>
        <v>0</v>
      </c>
      <c r="AA81" s="256" t="n">
        <f aca="true">IF(EB.Wochenarbeitszeit=50/24,"",IF(AA$12=0,0,IF(OR(WEEKDAY(AA$10,2)&gt;5,AA$11=0),IF(NOT(AA$34=INDEX(T.Pikett.Bereich,1)),1,0),IF(WEEKDAY(AA$10,2)&lt;6,IF(AND(OR(AA$34=INDEX(T.Pikett.Bereich,2),AA$34=INDEX(T.Pikett.Bereich,3)),AA$11=1),8/24,0))+IF(WEEKDAY(AA$10,2)&lt;6,IF(AND(OR(AA$34=INDEX(T.Pikett.Bereich,2),AA$34=INDEX(T.Pikett.Bereich,3)),AA$11=6/8.4),10/24,0)) +IF(WEEKDAY(AA$10,2)&lt;6,IF(AND(OR(AA$34=INDEX(T.Pikett.Bereich,2),AA$34=INDEX(T.Pikett.Bereich,3)),AA$11=0.5),0.5,0)) +IF(AND(AA$34=INDEX(T.Pikett.Bereich,4),AA$11=6/8.4),0.75,0)+IF(AND(AA$34=INDEX(T.Pikett.Bereich,4),AA$11=1),16/24,0) +IF(AND(AA$34=INDEX(T.Pikett.Bereich,4),AA$11=0.5),20/24,0))))</f>
        <v>0</v>
      </c>
      <c r="AB81" s="256" t="n">
        <f aca="true">IF(EB.Wochenarbeitszeit=50/24,"",IF(AB$12=0,0,IF(OR(WEEKDAY(AB$10,2)&gt;5,AB$11=0),IF(NOT(AB$34=INDEX(T.Pikett.Bereich,1)),1,0),IF(WEEKDAY(AB$10,2)&lt;6,IF(AND(OR(AB$34=INDEX(T.Pikett.Bereich,2),AB$34=INDEX(T.Pikett.Bereich,3)),AB$11=1),8/24,0))+IF(WEEKDAY(AB$10,2)&lt;6,IF(AND(OR(AB$34=INDEX(T.Pikett.Bereich,2),AB$34=INDEX(T.Pikett.Bereich,3)),AB$11=6/8.4),10/24,0)) +IF(WEEKDAY(AB$10,2)&lt;6,IF(AND(OR(AB$34=INDEX(T.Pikett.Bereich,2),AB$34=INDEX(T.Pikett.Bereich,3)),AB$11=0.5),0.5,0)) +IF(AND(AB$34=INDEX(T.Pikett.Bereich,4),AB$11=6/8.4),0.75,0)+IF(AND(AB$34=INDEX(T.Pikett.Bereich,4),AB$11=1),16/24,0) +IF(AND(AB$34=INDEX(T.Pikett.Bereich,4),AB$11=0.5),20/24,0))))</f>
        <v>0</v>
      </c>
      <c r="AC81" s="256" t="n">
        <f aca="true">IF(EB.Wochenarbeitszeit=50/24,"",IF(AC$12=0,0,IF(OR(WEEKDAY(AC$10,2)&gt;5,AC$11=0),IF(NOT(AC$34=INDEX(T.Pikett.Bereich,1)),1,0),IF(WEEKDAY(AC$10,2)&lt;6,IF(AND(OR(AC$34=INDEX(T.Pikett.Bereich,2),AC$34=INDEX(T.Pikett.Bereich,3)),AC$11=1),8/24,0))+IF(WEEKDAY(AC$10,2)&lt;6,IF(AND(OR(AC$34=INDEX(T.Pikett.Bereich,2),AC$34=INDEX(T.Pikett.Bereich,3)),AC$11=6/8.4),10/24,0)) +IF(WEEKDAY(AC$10,2)&lt;6,IF(AND(OR(AC$34=INDEX(T.Pikett.Bereich,2),AC$34=INDEX(T.Pikett.Bereich,3)),AC$11=0.5),0.5,0)) +IF(AND(AC$34=INDEX(T.Pikett.Bereich,4),AC$11=6/8.4),0.75,0)+IF(AND(AC$34=INDEX(T.Pikett.Bereich,4),AC$11=1),16/24,0) +IF(AND(AC$34=INDEX(T.Pikett.Bereich,4),AC$11=0.5),20/24,0))))</f>
        <v>0</v>
      </c>
      <c r="AD81" s="256" t="n">
        <f aca="true">IF(EB.Wochenarbeitszeit=50/24,"",IF(AD$12=0,0,IF(OR(WEEKDAY(AD$10,2)&gt;5,AD$11=0),IF(NOT(AD$34=INDEX(T.Pikett.Bereich,1)),1,0),IF(WEEKDAY(AD$10,2)&lt;6,IF(AND(OR(AD$34=INDEX(T.Pikett.Bereich,2),AD$34=INDEX(T.Pikett.Bereich,3)),AD$11=1),8/24,0))+IF(WEEKDAY(AD$10,2)&lt;6,IF(AND(OR(AD$34=INDEX(T.Pikett.Bereich,2),AD$34=INDEX(T.Pikett.Bereich,3)),AD$11=6/8.4),10/24,0)) +IF(WEEKDAY(AD$10,2)&lt;6,IF(AND(OR(AD$34=INDEX(T.Pikett.Bereich,2),AD$34=INDEX(T.Pikett.Bereich,3)),AD$11=0.5),0.5,0)) +IF(AND(AD$34=INDEX(T.Pikett.Bereich,4),AD$11=6/8.4),0.75,0)+IF(AND(AD$34=INDEX(T.Pikett.Bereich,4),AD$11=1),16/24,0) +IF(AND(AD$34=INDEX(T.Pikett.Bereich,4),AD$11=0.5),20/24,0))))</f>
        <v>0</v>
      </c>
      <c r="AE81" s="256" t="n">
        <f aca="true">IF(EB.Wochenarbeitszeit=50/24,"",IF(AE$12=0,0,IF(OR(WEEKDAY(AE$10,2)&gt;5,AE$11=0),IF(NOT(AE$34=INDEX(T.Pikett.Bereich,1)),1,0),IF(WEEKDAY(AE$10,2)&lt;6,IF(AND(OR(AE$34=INDEX(T.Pikett.Bereich,2),AE$34=INDEX(T.Pikett.Bereich,3)),AE$11=1),8/24,0))+IF(WEEKDAY(AE$10,2)&lt;6,IF(AND(OR(AE$34=INDEX(T.Pikett.Bereich,2),AE$34=INDEX(T.Pikett.Bereich,3)),AE$11=6/8.4),10/24,0)) +IF(WEEKDAY(AE$10,2)&lt;6,IF(AND(OR(AE$34=INDEX(T.Pikett.Bereich,2),AE$34=INDEX(T.Pikett.Bereich,3)),AE$11=0.5),0.5,0)) +IF(AND(AE$34=INDEX(T.Pikett.Bereich,4),AE$11=6/8.4),0.75,0)+IF(AND(AE$34=INDEX(T.Pikett.Bereich,4),AE$11=1),16/24,0) +IF(AND(AE$34=INDEX(T.Pikett.Bereich,4),AE$11=0.5),20/24,0))))</f>
        <v>0</v>
      </c>
      <c r="AF81" s="256" t="n">
        <f aca="true">IF(EB.Wochenarbeitszeit=50/24,"",IF(AF$12=0,0,IF(OR(WEEKDAY(AF$10,2)&gt;5,AF$11=0),IF(NOT(AF$34=INDEX(T.Pikett.Bereich,1)),1,0),IF(WEEKDAY(AF$10,2)&lt;6,IF(AND(OR(AF$34=INDEX(T.Pikett.Bereich,2),AF$34=INDEX(T.Pikett.Bereich,3)),AF$11=1),8/24,0))+IF(WEEKDAY(AF$10,2)&lt;6,IF(AND(OR(AF$34=INDEX(T.Pikett.Bereich,2),AF$34=INDEX(T.Pikett.Bereich,3)),AF$11=6/8.4),10/24,0)) +IF(WEEKDAY(AF$10,2)&lt;6,IF(AND(OR(AF$34=INDEX(T.Pikett.Bereich,2),AF$34=INDEX(T.Pikett.Bereich,3)),AF$11=0.5),0.5,0)) +IF(AND(AF$34=INDEX(T.Pikett.Bereich,4),AF$11=6/8.4),0.75,0)+IF(AND(AF$34=INDEX(T.Pikett.Bereich,4),AF$11=1),16/24,0) +IF(AND(AF$34=INDEX(T.Pikett.Bereich,4),AF$11=0.5),20/24,0))))</f>
        <v>0</v>
      </c>
      <c r="AG81" s="168" t="str">
        <f aca="false">A81</f>
        <v>On-call duty</v>
      </c>
      <c r="AH81" s="250"/>
      <c r="AI81" s="207" t="n">
        <f aca="false">SUM(B81:AF81)</f>
        <v>0</v>
      </c>
      <c r="AJ81" s="33"/>
      <c r="AK81" s="192"/>
      <c r="AL81" s="216" t="n">
        <f aca="false">IF(EB.Anwendung&lt;&gt;"",IF(MONTH(Monat.Tag1)=1,0,IF(MONTH(Monat.Tag1)=2,January!Monat.BDUeVM,IF(MONTH(Monat.Tag1)=3,February!Monat.BDUeVM,IF(MONTH(Monat.Tag1)=4,March!Monat.BDUeVM,IF(MONTH(Monat.Tag1)=5,April!Monat.BDUeVM,IF(MONTH(Monat.Tag1)=6,Monat.BDUeVM,IF(MONTH(Monat.Tag1)=7,June!Monat.BDUeVM,IF(MONTH(Monat.Tag1)=8,July!Monat.BDUeVM,IF(MONTH(Monat.Tag1)=9,August!Monat.BDUeVM,IF(MONTH(Monat.Tag1)=10,September!Monat.BDUeVM,IF(MONTH(Monat.Tag1)=11,October!Monat.BDUeVM,IF(MONTH(Monat.Tag1)=12,November!Monat.BDUeVM,"")))))))))))),"")</f>
        <v>0</v>
      </c>
      <c r="AM81" s="172"/>
      <c r="AN81" s="217" t="n">
        <f aca="false">AI81+AL81</f>
        <v>0</v>
      </c>
      <c r="AO81" s="171"/>
      <c r="AP81" s="171"/>
      <c r="AQ81" s="39"/>
    </row>
    <row r="82" s="148" customFormat="true" ht="15" hidden="false" customHeight="true" outlineLevel="1" collapsed="false">
      <c r="A82" s="175" t="s">
        <v>165</v>
      </c>
      <c r="B82" s="256" t="str">
        <f aca="false">IF(B$12=0,"",IF(OR(WEEKDAY(B$10,2)&gt;5,B$11=0), IF(T.50_NoVetsuisse,B45, IF(T.50_Vetsuisse,IF(B23-B73=0,"",B23-B73), IF(T.ServiceCenterIrchel,B23, B60))),))</f>
        <v/>
      </c>
      <c r="C82" s="256" t="n">
        <f aca="false">IF(C$12=0,"",IF(OR(WEEKDAY(C$10,2)&gt;5,C$11=0), IF(T.50_NoVetsuisse,C45, IF(T.50_Vetsuisse,IF(C23-C73=0,"",C23-C73), IF(T.ServiceCenterIrchel,C23, C60))),))</f>
        <v>0</v>
      </c>
      <c r="D82" s="257" t="n">
        <f aca="false">IF(D$12=0,"",IF(OR(WEEKDAY(D$10,2)&gt;5,D$11=0), IF(T.50_NoVetsuisse,D45, IF(T.50_Vetsuisse,IF(D23-D73=0,"",D23-D73), IF(T.ServiceCenterIrchel,D23, D60))),))</f>
        <v>0</v>
      </c>
      <c r="E82" s="256" t="n">
        <f aca="false">IF(E$12=0,"",IF(OR(WEEKDAY(E$10,2)&gt;5,E$11=0), IF(T.50_NoVetsuisse,E45, IF(T.50_Vetsuisse,IF(E23-E73=0,"",E23-E73), IF(T.ServiceCenterIrchel,E23, E60))),))</f>
        <v>0</v>
      </c>
      <c r="F82" s="257" t="str">
        <f aca="false">IF(F$12=0,"",IF(OR(WEEKDAY(F$10,2)&gt;5,F$11=0), IF(T.50_NoVetsuisse,F45, IF(T.50_Vetsuisse,IF(F23-F73=0,"",F23-F73), IF(T.ServiceCenterIrchel,F23, F60))),))</f>
        <v/>
      </c>
      <c r="G82" s="257" t="str">
        <f aca="false">IF(G$12=0,"",IF(OR(WEEKDAY(G$10,2)&gt;5,G$11=0), IF(T.50_NoVetsuisse,G45, IF(T.50_Vetsuisse,IF(G23-G73=0,"",G23-G73), IF(T.ServiceCenterIrchel,G23, G60))),))</f>
        <v/>
      </c>
      <c r="H82" s="257" t="n">
        <f aca="false">IF(H$12=0,"",IF(OR(WEEKDAY(H$10,2)&gt;5,H$11=0), IF(T.50_NoVetsuisse,H45, IF(T.50_Vetsuisse,IF(H23-H73=0,"",H23-H73), IF(T.ServiceCenterIrchel,H23, H60))),))</f>
        <v>0</v>
      </c>
      <c r="I82" s="257" t="n">
        <f aca="false">IF(I$12=0,"",IF(OR(WEEKDAY(I$10,2)&gt;5,I$11=0), IF(T.50_NoVetsuisse,I45, IF(T.50_Vetsuisse,IF(I23-I73=0,"",I23-I73), IF(T.ServiceCenterIrchel,I23, I60))),))</f>
        <v>0</v>
      </c>
      <c r="J82" s="256" t="n">
        <f aca="false">IF(J$12=0,"",IF(OR(WEEKDAY(J$10,2)&gt;5,J$11=0), IF(T.50_NoVetsuisse,J45, IF(T.50_Vetsuisse,IF(J23-J73=0,"",J23-J73), IF(T.ServiceCenterIrchel,J23, J60))),))</f>
        <v>0</v>
      </c>
      <c r="K82" s="257" t="str">
        <f aca="false">IF(K$12=0,"",IF(OR(WEEKDAY(K$10,2)&gt;5,K$11=0), IF(T.50_NoVetsuisse,K45, IF(T.50_Vetsuisse,IF(K23-K73=0,"",K23-K73), IF(T.ServiceCenterIrchel,K23, K60))),))</f>
        <v/>
      </c>
      <c r="L82" s="256" t="n">
        <f aca="false">IF(L$12=0,"",IF(OR(WEEKDAY(L$10,2)&gt;5,L$11=0), IF(T.50_NoVetsuisse,L45, IF(T.50_Vetsuisse,IF(L23-L73=0,"",L23-L73), IF(T.ServiceCenterIrchel,L23, L60))),))</f>
        <v>0</v>
      </c>
      <c r="M82" s="257" t="str">
        <f aca="false">IF(M$12=0,"",IF(OR(WEEKDAY(M$10,2)&gt;5,M$11=0), IF(T.50_NoVetsuisse,M45, IF(T.50_Vetsuisse,IF(M23-M73=0,"",M23-M73), IF(T.ServiceCenterIrchel,M23, M60))),))</f>
        <v/>
      </c>
      <c r="N82" s="257" t="str">
        <f aca="false">IF(N$12=0,"",IF(OR(WEEKDAY(N$10,2)&gt;5,N$11=0), IF(T.50_NoVetsuisse,N45, IF(T.50_Vetsuisse,IF(N23-N73=0,"",N23-N73), IF(T.ServiceCenterIrchel,N23, N60))),))</f>
        <v/>
      </c>
      <c r="O82" s="257" t="n">
        <f aca="false">IF(O$12=0,"",IF(OR(WEEKDAY(O$10,2)&gt;5,O$11=0), IF(T.50_NoVetsuisse,O45, IF(T.50_Vetsuisse,IF(O23-O73=0,"",O23-O73), IF(T.ServiceCenterIrchel,O23, O60))),))</f>
        <v>0</v>
      </c>
      <c r="P82" s="257" t="n">
        <f aca="false">IF(P$12=0,"",IF(OR(WEEKDAY(P$10,2)&gt;5,P$11=0), IF(T.50_NoVetsuisse,P45, IF(T.50_Vetsuisse,IF(P23-P73=0,"",P23-P73), IF(T.ServiceCenterIrchel,P23, P60))),))</f>
        <v>0</v>
      </c>
      <c r="Q82" s="256" t="n">
        <f aca="false">IF(Q$12=0,"",IF(OR(WEEKDAY(Q$10,2)&gt;5,Q$11=0), IF(T.50_NoVetsuisse,Q45, IF(T.50_Vetsuisse,IF(Q23-Q73=0,"",Q23-Q73), IF(T.ServiceCenterIrchel,Q23, Q60))),))</f>
        <v>0</v>
      </c>
      <c r="R82" s="257" t="n">
        <f aca="false">IF(R$12=0,"",IF(OR(WEEKDAY(R$10,2)&gt;5,R$11=0), IF(T.50_NoVetsuisse,R45, IF(T.50_Vetsuisse,IF(R23-R73=0,"",R23-R73), IF(T.ServiceCenterIrchel,R23, R60))),))</f>
        <v>0</v>
      </c>
      <c r="S82" s="256" t="n">
        <f aca="false">IF(S$12=0,"",IF(OR(WEEKDAY(S$10,2)&gt;5,S$11=0), IF(T.50_NoVetsuisse,S45, IF(T.50_Vetsuisse,IF(S23-S73=0,"",S23-S73), IF(T.ServiceCenterIrchel,S23, S60))),))</f>
        <v>0</v>
      </c>
      <c r="T82" s="256" t="str">
        <f aca="false">IF(T$12=0,"",IF(OR(WEEKDAY(T$10,2)&gt;5,T$11=0), IF(T.50_NoVetsuisse,T45, IF(T.50_Vetsuisse,IF(T23-T73=0,"",T23-T73), IF(T.ServiceCenterIrchel,T23, T60))),))</f>
        <v/>
      </c>
      <c r="U82" s="257" t="str">
        <f aca="false">IF(U$12=0,"",IF(OR(WEEKDAY(U$10,2)&gt;5,U$11=0), IF(T.50_NoVetsuisse,U45, IF(T.50_Vetsuisse,IF(U23-U73=0,"",U23-U73), IF(T.ServiceCenterIrchel,U23, U60))),))</f>
        <v/>
      </c>
      <c r="V82" s="257" t="str">
        <f aca="false">IF(V$12=0,"",IF(OR(WEEKDAY(V$10,2)&gt;5,V$11=0), IF(T.50_NoVetsuisse,V45, IF(T.50_Vetsuisse,IF(V23-V73=0,"",V23-V73), IF(T.ServiceCenterIrchel,V23, V60))),))</f>
        <v/>
      </c>
      <c r="W82" s="257" t="n">
        <f aca="false">IF(W$12=0,"",IF(OR(WEEKDAY(W$10,2)&gt;5,W$11=0), IF(T.50_NoVetsuisse,W45, IF(T.50_Vetsuisse,IF(W23-W73=0,"",W23-W73), IF(T.ServiceCenterIrchel,W23, W60))),))</f>
        <v>0</v>
      </c>
      <c r="X82" s="256" t="n">
        <f aca="false">IF(X$12=0,"",IF(OR(WEEKDAY(X$10,2)&gt;5,X$11=0), IF(T.50_NoVetsuisse,X45, IF(T.50_Vetsuisse,IF(X23-X73=0,"",X23-X73), IF(T.ServiceCenterIrchel,X23, X60))),))</f>
        <v>0</v>
      </c>
      <c r="Y82" s="257" t="n">
        <f aca="false">IF(Y$12=0,"",IF(OR(WEEKDAY(Y$10,2)&gt;5,Y$11=0), IF(T.50_NoVetsuisse,Y45, IF(T.50_Vetsuisse,IF(Y23-Y73=0,"",Y23-Y73), IF(T.ServiceCenterIrchel,Y23, Y60))),))</f>
        <v>0</v>
      </c>
      <c r="Z82" s="258" t="n">
        <f aca="false">IF(Z$12=0,"",IF(OR(WEEKDAY(Z$10,2)&gt;5,Z$11=0), IF(T.50_NoVetsuisse,Z45, IF(T.50_Vetsuisse,IF(Z23-Z73=0,"",Z23-Z73), IF(T.ServiceCenterIrchel,Z23, Z60))),))</f>
        <v>0</v>
      </c>
      <c r="AA82" s="257" t="str">
        <f aca="false">IF(AA$12=0,"",IF(OR(WEEKDAY(AA$10,2)&gt;5,AA$11=0), IF(T.50_NoVetsuisse,AA45, IF(T.50_Vetsuisse,IF(AA23-AA73=0,"",AA23-AA73), IF(T.ServiceCenterIrchel,AA23, AA60))),))</f>
        <v/>
      </c>
      <c r="AB82" s="257" t="str">
        <f aca="false">IF(AB$12=0,"",IF(OR(WEEKDAY(AB$10,2)&gt;5,AB$11=0), IF(T.50_NoVetsuisse,AB45, IF(T.50_Vetsuisse,IF(AB23-AB73=0,"",AB23-AB73), IF(T.ServiceCenterIrchel,AB23, AB60))),))</f>
        <v/>
      </c>
      <c r="AC82" s="257" t="n">
        <f aca="false">IF(AC$12=0,"",IF(OR(WEEKDAY(AC$10,2)&gt;5,AC$11=0), IF(T.50_NoVetsuisse,AC45, IF(T.50_Vetsuisse,IF(AC23-AC73=0,"",AC23-AC73), IF(T.ServiceCenterIrchel,AC23, AC60))),))</f>
        <v>0</v>
      </c>
      <c r="AD82" s="257" t="n">
        <f aca="false">IF(AD$12=0,"",IF(OR(WEEKDAY(AD$10,2)&gt;5,AD$11=0), IF(T.50_NoVetsuisse,AD45, IF(T.50_Vetsuisse,IF(AD23-AD73=0,"",AD23-AD73), IF(T.ServiceCenterIrchel,AD23, AD60))),))</f>
        <v>0</v>
      </c>
      <c r="AE82" s="256" t="n">
        <f aca="false">IF(AE$12=0,"",IF(OR(WEEKDAY(AE$10,2)&gt;5,AE$11=0), IF(T.50_NoVetsuisse,AE45, IF(T.50_Vetsuisse,IF(AE23-AE73=0,"",AE23-AE73), IF(T.ServiceCenterIrchel,AE23, AE60))),))</f>
        <v>0</v>
      </c>
      <c r="AF82" s="257" t="n">
        <f aca="false">IF(AF$12=0,"",IF(OR(WEEKDAY(AF$10,2)&gt;5,AF$11=0), IF(T.50_NoVetsuisse,AF45, IF(T.50_Vetsuisse,IF(AF23-AF73=0,"",AF23-AF73), IF(T.ServiceCenterIrchel,AF23, AF60))),))</f>
        <v>0</v>
      </c>
      <c r="AG82" s="168" t="str">
        <f aca="false">A82</f>
        <v>Saturday/Sunday shift</v>
      </c>
      <c r="AH82" s="197"/>
      <c r="AI82" s="207" t="n">
        <f aca="false">SUM(B82:AF82)</f>
        <v>0</v>
      </c>
      <c r="AJ82" s="198" t="n">
        <f aca="false">IFERROR(SUMPRODUCT((B82:AF82&gt;0)*(B82:AF82&lt;&gt;"")),0)</f>
        <v>0</v>
      </c>
      <c r="AK82" s="192"/>
      <c r="AL82" s="216" t="n">
        <f aca="false">IF(EB.Anwendung&lt;&gt;"",IF(MONTH(Monat.Tag1)=1,0,IF(MONTH(Monat.Tag1)=2,January!Monat.SDUeVM,IF(MONTH(Monat.Tag1)=3,February!Monat.SDUeVM,IF(MONTH(Monat.Tag1)=4,March!Monat.SDUeVM,IF(MONTH(Monat.Tag1)=5,April!Monat.SDUeVM,IF(MONTH(Monat.Tag1)=6,Monat.SDUeVM,IF(MONTH(Monat.Tag1)=7,June!Monat.SDUeVM,IF(MONTH(Monat.Tag1)=8,July!Monat.SDUeVM,IF(MONTH(Monat.Tag1)=9,August!Monat.SDUeVM,IF(MONTH(Monat.Tag1)=10,September!Monat.SDUeVM,IF(MONTH(Monat.Tag1)=11,October!Monat.SDUeVM,IF(MONTH(Monat.Tag1)=12,November!Monat.SDUeVM,"")))))))))))),"")</f>
        <v>0</v>
      </c>
      <c r="AM82" s="172"/>
      <c r="AN82" s="217" t="n">
        <f aca="false">AI82+AL82</f>
        <v>0</v>
      </c>
      <c r="AO82" s="171"/>
      <c r="AP82" s="171"/>
      <c r="AQ82" s="39"/>
    </row>
    <row r="83" s="148" customFormat="true" ht="11.25" hidden="false" customHeight="true" outlineLevel="1" collapsed="false">
      <c r="A83" s="186"/>
      <c r="B83" s="194"/>
      <c r="C83" s="194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4"/>
      <c r="O83" s="194"/>
      <c r="P83" s="194"/>
      <c r="Q83" s="194"/>
      <c r="R83" s="194"/>
      <c r="S83" s="194"/>
      <c r="T83" s="194"/>
      <c r="U83" s="194"/>
      <c r="V83" s="194"/>
      <c r="W83" s="194"/>
      <c r="X83" s="194"/>
      <c r="Y83" s="194"/>
      <c r="Z83" s="194"/>
      <c r="AA83" s="194"/>
      <c r="AB83" s="194"/>
      <c r="AC83" s="194"/>
      <c r="AD83" s="194"/>
      <c r="AE83" s="194"/>
      <c r="AF83" s="195"/>
      <c r="AG83" s="168"/>
      <c r="AH83" s="197"/>
      <c r="AI83" s="192"/>
      <c r="AJ83" s="27"/>
      <c r="AK83" s="235"/>
      <c r="AL83" s="235"/>
      <c r="AM83" s="172"/>
      <c r="AN83" s="254"/>
      <c r="AO83" s="259"/>
      <c r="AP83" s="259"/>
      <c r="AQ83" s="39"/>
    </row>
    <row r="84" s="148" customFormat="true" ht="15" hidden="false" customHeight="true" outlineLevel="0" collapsed="false">
      <c r="A84" s="175" t="s">
        <v>166</v>
      </c>
      <c r="B84" s="176"/>
      <c r="C84" s="176"/>
      <c r="D84" s="176"/>
      <c r="E84" s="176"/>
      <c r="F84" s="176"/>
      <c r="G84" s="176"/>
      <c r="H84" s="176"/>
      <c r="I84" s="176"/>
      <c r="J84" s="176"/>
      <c r="K84" s="176"/>
      <c r="L84" s="176"/>
      <c r="M84" s="176"/>
      <c r="N84" s="176"/>
      <c r="O84" s="176"/>
      <c r="P84" s="176"/>
      <c r="Q84" s="176"/>
      <c r="R84" s="176"/>
      <c r="S84" s="176"/>
      <c r="T84" s="176"/>
      <c r="U84" s="176"/>
      <c r="V84" s="176"/>
      <c r="W84" s="176"/>
      <c r="X84" s="176"/>
      <c r="Y84" s="176"/>
      <c r="Z84" s="190"/>
      <c r="AA84" s="176"/>
      <c r="AB84" s="176"/>
      <c r="AC84" s="176"/>
      <c r="AD84" s="176"/>
      <c r="AE84" s="176"/>
      <c r="AF84" s="176"/>
      <c r="AG84" s="168" t="str">
        <f aca="false">A84</f>
        <v>Vacation</v>
      </c>
      <c r="AH84" s="184"/>
      <c r="AI84" s="207" t="n">
        <f aca="false">SUM(B84:AF84)</f>
        <v>0</v>
      </c>
      <c r="AJ84" s="33"/>
      <c r="AK84" s="216" t="n">
        <f aca="true">OFFSET(EB.MFAStd.Knoten,MONTH(Monat.Tag1),0,1,1)</f>
        <v>0.583333333333333</v>
      </c>
      <c r="AL84" s="216" t="n">
        <f aca="false">IF(EB.Anwendung&lt;&gt;"",IF(MONTH(Monat.Tag1)=1,EB.FerienBer,IF(MONTH(Monat.Tag1)=2,January!Monat.FerienUeVM,IF(MONTH(Monat.Tag1)=3,February!Monat.FerienUeVM,IF(MONTH(Monat.Tag1)=4,March!Monat.FerienUeVM,IF(MONTH(Monat.Tag1)=5,April!Monat.FerienUeVM,IF(MONTH(Monat.Tag1)=6,Monat.FerienUeVM,IF(MONTH(Monat.Tag1)=7,June!Monat.FerienUeVM,IF(MONTH(Monat.Tag1)=8,July!Monat.FerienUeVM,IF(MONTH(Monat.Tag1)=9,August!Monat.FerienUeVM,IF(MONTH(Monat.Tag1)=10,September!Monat.FerienUeVM,IF(MONTH(Monat.Tag1)=11,October!Monat.FerienUeVM,IF(MONTH(Monat.Tag1)=12,November!Monat.FerienUeVM,"")))))))))))),"")</f>
        <v>0.583333333333333</v>
      </c>
      <c r="AM84" s="172"/>
      <c r="AN84" s="217" t="n">
        <f aca="false">IF(AH85="+",(AK84+AL84-Monat.Ferien.Total+AI85),(AK84+AL84-Monat.Ferien.Total-AI85))</f>
        <v>1.16666666666667</v>
      </c>
      <c r="AO84" s="217" t="n">
        <f aca="true">SUM(Jahresabrechnung!AC12:AC13)-SUM(OFFSET(Jahresabrechnung!AC15,0,0,MONTH(Monat.Tag1),1))</f>
        <v>5.25</v>
      </c>
      <c r="AP84" s="217" t="n">
        <f aca="false">J.FerienUE.Total</f>
        <v>5.25</v>
      </c>
      <c r="AQ84" s="39"/>
    </row>
    <row r="85" s="148" customFormat="true" ht="15" hidden="false" customHeight="true" outlineLevel="0" collapsed="false">
      <c r="A85" s="186"/>
      <c r="B85" s="191"/>
      <c r="C85" s="191"/>
      <c r="D85" s="191"/>
      <c r="E85" s="191"/>
      <c r="F85" s="191"/>
      <c r="G85" s="191"/>
      <c r="H85" s="191"/>
      <c r="I85" s="191"/>
      <c r="J85" s="191"/>
      <c r="K85" s="191"/>
      <c r="L85" s="191"/>
      <c r="M85" s="191"/>
      <c r="N85" s="191"/>
      <c r="O85" s="191"/>
      <c r="P85" s="191"/>
      <c r="Q85" s="191"/>
      <c r="R85" s="191"/>
      <c r="S85" s="191"/>
      <c r="T85" s="191"/>
      <c r="U85" s="191"/>
      <c r="V85" s="191"/>
      <c r="W85" s="191"/>
      <c r="X85" s="191"/>
      <c r="Y85" s="191"/>
      <c r="Z85" s="191"/>
      <c r="AA85" s="191"/>
      <c r="AB85" s="191"/>
      <c r="AC85" s="191"/>
      <c r="AD85" s="191"/>
      <c r="AE85" s="191"/>
      <c r="AF85" s="192"/>
      <c r="AG85" s="175" t="s">
        <v>167</v>
      </c>
      <c r="AH85" s="244" t="s">
        <v>146</v>
      </c>
      <c r="AI85" s="260"/>
      <c r="AJ85" s="246"/>
      <c r="AK85" s="172"/>
      <c r="AL85" s="172"/>
      <c r="AM85" s="172"/>
      <c r="AN85" s="171"/>
      <c r="AO85" s="261"/>
      <c r="AP85" s="261"/>
      <c r="AQ85" s="39"/>
    </row>
    <row r="86" s="148" customFormat="true" ht="15" hidden="false" customHeight="true" outlineLevel="0" collapsed="false">
      <c r="A86" s="175" t="s">
        <v>168</v>
      </c>
      <c r="B86" s="176"/>
      <c r="C86" s="176"/>
      <c r="D86" s="176"/>
      <c r="E86" s="177"/>
      <c r="F86" s="176"/>
      <c r="G86" s="176"/>
      <c r="H86" s="176"/>
      <c r="I86" s="176"/>
      <c r="J86" s="177"/>
      <c r="K86" s="176"/>
      <c r="L86" s="177"/>
      <c r="M86" s="176"/>
      <c r="N86" s="176"/>
      <c r="O86" s="176"/>
      <c r="P86" s="176"/>
      <c r="Q86" s="177"/>
      <c r="R86" s="176"/>
      <c r="S86" s="177"/>
      <c r="T86" s="177"/>
      <c r="U86" s="176"/>
      <c r="V86" s="176"/>
      <c r="W86" s="176"/>
      <c r="X86" s="177"/>
      <c r="Y86" s="176"/>
      <c r="Z86" s="178"/>
      <c r="AA86" s="176"/>
      <c r="AB86" s="176"/>
      <c r="AC86" s="176"/>
      <c r="AD86" s="176"/>
      <c r="AE86" s="177"/>
      <c r="AF86" s="176"/>
      <c r="AG86" s="168" t="str">
        <f aca="false">A86</f>
        <v>Consultation</v>
      </c>
      <c r="AH86" s="184"/>
      <c r="AI86" s="207" t="n">
        <f aca="false">SUM(B86:AF86)</f>
        <v>0</v>
      </c>
      <c r="AJ86" s="33"/>
      <c r="AK86" s="235"/>
      <c r="AL86" s="216" t="n">
        <f aca="false">IF(EB.Anwendung&lt;&gt;"",IF(MONTH(Monat.Tag1)=1,0,IF(MONTH(Monat.Tag1)=2,January!Monat.ArztUeVM,IF(MONTH(Monat.Tag1)=3,February!Monat.ArztUeVM,IF(MONTH(Monat.Tag1)=4,March!Monat.ArztUeVM,IF(MONTH(Monat.Tag1)=5,April!Monat.ArztUeVM,IF(MONTH(Monat.Tag1)=6,Monat.ArztUeVM,IF(MONTH(Monat.Tag1)=7,June!Monat.ArztUeVM,IF(MONTH(Monat.Tag1)=8,July!Monat.ArztUeVM,IF(MONTH(Monat.Tag1)=9,August!Monat.ArztUeVM,IF(MONTH(Monat.Tag1)=10,September!Monat.ArztUeVM,IF(MONTH(Monat.Tag1)=11,October!Monat.ArztUeVM,IF(MONTH(Monat.Tag1)=12,November!Monat.ArztUeVM,"")))))))))))),"")</f>
        <v>0</v>
      </c>
      <c r="AM86" s="172"/>
      <c r="AN86" s="217" t="n">
        <f aca="false">AI86+AL86</f>
        <v>0</v>
      </c>
      <c r="AO86" s="171"/>
      <c r="AP86" s="171"/>
      <c r="AQ86" s="39"/>
    </row>
    <row r="87" s="148" customFormat="true" ht="15" hidden="false" customHeight="true" outlineLevel="0" collapsed="false">
      <c r="A87" s="175" t="s">
        <v>169</v>
      </c>
      <c r="B87" s="176"/>
      <c r="C87" s="176"/>
      <c r="D87" s="176"/>
      <c r="E87" s="177"/>
      <c r="F87" s="176"/>
      <c r="G87" s="176"/>
      <c r="H87" s="176"/>
      <c r="I87" s="176"/>
      <c r="J87" s="177"/>
      <c r="K87" s="176"/>
      <c r="L87" s="177"/>
      <c r="M87" s="176"/>
      <c r="N87" s="176"/>
      <c r="O87" s="176"/>
      <c r="P87" s="176"/>
      <c r="Q87" s="177"/>
      <c r="R87" s="176"/>
      <c r="S87" s="177"/>
      <c r="T87" s="177"/>
      <c r="U87" s="176"/>
      <c r="V87" s="176"/>
      <c r="W87" s="176"/>
      <c r="X87" s="177"/>
      <c r="Y87" s="176"/>
      <c r="Z87" s="178"/>
      <c r="AA87" s="176"/>
      <c r="AB87" s="176"/>
      <c r="AC87" s="176"/>
      <c r="AD87" s="176"/>
      <c r="AE87" s="177"/>
      <c r="AF87" s="176"/>
      <c r="AG87" s="168" t="str">
        <f aca="false">A87</f>
        <v>Illness</v>
      </c>
      <c r="AH87" s="184"/>
      <c r="AI87" s="207" t="n">
        <f aca="false">SUM(B87:AF87)</f>
        <v>0</v>
      </c>
      <c r="AJ87" s="33"/>
      <c r="AK87" s="235"/>
      <c r="AL87" s="216" t="n">
        <f aca="false">IF(EB.Anwendung&lt;&gt;"",IF(MONTH(Monat.Tag1)=1,0,IF(MONTH(Monat.Tag1)=2,January!Monat.KrankUeVM,IF(MONTH(Monat.Tag1)=3,February!Monat.KrankUeVM,IF(MONTH(Monat.Tag1)=4,March!Monat.KrankUeVM,IF(MONTH(Monat.Tag1)=5,April!Monat.KrankUeVM,IF(MONTH(Monat.Tag1)=6,Monat.KrankUeVM,IF(MONTH(Monat.Tag1)=7,June!Monat.KrankUeVM,IF(MONTH(Monat.Tag1)=8,July!Monat.KrankUeVM,IF(MONTH(Monat.Tag1)=9,August!Monat.KrankUeVM,IF(MONTH(Monat.Tag1)=10,September!Monat.KrankUeVM,IF(MONTH(Monat.Tag1)=11,October!Monat.KrankUeVM,IF(MONTH(Monat.Tag1)=12,November!Monat.KrankUeVM,"")))))))))))),"")</f>
        <v>0</v>
      </c>
      <c r="AM87" s="172"/>
      <c r="AN87" s="217" t="n">
        <f aca="false">AI87+AL87</f>
        <v>0</v>
      </c>
      <c r="AO87" s="171"/>
      <c r="AP87" s="171"/>
      <c r="AQ87" s="39"/>
    </row>
    <row r="88" s="148" customFormat="true" ht="15" hidden="false" customHeight="true" outlineLevel="0" collapsed="false">
      <c r="A88" s="175" t="s">
        <v>170</v>
      </c>
      <c r="B88" s="176"/>
      <c r="C88" s="176"/>
      <c r="D88" s="176"/>
      <c r="E88" s="177"/>
      <c r="F88" s="176"/>
      <c r="G88" s="176"/>
      <c r="H88" s="176"/>
      <c r="I88" s="176"/>
      <c r="J88" s="177"/>
      <c r="K88" s="176"/>
      <c r="L88" s="177"/>
      <c r="M88" s="176"/>
      <c r="N88" s="176"/>
      <c r="O88" s="176"/>
      <c r="P88" s="176"/>
      <c r="Q88" s="177"/>
      <c r="R88" s="176"/>
      <c r="S88" s="177"/>
      <c r="T88" s="177"/>
      <c r="U88" s="176"/>
      <c r="V88" s="176"/>
      <c r="W88" s="176"/>
      <c r="X88" s="177"/>
      <c r="Y88" s="176"/>
      <c r="Z88" s="178"/>
      <c r="AA88" s="176"/>
      <c r="AB88" s="176"/>
      <c r="AC88" s="176"/>
      <c r="AD88" s="176"/>
      <c r="AE88" s="177"/>
      <c r="AF88" s="176"/>
      <c r="AG88" s="168" t="str">
        <f aca="false">A88</f>
        <v>Work-related accident</v>
      </c>
      <c r="AH88" s="184"/>
      <c r="AI88" s="207" t="n">
        <f aca="false">SUM(B88:AF88)</f>
        <v>0</v>
      </c>
      <c r="AJ88" s="33"/>
      <c r="AK88" s="235"/>
      <c r="AL88" s="216" t="n">
        <f aca="false">IF(EB.Anwendung&lt;&gt;"",IF(MONTH(Monat.Tag1)=1,0,IF(MONTH(Monat.Tag1)=2,January!Monat.BUUeVM,IF(MONTH(Monat.Tag1)=3,February!Monat.BUUeVM,IF(MONTH(Monat.Tag1)=4,March!Monat.BUUeVM,IF(MONTH(Monat.Tag1)=5,April!Monat.BUUeVM,IF(MONTH(Monat.Tag1)=6,Monat.BUUeVM,IF(MONTH(Monat.Tag1)=7,June!Monat.BUUeVM,IF(MONTH(Monat.Tag1)=8,July!Monat.BUUeVM,IF(MONTH(Monat.Tag1)=9,August!Monat.BUUeVM,IF(MONTH(Monat.Tag1)=10,September!Monat.BUUeVM,IF(MONTH(Monat.Tag1)=11,October!Monat.BUUeVM,IF(MONTH(Monat.Tag1)=12,November!Monat.BUUeVM,"")))))))))))),"")</f>
        <v>0</v>
      </c>
      <c r="AM88" s="172"/>
      <c r="AN88" s="217" t="n">
        <f aca="false">AI88+AL88</f>
        <v>0</v>
      </c>
      <c r="AO88" s="171"/>
      <c r="AP88" s="171"/>
      <c r="AQ88" s="39"/>
    </row>
    <row r="89" s="148" customFormat="true" ht="15" hidden="false" customHeight="true" outlineLevel="0" collapsed="false">
      <c r="A89" s="175" t="s">
        <v>171</v>
      </c>
      <c r="B89" s="176"/>
      <c r="C89" s="176"/>
      <c r="D89" s="176"/>
      <c r="E89" s="177"/>
      <c r="F89" s="176"/>
      <c r="G89" s="176"/>
      <c r="H89" s="176"/>
      <c r="I89" s="176"/>
      <c r="J89" s="177"/>
      <c r="K89" s="176"/>
      <c r="L89" s="177"/>
      <c r="M89" s="176"/>
      <c r="N89" s="176"/>
      <c r="O89" s="176"/>
      <c r="P89" s="176"/>
      <c r="Q89" s="177"/>
      <c r="R89" s="176"/>
      <c r="S89" s="177"/>
      <c r="T89" s="177"/>
      <c r="U89" s="176"/>
      <c r="V89" s="176"/>
      <c r="W89" s="176"/>
      <c r="X89" s="177"/>
      <c r="Y89" s="176"/>
      <c r="Z89" s="178"/>
      <c r="AA89" s="176"/>
      <c r="AB89" s="176"/>
      <c r="AC89" s="176"/>
      <c r="AD89" s="176"/>
      <c r="AE89" s="177"/>
      <c r="AF89" s="176"/>
      <c r="AG89" s="168" t="str">
        <f aca="false">A89</f>
        <v>Non-work-related accident</v>
      </c>
      <c r="AH89" s="184"/>
      <c r="AI89" s="207" t="n">
        <f aca="false">SUM(B89:AF89)</f>
        <v>0</v>
      </c>
      <c r="AJ89" s="33"/>
      <c r="AK89" s="235"/>
      <c r="AL89" s="216" t="n">
        <f aca="false">IF(EB.Anwendung&lt;&gt;"",IF(MONTH(Monat.Tag1)=1,0,IF(MONTH(Monat.Tag1)=2,January!Monat.NBUUeVM,IF(MONTH(Monat.Tag1)=3,February!Monat.NBUUeVM,IF(MONTH(Monat.Tag1)=4,March!Monat.NBUUeVM,IF(MONTH(Monat.Tag1)=5,April!Monat.NBUUeVM,IF(MONTH(Monat.Tag1)=6,Monat.NBUUeVM,IF(MONTH(Monat.Tag1)=7,June!Monat.NBUUeVM,IF(MONTH(Monat.Tag1)=8,July!Monat.NBUUeVM,IF(MONTH(Monat.Tag1)=9,August!Monat.NBUUeVM,IF(MONTH(Monat.Tag1)=10,September!Monat.NBUUeVM,IF(MONTH(Monat.Tag1)=11,October!Monat.NBUUeVM,IF(MONTH(Monat.Tag1)=12,November!Monat.NBUUeVM,"")))))))))))),"")</f>
        <v>0</v>
      </c>
      <c r="AM89" s="172"/>
      <c r="AN89" s="217" t="n">
        <f aca="false">AI89+AL89</f>
        <v>0</v>
      </c>
      <c r="AO89" s="171"/>
      <c r="AP89" s="171"/>
      <c r="AQ89" s="39"/>
    </row>
    <row r="90" s="148" customFormat="true" ht="15" hidden="false" customHeight="true" outlineLevel="0" collapsed="false">
      <c r="A90" s="175" t="s">
        <v>172</v>
      </c>
      <c r="B90" s="176"/>
      <c r="C90" s="176"/>
      <c r="D90" s="176"/>
      <c r="E90" s="177"/>
      <c r="F90" s="176"/>
      <c r="G90" s="176"/>
      <c r="H90" s="176"/>
      <c r="I90" s="176"/>
      <c r="J90" s="177"/>
      <c r="K90" s="176"/>
      <c r="L90" s="177"/>
      <c r="M90" s="176"/>
      <c r="N90" s="176"/>
      <c r="O90" s="176"/>
      <c r="P90" s="176"/>
      <c r="Q90" s="177"/>
      <c r="R90" s="176"/>
      <c r="S90" s="177"/>
      <c r="T90" s="177"/>
      <c r="U90" s="176"/>
      <c r="V90" s="176"/>
      <c r="W90" s="176"/>
      <c r="X90" s="177"/>
      <c r="Y90" s="176"/>
      <c r="Z90" s="178"/>
      <c r="AA90" s="176"/>
      <c r="AB90" s="176"/>
      <c r="AC90" s="176"/>
      <c r="AD90" s="176"/>
      <c r="AE90" s="177"/>
      <c r="AF90" s="176"/>
      <c r="AG90" s="168" t="str">
        <f aca="false">A90</f>
        <v>Military/civilian service</v>
      </c>
      <c r="AH90" s="184"/>
      <c r="AI90" s="207" t="n">
        <f aca="false">SUM(B90:AF90)</f>
        <v>0</v>
      </c>
      <c r="AJ90" s="33"/>
      <c r="AK90" s="235"/>
      <c r="AL90" s="216" t="n">
        <f aca="false">IF(EB.Anwendung&lt;&gt;"",IF(MONTH(Monat.Tag1)=1,0,IF(MONTH(Monat.Tag1)=2,January!Monat.MZSUeVM,IF(MONTH(Monat.Tag1)=3,February!Monat.MZSUeVM,IF(MONTH(Monat.Tag1)=4,March!Monat.MZSUeVM,IF(MONTH(Monat.Tag1)=5,April!Monat.MZSUeVM,IF(MONTH(Monat.Tag1)=6,Monat.MZSUeVM,IF(MONTH(Monat.Tag1)=7,June!Monat.MZSUeVM,IF(MONTH(Monat.Tag1)=8,July!Monat.MZSUeVM,IF(MONTH(Monat.Tag1)=9,August!Monat.MZSUeVM,IF(MONTH(Monat.Tag1)=10,September!Monat.MZSUeVM,IF(MONTH(Monat.Tag1)=11,October!Monat.MZSUeVM,IF(MONTH(Monat.Tag1)=12,November!Monat.MZSUeVM,"")))))))))))),"")</f>
        <v>0</v>
      </c>
      <c r="AM90" s="172"/>
      <c r="AN90" s="217" t="n">
        <f aca="false">AI90+AL90</f>
        <v>0</v>
      </c>
      <c r="AO90" s="171"/>
      <c r="AP90" s="171"/>
      <c r="AQ90" s="39"/>
    </row>
    <row r="91" s="148" customFormat="true" ht="15" hidden="false" customHeight="true" outlineLevel="0" collapsed="false">
      <c r="A91" s="175" t="s">
        <v>173</v>
      </c>
      <c r="B91" s="176"/>
      <c r="C91" s="176"/>
      <c r="D91" s="176"/>
      <c r="E91" s="177"/>
      <c r="F91" s="176"/>
      <c r="G91" s="176"/>
      <c r="H91" s="176"/>
      <c r="I91" s="176"/>
      <c r="J91" s="177"/>
      <c r="K91" s="176"/>
      <c r="L91" s="177"/>
      <c r="M91" s="176"/>
      <c r="N91" s="176"/>
      <c r="O91" s="176"/>
      <c r="P91" s="176"/>
      <c r="Q91" s="177"/>
      <c r="R91" s="176"/>
      <c r="S91" s="177"/>
      <c r="T91" s="177"/>
      <c r="U91" s="176"/>
      <c r="V91" s="176"/>
      <c r="W91" s="176"/>
      <c r="X91" s="177"/>
      <c r="Y91" s="176"/>
      <c r="Z91" s="178"/>
      <c r="AA91" s="176"/>
      <c r="AB91" s="176"/>
      <c r="AC91" s="176"/>
      <c r="AD91" s="176"/>
      <c r="AE91" s="177"/>
      <c r="AF91" s="176"/>
      <c r="AG91" s="168" t="str">
        <f aca="false">A91</f>
        <v>Continuing education</v>
      </c>
      <c r="AH91" s="184"/>
      <c r="AI91" s="207" t="n">
        <f aca="false">SUM(B91:AF91)</f>
        <v>0</v>
      </c>
      <c r="AJ91" s="33"/>
      <c r="AK91" s="235"/>
      <c r="AL91" s="216" t="n">
        <f aca="false">IF(EB.Anwendung&lt;&gt;"",IF(MONTH(Monat.Tag1)=1,0,IF(MONTH(Monat.Tag1)=2,January!Monat.WBUeVM,IF(MONTH(Monat.Tag1)=3,February!Monat.WBUeVM,IF(MONTH(Monat.Tag1)=4,March!Monat.WBUeVM,IF(MONTH(Monat.Tag1)=5,April!Monat.WBUeVM,IF(MONTH(Monat.Tag1)=6,Monat.WBUeVM,IF(MONTH(Monat.Tag1)=7,June!Monat.WBUeVM,IF(MONTH(Monat.Tag1)=8,July!Monat.WBUeVM,IF(MONTH(Monat.Tag1)=9,August!Monat.WBUeVM,IF(MONTH(Monat.Tag1)=10,September!Monat.WBUeVM,IF(MONTH(Monat.Tag1)=11,October!Monat.WBUeVM,IF(MONTH(Monat.Tag1)=12,November!Monat.WBUeVM,"")))))))))))),"")</f>
        <v>0</v>
      </c>
      <c r="AM91" s="172"/>
      <c r="AN91" s="217" t="n">
        <f aca="false">AI91+AL91</f>
        <v>0</v>
      </c>
      <c r="AO91" s="171"/>
      <c r="AP91" s="171"/>
      <c r="AQ91" s="39"/>
    </row>
    <row r="92" s="148" customFormat="true" ht="15" hidden="false" customHeight="true" outlineLevel="0" collapsed="false">
      <c r="A92" s="175" t="s">
        <v>174</v>
      </c>
      <c r="B92" s="176"/>
      <c r="C92" s="176"/>
      <c r="D92" s="176"/>
      <c r="E92" s="177"/>
      <c r="F92" s="176"/>
      <c r="G92" s="176"/>
      <c r="H92" s="176"/>
      <c r="I92" s="176"/>
      <c r="J92" s="177"/>
      <c r="K92" s="176"/>
      <c r="L92" s="177"/>
      <c r="M92" s="176"/>
      <c r="N92" s="176"/>
      <c r="O92" s="176"/>
      <c r="P92" s="176"/>
      <c r="Q92" s="177"/>
      <c r="R92" s="176"/>
      <c r="S92" s="177"/>
      <c r="T92" s="177"/>
      <c r="U92" s="176"/>
      <c r="V92" s="176"/>
      <c r="W92" s="176"/>
      <c r="X92" s="177"/>
      <c r="Y92" s="176"/>
      <c r="Z92" s="178"/>
      <c r="AA92" s="176"/>
      <c r="AB92" s="176"/>
      <c r="AC92" s="176"/>
      <c r="AD92" s="176"/>
      <c r="AE92" s="177"/>
      <c r="AF92" s="176"/>
      <c r="AG92" s="168" t="str">
        <f aca="false">A92</f>
        <v>Paid leave</v>
      </c>
      <c r="AH92" s="184"/>
      <c r="AI92" s="207" t="n">
        <f aca="false">SUM(B92:AF92)</f>
        <v>0</v>
      </c>
      <c r="AJ92" s="33"/>
      <c r="AK92" s="235"/>
      <c r="AL92" s="216" t="n">
        <f aca="false">IF(EB.Anwendung&lt;&gt;"",IF(MONTH(Monat.Tag1)=1,0,IF(MONTH(Monat.Tag1)=2,January!Monat.BesUrlaubUeVM,IF(MONTH(Monat.Tag1)=3,February!Monat.BesUrlaubUeVM,IF(MONTH(Monat.Tag1)=4,March!Monat.BesUrlaubUeVM,IF(MONTH(Monat.Tag1)=5,April!Monat.BesUrlaubUeVM,IF(MONTH(Monat.Tag1)=6,Monat.BesUrlaubUeVM,IF(MONTH(Monat.Tag1)=7,June!Monat.BesUrlaubUeVM,IF(MONTH(Monat.Tag1)=8,July!Monat.BesUrlaubUeVM,IF(MONTH(Monat.Tag1)=9,August!Monat.BesUrlaubUeVM,IF(MONTH(Monat.Tag1)=10,September!Monat.BesUrlaubUeVM,IF(MONTH(Monat.Tag1)=11,October!Monat.BesUrlaubUeVM,IF(MONTH(Monat.Tag1)=12,November!Monat.BesUrlaubUeVM,"")))))))))))),"")</f>
        <v>0</v>
      </c>
      <c r="AM92" s="172"/>
      <c r="AN92" s="217" t="n">
        <f aca="false">AI92+AL92</f>
        <v>0</v>
      </c>
      <c r="AO92" s="171"/>
      <c r="AP92" s="171"/>
      <c r="AQ92" s="39"/>
    </row>
    <row r="93" s="148" customFormat="true" ht="15" hidden="false" customHeight="true" outlineLevel="0" collapsed="false">
      <c r="A93" s="175" t="s">
        <v>175</v>
      </c>
      <c r="B93" s="176"/>
      <c r="C93" s="176"/>
      <c r="D93" s="176"/>
      <c r="E93" s="177"/>
      <c r="F93" s="176"/>
      <c r="G93" s="176"/>
      <c r="H93" s="176"/>
      <c r="I93" s="176"/>
      <c r="J93" s="177"/>
      <c r="K93" s="176"/>
      <c r="L93" s="177"/>
      <c r="M93" s="176"/>
      <c r="N93" s="176"/>
      <c r="O93" s="176"/>
      <c r="P93" s="176"/>
      <c r="Q93" s="177"/>
      <c r="R93" s="176"/>
      <c r="S93" s="177"/>
      <c r="T93" s="177"/>
      <c r="U93" s="176"/>
      <c r="V93" s="176"/>
      <c r="W93" s="176"/>
      <c r="X93" s="177"/>
      <c r="Y93" s="176"/>
      <c r="Z93" s="178"/>
      <c r="AA93" s="176"/>
      <c r="AB93" s="176"/>
      <c r="AC93" s="176"/>
      <c r="AD93" s="176"/>
      <c r="AE93" s="177"/>
      <c r="AF93" s="176"/>
      <c r="AG93" s="168" t="str">
        <f aca="false">A93</f>
        <v>Unpaid leave</v>
      </c>
      <c r="AH93" s="184"/>
      <c r="AI93" s="207" t="n">
        <f aca="false">SUM(B93:AF93)</f>
        <v>0</v>
      </c>
      <c r="AJ93" s="33"/>
      <c r="AK93" s="235"/>
      <c r="AL93" s="216" t="n">
        <f aca="false">IF(EB.Anwendung&lt;&gt;"",IF(MONTH(Monat.Tag1)=1,0,IF(MONTH(Monat.Tag1)=2,January!Monat.UnbesUrlaubUeVM,IF(MONTH(Monat.Tag1)=3,February!Monat.UnbesUrlaubUeVM,IF(MONTH(Monat.Tag1)=4,March!Monat.UnbesUrlaubUeVM,IF(MONTH(Monat.Tag1)=5,April!Monat.UnbesUrlaubUeVM,IF(MONTH(Monat.Tag1)=6,Monat.UnbesUrlaubUeVM,IF(MONTH(Monat.Tag1)=7,June!Monat.UnbesUrlaubUeVM,IF(MONTH(Monat.Tag1)=8,July!Monat.UnbesUrlaubUeVM,IF(MONTH(Monat.Tag1)=9,August!Monat.UnbesUrlaubUeVM,IF(MONTH(Monat.Tag1)=10,September!Monat.UnbesUrlaubUeVM,IF(MONTH(Monat.Tag1)=11,October!Monat.UnbesUrlaubUeVM,IF(MONTH(Monat.Tag1)=12,November!Monat.UnbesUrlaubUeVM,"")))))))))))),"")</f>
        <v>0</v>
      </c>
      <c r="AM93" s="172"/>
      <c r="AN93" s="217" t="n">
        <f aca="false">AI93+AL93</f>
        <v>0</v>
      </c>
      <c r="AO93" s="171"/>
      <c r="AP93" s="171"/>
      <c r="AQ93" s="39"/>
    </row>
    <row r="94" s="148" customFormat="true" ht="15" hidden="true" customHeight="true" outlineLevel="1" collapsed="false">
      <c r="A94" s="175" t="s">
        <v>176</v>
      </c>
      <c r="B94" s="176"/>
      <c r="C94" s="176"/>
      <c r="D94" s="176"/>
      <c r="E94" s="177"/>
      <c r="F94" s="176"/>
      <c r="G94" s="176"/>
      <c r="H94" s="176"/>
      <c r="I94" s="176"/>
      <c r="J94" s="177"/>
      <c r="K94" s="176"/>
      <c r="L94" s="177"/>
      <c r="M94" s="176"/>
      <c r="N94" s="176"/>
      <c r="O94" s="176"/>
      <c r="P94" s="176"/>
      <c r="Q94" s="177"/>
      <c r="R94" s="176"/>
      <c r="S94" s="177"/>
      <c r="T94" s="177"/>
      <c r="U94" s="176"/>
      <c r="V94" s="176"/>
      <c r="W94" s="176"/>
      <c r="X94" s="177"/>
      <c r="Y94" s="176"/>
      <c r="Z94" s="178"/>
      <c r="AA94" s="176"/>
      <c r="AB94" s="176"/>
      <c r="AC94" s="176"/>
      <c r="AD94" s="176"/>
      <c r="AE94" s="177"/>
      <c r="AF94" s="176"/>
      <c r="AG94" s="168" t="str">
        <f aca="false">A94</f>
        <v>Secondary employment</v>
      </c>
      <c r="AH94" s="184"/>
      <c r="AI94" s="207" t="n">
        <f aca="false">SUM(B94:AF94)</f>
        <v>0</v>
      </c>
      <c r="AJ94" s="33"/>
      <c r="AK94" s="235"/>
      <c r="AL94" s="216" t="n">
        <f aca="false">IF(EB.Anwendung&lt;&gt;"",IF(MONTH(Monat.Tag1)=1,0,IF(MONTH(Monat.Tag1)=2,January!Monat.NBUeVM,IF(MONTH(Monat.Tag1)=3,February!Monat.NBUeVM,IF(MONTH(Monat.Tag1)=4,March!Monat.NBUeVM,IF(MONTH(Monat.Tag1)=5,April!Monat.NBUeVM,IF(MONTH(Monat.Tag1)=6,Monat.NBUeVM,IF(MONTH(Monat.Tag1)=7,June!Monat.NBUeVM,IF(MONTH(Monat.Tag1)=8,July!Monat.NBUeVM,IF(MONTH(Monat.Tag1)=9,August!Monat.NBUeVM,IF(MONTH(Monat.Tag1)=10,September!Monat.NBUeVM,IF(MONTH(Monat.Tag1)=11,October!Monat.NBUeVM,IF(MONTH(Monat.Tag1)=12,November!Monat.NBUeVM,"")))))))))))),"")</f>
        <v>0</v>
      </c>
      <c r="AM94" s="172"/>
      <c r="AN94" s="217" t="n">
        <f aca="false">AI94+AL94</f>
        <v>0</v>
      </c>
      <c r="AO94" s="171"/>
      <c r="AP94" s="171"/>
      <c r="AQ94" s="39"/>
    </row>
    <row r="95" s="148" customFormat="true" ht="15" hidden="false" customHeight="true" outlineLevel="0" collapsed="false">
      <c r="A95" s="175" t="s">
        <v>86</v>
      </c>
      <c r="B95" s="176"/>
      <c r="C95" s="176"/>
      <c r="D95" s="176"/>
      <c r="E95" s="177"/>
      <c r="F95" s="176"/>
      <c r="G95" s="176"/>
      <c r="H95" s="176"/>
      <c r="I95" s="176"/>
      <c r="J95" s="177"/>
      <c r="K95" s="176"/>
      <c r="L95" s="177"/>
      <c r="M95" s="176"/>
      <c r="N95" s="176"/>
      <c r="O95" s="176"/>
      <c r="P95" s="176"/>
      <c r="Q95" s="177"/>
      <c r="R95" s="176"/>
      <c r="S95" s="177"/>
      <c r="T95" s="177"/>
      <c r="U95" s="176"/>
      <c r="V95" s="176"/>
      <c r="W95" s="176"/>
      <c r="X95" s="177"/>
      <c r="Y95" s="176"/>
      <c r="Z95" s="178"/>
      <c r="AA95" s="176"/>
      <c r="AB95" s="176"/>
      <c r="AC95" s="176"/>
      <c r="AD95" s="176"/>
      <c r="AE95" s="177"/>
      <c r="AF95" s="176"/>
      <c r="AG95" s="168" t="str">
        <f aca="false">A95</f>
        <v>Seniority allowance</v>
      </c>
      <c r="AH95" s="184"/>
      <c r="AI95" s="207" t="n">
        <f aca="false">SUM(B95:AF95)</f>
        <v>0</v>
      </c>
      <c r="AJ95" s="33"/>
      <c r="AK95" s="235"/>
      <c r="AL95" s="216" t="n">
        <f aca="false">IF(EB.Anwendung&lt;&gt;"",IF(MONTH(Monat.Tag1)=1,EB.DAG,IF(MONTH(Monat.Tag1)=2,January!Monat.DAGUeVM,IF(MONTH(Monat.Tag1)=3,February!Monat.DAGUeVM,IF(MONTH(Monat.Tag1)=4,March!Monat.DAGUeVM,IF(MONTH(Monat.Tag1)=5,April!Monat.DAGUeVM,IF(MONTH(Monat.Tag1)=6,Monat.DAGUeVM,IF(MONTH(Monat.Tag1)=7,June!Monat.DAGUeVM,IF(MONTH(Monat.Tag1)=8,July!Monat.DAGUeVM,IF(MONTH(Monat.Tag1)=9,August!Monat.DAGUeVM,IF(MONTH(Monat.Tag1)=10,September!Monat.DAGUeVM,IF(MONTH(Monat.Tag1)=11,October!Monat.DAGUeVM,IF(MONTH(Monat.Tag1)=12,November!Monat.DAGUeVM,"")))))))))))),"")</f>
        <v>0</v>
      </c>
      <c r="AM95" s="172"/>
      <c r="AN95" s="217" t="n">
        <f aca="false">AL95-AI95</f>
        <v>0</v>
      </c>
      <c r="AO95" s="171"/>
      <c r="AP95" s="171"/>
      <c r="AQ95" s="39"/>
    </row>
    <row r="96" s="148" customFormat="true" ht="11.25" hidden="false" customHeight="true" outlineLevel="0" collapsed="false">
      <c r="A96" s="186"/>
      <c r="B96" s="191"/>
      <c r="C96" s="191"/>
      <c r="D96" s="191"/>
      <c r="E96" s="191"/>
      <c r="F96" s="191"/>
      <c r="G96" s="191"/>
      <c r="H96" s="191"/>
      <c r="I96" s="191"/>
      <c r="J96" s="191"/>
      <c r="K96" s="191"/>
      <c r="L96" s="191"/>
      <c r="M96" s="191"/>
      <c r="N96" s="191"/>
      <c r="O96" s="191"/>
      <c r="P96" s="191"/>
      <c r="Q96" s="191"/>
      <c r="R96" s="191"/>
      <c r="S96" s="191"/>
      <c r="T96" s="191"/>
      <c r="U96" s="191"/>
      <c r="V96" s="191"/>
      <c r="W96" s="191"/>
      <c r="X96" s="191"/>
      <c r="Y96" s="191"/>
      <c r="Z96" s="191"/>
      <c r="AA96" s="191"/>
      <c r="AB96" s="191"/>
      <c r="AC96" s="191"/>
      <c r="AD96" s="191"/>
      <c r="AE96" s="191"/>
      <c r="AF96" s="192"/>
      <c r="AG96" s="168"/>
      <c r="AH96" s="197"/>
      <c r="AI96" s="192"/>
      <c r="AJ96" s="27"/>
      <c r="AK96" s="235"/>
      <c r="AL96" s="235"/>
      <c r="AM96" s="172"/>
      <c r="AN96" s="254"/>
      <c r="AO96" s="179"/>
      <c r="AP96" s="179"/>
      <c r="AQ96" s="39"/>
    </row>
    <row r="97" s="148" customFormat="true" ht="15" hidden="false" customHeight="true" outlineLevel="0" collapsed="false">
      <c r="A97" s="181" t="str">
        <f aca="true">IF(ROW(A97)-ROW(INDEX(Monat.Projekte.Zeilen,1))+1&gt;EB.AnzProjekte,"",OFFSET(EB.Projekte.Knoten,ROW(A97)-ROW(INDEX(Monat.Projekte.Zeilen,1))+1,0,1,1))</f>
        <v/>
      </c>
      <c r="B97" s="176"/>
      <c r="C97" s="176"/>
      <c r="D97" s="176"/>
      <c r="E97" s="177"/>
      <c r="F97" s="176"/>
      <c r="G97" s="176"/>
      <c r="H97" s="176"/>
      <c r="I97" s="176"/>
      <c r="J97" s="177"/>
      <c r="K97" s="176"/>
      <c r="L97" s="177"/>
      <c r="M97" s="176"/>
      <c r="N97" s="176"/>
      <c r="O97" s="176"/>
      <c r="P97" s="176"/>
      <c r="Q97" s="177"/>
      <c r="R97" s="176"/>
      <c r="S97" s="177"/>
      <c r="T97" s="177"/>
      <c r="U97" s="176"/>
      <c r="V97" s="176"/>
      <c r="W97" s="176"/>
      <c r="X97" s="177"/>
      <c r="Y97" s="176"/>
      <c r="Z97" s="178"/>
      <c r="AA97" s="176"/>
      <c r="AB97" s="176"/>
      <c r="AC97" s="176"/>
      <c r="AD97" s="176"/>
      <c r="AE97" s="177"/>
      <c r="AF97" s="176"/>
      <c r="AG97" s="168" t="str">
        <f aca="false">A97</f>
        <v/>
      </c>
      <c r="AH97" s="202"/>
      <c r="AI97" s="262" t="n">
        <f aca="false">SUM(B97:AF97)</f>
        <v>0</v>
      </c>
      <c r="AJ97" s="33"/>
      <c r="AK97" s="192"/>
      <c r="AL97" s="216" t="n">
        <f aca="false">IF(EB.Anwendung&lt;&gt;"",IF(MONTH(Monat.Tag1)=1,0,IF(MONTH(Monat.Tag1)=2,January!Monat.P1UeVM,IF(MONTH(Monat.Tag1)=3,February!Monat.P1UeVM,IF(MONTH(Monat.Tag1)=4,March!Monat.P1UeVM,IF(MONTH(Monat.Tag1)=5,April!Monat.P1UeVM,IF(MONTH(Monat.Tag1)=6,Monat.P1UeVM,IF(MONTH(Monat.Tag1)=7,June!Monat.P1UeVM,IF(MONTH(Monat.Tag1)=8,July!Monat.P1UeVM,IF(MONTH(Monat.Tag1)=9,August!Monat.P1UeVM,IF(MONTH(Monat.Tag1)=10,September!Monat.P1UeVM,IF(MONTH(Monat.Tag1)=11,October!Monat.P1UeVM,IF(MONTH(Monat.Tag1)=12,November!Monat.P1UeVM,"")))))))))))),"")</f>
        <v>0</v>
      </c>
      <c r="AM97" s="172"/>
      <c r="AN97" s="217" t="n">
        <f aca="false">AI97+AL97</f>
        <v>0</v>
      </c>
      <c r="AO97" s="171"/>
      <c r="AP97" s="171"/>
      <c r="AQ97" s="39"/>
    </row>
    <row r="98" s="148" customFormat="true" ht="15" hidden="false" customHeight="true" outlineLevel="0" collapsed="false">
      <c r="A98" s="181" t="str">
        <f aca="true">IF(ROW(A98)-ROW(INDEX(Monat.Projekte.Zeilen,1))+1&gt;EB.AnzProjekte,"",OFFSET(EB.Projekte.Knoten,ROW(A98)-ROW(INDEX(Monat.Projekte.Zeilen,1))+1,0,1,1))</f>
        <v/>
      </c>
      <c r="B98" s="176"/>
      <c r="C98" s="176"/>
      <c r="D98" s="176"/>
      <c r="E98" s="177"/>
      <c r="F98" s="176"/>
      <c r="G98" s="176"/>
      <c r="H98" s="176"/>
      <c r="I98" s="176"/>
      <c r="J98" s="177"/>
      <c r="K98" s="176"/>
      <c r="L98" s="177"/>
      <c r="M98" s="176"/>
      <c r="N98" s="176"/>
      <c r="O98" s="176"/>
      <c r="P98" s="176"/>
      <c r="Q98" s="177"/>
      <c r="R98" s="176"/>
      <c r="S98" s="177"/>
      <c r="T98" s="177"/>
      <c r="U98" s="176"/>
      <c r="V98" s="176"/>
      <c r="W98" s="176"/>
      <c r="X98" s="177"/>
      <c r="Y98" s="176"/>
      <c r="Z98" s="178"/>
      <c r="AA98" s="176"/>
      <c r="AB98" s="176"/>
      <c r="AC98" s="176"/>
      <c r="AD98" s="176"/>
      <c r="AE98" s="177"/>
      <c r="AF98" s="176"/>
      <c r="AG98" s="168" t="str">
        <f aca="false">A98</f>
        <v/>
      </c>
      <c r="AH98" s="184"/>
      <c r="AI98" s="207" t="n">
        <f aca="false">SUM(B98:AF98)</f>
        <v>0</v>
      </c>
      <c r="AJ98" s="33"/>
      <c r="AK98" s="192"/>
      <c r="AL98" s="216" t="n">
        <f aca="false">IF(EB.Anwendung&lt;&gt;"",IF(MONTH(Monat.Tag1)=1,0,IF(MONTH(Monat.Tag1)=2,January!Monat.P2UeVM,IF(MONTH(Monat.Tag1)=3,February!Monat.P2UeVM,IF(MONTH(Monat.Tag1)=4,March!Monat.P2UeVM,IF(MONTH(Monat.Tag1)=5,April!Monat.P2UeVM,IF(MONTH(Monat.Tag1)=6,Monat.P2UeVM,IF(MONTH(Monat.Tag1)=7,June!Monat.P2UeVM,IF(MONTH(Monat.Tag1)=8,July!Monat.P2UeVM,IF(MONTH(Monat.Tag1)=9,August!Monat.P2UeVM,IF(MONTH(Monat.Tag1)=10,September!Monat.P2UeVM,IF(MONTH(Monat.Tag1)=11,October!Monat.P2UeVM,IF(MONTH(Monat.Tag1)=12,November!Monat.P2UeVM,"")))))))))))),"")</f>
        <v>0</v>
      </c>
      <c r="AM98" s="172"/>
      <c r="AN98" s="217" t="n">
        <f aca="false">AI98+AL98</f>
        <v>0</v>
      </c>
      <c r="AO98" s="171"/>
      <c r="AP98" s="171"/>
      <c r="AQ98" s="39"/>
    </row>
    <row r="99" s="148" customFormat="true" ht="15" hidden="false" customHeight="true" outlineLevel="0" collapsed="false">
      <c r="A99" s="181" t="str">
        <f aca="true">IF(ROW(A99)-ROW(INDEX(Monat.Projekte.Zeilen,1))+1&gt;EB.AnzProjekte,"",OFFSET(EB.Projekte.Knoten,ROW(A99)-ROW(INDEX(Monat.Projekte.Zeilen,1))+1,0,1,1))</f>
        <v/>
      </c>
      <c r="B99" s="176"/>
      <c r="C99" s="176"/>
      <c r="D99" s="176"/>
      <c r="E99" s="177"/>
      <c r="F99" s="176"/>
      <c r="G99" s="176"/>
      <c r="H99" s="176"/>
      <c r="I99" s="176"/>
      <c r="J99" s="177"/>
      <c r="K99" s="176"/>
      <c r="L99" s="177"/>
      <c r="M99" s="176"/>
      <c r="N99" s="176"/>
      <c r="O99" s="176"/>
      <c r="P99" s="176"/>
      <c r="Q99" s="177"/>
      <c r="R99" s="176"/>
      <c r="S99" s="177"/>
      <c r="T99" s="177"/>
      <c r="U99" s="176"/>
      <c r="V99" s="176"/>
      <c r="W99" s="176"/>
      <c r="X99" s="177"/>
      <c r="Y99" s="176"/>
      <c r="Z99" s="178"/>
      <c r="AA99" s="176"/>
      <c r="AB99" s="176"/>
      <c r="AC99" s="176"/>
      <c r="AD99" s="176"/>
      <c r="AE99" s="177"/>
      <c r="AF99" s="176"/>
      <c r="AG99" s="168" t="str">
        <f aca="false">A99</f>
        <v/>
      </c>
      <c r="AH99" s="263"/>
      <c r="AI99" s="207" t="n">
        <f aca="false">SUM(B99:AF99)</f>
        <v>0</v>
      </c>
      <c r="AJ99" s="33"/>
      <c r="AK99" s="192"/>
      <c r="AL99" s="216" t="n">
        <f aca="false">IF(EB.Anwendung&lt;&gt;"",IF(MONTH(Monat.Tag1)=1,0,IF(MONTH(Monat.Tag1)=2,January!Monat.P3UeVM,IF(MONTH(Monat.Tag1)=3,February!Monat.P3UeVM,IF(MONTH(Monat.Tag1)=4,March!Monat.P3UeVM,IF(MONTH(Monat.Tag1)=5,April!Monat.P3UeVM,IF(MONTH(Monat.Tag1)=6,Monat.P3UeVM,IF(MONTH(Monat.Tag1)=7,June!Monat.P3UeVM,IF(MONTH(Monat.Tag1)=8,July!Monat.P3UeVM,IF(MONTH(Monat.Tag1)=9,August!Monat.P3UeVM,IF(MONTH(Monat.Tag1)=10,September!Monat.P3UeVM,IF(MONTH(Monat.Tag1)=11,October!Monat.P3UeVM,IF(MONTH(Monat.Tag1)=12,November!Monat.P3UeVM,"")))))))))))),"")</f>
        <v>0</v>
      </c>
      <c r="AM99" s="172"/>
      <c r="AN99" s="217" t="n">
        <f aca="false">AI99+AL99</f>
        <v>0</v>
      </c>
      <c r="AO99" s="171"/>
      <c r="AP99" s="171"/>
      <c r="AQ99" s="39"/>
    </row>
    <row r="100" s="148" customFormat="true" ht="15" hidden="false" customHeight="true" outlineLevel="0" collapsed="false">
      <c r="A100" s="181" t="str">
        <f aca="true">IF(ROW(A100)-ROW(INDEX(Monat.Projekte.Zeilen,1))+1&gt;EB.AnzProjekte,"",OFFSET(EB.Projekte.Knoten,ROW(A100)-ROW(INDEX(Monat.Projekte.Zeilen,1))+1,0,1,1))</f>
        <v/>
      </c>
      <c r="B100" s="176"/>
      <c r="C100" s="176"/>
      <c r="D100" s="176"/>
      <c r="E100" s="177"/>
      <c r="F100" s="176"/>
      <c r="G100" s="176"/>
      <c r="H100" s="176"/>
      <c r="I100" s="176"/>
      <c r="J100" s="177"/>
      <c r="K100" s="176"/>
      <c r="L100" s="177"/>
      <c r="M100" s="176"/>
      <c r="N100" s="176"/>
      <c r="O100" s="176"/>
      <c r="P100" s="176"/>
      <c r="Q100" s="177"/>
      <c r="R100" s="176"/>
      <c r="S100" s="177"/>
      <c r="T100" s="177"/>
      <c r="U100" s="176"/>
      <c r="V100" s="176"/>
      <c r="W100" s="176"/>
      <c r="X100" s="177"/>
      <c r="Y100" s="176"/>
      <c r="Z100" s="178"/>
      <c r="AA100" s="176"/>
      <c r="AB100" s="176"/>
      <c r="AC100" s="176"/>
      <c r="AD100" s="176"/>
      <c r="AE100" s="177"/>
      <c r="AF100" s="176"/>
      <c r="AG100" s="168" t="str">
        <f aca="false">A100</f>
        <v/>
      </c>
      <c r="AH100" s="197"/>
      <c r="AI100" s="207" t="n">
        <f aca="false">SUM(B100:AF100)</f>
        <v>0</v>
      </c>
      <c r="AJ100" s="33"/>
      <c r="AK100" s="192"/>
      <c r="AL100" s="216" t="n">
        <f aca="false">IF(EB.Anwendung&lt;&gt;"",IF(MONTH(Monat.Tag1)=1,0,IF(MONTH(Monat.Tag1)=2,January!Monat.P4UeVM,IF(MONTH(Monat.Tag1)=3,February!Monat.P4UeVM,IF(MONTH(Monat.Tag1)=4,March!Monat.P4UeVM,IF(MONTH(Monat.Tag1)=5,April!Monat.P4UeVM,IF(MONTH(Monat.Tag1)=6,Monat.P4UeVM,IF(MONTH(Monat.Tag1)=7,June!Monat.P4UeVM,IF(MONTH(Monat.Tag1)=8,July!Monat.P4UeVM,IF(MONTH(Monat.Tag1)=9,August!Monat.P4UeVM,IF(MONTH(Monat.Tag1)=10,September!Monat.P4UeVM,IF(MONTH(Monat.Tag1)=11,October!Monat.P4UeVM,IF(MONTH(Monat.Tag1)=12,November!Monat.P4UeVM,"")))))))))))),"")</f>
        <v>0</v>
      </c>
      <c r="AM100" s="172"/>
      <c r="AN100" s="217" t="n">
        <f aca="false">AI100+AL100</f>
        <v>0</v>
      </c>
      <c r="AO100" s="171"/>
      <c r="AP100" s="171"/>
      <c r="AQ100" s="39"/>
    </row>
    <row r="101" s="148" customFormat="true" ht="15" hidden="false" customHeight="true" outlineLevel="0" collapsed="false">
      <c r="A101" s="181" t="str">
        <f aca="true">IF(ROW(A101)-ROW(INDEX(Monat.Projekte.Zeilen,1))+1&gt;EB.AnzProjekte,"",OFFSET(EB.Projekte.Knoten,ROW(A101)-ROW(INDEX(Monat.Projekte.Zeilen,1))+1,0,1,1))</f>
        <v/>
      </c>
      <c r="B101" s="176"/>
      <c r="C101" s="176"/>
      <c r="D101" s="176"/>
      <c r="E101" s="177"/>
      <c r="F101" s="176"/>
      <c r="G101" s="176"/>
      <c r="H101" s="176"/>
      <c r="I101" s="176"/>
      <c r="J101" s="177"/>
      <c r="K101" s="176"/>
      <c r="L101" s="177"/>
      <c r="M101" s="176"/>
      <c r="N101" s="176"/>
      <c r="O101" s="176"/>
      <c r="P101" s="176"/>
      <c r="Q101" s="177"/>
      <c r="R101" s="176"/>
      <c r="S101" s="177"/>
      <c r="T101" s="177"/>
      <c r="U101" s="176"/>
      <c r="V101" s="176"/>
      <c r="W101" s="176"/>
      <c r="X101" s="177"/>
      <c r="Y101" s="176"/>
      <c r="Z101" s="178"/>
      <c r="AA101" s="176"/>
      <c r="AB101" s="176"/>
      <c r="AC101" s="176"/>
      <c r="AD101" s="176"/>
      <c r="AE101" s="177"/>
      <c r="AF101" s="176"/>
      <c r="AG101" s="168" t="str">
        <f aca="false">A101</f>
        <v/>
      </c>
      <c r="AH101" s="184"/>
      <c r="AI101" s="207" t="n">
        <f aca="false">SUM(B101:AF101)</f>
        <v>0</v>
      </c>
      <c r="AJ101" s="33"/>
      <c r="AK101" s="192"/>
      <c r="AL101" s="216" t="n">
        <f aca="false">IF(EB.Anwendung&lt;&gt;"",IF(MONTH(Monat.Tag1)=1,0,IF(MONTH(Monat.Tag1)=2,January!Monat.P5UeVM,IF(MONTH(Monat.Tag1)=3,February!Monat.P5UeVM,IF(MONTH(Monat.Tag1)=4,March!Monat.P5UeVM,IF(MONTH(Monat.Tag1)=5,April!Monat.P5UeVM,IF(MONTH(Monat.Tag1)=6,Monat.P5UeVM,IF(MONTH(Monat.Tag1)=7,June!Monat.P5UeVM,IF(MONTH(Monat.Tag1)=8,July!Monat.P5UeVM,IF(MONTH(Monat.Tag1)=9,August!Monat.P5UeVM,IF(MONTH(Monat.Tag1)=10,September!Monat.P5UeVM,IF(MONTH(Monat.Tag1)=11,October!Monat.P5UeVM,IF(MONTH(Monat.Tag1)=12,November!Monat.P5UeVM,"")))))))))))),"")</f>
        <v>0</v>
      </c>
      <c r="AM101" s="172"/>
      <c r="AN101" s="217" t="n">
        <f aca="false">AI101+AL101</f>
        <v>0</v>
      </c>
      <c r="AO101" s="171"/>
      <c r="AP101" s="171"/>
      <c r="AQ101" s="39"/>
    </row>
    <row r="102" s="148" customFormat="true" ht="15" hidden="true" customHeight="true" outlineLevel="1" collapsed="false">
      <c r="A102" s="181" t="str">
        <f aca="true">IF(ROW(A102)-ROW(INDEX(Monat.Projekte.Zeilen,1))+1&gt;EB.AnzProjekte,"",OFFSET(EB.Projekte.Knoten,ROW(A102)-ROW(INDEX(Monat.Projekte.Zeilen,1))+1,0,1,1))</f>
        <v/>
      </c>
      <c r="B102" s="176"/>
      <c r="C102" s="176"/>
      <c r="D102" s="176"/>
      <c r="E102" s="177"/>
      <c r="F102" s="176"/>
      <c r="G102" s="176"/>
      <c r="H102" s="176"/>
      <c r="I102" s="176"/>
      <c r="J102" s="177"/>
      <c r="K102" s="176"/>
      <c r="L102" s="177"/>
      <c r="M102" s="176"/>
      <c r="N102" s="176"/>
      <c r="O102" s="176"/>
      <c r="P102" s="176"/>
      <c r="Q102" s="177"/>
      <c r="R102" s="176"/>
      <c r="S102" s="177"/>
      <c r="T102" s="177"/>
      <c r="U102" s="176"/>
      <c r="V102" s="176"/>
      <c r="W102" s="176"/>
      <c r="X102" s="177"/>
      <c r="Y102" s="176"/>
      <c r="Z102" s="178"/>
      <c r="AA102" s="176"/>
      <c r="AB102" s="176"/>
      <c r="AC102" s="176"/>
      <c r="AD102" s="176"/>
      <c r="AE102" s="177"/>
      <c r="AF102" s="176"/>
      <c r="AG102" s="168" t="str">
        <f aca="false">A102</f>
        <v/>
      </c>
      <c r="AH102" s="263"/>
      <c r="AI102" s="207" t="n">
        <f aca="false">SUM(B102:AF102)</f>
        <v>0</v>
      </c>
      <c r="AJ102" s="33"/>
      <c r="AK102" s="192"/>
      <c r="AL102" s="216" t="n">
        <f aca="false">IF(EB.Anwendung&lt;&gt;"",IF(MONTH(Monat.Tag1)=1,0,IF(MONTH(Monat.Tag1)=2,January!Monat.P6UeVM,IF(MONTH(Monat.Tag1)=3,February!Monat.P6UeVM,IF(MONTH(Monat.Tag1)=4,March!Monat.P6UeVM,IF(MONTH(Monat.Tag1)=5,April!Monat.P6UeVM,IF(MONTH(Monat.Tag1)=6,Monat.P6UeVM,IF(MONTH(Monat.Tag1)=7,June!Monat.P6UeVM,IF(MONTH(Monat.Tag1)=8,July!Monat.P6UeVM,IF(MONTH(Monat.Tag1)=9,August!Monat.P6UeVM,IF(MONTH(Monat.Tag1)=10,September!Monat.P6UeVM,IF(MONTH(Monat.Tag1)=11,October!Monat.P6UeVM,IF(MONTH(Monat.Tag1)=12,November!Monat.P6UeVM,"")))))))))))),"")</f>
        <v>0</v>
      </c>
      <c r="AM102" s="172"/>
      <c r="AN102" s="217" t="n">
        <f aca="false">AI102+AL102</f>
        <v>0</v>
      </c>
      <c r="AO102" s="171"/>
      <c r="AP102" s="171"/>
      <c r="AQ102" s="39"/>
    </row>
    <row r="103" s="148" customFormat="true" ht="15" hidden="true" customHeight="true" outlineLevel="1" collapsed="false">
      <c r="A103" s="181" t="str">
        <f aca="true">IF(ROW(A103)-ROW(INDEX(Monat.Projekte.Zeilen,1))+1&gt;EB.AnzProjekte,"",OFFSET(EB.Projekte.Knoten,ROW(A103)-ROW(INDEX(Monat.Projekte.Zeilen,1))+1,0,1,1))</f>
        <v/>
      </c>
      <c r="B103" s="176"/>
      <c r="C103" s="176"/>
      <c r="D103" s="176"/>
      <c r="E103" s="177"/>
      <c r="F103" s="176"/>
      <c r="G103" s="176"/>
      <c r="H103" s="176"/>
      <c r="I103" s="176"/>
      <c r="J103" s="177"/>
      <c r="K103" s="176"/>
      <c r="L103" s="177"/>
      <c r="M103" s="176"/>
      <c r="N103" s="176"/>
      <c r="O103" s="176"/>
      <c r="P103" s="176"/>
      <c r="Q103" s="177"/>
      <c r="R103" s="176"/>
      <c r="S103" s="177"/>
      <c r="T103" s="177"/>
      <c r="U103" s="176"/>
      <c r="V103" s="176"/>
      <c r="W103" s="176"/>
      <c r="X103" s="177"/>
      <c r="Y103" s="176"/>
      <c r="Z103" s="178"/>
      <c r="AA103" s="176"/>
      <c r="AB103" s="176"/>
      <c r="AC103" s="176"/>
      <c r="AD103" s="176"/>
      <c r="AE103" s="177"/>
      <c r="AF103" s="176"/>
      <c r="AG103" s="168" t="str">
        <f aca="false">A103</f>
        <v/>
      </c>
      <c r="AH103" s="197"/>
      <c r="AI103" s="207" t="n">
        <f aca="false">SUM(B103:AF103)</f>
        <v>0</v>
      </c>
      <c r="AJ103" s="33"/>
      <c r="AK103" s="192"/>
      <c r="AL103" s="216" t="n">
        <f aca="false">IF(EB.Anwendung&lt;&gt;"",IF(MONTH(Monat.Tag1)=1,0,IF(MONTH(Monat.Tag1)=2,January!Monat.P7UeVM,IF(MONTH(Monat.Tag1)=3,February!Monat.P7UeVM,IF(MONTH(Monat.Tag1)=4,March!Monat.P7UeVM,IF(MONTH(Monat.Tag1)=5,April!Monat.P7UeVM,IF(MONTH(Monat.Tag1)=6,Monat.P7UeVM,IF(MONTH(Monat.Tag1)=7,June!Monat.P7UeVM,IF(MONTH(Monat.Tag1)=8,July!Monat.P7UeVM,IF(MONTH(Monat.Tag1)=9,August!Monat.P7UeVM,IF(MONTH(Monat.Tag1)=10,September!Monat.P7UeVM,IF(MONTH(Monat.Tag1)=11,October!Monat.P7UeVM,IF(MONTH(Monat.Tag1)=12,November!Monat.P7UeVM,"")))))))))))),"")</f>
        <v>0</v>
      </c>
      <c r="AM103" s="172"/>
      <c r="AN103" s="217" t="n">
        <f aca="false">AI103+AL103</f>
        <v>0</v>
      </c>
      <c r="AO103" s="171"/>
      <c r="AP103" s="171"/>
      <c r="AQ103" s="39"/>
    </row>
    <row r="104" s="148" customFormat="true" ht="15" hidden="true" customHeight="true" outlineLevel="1" collapsed="false">
      <c r="A104" s="181" t="str">
        <f aca="true">IF(ROW(A104)-ROW(INDEX(Monat.Projekte.Zeilen,1))+1&gt;EB.AnzProjekte,"",OFFSET(EB.Projekte.Knoten,ROW(A104)-ROW(INDEX(Monat.Projekte.Zeilen,1))+1,0,1,1))</f>
        <v/>
      </c>
      <c r="B104" s="176"/>
      <c r="C104" s="176"/>
      <c r="D104" s="176"/>
      <c r="E104" s="177"/>
      <c r="F104" s="176"/>
      <c r="G104" s="176"/>
      <c r="H104" s="176"/>
      <c r="I104" s="176"/>
      <c r="J104" s="177"/>
      <c r="K104" s="176"/>
      <c r="L104" s="177"/>
      <c r="M104" s="176"/>
      <c r="N104" s="176"/>
      <c r="O104" s="176"/>
      <c r="P104" s="176"/>
      <c r="Q104" s="177"/>
      <c r="R104" s="176"/>
      <c r="S104" s="177"/>
      <c r="T104" s="177"/>
      <c r="U104" s="176"/>
      <c r="V104" s="176"/>
      <c r="W104" s="176"/>
      <c r="X104" s="177"/>
      <c r="Y104" s="176"/>
      <c r="Z104" s="178"/>
      <c r="AA104" s="176"/>
      <c r="AB104" s="176"/>
      <c r="AC104" s="176"/>
      <c r="AD104" s="176"/>
      <c r="AE104" s="177"/>
      <c r="AF104" s="176"/>
      <c r="AG104" s="168" t="str">
        <f aca="false">A104</f>
        <v/>
      </c>
      <c r="AH104" s="202"/>
      <c r="AI104" s="207" t="n">
        <f aca="false">SUM(B104:AF104)</f>
        <v>0</v>
      </c>
      <c r="AJ104" s="33"/>
      <c r="AK104" s="192"/>
      <c r="AL104" s="216" t="n">
        <f aca="false">IF(EB.Anwendung&lt;&gt;"",IF(MONTH(Monat.Tag1)=1,0,IF(MONTH(Monat.Tag1)=2,January!Monat.P8UeVM,IF(MONTH(Monat.Tag1)=3,February!Monat.P8UeVM,IF(MONTH(Monat.Tag1)=4,March!Monat.P8UeVM,IF(MONTH(Monat.Tag1)=5,April!Monat.P8UeVM,IF(MONTH(Monat.Tag1)=6,Monat.P8UeVM,IF(MONTH(Monat.Tag1)=7,June!Monat.P8UeVM,IF(MONTH(Monat.Tag1)=8,July!Monat.P8UeVM,IF(MONTH(Monat.Tag1)=9,August!Monat.P8UeVM,IF(MONTH(Monat.Tag1)=10,September!Monat.P8UeVM,IF(MONTH(Monat.Tag1)=11,October!Monat.P8UeVM,IF(MONTH(Monat.Tag1)=12,November!Monat.P8UeVM,"")))))))))))),"")</f>
        <v>0</v>
      </c>
      <c r="AM104" s="172"/>
      <c r="AN104" s="217" t="n">
        <f aca="false">AI104+AL104</f>
        <v>0</v>
      </c>
      <c r="AO104" s="171"/>
      <c r="AP104" s="171"/>
      <c r="AQ104" s="39"/>
    </row>
    <row r="105" s="148" customFormat="true" ht="15" hidden="true" customHeight="true" outlineLevel="1" collapsed="false">
      <c r="A105" s="181" t="str">
        <f aca="true">IF(ROW(A105)-ROW(INDEX(Monat.Projekte.Zeilen,1))+1&gt;EB.AnzProjekte,"",OFFSET(EB.Projekte.Knoten,ROW(A105)-ROW(INDEX(Monat.Projekte.Zeilen,1))+1,0,1,1))</f>
        <v/>
      </c>
      <c r="B105" s="176"/>
      <c r="C105" s="176"/>
      <c r="D105" s="176"/>
      <c r="E105" s="177"/>
      <c r="F105" s="176"/>
      <c r="G105" s="176"/>
      <c r="H105" s="176"/>
      <c r="I105" s="176"/>
      <c r="J105" s="177"/>
      <c r="K105" s="176"/>
      <c r="L105" s="177"/>
      <c r="M105" s="176"/>
      <c r="N105" s="176"/>
      <c r="O105" s="176"/>
      <c r="P105" s="176"/>
      <c r="Q105" s="177"/>
      <c r="R105" s="176"/>
      <c r="S105" s="177"/>
      <c r="T105" s="177"/>
      <c r="U105" s="176"/>
      <c r="V105" s="176"/>
      <c r="W105" s="176"/>
      <c r="X105" s="177"/>
      <c r="Y105" s="176"/>
      <c r="Z105" s="178"/>
      <c r="AA105" s="176"/>
      <c r="AB105" s="176"/>
      <c r="AC105" s="176"/>
      <c r="AD105" s="176"/>
      <c r="AE105" s="177"/>
      <c r="AF105" s="176"/>
      <c r="AG105" s="168" t="str">
        <f aca="false">A105</f>
        <v/>
      </c>
      <c r="AH105" s="184"/>
      <c r="AI105" s="207" t="n">
        <f aca="false">SUM(B105:AF105)</f>
        <v>0</v>
      </c>
      <c r="AJ105" s="33"/>
      <c r="AK105" s="192"/>
      <c r="AL105" s="216" t="n">
        <f aca="false">IF(EB.Anwendung&lt;&gt;"",IF(MONTH(Monat.Tag1)=1,0,IF(MONTH(Monat.Tag1)=2,January!Monat.P9UeVM,IF(MONTH(Monat.Tag1)=3,February!Monat.P9UeVM,IF(MONTH(Monat.Tag1)=4,March!Monat.P9UeVM,IF(MONTH(Monat.Tag1)=5,April!Monat.P9UeVM,IF(MONTH(Monat.Tag1)=6,Monat.P9UeVM,IF(MONTH(Monat.Tag1)=7,June!Monat.P9UeVM,IF(MONTH(Monat.Tag1)=8,July!Monat.P9UeVM,IF(MONTH(Monat.Tag1)=9,August!Monat.P9UeVM,IF(MONTH(Monat.Tag1)=10,September!Monat.P9UeVM,IF(MONTH(Monat.Tag1)=11,October!Monat.P9UeVM,IF(MONTH(Monat.Tag1)=12,November!Monat.P9UeVM,"")))))))))))),"")</f>
        <v>0</v>
      </c>
      <c r="AM105" s="172"/>
      <c r="AN105" s="217" t="n">
        <f aca="false">AI105+AL105</f>
        <v>0</v>
      </c>
      <c r="AO105" s="171"/>
      <c r="AP105" s="171"/>
      <c r="AQ105" s="39"/>
    </row>
    <row r="106" s="148" customFormat="true" ht="15" hidden="true" customHeight="true" outlineLevel="1" collapsed="false">
      <c r="A106" s="181" t="str">
        <f aca="true">IF(ROW(A106)-ROW(INDEX(Monat.Projekte.Zeilen,1))+1&gt;EB.AnzProjekte,"",OFFSET(EB.Projekte.Knoten,ROW(A106)-ROW(INDEX(Monat.Projekte.Zeilen,1))+1,0,1,1))</f>
        <v/>
      </c>
      <c r="B106" s="176"/>
      <c r="C106" s="176"/>
      <c r="D106" s="176"/>
      <c r="E106" s="177"/>
      <c r="F106" s="176"/>
      <c r="G106" s="176"/>
      <c r="H106" s="176"/>
      <c r="I106" s="176"/>
      <c r="J106" s="177"/>
      <c r="K106" s="176"/>
      <c r="L106" s="177"/>
      <c r="M106" s="176"/>
      <c r="N106" s="176"/>
      <c r="O106" s="176"/>
      <c r="P106" s="176"/>
      <c r="Q106" s="177"/>
      <c r="R106" s="176"/>
      <c r="S106" s="177"/>
      <c r="T106" s="177"/>
      <c r="U106" s="176"/>
      <c r="V106" s="176"/>
      <c r="W106" s="176"/>
      <c r="X106" s="177"/>
      <c r="Y106" s="176"/>
      <c r="Z106" s="178"/>
      <c r="AA106" s="176"/>
      <c r="AB106" s="176"/>
      <c r="AC106" s="176"/>
      <c r="AD106" s="176"/>
      <c r="AE106" s="177"/>
      <c r="AF106" s="176"/>
      <c r="AG106" s="168" t="str">
        <f aca="false">A106</f>
        <v/>
      </c>
      <c r="AH106" s="184"/>
      <c r="AI106" s="207" t="n">
        <f aca="false">SUM(B106:AF106)</f>
        <v>0</v>
      </c>
      <c r="AJ106" s="33"/>
      <c r="AK106" s="192"/>
      <c r="AL106" s="216" t="n">
        <f aca="false">IF(EB.Anwendung&lt;&gt;"",IF(MONTH(Monat.Tag1)=1,0,IF(MONTH(Monat.Tag1)=2,January!Monat.P10UeVM,IF(MONTH(Monat.Tag1)=3,February!Monat.P10UeVM,IF(MONTH(Monat.Tag1)=4,March!Monat.P10UeVM,IF(MONTH(Monat.Tag1)=5,April!Monat.P10UeVM,IF(MONTH(Monat.Tag1)=6,Monat.P10UeVM,IF(MONTH(Monat.Tag1)=7,June!Monat.P10UeVM,IF(MONTH(Monat.Tag1)=8,July!Monat.P10UeVM,IF(MONTH(Monat.Tag1)=9,August!Monat.P10UeVM,IF(MONTH(Monat.Tag1)=10,September!Monat.P10UeVM,IF(MONTH(Monat.Tag1)=11,October!Monat.P10UeVM,IF(MONTH(Monat.Tag1)=12,November!Monat.P10UeVM,"")))))))))))),"")</f>
        <v>0</v>
      </c>
      <c r="AM106" s="172"/>
      <c r="AN106" s="217" t="n">
        <f aca="false">AI106+AL106</f>
        <v>0</v>
      </c>
      <c r="AO106" s="171"/>
      <c r="AP106" s="171"/>
      <c r="AQ106" s="39"/>
    </row>
    <row r="107" s="148" customFormat="true" ht="15" hidden="true" customHeight="true" outlineLevel="1" collapsed="false">
      <c r="A107" s="181" t="str">
        <f aca="true">IF(ROW(A107)-ROW(INDEX(Monat.Projekte.Zeilen,1))+1&gt;EB.AnzProjekte,"",OFFSET(EB.Projekte.Knoten,ROW(A107)-ROW(INDEX(Monat.Projekte.Zeilen,1))+1,0,1,1))</f>
        <v/>
      </c>
      <c r="B107" s="176"/>
      <c r="C107" s="176"/>
      <c r="D107" s="176"/>
      <c r="E107" s="177"/>
      <c r="F107" s="176"/>
      <c r="G107" s="176"/>
      <c r="H107" s="176"/>
      <c r="I107" s="176"/>
      <c r="J107" s="177"/>
      <c r="K107" s="176"/>
      <c r="L107" s="177"/>
      <c r="M107" s="176"/>
      <c r="N107" s="176"/>
      <c r="O107" s="176"/>
      <c r="P107" s="176"/>
      <c r="Q107" s="177"/>
      <c r="R107" s="176"/>
      <c r="S107" s="177"/>
      <c r="T107" s="177"/>
      <c r="U107" s="176"/>
      <c r="V107" s="176"/>
      <c r="W107" s="176"/>
      <c r="X107" s="177"/>
      <c r="Y107" s="176"/>
      <c r="Z107" s="178"/>
      <c r="AA107" s="176"/>
      <c r="AB107" s="176"/>
      <c r="AC107" s="176"/>
      <c r="AD107" s="176"/>
      <c r="AE107" s="177"/>
      <c r="AF107" s="176"/>
      <c r="AG107" s="168" t="str">
        <f aca="false">A107</f>
        <v/>
      </c>
      <c r="AH107" s="202"/>
      <c r="AI107" s="207" t="n">
        <f aca="false">SUM(B107:AF107)</f>
        <v>0</v>
      </c>
      <c r="AJ107" s="33"/>
      <c r="AK107" s="192"/>
      <c r="AL107" s="216" t="n">
        <f aca="false">IF(EB.Anwendung&lt;&gt;"",IF(MONTH(Monat.Tag1)=1,0,IF(MONTH(Monat.Tag1)=2,January!Monat.P11UeVM,IF(MONTH(Monat.Tag1)=3,February!Monat.P11UeVM,IF(MONTH(Monat.Tag1)=4,March!Monat.P11UeVM,IF(MONTH(Monat.Tag1)=5,April!Monat.P11UeVM,IF(MONTH(Monat.Tag1)=6,Monat.P11UeVM,IF(MONTH(Monat.Tag1)=7,June!Monat.P11UeVM,IF(MONTH(Monat.Tag1)=8,July!Monat.P11UeVM,IF(MONTH(Monat.Tag1)=9,August!Monat.P11UeVM,IF(MONTH(Monat.Tag1)=10,September!Monat.P11UeVM,IF(MONTH(Monat.Tag1)=11,October!Monat.P11UeVM,IF(MONTH(Monat.Tag1)=12,November!Monat.P11UeVM,"")))))))))))),"")</f>
        <v>0</v>
      </c>
      <c r="AM107" s="172"/>
      <c r="AN107" s="217" t="n">
        <f aca="false">AI107+AL107</f>
        <v>0</v>
      </c>
      <c r="AO107" s="264"/>
      <c r="AP107" s="264"/>
      <c r="AQ107" s="39"/>
    </row>
    <row r="108" s="266" customFormat="true" ht="15" hidden="true" customHeight="true" outlineLevel="1" collapsed="false">
      <c r="A108" s="181" t="str">
        <f aca="true">IF(ROW(A108)-ROW(INDEX(Monat.Projekte.Zeilen,1))+1&gt;EB.AnzProjekte,"",OFFSET(EB.Projekte.Knoten,ROW(A108)-ROW(INDEX(Monat.Projekte.Zeilen,1))+1,0,1,1))</f>
        <v/>
      </c>
      <c r="B108" s="176"/>
      <c r="C108" s="176"/>
      <c r="D108" s="176"/>
      <c r="E108" s="177"/>
      <c r="F108" s="176"/>
      <c r="G108" s="176"/>
      <c r="H108" s="176"/>
      <c r="I108" s="176"/>
      <c r="J108" s="177"/>
      <c r="K108" s="176"/>
      <c r="L108" s="177"/>
      <c r="M108" s="176"/>
      <c r="N108" s="176"/>
      <c r="O108" s="176"/>
      <c r="P108" s="176"/>
      <c r="Q108" s="177"/>
      <c r="R108" s="176"/>
      <c r="S108" s="177"/>
      <c r="T108" s="177"/>
      <c r="U108" s="176"/>
      <c r="V108" s="176"/>
      <c r="W108" s="176"/>
      <c r="X108" s="177"/>
      <c r="Y108" s="176"/>
      <c r="Z108" s="178"/>
      <c r="AA108" s="176"/>
      <c r="AB108" s="176"/>
      <c r="AC108" s="176"/>
      <c r="AD108" s="176"/>
      <c r="AE108" s="177"/>
      <c r="AF108" s="176"/>
      <c r="AG108" s="168" t="str">
        <f aca="false">A108</f>
        <v/>
      </c>
      <c r="AH108" s="202"/>
      <c r="AI108" s="207" t="n">
        <f aca="false">SUM(B108:AF108)</f>
        <v>0</v>
      </c>
      <c r="AJ108" s="33"/>
      <c r="AK108" s="192"/>
      <c r="AL108" s="216" t="n">
        <f aca="false">IF(EB.Anwendung&lt;&gt;"",IF(MONTH(Monat.Tag1)=1,0,IF(MONTH(Monat.Tag1)=2,January!Monat.P12UeVM,IF(MONTH(Monat.Tag1)=3,February!Monat.P12UeVM,IF(MONTH(Monat.Tag1)=4,March!Monat.P12UeVM,IF(MONTH(Monat.Tag1)=5,April!Monat.P12UeVM,IF(MONTH(Monat.Tag1)=6,Monat.P12UeVM,IF(MONTH(Monat.Tag1)=7,June!Monat.P12UeVM,IF(MONTH(Monat.Tag1)=8,July!Monat.P12UeVM,IF(MONTH(Monat.Tag1)=9,August!Monat.P12UeVM,IF(MONTH(Monat.Tag1)=10,September!Monat.P12UeVM,IF(MONTH(Monat.Tag1)=11,October!Monat.P12UeVM,IF(MONTH(Monat.Tag1)=12,November!Monat.P12UeVM,"")))))))))))),"")</f>
        <v>0</v>
      </c>
      <c r="AM108" s="172"/>
      <c r="AN108" s="217" t="n">
        <f aca="false">AI108+AL108</f>
        <v>0</v>
      </c>
      <c r="AO108" s="264"/>
      <c r="AP108" s="264"/>
      <c r="AQ108" s="265"/>
    </row>
    <row r="109" s="266" customFormat="true" ht="15" hidden="true" customHeight="true" outlineLevel="1" collapsed="false">
      <c r="A109" s="181" t="str">
        <f aca="true">IF(ROW(A109)-ROW(INDEX(Monat.Projekte.Zeilen,1))+1&gt;EB.AnzProjekte,"",OFFSET(EB.Projekte.Knoten,ROW(A109)-ROW(INDEX(Monat.Projekte.Zeilen,1))+1,0,1,1))</f>
        <v/>
      </c>
      <c r="B109" s="176"/>
      <c r="C109" s="176"/>
      <c r="D109" s="176"/>
      <c r="E109" s="177"/>
      <c r="F109" s="176"/>
      <c r="G109" s="176"/>
      <c r="H109" s="176"/>
      <c r="I109" s="176"/>
      <c r="J109" s="177"/>
      <c r="K109" s="176"/>
      <c r="L109" s="177"/>
      <c r="M109" s="176"/>
      <c r="N109" s="176"/>
      <c r="O109" s="176"/>
      <c r="P109" s="176"/>
      <c r="Q109" s="177"/>
      <c r="R109" s="176"/>
      <c r="S109" s="177"/>
      <c r="T109" s="177"/>
      <c r="U109" s="176"/>
      <c r="V109" s="176"/>
      <c r="W109" s="176"/>
      <c r="X109" s="177"/>
      <c r="Y109" s="176"/>
      <c r="Z109" s="178"/>
      <c r="AA109" s="176"/>
      <c r="AB109" s="176"/>
      <c r="AC109" s="176"/>
      <c r="AD109" s="176"/>
      <c r="AE109" s="177"/>
      <c r="AF109" s="176"/>
      <c r="AG109" s="168" t="str">
        <f aca="false">A109</f>
        <v/>
      </c>
      <c r="AH109" s="184"/>
      <c r="AI109" s="207" t="n">
        <f aca="false">SUM(B109:AF109)</f>
        <v>0</v>
      </c>
      <c r="AJ109" s="33"/>
      <c r="AK109" s="192"/>
      <c r="AL109" s="216" t="n">
        <f aca="false">IF(EB.Anwendung&lt;&gt;"",IF(MONTH(Monat.Tag1)=1,0,IF(MONTH(Monat.Tag1)=2,January!Monat.P13UeVM,IF(MONTH(Monat.Tag1)=3,February!Monat.P13UeVM,IF(MONTH(Monat.Tag1)=4,March!Monat.P13UeVM,IF(MONTH(Monat.Tag1)=5,April!Monat.P13UeVM,IF(MONTH(Monat.Tag1)=6,Monat.P13UeVM,IF(MONTH(Monat.Tag1)=7,June!Monat.P13UeVM,IF(MONTH(Monat.Tag1)=8,July!Monat.P13UeVM,IF(MONTH(Monat.Tag1)=9,August!Monat.P13UeVM,IF(MONTH(Monat.Tag1)=10,September!Monat.P13UeVM,IF(MONTH(Monat.Tag1)=11,October!Monat.P13UeVM,IF(MONTH(Monat.Tag1)=12,November!Monat.P13UeVM,"")))))))))))),"")</f>
        <v>0</v>
      </c>
      <c r="AM109" s="172"/>
      <c r="AN109" s="217" t="n">
        <f aca="false">AI109+AL109</f>
        <v>0</v>
      </c>
      <c r="AO109" s="264"/>
      <c r="AP109" s="264"/>
      <c r="AQ109" s="265"/>
    </row>
    <row r="110" customFormat="false" ht="15" hidden="true" customHeight="true" outlineLevel="1" collapsed="false">
      <c r="A110" s="181" t="str">
        <f aca="true">IF(ROW(A110)-ROW(INDEX(Monat.Projekte.Zeilen,1))+1&gt;EB.AnzProjekte,"",OFFSET(EB.Projekte.Knoten,ROW(A110)-ROW(INDEX(Monat.Projekte.Zeilen,1))+1,0,1,1))</f>
        <v/>
      </c>
      <c r="B110" s="176"/>
      <c r="C110" s="176"/>
      <c r="D110" s="176"/>
      <c r="E110" s="177"/>
      <c r="F110" s="176"/>
      <c r="G110" s="176"/>
      <c r="H110" s="176"/>
      <c r="I110" s="176"/>
      <c r="J110" s="177"/>
      <c r="K110" s="176"/>
      <c r="L110" s="177"/>
      <c r="M110" s="176"/>
      <c r="N110" s="176"/>
      <c r="O110" s="176"/>
      <c r="P110" s="176"/>
      <c r="Q110" s="177"/>
      <c r="R110" s="176"/>
      <c r="S110" s="177"/>
      <c r="T110" s="177"/>
      <c r="U110" s="176"/>
      <c r="V110" s="176"/>
      <c r="W110" s="176"/>
      <c r="X110" s="177"/>
      <c r="Y110" s="176"/>
      <c r="Z110" s="178"/>
      <c r="AA110" s="176"/>
      <c r="AB110" s="176"/>
      <c r="AC110" s="176"/>
      <c r="AD110" s="176"/>
      <c r="AE110" s="177"/>
      <c r="AF110" s="176"/>
      <c r="AG110" s="168" t="str">
        <f aca="false">A110</f>
        <v/>
      </c>
      <c r="AH110" s="184"/>
      <c r="AI110" s="207" t="n">
        <f aca="false">SUM(B110:AF110)</f>
        <v>0</v>
      </c>
      <c r="AJ110" s="33"/>
      <c r="AK110" s="192"/>
      <c r="AL110" s="216" t="n">
        <f aca="false">IF(EB.Anwendung&lt;&gt;"",IF(MONTH(Monat.Tag1)=1,0,IF(MONTH(Monat.Tag1)=2,January!Monat.P14UeVM,IF(MONTH(Monat.Tag1)=3,February!Monat.P14UeVM,IF(MONTH(Monat.Tag1)=4,March!Monat.P14UeVM,IF(MONTH(Monat.Tag1)=5,April!Monat.P14UeVM,IF(MONTH(Monat.Tag1)=6,Monat.P14UeVM,IF(MONTH(Monat.Tag1)=7,June!Monat.P14UeVM,IF(MONTH(Monat.Tag1)=8,July!Monat.P14UeVM,IF(MONTH(Monat.Tag1)=9,August!Monat.P14UeVM,IF(MONTH(Monat.Tag1)=10,September!Monat.P14UeVM,IF(MONTH(Monat.Tag1)=11,October!Monat.P14UeVM,IF(MONTH(Monat.Tag1)=12,November!Monat.P14UeVM,"")))))))))))),"")</f>
        <v>0</v>
      </c>
      <c r="AM110" s="172"/>
      <c r="AN110" s="217" t="n">
        <f aca="false">AI110+AL110</f>
        <v>0</v>
      </c>
      <c r="AO110" s="264"/>
      <c r="AP110" s="264"/>
      <c r="AQ110" s="43"/>
    </row>
    <row r="111" customFormat="false" ht="15" hidden="true" customHeight="true" outlineLevel="1" collapsed="false">
      <c r="A111" s="181" t="str">
        <f aca="true">IF(ROW(A111)-ROW(INDEX(Monat.Projekte.Zeilen,1))+1&gt;EB.AnzProjekte,"",OFFSET(EB.Projekte.Knoten,ROW(A111)-ROW(INDEX(Monat.Projekte.Zeilen,1))+1,0,1,1))</f>
        <v/>
      </c>
      <c r="B111" s="176"/>
      <c r="C111" s="176"/>
      <c r="D111" s="176"/>
      <c r="E111" s="176"/>
      <c r="F111" s="176"/>
      <c r="G111" s="176"/>
      <c r="H111" s="176"/>
      <c r="I111" s="176"/>
      <c r="J111" s="176"/>
      <c r="K111" s="176"/>
      <c r="L111" s="176"/>
      <c r="M111" s="176"/>
      <c r="N111" s="176"/>
      <c r="O111" s="176"/>
      <c r="P111" s="176"/>
      <c r="Q111" s="176"/>
      <c r="R111" s="176"/>
      <c r="S111" s="176"/>
      <c r="T111" s="176"/>
      <c r="U111" s="176"/>
      <c r="V111" s="176"/>
      <c r="W111" s="176"/>
      <c r="X111" s="176"/>
      <c r="Y111" s="176"/>
      <c r="Z111" s="190"/>
      <c r="AA111" s="176"/>
      <c r="AB111" s="176"/>
      <c r="AC111" s="176"/>
      <c r="AD111" s="176"/>
      <c r="AE111" s="176"/>
      <c r="AF111" s="176"/>
      <c r="AG111" s="168" t="str">
        <f aca="false">A111</f>
        <v/>
      </c>
      <c r="AH111" s="184"/>
      <c r="AI111" s="207" t="n">
        <f aca="false">SUM(B111:AF111)</f>
        <v>0</v>
      </c>
      <c r="AJ111" s="33"/>
      <c r="AK111" s="192"/>
      <c r="AL111" s="216" t="n">
        <f aca="false">IF(EB.Anwendung&lt;&gt;"",IF(MONTH(Monat.Tag1)=1,0,IF(MONTH(Monat.Tag1)=2,January!Monat.P15UeVM,IF(MONTH(Monat.Tag1)=3,February!Monat.P15UeVM,IF(MONTH(Monat.Tag1)=4,March!Monat.P15UeVM,IF(MONTH(Monat.Tag1)=5,April!Monat.P15UeVM,IF(MONTH(Monat.Tag1)=6,Monat.P15UeVM,IF(MONTH(Monat.Tag1)=7,June!Monat.P15UeVM,IF(MONTH(Monat.Tag1)=8,July!Monat.P15UeVM,IF(MONTH(Monat.Tag1)=9,August!Monat.P15UeVM,IF(MONTH(Monat.Tag1)=10,September!Monat.P15UeVM,IF(MONTH(Monat.Tag1)=11,October!Monat.P15UeVM,IF(MONTH(Monat.Tag1)=12,November!Monat.P15UeVM,"")))))))))))),"")</f>
        <v>0</v>
      </c>
      <c r="AM111" s="172"/>
      <c r="AN111" s="217" t="n">
        <f aca="false">AI111+AL111</f>
        <v>0</v>
      </c>
      <c r="AO111" s="264"/>
      <c r="AP111" s="264"/>
      <c r="AQ111" s="43"/>
    </row>
    <row r="112" customFormat="false" ht="15" hidden="false" customHeight="true" outlineLevel="0" collapsed="false">
      <c r="A112" s="181" t="s">
        <v>177</v>
      </c>
      <c r="B112" s="205" t="n">
        <f aca="false">SUM(B97:B111)</f>
        <v>0</v>
      </c>
      <c r="C112" s="205" t="n">
        <f aca="false">SUM(C97:C111)</f>
        <v>0</v>
      </c>
      <c r="D112" s="205" t="n">
        <f aca="false">SUM(D97:D111)</f>
        <v>0</v>
      </c>
      <c r="E112" s="205" t="n">
        <f aca="false">SUM(E97:E111)</f>
        <v>0</v>
      </c>
      <c r="F112" s="205" t="n">
        <f aca="false">SUM(F97:F111)</f>
        <v>0</v>
      </c>
      <c r="G112" s="205" t="n">
        <f aca="false">SUM(G97:G111)</f>
        <v>0</v>
      </c>
      <c r="H112" s="205" t="n">
        <f aca="false">SUM(H97:H111)</f>
        <v>0</v>
      </c>
      <c r="I112" s="205" t="n">
        <f aca="false">SUM(I97:I111)</f>
        <v>0</v>
      </c>
      <c r="J112" s="205" t="n">
        <f aca="false">SUM(J97:J111)</f>
        <v>0</v>
      </c>
      <c r="K112" s="205" t="n">
        <f aca="false">SUM(K97:K111)</f>
        <v>0</v>
      </c>
      <c r="L112" s="205" t="n">
        <f aca="false">SUM(L97:L111)</f>
        <v>0</v>
      </c>
      <c r="M112" s="205" t="n">
        <f aca="false">SUM(M97:M111)</f>
        <v>0</v>
      </c>
      <c r="N112" s="205" t="n">
        <f aca="false">SUM(N97:N111)</f>
        <v>0</v>
      </c>
      <c r="O112" s="205" t="n">
        <f aca="false">SUM(O97:O111)</f>
        <v>0</v>
      </c>
      <c r="P112" s="205" t="n">
        <f aca="false">SUM(P97:P111)</f>
        <v>0</v>
      </c>
      <c r="Q112" s="205" t="n">
        <f aca="false">SUM(Q97:Q111)</f>
        <v>0</v>
      </c>
      <c r="R112" s="205" t="n">
        <f aca="false">SUM(R97:R111)</f>
        <v>0</v>
      </c>
      <c r="S112" s="205" t="n">
        <f aca="false">SUM(S97:S111)</f>
        <v>0</v>
      </c>
      <c r="T112" s="205" t="n">
        <f aca="false">SUM(T97:T111)</f>
        <v>0</v>
      </c>
      <c r="U112" s="205" t="n">
        <f aca="false">SUM(U97:U111)</f>
        <v>0</v>
      </c>
      <c r="V112" s="205" t="n">
        <f aca="false">SUM(V97:V111)</f>
        <v>0</v>
      </c>
      <c r="W112" s="205" t="n">
        <f aca="false">SUM(W97:W111)</f>
        <v>0</v>
      </c>
      <c r="X112" s="205" t="n">
        <f aca="false">SUM(X97:X111)</f>
        <v>0</v>
      </c>
      <c r="Y112" s="205" t="n">
        <f aca="false">SUM(Y97:Y111)</f>
        <v>0</v>
      </c>
      <c r="Z112" s="205" t="n">
        <f aca="false">SUM(Z97:Z111)</f>
        <v>0</v>
      </c>
      <c r="AA112" s="205" t="n">
        <f aca="false">SUM(AA97:AA111)</f>
        <v>0</v>
      </c>
      <c r="AB112" s="205" t="n">
        <f aca="false">SUM(AB97:AB111)</f>
        <v>0</v>
      </c>
      <c r="AC112" s="205" t="n">
        <f aca="false">SUM(AC97:AC111)</f>
        <v>0</v>
      </c>
      <c r="AD112" s="205" t="n">
        <f aca="false">SUM(AD97:AD111)</f>
        <v>0</v>
      </c>
      <c r="AE112" s="205" t="n">
        <f aca="false">SUM(AE97:AE111)</f>
        <v>0</v>
      </c>
      <c r="AF112" s="205" t="n">
        <f aca="false">SUM(AF97:AF111)</f>
        <v>0</v>
      </c>
      <c r="AG112" s="183" t="str">
        <f aca="false">A112</f>
        <v>Hours worked for projects</v>
      </c>
      <c r="AH112" s="184"/>
      <c r="AI112" s="207" t="n">
        <f aca="false">SUM(B112:AF112)</f>
        <v>0</v>
      </c>
      <c r="AJ112" s="33"/>
      <c r="AK112" s="192"/>
      <c r="AL112" s="216" t="n">
        <f aca="false">IF(EB.Anwendung&lt;&gt;"",IF(MONTH(Monat.Tag1)=1,0,IF(MONTH(Monat.Tag1)=2,January!Monat.PTotalUeVM,IF(MONTH(Monat.Tag1)=3,February!Monat.PTotalUeVM,IF(MONTH(Monat.Tag1)=4,March!Monat.PTotalUeVM,IF(MONTH(Monat.Tag1)=5,April!Monat.PTotalUeVM,IF(MONTH(Monat.Tag1)=6,Monat.PTotalUeVM,IF(MONTH(Monat.Tag1)=7,June!Monat.PTotalUeVM,IF(MONTH(Monat.Tag1)=8,July!Monat.PTotalUeVM,IF(MONTH(Monat.Tag1)=9,August!Monat.PTotalUeVM,IF(MONTH(Monat.Tag1)=10,September!Monat.PTotalUeVM,IF(MONTH(Monat.Tag1)=11,October!Monat.PTotalUeVM,IF(MONTH(Monat.Tag1)=12,November!Monat.PTotalUeVM,"")))))))))))),"")</f>
        <v>0</v>
      </c>
      <c r="AM112" s="172"/>
      <c r="AN112" s="217" t="n">
        <f aca="false">AI112+AL112</f>
        <v>0</v>
      </c>
      <c r="AO112" s="267"/>
      <c r="AP112" s="267"/>
      <c r="AQ112" s="43"/>
    </row>
    <row r="113" s="148" customFormat="true" ht="11.25" hidden="false" customHeight="true" outlineLevel="0" collapsed="false">
      <c r="A113" s="268"/>
      <c r="B113" s="194"/>
      <c r="C113" s="194"/>
      <c r="D113" s="194"/>
      <c r="E113" s="194"/>
      <c r="F113" s="194"/>
      <c r="G113" s="194"/>
      <c r="H113" s="194"/>
      <c r="I113" s="194"/>
      <c r="J113" s="194"/>
      <c r="K113" s="194"/>
      <c r="L113" s="194"/>
      <c r="M113" s="194"/>
      <c r="N113" s="194"/>
      <c r="O113" s="194"/>
      <c r="P113" s="194"/>
      <c r="Q113" s="194"/>
      <c r="R113" s="194"/>
      <c r="S113" s="194"/>
      <c r="T113" s="194"/>
      <c r="U113" s="194"/>
      <c r="V113" s="194"/>
      <c r="W113" s="194"/>
      <c r="X113" s="194"/>
      <c r="Y113" s="194"/>
      <c r="Z113" s="194"/>
      <c r="AA113" s="194"/>
      <c r="AB113" s="194"/>
      <c r="AC113" s="194"/>
      <c r="AD113" s="194"/>
      <c r="AE113" s="194"/>
      <c r="AF113" s="194"/>
      <c r="AG113" s="269"/>
      <c r="AH113" s="263"/>
      <c r="AI113" s="194"/>
      <c r="AJ113" s="16"/>
      <c r="AK113" s="194"/>
      <c r="AL113" s="194"/>
      <c r="AM113" s="194"/>
      <c r="AN113" s="50"/>
      <c r="AO113" s="194"/>
      <c r="AP113" s="194"/>
      <c r="AQ113" s="39"/>
    </row>
    <row r="114" s="148" customFormat="true" ht="15" hidden="true" customHeight="true" outlineLevel="1" collapsed="false">
      <c r="A114" s="181" t="s">
        <v>178</v>
      </c>
      <c r="B114" s="213" t="n">
        <f aca="false">ROUND((B23+B45+B91)-SUMPRODUCT((B97:B111)*(EB.Projektart.Bereich=6)),9)</f>
        <v>0</v>
      </c>
      <c r="C114" s="213" t="n">
        <f aca="false">ROUND((C23+C45+C91)-SUMPRODUCT((C97:C111)*(EB.Projektart.Bereich=6)),9)</f>
        <v>0.354166667</v>
      </c>
      <c r="D114" s="213" t="n">
        <f aca="false">ROUND((D23+D45+D91)-SUMPRODUCT((D97:D111)*(EB.Projektart.Bereich=6)),9)</f>
        <v>0.395833333</v>
      </c>
      <c r="E114" s="213" t="n">
        <f aca="false">ROUND((E23+E45+E91)-SUMPRODUCT((E97:E111)*(EB.Projektart.Bereich=6)),9)</f>
        <v>0.444444444</v>
      </c>
      <c r="F114" s="213" t="n">
        <f aca="false">ROUND((F23+F45+F91)-SUMPRODUCT((F97:F111)*(EB.Projektart.Bereich=6)),9)</f>
        <v>0</v>
      </c>
      <c r="G114" s="213" t="n">
        <f aca="false">ROUND((G23+G45+G91)-SUMPRODUCT((G97:G111)*(EB.Projektart.Bereich=6)),9)</f>
        <v>0</v>
      </c>
      <c r="H114" s="213" t="n">
        <f aca="false">ROUND((H23+H45+H91)-SUMPRODUCT((H97:H111)*(EB.Projektart.Bereich=6)),9)</f>
        <v>0.402777778</v>
      </c>
      <c r="I114" s="213" t="n">
        <f aca="false">ROUND((I23+I45+I91)-SUMPRODUCT((I97:I111)*(EB.Projektart.Bereich=6)),9)</f>
        <v>0.423611111</v>
      </c>
      <c r="J114" s="213" t="n">
        <f aca="false">ROUND((J23+J45+J91)-SUMPRODUCT((J97:J111)*(EB.Projektart.Bereich=6)),9)</f>
        <v>0.291666667</v>
      </c>
      <c r="K114" s="213" t="n">
        <f aca="false">ROUND((K23+K45+K91)-SUMPRODUCT((K97:K111)*(EB.Projektart.Bereich=6)),9)</f>
        <v>0</v>
      </c>
      <c r="L114" s="213" t="n">
        <f aca="false">ROUND((L23+L45+L91)-SUMPRODUCT((L97:L111)*(EB.Projektart.Bereich=6)),9)</f>
        <v>0</v>
      </c>
      <c r="M114" s="213" t="n">
        <f aca="false">ROUND((M23+M45+M91)-SUMPRODUCT((M97:M111)*(EB.Projektart.Bereich=6)),9)</f>
        <v>0</v>
      </c>
      <c r="N114" s="213" t="n">
        <f aca="false">ROUND((N23+N45+N91)-SUMPRODUCT((N97:N111)*(EB.Projektart.Bereich=6)),9)</f>
        <v>0</v>
      </c>
      <c r="O114" s="213" t="n">
        <f aca="false">ROUND((O23+O45+O91)-SUMPRODUCT((O97:O111)*(EB.Projektart.Bereich=6)),9)</f>
        <v>0.375</v>
      </c>
      <c r="P114" s="213" t="n">
        <f aca="false">ROUND((P23+P45+P91)-SUMPRODUCT((P97:P111)*(EB.Projektart.Bereich=6)),9)</f>
        <v>0.430555556</v>
      </c>
      <c r="Q114" s="213" t="n">
        <f aca="false">ROUND((Q23+Q45+Q91)-SUMPRODUCT((Q97:Q111)*(EB.Projektart.Bereich=6)),9)</f>
        <v>0.444444444</v>
      </c>
      <c r="R114" s="213" t="n">
        <f aca="false">ROUND((R23+R45+R91)-SUMPRODUCT((R97:R111)*(EB.Projektart.Bereich=6)),9)</f>
        <v>0.375</v>
      </c>
      <c r="S114" s="213" t="n">
        <f aca="false">ROUND((S23+S45+S91)-SUMPRODUCT((S97:S111)*(EB.Projektart.Bereich=6)),9)</f>
        <v>0.416666667</v>
      </c>
      <c r="T114" s="213" t="n">
        <f aca="false">ROUND((T23+T45+T91)-SUMPRODUCT((T97:T111)*(EB.Projektart.Bereich=6)),9)</f>
        <v>0</v>
      </c>
      <c r="U114" s="213" t="n">
        <f aca="false">ROUND((U23+U45+U91)-SUMPRODUCT((U97:U111)*(EB.Projektart.Bereich=6)),9)</f>
        <v>0</v>
      </c>
      <c r="V114" s="213" t="n">
        <f aca="false">ROUND((V23+V45+V91)-SUMPRODUCT((V97:V111)*(EB.Projektart.Bereich=6)),9)</f>
        <v>-0.298611111</v>
      </c>
      <c r="W114" s="213" t="n">
        <f aca="false">ROUND((W23+W45+W91)-SUMPRODUCT((W97:W111)*(EB.Projektart.Bereich=6)),9)</f>
        <v>-0.298611111</v>
      </c>
      <c r="X114" s="213" t="n">
        <f aca="false">ROUND((X23+X45+X91)-SUMPRODUCT((X97:X111)*(EB.Projektart.Bereich=6)),9)</f>
        <v>0</v>
      </c>
      <c r="Y114" s="213" t="n">
        <f aca="false">ROUND((Y23+Y45+Y91)-SUMPRODUCT((Y97:Y111)*(EB.Projektart.Bereich=6)),9)</f>
        <v>0</v>
      </c>
      <c r="Z114" s="213" t="n">
        <f aca="false">ROUND((Z23+Z45+Z91)-SUMPRODUCT((Z97:Z111)*(EB.Projektart.Bereich=6)),9)</f>
        <v>0</v>
      </c>
      <c r="AA114" s="213" t="n">
        <f aca="false">ROUND((AA23+AA45+AA91)-SUMPRODUCT((AA97:AA111)*(EB.Projektart.Bereich=6)),9)</f>
        <v>0</v>
      </c>
      <c r="AB114" s="213" t="n">
        <f aca="false">ROUND((AB23+AB45+AB91)-SUMPRODUCT((AB97:AB111)*(EB.Projektart.Bereich=6)),9)</f>
        <v>0</v>
      </c>
      <c r="AC114" s="213" t="n">
        <f aca="false">ROUND((AC23+AC45+AC91)-SUMPRODUCT((AC97:AC111)*(EB.Projektart.Bereich=6)),9)</f>
        <v>0</v>
      </c>
      <c r="AD114" s="213" t="n">
        <f aca="false">ROUND((AD23+AD45+AD91)-SUMPRODUCT((AD97:AD111)*(EB.Projektart.Bereich=6)),9)</f>
        <v>0</v>
      </c>
      <c r="AE114" s="213" t="n">
        <f aca="false">ROUND((AE23+AE45+AE91)-SUMPRODUCT((AE97:AE111)*(EB.Projektart.Bereich=6)),9)</f>
        <v>0</v>
      </c>
      <c r="AF114" s="213" t="n">
        <f aca="false">ROUND((AF23+AF45+AF91)-SUMPRODUCT((AF97:AF111)*(EB.Projektart.Bereich=6)),9)</f>
        <v>0</v>
      </c>
      <c r="AG114" s="183" t="str">
        <f aca="false">A114</f>
        <v>Difference WH-Project type 6</v>
      </c>
      <c r="AH114" s="197"/>
      <c r="AI114" s="207" t="n">
        <f aca="false">SUM(B114:AF114)</f>
        <v>3.756944445</v>
      </c>
      <c r="AJ114" s="33"/>
      <c r="AK114" s="235"/>
      <c r="AL114" s="216" t="n">
        <f aca="false">IF(EB.Anwendung&lt;&gt;"",IF(MONTH(Monat.Tag1)=1,0,IF(MONTH(Monat.Tag1)=2,January!Monat.PDiffUeVM,IF(MONTH(Monat.Tag1)=3,February!Monat.PDiffUeVM,IF(MONTH(Monat.Tag1)=4,March!Monat.PDiffUeVM,IF(MONTH(Monat.Tag1)=5,April!Monat.PDiffUeVM,IF(MONTH(Monat.Tag1)=6,Monat.PDiffUeVM,IF(MONTH(Monat.Tag1)=7,June!Monat.PDiffUeVM,IF(MONTH(Monat.Tag1)=8,July!Monat.PDiffUeVM,IF(MONTH(Monat.Tag1)=9,August!Monat.PDiffUeVM,IF(MONTH(Monat.Tag1)=10,September!Monat.PDiffUeVM,IF(MONTH(Monat.Tag1)=11,October!Monat.PDiffUeVM,IF(MONTH(Monat.Tag1)=12,November!Monat.PDiffUeVM,"")))))))))))),"")</f>
        <v>6.75</v>
      </c>
      <c r="AM114" s="235"/>
      <c r="AN114" s="217" t="n">
        <f aca="false">AI114+AL114</f>
        <v>10.506944445</v>
      </c>
      <c r="AO114" s="235"/>
      <c r="AP114" s="235"/>
      <c r="AQ114" s="39"/>
    </row>
    <row r="115" customFormat="false" ht="11.25" hidden="true" customHeight="true" outlineLevel="1" collapsed="false">
      <c r="A115" s="43"/>
      <c r="B115" s="270"/>
      <c r="C115" s="270"/>
      <c r="D115" s="270"/>
      <c r="E115" s="270"/>
      <c r="F115" s="270"/>
      <c r="G115" s="270"/>
      <c r="H115" s="270"/>
      <c r="I115" s="270"/>
      <c r="J115" s="271"/>
      <c r="K115" s="270"/>
      <c r="L115" s="270"/>
      <c r="M115" s="270"/>
      <c r="N115" s="270"/>
      <c r="O115" s="270"/>
      <c r="P115" s="270"/>
      <c r="Q115" s="270"/>
      <c r="R115" s="270"/>
      <c r="S115" s="270"/>
      <c r="T115" s="270"/>
      <c r="U115" s="270"/>
      <c r="V115" s="270"/>
      <c r="W115" s="270"/>
      <c r="X115" s="270"/>
      <c r="Y115" s="270"/>
      <c r="Z115" s="270"/>
      <c r="AA115" s="270"/>
      <c r="AB115" s="270"/>
      <c r="AC115" s="270"/>
      <c r="AD115" s="270"/>
      <c r="AE115" s="270"/>
      <c r="AF115" s="270"/>
      <c r="AG115" s="272"/>
      <c r="AH115" s="273"/>
      <c r="AI115" s="43"/>
      <c r="AJ115" s="43"/>
      <c r="AK115" s="43"/>
      <c r="AL115" s="43"/>
      <c r="AM115" s="43"/>
      <c r="AN115" s="274"/>
      <c r="AO115" s="43"/>
      <c r="AP115" s="43"/>
      <c r="AQ115" s="43"/>
    </row>
    <row r="116" customFormat="false" ht="11.25" hidden="false" customHeight="true" outlineLevel="0" collapsed="false">
      <c r="A116" s="43"/>
      <c r="B116" s="270"/>
      <c r="C116" s="270"/>
      <c r="D116" s="270"/>
      <c r="E116" s="270"/>
      <c r="F116" s="270"/>
      <c r="G116" s="270"/>
      <c r="H116" s="270"/>
      <c r="I116" s="270"/>
      <c r="J116" s="270"/>
      <c r="K116" s="270"/>
      <c r="L116" s="270"/>
      <c r="M116" s="270"/>
      <c r="N116" s="270"/>
      <c r="O116" s="270"/>
      <c r="P116" s="270"/>
      <c r="Q116" s="270"/>
      <c r="R116" s="270"/>
      <c r="S116" s="270"/>
      <c r="T116" s="270"/>
      <c r="U116" s="270"/>
      <c r="V116" s="270"/>
      <c r="W116" s="270"/>
      <c r="X116" s="270"/>
      <c r="Y116" s="270"/>
      <c r="Z116" s="270"/>
      <c r="AA116" s="270"/>
      <c r="AB116" s="270"/>
      <c r="AC116" s="270"/>
      <c r="AD116" s="270"/>
      <c r="AE116" s="270"/>
      <c r="AF116" s="270"/>
      <c r="AG116" s="272"/>
      <c r="AH116" s="273"/>
      <c r="AI116" s="43"/>
      <c r="AJ116" s="43"/>
      <c r="AK116" s="43"/>
      <c r="AL116" s="43"/>
      <c r="AM116" s="43"/>
      <c r="AN116" s="274"/>
      <c r="AO116" s="43"/>
      <c r="AP116" s="43"/>
      <c r="AQ116" s="43"/>
    </row>
    <row r="117" customFormat="false" ht="12" hidden="false" customHeight="true" outlineLevel="0" collapsed="false">
      <c r="A117" s="43"/>
      <c r="B117" s="275" t="s">
        <v>179</v>
      </c>
      <c r="C117" s="275"/>
      <c r="D117" s="275"/>
      <c r="E117" s="275"/>
      <c r="F117" s="275"/>
      <c r="G117" s="275"/>
      <c r="H117" s="275"/>
      <c r="I117" s="275"/>
      <c r="J117" s="275"/>
      <c r="K117" s="275"/>
      <c r="L117" s="275"/>
      <c r="M117" s="275"/>
      <c r="N117" s="275"/>
      <c r="O117" s="275"/>
      <c r="P117" s="275"/>
      <c r="Q117" s="275"/>
      <c r="R117" s="276"/>
      <c r="S117" s="276"/>
      <c r="T117" s="276"/>
      <c r="U117" s="276"/>
      <c r="V117" s="276"/>
      <c r="W117" s="276"/>
      <c r="X117" s="276"/>
      <c r="Y117" s="276"/>
      <c r="Z117" s="276"/>
      <c r="AA117" s="276"/>
      <c r="AB117" s="276"/>
      <c r="AC117" s="276"/>
      <c r="AD117" s="276"/>
      <c r="AE117" s="276"/>
      <c r="AF117" s="276"/>
      <c r="AG117" s="277"/>
      <c r="AH117" s="278"/>
      <c r="AI117" s="276"/>
      <c r="AJ117" s="276"/>
      <c r="AK117" s="276"/>
      <c r="AL117" s="276"/>
      <c r="AM117" s="276"/>
      <c r="AN117" s="279"/>
      <c r="AO117" s="265"/>
      <c r="AP117" s="265"/>
      <c r="AQ117" s="43"/>
    </row>
    <row r="118" customFormat="false" ht="11.25" hidden="false" customHeight="true" outlineLevel="0" collapsed="false">
      <c r="A118" s="280"/>
      <c r="B118" s="280"/>
      <c r="C118" s="280"/>
      <c r="D118" s="280"/>
      <c r="E118" s="280"/>
      <c r="F118" s="280"/>
      <c r="G118" s="280"/>
      <c r="H118" s="280"/>
      <c r="I118" s="280"/>
      <c r="J118" s="280"/>
      <c r="K118" s="280"/>
      <c r="L118" s="280"/>
      <c r="M118" s="276"/>
      <c r="N118" s="276"/>
      <c r="O118" s="276"/>
      <c r="P118" s="276"/>
      <c r="Q118" s="276"/>
      <c r="R118" s="276"/>
      <c r="S118" s="276"/>
      <c r="T118" s="276"/>
      <c r="U118" s="276"/>
      <c r="V118" s="276"/>
      <c r="W118" s="276"/>
      <c r="X118" s="276"/>
      <c r="Y118" s="276"/>
      <c r="Z118" s="276"/>
      <c r="AA118" s="276"/>
      <c r="AB118" s="276"/>
      <c r="AC118" s="276"/>
      <c r="AD118" s="276"/>
      <c r="AE118" s="276"/>
      <c r="AF118" s="276"/>
      <c r="AG118" s="276"/>
      <c r="AH118" s="276"/>
      <c r="AI118" s="276"/>
      <c r="AJ118" s="276"/>
      <c r="AK118" s="276"/>
      <c r="AL118" s="276"/>
      <c r="AM118" s="276"/>
      <c r="AN118" s="276"/>
      <c r="AO118" s="276"/>
      <c r="AP118" s="276"/>
      <c r="AQ118" s="43"/>
    </row>
    <row r="119" customFormat="false" ht="39" hidden="false" customHeight="true" outlineLevel="0" collapsed="false">
      <c r="A119" s="55" t="s">
        <v>180</v>
      </c>
      <c r="B119" s="281"/>
      <c r="C119" s="281"/>
      <c r="D119" s="281"/>
      <c r="E119" s="281"/>
      <c r="F119" s="281"/>
      <c r="G119" s="281"/>
      <c r="H119" s="281"/>
      <c r="I119" s="281"/>
      <c r="J119" s="281"/>
      <c r="K119" s="281"/>
      <c r="L119" s="281"/>
      <c r="M119" s="281"/>
      <c r="N119" s="281"/>
      <c r="O119" s="281"/>
      <c r="P119" s="281"/>
      <c r="Q119" s="281"/>
      <c r="R119" s="276"/>
      <c r="S119" s="276"/>
      <c r="T119" s="276"/>
      <c r="U119" s="276"/>
      <c r="V119" s="276"/>
      <c r="W119" s="276"/>
      <c r="X119" s="276"/>
      <c r="Y119" s="282"/>
      <c r="Z119" s="282"/>
      <c r="AA119" s="282"/>
      <c r="AB119" s="282"/>
      <c r="AC119" s="282"/>
      <c r="AD119" s="282"/>
      <c r="AE119" s="282"/>
      <c r="AF119" s="282"/>
      <c r="AG119" s="283"/>
      <c r="AH119" s="283"/>
      <c r="AI119" s="283"/>
      <c r="AJ119" s="283"/>
      <c r="AK119" s="265"/>
      <c r="AL119" s="265"/>
      <c r="AM119" s="265"/>
      <c r="AN119" s="284"/>
      <c r="AO119" s="265"/>
      <c r="AP119" s="265"/>
      <c r="AQ119" s="43"/>
    </row>
    <row r="120" customFormat="false" ht="12" hidden="false" customHeight="true" outlineLevel="0" collapsed="false">
      <c r="A120" s="285" t="s">
        <v>181</v>
      </c>
      <c r="B120" s="286"/>
      <c r="C120" s="286"/>
      <c r="D120" s="286"/>
      <c r="E120" s="286"/>
      <c r="F120" s="286"/>
      <c r="G120" s="286"/>
      <c r="H120" s="286"/>
      <c r="I120" s="286"/>
      <c r="J120" s="286"/>
      <c r="K120" s="286"/>
      <c r="L120" s="286"/>
      <c r="M120" s="286"/>
      <c r="N120" s="286"/>
      <c r="O120" s="286"/>
      <c r="P120" s="286"/>
      <c r="Q120" s="286"/>
      <c r="R120" s="276"/>
      <c r="S120" s="276"/>
      <c r="T120" s="287" t="s">
        <v>182</v>
      </c>
      <c r="U120" s="287"/>
      <c r="V120" s="287"/>
      <c r="W120" s="287"/>
      <c r="X120" s="287"/>
      <c r="Y120" s="282"/>
      <c r="Z120" s="282"/>
      <c r="AA120" s="282"/>
      <c r="AB120" s="282"/>
      <c r="AC120" s="282"/>
      <c r="AD120" s="282"/>
      <c r="AE120" s="282"/>
      <c r="AF120" s="282"/>
      <c r="AG120" s="283"/>
      <c r="AH120" s="283"/>
      <c r="AI120" s="283"/>
      <c r="AJ120" s="283"/>
      <c r="AK120" s="43"/>
      <c r="AL120" s="43"/>
      <c r="AM120" s="43"/>
      <c r="AN120" s="274"/>
      <c r="AO120" s="43"/>
      <c r="AP120" s="43"/>
      <c r="AQ120" s="43"/>
    </row>
    <row r="121" customFormat="false" ht="11.25" hidden="false" customHeight="true" outlineLevel="0" collapsed="false">
      <c r="A121" s="288"/>
      <c r="B121" s="289"/>
      <c r="C121" s="289"/>
      <c r="D121" s="289"/>
      <c r="E121" s="289"/>
      <c r="F121" s="289"/>
      <c r="G121" s="289"/>
      <c r="H121" s="289"/>
      <c r="I121" s="289"/>
      <c r="J121" s="289"/>
      <c r="K121" s="289"/>
      <c r="L121" s="289"/>
      <c r="M121" s="270"/>
      <c r="N121" s="270"/>
      <c r="O121" s="270"/>
      <c r="P121" s="270"/>
      <c r="Q121" s="270"/>
      <c r="R121" s="270"/>
      <c r="S121" s="276"/>
      <c r="T121" s="270"/>
      <c r="U121" s="270"/>
      <c r="V121" s="270"/>
      <c r="W121" s="270"/>
      <c r="X121" s="270"/>
      <c r="Y121" s="270"/>
      <c r="Z121" s="270"/>
      <c r="AA121" s="270"/>
      <c r="AB121" s="270"/>
      <c r="AC121" s="270"/>
      <c r="AD121" s="270"/>
      <c r="AE121" s="270"/>
      <c r="AF121" s="270"/>
      <c r="AG121" s="272"/>
      <c r="AH121" s="273"/>
      <c r="AI121" s="43"/>
      <c r="AJ121" s="43"/>
      <c r="AK121" s="43"/>
      <c r="AL121" s="43"/>
      <c r="AM121" s="43"/>
      <c r="AN121" s="274"/>
      <c r="AO121" s="43"/>
      <c r="AP121" s="43"/>
      <c r="AQ121" s="43"/>
    </row>
    <row r="122" customFormat="false" ht="12" hidden="false" customHeight="true" outlineLevel="0" collapsed="false">
      <c r="A122" s="43"/>
      <c r="B122" s="290" t="s">
        <v>183</v>
      </c>
      <c r="C122" s="290"/>
      <c r="D122" s="290"/>
      <c r="E122" s="290"/>
      <c r="F122" s="290"/>
      <c r="G122" s="290"/>
      <c r="H122" s="290"/>
      <c r="I122" s="290"/>
      <c r="J122" s="290"/>
      <c r="K122" s="290"/>
      <c r="L122" s="290"/>
      <c r="M122" s="290"/>
      <c r="N122" s="290"/>
      <c r="O122" s="290"/>
      <c r="P122" s="290"/>
      <c r="Q122" s="290"/>
      <c r="R122" s="270"/>
      <c r="S122" s="270"/>
      <c r="T122" s="270"/>
      <c r="U122" s="270"/>
      <c r="V122" s="270"/>
      <c r="W122" s="270"/>
      <c r="X122" s="270"/>
      <c r="Y122" s="270"/>
      <c r="Z122" s="270"/>
      <c r="AA122" s="270"/>
      <c r="AB122" s="270"/>
      <c r="AC122" s="270"/>
      <c r="AD122" s="270"/>
      <c r="AE122" s="270"/>
      <c r="AF122" s="270"/>
      <c r="AG122" s="272"/>
      <c r="AH122" s="273"/>
      <c r="AI122" s="43"/>
      <c r="AJ122" s="43"/>
      <c r="AK122" s="43"/>
      <c r="AL122" s="43"/>
      <c r="AM122" s="43"/>
      <c r="AN122" s="274"/>
      <c r="AO122" s="43"/>
      <c r="AP122" s="43"/>
      <c r="AQ122" s="43"/>
    </row>
    <row r="123" customFormat="false" ht="11.25" hidden="false" customHeight="true" outlineLevel="0" collapsed="false">
      <c r="A123" s="43"/>
      <c r="B123" s="270"/>
      <c r="C123" s="270"/>
      <c r="D123" s="270"/>
      <c r="E123" s="270"/>
      <c r="F123" s="270"/>
      <c r="G123" s="270"/>
      <c r="H123" s="270"/>
      <c r="I123" s="270"/>
      <c r="J123" s="270"/>
      <c r="K123" s="270"/>
      <c r="L123" s="270"/>
      <c r="M123" s="270"/>
      <c r="N123" s="270"/>
      <c r="O123" s="270"/>
      <c r="P123" s="270"/>
      <c r="Q123" s="270"/>
      <c r="R123" s="270"/>
      <c r="S123" s="270"/>
      <c r="T123" s="270"/>
      <c r="U123" s="270"/>
      <c r="V123" s="270"/>
      <c r="W123" s="270"/>
      <c r="X123" s="270"/>
      <c r="Y123" s="270"/>
      <c r="Z123" s="270"/>
      <c r="AA123" s="270"/>
      <c r="AB123" s="270"/>
      <c r="AC123" s="270"/>
      <c r="AD123" s="270"/>
      <c r="AE123" s="270"/>
      <c r="AF123" s="270"/>
      <c r="AG123" s="272"/>
      <c r="AH123" s="273"/>
      <c r="AI123" s="43"/>
      <c r="AJ123" s="43"/>
      <c r="AK123" s="43"/>
      <c r="AL123" s="43"/>
      <c r="AM123" s="43"/>
      <c r="AN123" s="274"/>
      <c r="AO123" s="43"/>
      <c r="AP123" s="43"/>
      <c r="AQ123" s="43"/>
    </row>
    <row r="124" customFormat="false" ht="11.25" hidden="false" customHeight="true" outlineLevel="0" collapsed="false">
      <c r="A124" s="276"/>
      <c r="B124" s="276"/>
      <c r="C124" s="276"/>
      <c r="D124" s="276"/>
      <c r="E124" s="276"/>
      <c r="F124" s="276"/>
      <c r="G124" s="276"/>
      <c r="H124" s="276"/>
      <c r="I124" s="276"/>
      <c r="J124" s="276"/>
      <c r="K124" s="276"/>
      <c r="L124" s="276"/>
      <c r="M124" s="276"/>
      <c r="N124" s="276"/>
      <c r="O124" s="276"/>
      <c r="P124" s="276"/>
      <c r="Q124" s="276"/>
      <c r="R124" s="276"/>
      <c r="S124" s="276"/>
      <c r="T124" s="276"/>
      <c r="U124" s="276"/>
      <c r="V124" s="276"/>
      <c r="W124" s="276"/>
      <c r="X124" s="276"/>
      <c r="Y124" s="276"/>
      <c r="Z124" s="276"/>
      <c r="AA124" s="276"/>
      <c r="AB124" s="276"/>
      <c r="AC124" s="276"/>
      <c r="AD124" s="276"/>
      <c r="AE124" s="276"/>
      <c r="AF124" s="276"/>
      <c r="AG124" s="276"/>
      <c r="AH124" s="276"/>
      <c r="AI124" s="276"/>
      <c r="AJ124" s="276"/>
      <c r="AK124" s="276"/>
      <c r="AL124" s="276"/>
      <c r="AM124" s="276"/>
      <c r="AN124" s="276"/>
      <c r="AO124" s="276"/>
      <c r="AP124" s="276"/>
      <c r="AQ124" s="43"/>
    </row>
  </sheetData>
  <sheetProtection sheet="true" objects="true" scenarios="true"/>
  <mergeCells count="25">
    <mergeCell ref="B1:L1"/>
    <mergeCell ref="AO1:AP1"/>
    <mergeCell ref="B2:E2"/>
    <mergeCell ref="F2:N2"/>
    <mergeCell ref="P2:U2"/>
    <mergeCell ref="B3:E3"/>
    <mergeCell ref="F3:N3"/>
    <mergeCell ref="P3:U3"/>
    <mergeCell ref="B4:E4"/>
    <mergeCell ref="F4:N4"/>
    <mergeCell ref="P4:U4"/>
    <mergeCell ref="B5:E5"/>
    <mergeCell ref="F5:N5"/>
    <mergeCell ref="B6:E6"/>
    <mergeCell ref="F6:N6"/>
    <mergeCell ref="B7:E7"/>
    <mergeCell ref="F7:N7"/>
    <mergeCell ref="AH10:AI10"/>
    <mergeCell ref="AO10:AP10"/>
    <mergeCell ref="B117:Q117"/>
    <mergeCell ref="B119:Q119"/>
    <mergeCell ref="Y119:AF120"/>
    <mergeCell ref="B120:Q120"/>
    <mergeCell ref="T120:X120"/>
    <mergeCell ref="B122:Q122"/>
  </mergeCells>
  <conditionalFormatting sqref="B114:AF114 AI114">
    <cfRule type="expression" priority="2" aboveAverage="0" equalAverage="0" bottom="0" percent="0" rank="0" text="" dxfId="0">
      <formula>ABS(B$114)&gt;=ROUND(1/24/60,9)</formula>
    </cfRule>
  </conditionalFormatting>
  <conditionalFormatting sqref="B13:AF22 B34:AF44 B25:AF30 B60:AF61 B67:AF67 B71:AF72 B84:AF84 B86:AF95 B97:AF111">
    <cfRule type="expression" priority="3" aboveAverage="0" equalAverage="0" bottom="0" percent="0" rank="0" text="" dxfId="1">
      <formula>WEEKDAY(B$10,2)&gt;5</formula>
    </cfRule>
    <cfRule type="expression" priority="4" aboveAverage="0" equalAverage="0" bottom="0" percent="0" rank="0" text="" dxfId="2">
      <formula>AND(NOT(ISERROR(MATCH(B$10,T.Feiertage.Bereich,0))),OFFSET(T.Feiertage.Bereich,MATCH(B$10,T.Feiertage.Bereich,0)-1,1,1,1)&gt;0)</formula>
    </cfRule>
    <cfRule type="expression" priority="5" aboveAverage="0" equalAverage="0" bottom="0" percent="0" rank="0" text="" dxfId="3">
      <formula>B$11=0</formula>
    </cfRule>
  </conditionalFormatting>
  <conditionalFormatting sqref="AN60:AO60">
    <cfRule type="expression" priority="6" aboveAverage="0" equalAverage="0" bottom="0" percent="0" rank="0" text="" dxfId="4">
      <formula>AND(T.50_Vetsuisse,AN60&gt;=T.GrenzeAngÜZ50_Vetsuisse)</formula>
    </cfRule>
    <cfRule type="expression" priority="7" aboveAverage="0" equalAverage="0" bottom="0" percent="0" rank="0" text="" dxfId="5">
      <formula>AND(T.50_Vetsuisse,AN60&gt;T.GrenzeAngÜZ50_Vetsuisse*T.AngÜZ50_Vetsuisse_orange)</formula>
    </cfRule>
  </conditionalFormatting>
  <conditionalFormatting sqref="B56:AF56">
    <cfRule type="expression" priority="8" aboveAverage="0" equalAverage="0" bottom="0" percent="0" rank="0" text="" dxfId="6">
      <formula>B$10&gt;TODAY()</formula>
    </cfRule>
    <cfRule type="expression" priority="9" aboveAverage="0" equalAverage="0" bottom="0" percent="0" rank="0" text="" dxfId="7">
      <formula>B$56&gt;99.99/24</formula>
    </cfRule>
    <cfRule type="expression" priority="10" aboveAverage="0" equalAverage="0" bottom="0" percent="0" rank="0" text="" dxfId="0">
      <formula>B$56&lt;99.99/24*-1</formula>
    </cfRule>
  </conditionalFormatting>
  <conditionalFormatting sqref="AO55:AP55">
    <cfRule type="cellIs" priority="11" operator="greaterThan" aboveAverage="0" equalAverage="0" bottom="0" percent="0" rank="0" text="" dxfId="1">
      <formula>1/24/60</formula>
    </cfRule>
    <cfRule type="expression" priority="12" aboveAverage="0" equalAverage="0" bottom="0" percent="0" rank="0" text="" dxfId="2">
      <formula>AND(AO55&lt;=1/24/60*-1,TODAY()&gt;=DATE(EB.Jahr,MONTH(12),DAY(31)))</formula>
    </cfRule>
  </conditionalFormatting>
  <conditionalFormatting sqref="B56:AF56 AI58">
    <cfRule type="expression" priority="13" aboveAverage="0" equalAverage="0" bottom="0" percent="0" rank="0" text="" dxfId="3">
      <formula>B$56&gt;1/24/60</formula>
    </cfRule>
    <cfRule type="expression" priority="14" aboveAverage="0" equalAverage="0" bottom="0" percent="0" rank="0" text="" dxfId="4">
      <formula>AND(B$56&lt;=1/24/60*-1,B$56)</formula>
    </cfRule>
  </conditionalFormatting>
  <conditionalFormatting sqref="B14:AF22 B36:AF44 B26:AF30">
    <cfRule type="expression" priority="15" aboveAverage="0" equalAverage="0" bottom="0" percent="0" rank="0" text="" dxfId="5">
      <formula>AND(B14&lt;B13,B14&lt;&gt;"")</formula>
    </cfRule>
  </conditionalFormatting>
  <conditionalFormatting sqref="B72:AF73">
    <cfRule type="expression" priority="16" aboveAverage="0" equalAverage="0" bottom="0" percent="0" rank="0" text="" dxfId="6">
      <formula>AND(T.50_Vetsuisse,OR(AND(B$72&lt;&gt;INDEX(T.JaNein.Bereich,1,1),B$72&lt;&gt;INDEX(T.JaNein.Bereich,2,1),B$73&lt;&gt;0,MOD(IFERROR(MATCH(1,B$13:B$22,0),1),2)=0),AND(B$72=INDEX(T.JaNein.Bereich,1,1),OR(B$73=0,MOD(IFERROR(MATCH(1,B$13:B$22,0),1),2)&lt;&gt;0))))</formula>
    </cfRule>
  </conditionalFormatting>
  <conditionalFormatting sqref="P4:U4">
    <cfRule type="expression" priority="17" aboveAverage="0" equalAverage="0" bottom="0" percent="0" rank="0" text="" dxfId="7">
      <formula>$P$4&lt;&gt;""</formula>
    </cfRule>
  </conditionalFormatting>
  <conditionalFormatting sqref="V4">
    <cfRule type="expression" priority="18" aboveAverage="0" equalAverage="0" bottom="0" percent="0" rank="0" text="" dxfId="8">
      <formula>$V$4&lt;&gt;""</formula>
    </cfRule>
  </conditionalFormatting>
  <conditionalFormatting sqref="AP60">
    <cfRule type="expression" priority="19" aboveAverage="0" equalAverage="0" bottom="0" percent="0" rank="0" text="" dxfId="9">
      <formula>AND(T.50_Vetsuisse,AP60&gt;=T.GrenzeAngÜZ50_Vetsuisse)</formula>
    </cfRule>
    <cfRule type="expression" priority="20" aboveAverage="0" equalAverage="0" bottom="0" percent="0" rank="0" text="" dxfId="10">
      <formula>AND(T.50_Vetsuisse,AP60&gt;T.GrenzeAngÜZ50_Vetsuisse*T.AngÜZ50_Vetsuisse_orange)</formula>
    </cfRule>
  </conditionalFormatting>
  <conditionalFormatting sqref="AJ72:AJ73">
    <cfRule type="expression" priority="21" aboveAverage="0" equalAverage="0" bottom="0" percent="0" rank="0" text="" dxfId="11">
      <formula>AND(T.50_Vetsuisse,$AJ$72&lt;&gt;$AJ$73)</formula>
    </cfRule>
    <cfRule type="expression" priority="22" aboveAverage="0" equalAverage="0" bottom="0" percent="0" rank="0" text="" dxfId="12">
      <formula>$AJ$72&gt;$AJ$73</formula>
    </cfRule>
  </conditionalFormatting>
  <dataValidations count="2">
    <dataValidation allowBlank="true" error="Please choose a value from the drop-down list." errorTitle="Start pl. night shift" operator="between" showDropDown="false" showErrorMessage="true" showInputMessage="true" sqref="B72:AF72" type="list">
      <formula1>T.JaNein.Bereich</formula1>
      <formula2>0</formula2>
    </dataValidation>
    <dataValidation allowBlank="true" error="Bitte wählen Sie einen Wert aus der Liste." errorTitle="Pikett Bereitschaft" operator="between" showDropDown="false" showErrorMessage="true" showInputMessage="true" sqref="B34:AF34" type="list">
      <formula1>T.Pikett.Bereich</formula1>
      <formula2>0</formula2>
    </dataValidation>
  </dataValidations>
  <printOptions headings="false" gridLines="false" gridLinesSet="true" horizontalCentered="true" verticalCentered="false"/>
  <pageMargins left="0.196527777777778" right="0.196527777777778" top="0.39375" bottom="0.393055555555556" header="0.511805555555555" footer="0.196527777777778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&amp;L&amp;"Arial,Regular"&amp;11Monatsabrechnung &amp;A&amp;C&amp;"Arial,Regular"&amp;11&amp;D&amp;R&amp;"Arial,Regular"&amp;11&amp;P / &amp;N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P124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" ySplit="10" topLeftCell="B11" activePane="bottomRight" state="frozen"/>
      <selection pane="topLeft" activeCell="A1" activeCellId="0" sqref="A1"/>
      <selection pane="topRight" activeCell="B1" activeCellId="0" sqref="B1"/>
      <selection pane="bottomLeft" activeCell="A11" activeCellId="0" sqref="A11"/>
      <selection pane="bottomRight" activeCell="B13" activeCellId="0" sqref="B13"/>
    </sheetView>
  </sheetViews>
  <sheetFormatPr defaultRowHeight="13" zeroHeight="false" outlineLevelRow="1" outlineLevelCol="1"/>
  <cols>
    <col collapsed="false" customWidth="true" hidden="false" outlineLevel="0" max="1" min="1" style="132" width="24.5"/>
    <col collapsed="false" customWidth="true" hidden="false" outlineLevel="0" max="31" min="2" style="132" width="5.66"/>
    <col collapsed="false" customWidth="true" hidden="false" outlineLevel="0" max="32" min="32" style="133" width="24.5"/>
    <col collapsed="false" customWidth="true" hidden="false" outlineLevel="0" max="33" min="33" style="134" width="2.17"/>
    <col collapsed="false" customWidth="true" hidden="false" outlineLevel="0" max="35" min="34" style="132" width="8.17"/>
    <col collapsed="false" customWidth="true" hidden="true" outlineLevel="1" max="36" min="36" style="132" width="15.83"/>
    <col collapsed="false" customWidth="true" hidden="true" outlineLevel="1" max="38" min="37" style="132" width="14.33"/>
    <col collapsed="false" customWidth="true" hidden="false" outlineLevel="0" max="39" min="39" style="135" width="9.5"/>
    <col collapsed="false" customWidth="true" hidden="false" outlineLevel="0" max="41" min="40" style="132" width="8.17"/>
    <col collapsed="false" customWidth="true" hidden="false" outlineLevel="0" max="42" min="42" style="132" width="3.66"/>
    <col collapsed="false" customWidth="true" hidden="false" outlineLevel="0" max="1025" min="43" style="0" width="10.66"/>
  </cols>
  <sheetData>
    <row r="1" s="142" customFormat="true" ht="22.5" hidden="false" customHeight="true" outlineLevel="0" collapsed="false">
      <c r="A1" s="136" t="str">
        <f aca="false">INDEX(EB.Monate.Bereich,MONTH(Monat.Tag1)) &amp; " " &amp; EB.Jahr</f>
        <v>June 2018</v>
      </c>
      <c r="B1" s="137" t="str">
        <f aca="false">Eingabeblatt!B1</f>
        <v>Employee Time Sheet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6"/>
      <c r="N1" s="6"/>
      <c r="O1" s="6"/>
      <c r="P1" s="6"/>
      <c r="Q1" s="6"/>
      <c r="R1" s="138"/>
      <c r="S1" s="6"/>
      <c r="T1" s="6"/>
      <c r="U1" s="6"/>
      <c r="V1" s="139"/>
      <c r="W1" s="139"/>
      <c r="X1" s="6"/>
      <c r="Y1" s="138"/>
      <c r="Z1" s="6"/>
      <c r="AA1" s="6"/>
      <c r="AB1" s="6"/>
      <c r="AC1" s="6"/>
      <c r="AD1" s="6"/>
      <c r="AE1" s="6"/>
      <c r="AF1" s="140"/>
      <c r="AG1" s="141"/>
      <c r="AH1" s="6"/>
      <c r="AI1" s="6"/>
      <c r="AJ1" s="6"/>
      <c r="AK1" s="6"/>
      <c r="AL1" s="6"/>
      <c r="AM1" s="7"/>
      <c r="AN1" s="7" t="str">
        <f aca="false">EB.Version</f>
        <v>Version 01.18</v>
      </c>
      <c r="AO1" s="7"/>
      <c r="AP1" s="8" t="str">
        <f aca="false">EB.Sprache</f>
        <v>EN</v>
      </c>
    </row>
    <row r="2" s="148" customFormat="true" ht="15" hidden="false" customHeight="true" outlineLevel="0" collapsed="false">
      <c r="A2" s="55"/>
      <c r="B2" s="11" t="str">
        <f aca="false">Eingabeblatt!A3</f>
        <v>Name</v>
      </c>
      <c r="C2" s="11"/>
      <c r="D2" s="11"/>
      <c r="E2" s="11"/>
      <c r="F2" s="143" t="str">
        <f aca="false">IF(EB.Name="","?",EB.Name)</f>
        <v>Christopher Gwilliams</v>
      </c>
      <c r="G2" s="143"/>
      <c r="H2" s="143"/>
      <c r="I2" s="143"/>
      <c r="J2" s="143"/>
      <c r="K2" s="143"/>
      <c r="L2" s="143"/>
      <c r="M2" s="143"/>
      <c r="N2" s="143"/>
      <c r="O2" s="144"/>
      <c r="P2" s="11" t="str">
        <f aca="false">Eingabeblatt!J7</f>
        <v>Employment Level (FTE) in %</v>
      </c>
      <c r="Q2" s="11"/>
      <c r="R2" s="11"/>
      <c r="S2" s="11"/>
      <c r="T2" s="11"/>
      <c r="U2" s="11"/>
      <c r="V2" s="58" t="n">
        <f aca="false">IF(INDEX(EB.EffBG.Bereich,MONTH(Monat.Tag1))="","-     ",INDEX(EB.EffBG.Bereich,MONTH(Monat.Tag1)))</f>
        <v>100</v>
      </c>
      <c r="W2" s="145"/>
      <c r="X2" s="145"/>
      <c r="Y2" s="16"/>
      <c r="Z2" s="39"/>
      <c r="AA2" s="39"/>
      <c r="AB2" s="39"/>
      <c r="AC2" s="39"/>
      <c r="AD2" s="39"/>
      <c r="AE2" s="39"/>
      <c r="AF2" s="13"/>
      <c r="AG2" s="146"/>
      <c r="AH2" s="39"/>
      <c r="AI2" s="39"/>
      <c r="AJ2" s="39"/>
      <c r="AK2" s="39"/>
      <c r="AL2" s="39"/>
      <c r="AM2" s="147"/>
      <c r="AN2" s="39"/>
      <c r="AO2" s="39"/>
      <c r="AP2" s="39"/>
    </row>
    <row r="3" s="148" customFormat="true" ht="15" hidden="false" customHeight="true" outlineLevel="0" collapsed="false">
      <c r="A3" s="149"/>
      <c r="B3" s="11" t="str">
        <f aca="false">Eingabeblatt!H2</f>
        <v>Function</v>
      </c>
      <c r="C3" s="11"/>
      <c r="D3" s="11"/>
      <c r="E3" s="11"/>
      <c r="F3" s="150" t="str">
        <f aca="false">EB.Funktion</f>
        <v>Description of Function</v>
      </c>
      <c r="G3" s="150"/>
      <c r="H3" s="150"/>
      <c r="I3" s="150"/>
      <c r="J3" s="150"/>
      <c r="K3" s="150"/>
      <c r="L3" s="150"/>
      <c r="M3" s="150"/>
      <c r="N3" s="150"/>
      <c r="O3" s="13"/>
      <c r="P3" s="11" t="str">
        <f aca="false">Eingabeblatt!J12</f>
        <v>ø Hours per day at FTE</v>
      </c>
      <c r="Q3" s="11"/>
      <c r="R3" s="11"/>
      <c r="S3" s="11"/>
      <c r="T3" s="11"/>
      <c r="U3" s="11"/>
      <c r="V3" s="151" t="n">
        <f aca="false">IF(INDEX(EB.DurchSollTAZStd.Bereich,MONTH(Monat.Tag1))="","-     ",INDEX(EB.DurchSollTAZStd.Bereich,MONTH(Monat.Tag1)))</f>
        <v>0.35</v>
      </c>
      <c r="W3" s="152"/>
      <c r="X3" s="152"/>
      <c r="Y3" s="39"/>
      <c r="Z3" s="39"/>
      <c r="AA3" s="39"/>
      <c r="AB3" s="39"/>
      <c r="AC3" s="39"/>
      <c r="AD3" s="39"/>
      <c r="AE3" s="39"/>
      <c r="AF3" s="13"/>
      <c r="AG3" s="146"/>
      <c r="AH3" s="39"/>
      <c r="AI3" s="39"/>
      <c r="AJ3" s="39"/>
      <c r="AK3" s="39"/>
      <c r="AL3" s="39"/>
      <c r="AM3" s="147"/>
      <c r="AN3" s="39"/>
      <c r="AO3" s="39"/>
      <c r="AP3" s="39"/>
    </row>
    <row r="4" s="148" customFormat="true" ht="15" hidden="false" customHeight="true" outlineLevel="0" collapsed="false">
      <c r="A4" s="149"/>
      <c r="B4" s="11" t="str">
        <f aca="false">Eingabeblatt!H3</f>
        <v>Institute/Department</v>
      </c>
      <c r="C4" s="11"/>
      <c r="D4" s="11"/>
      <c r="E4" s="11"/>
      <c r="F4" s="150" t="str">
        <f aca="false">EB.Institut</f>
        <v>Institute/Department Name</v>
      </c>
      <c r="G4" s="150"/>
      <c r="H4" s="150"/>
      <c r="I4" s="150"/>
      <c r="J4" s="150"/>
      <c r="K4" s="150"/>
      <c r="L4" s="150"/>
      <c r="M4" s="150"/>
      <c r="N4" s="150"/>
      <c r="O4" s="13"/>
      <c r="P4" s="47" t="str">
        <f aca="true">IF(EB.ÜZZSBerechtigt=INDEX(T.JaNein.Bereich,1,1),IF(AND(OR(AND(EB.LKgr16=INDEX(T.JaNein.Bereich,1,1),EB.LKgr16ab&gt;EOMONTH(Monat.Tag1,0)),EB.LKgr16&lt;&gt;INDEX(T.JaNein.Bereich,1,1)),Monat.AZSoll.Total&gt;0),Eingabeblatt!J6,""),"")</f>
        <v/>
      </c>
      <c r="Q4" s="47"/>
      <c r="R4" s="47"/>
      <c r="S4" s="47"/>
      <c r="T4" s="47"/>
      <c r="U4" s="47"/>
      <c r="V4" s="153" t="str">
        <f aca="false">IF(P4&lt;&gt;"",EB.ÜZZSBerechtigt,"")</f>
        <v/>
      </c>
      <c r="W4" s="39"/>
      <c r="X4" s="39"/>
      <c r="Y4" s="39"/>
      <c r="Z4" s="39"/>
      <c r="AA4" s="39"/>
      <c r="AB4" s="39"/>
      <c r="AC4" s="39"/>
      <c r="AD4" s="39"/>
      <c r="AE4" s="39"/>
      <c r="AF4" s="13"/>
      <c r="AG4" s="146"/>
      <c r="AH4" s="39"/>
      <c r="AI4" s="39"/>
      <c r="AJ4" s="39"/>
      <c r="AK4" s="39"/>
      <c r="AL4" s="39"/>
      <c r="AM4" s="147"/>
      <c r="AN4" s="39"/>
      <c r="AO4" s="39"/>
      <c r="AP4" s="39"/>
    </row>
    <row r="5" s="148" customFormat="true" ht="15" hidden="false" customHeight="true" outlineLevel="0" collapsed="false">
      <c r="A5" s="149"/>
      <c r="B5" s="11" t="str">
        <f aca="false">Eingabeblatt!A5</f>
        <v>Employee Number</v>
      </c>
      <c r="C5" s="11"/>
      <c r="D5" s="11"/>
      <c r="E5" s="11"/>
      <c r="F5" s="150" t="str">
        <f aca="false">IF(EB.Personalnummer="","?",EB.Personalnummer)</f>
        <v>?</v>
      </c>
      <c r="G5" s="150"/>
      <c r="H5" s="150"/>
      <c r="I5" s="150"/>
      <c r="J5" s="150"/>
      <c r="K5" s="150"/>
      <c r="L5" s="150"/>
      <c r="M5" s="150"/>
      <c r="N5" s="150"/>
      <c r="O5" s="13"/>
      <c r="P5" s="19" t="str">
        <f aca="false">Eingabeblatt!A38</f>
        <v>Standard working hours</v>
      </c>
      <c r="Q5" s="13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13"/>
      <c r="AG5" s="146"/>
      <c r="AH5" s="39"/>
      <c r="AI5" s="39"/>
      <c r="AJ5" s="39"/>
      <c r="AK5" s="39"/>
      <c r="AL5" s="39"/>
      <c r="AM5" s="147"/>
      <c r="AN5" s="39"/>
      <c r="AO5" s="39"/>
      <c r="AP5" s="39"/>
    </row>
    <row r="6" s="148" customFormat="true" ht="15" hidden="false" customHeight="true" outlineLevel="0" collapsed="false">
      <c r="A6" s="149"/>
      <c r="B6" s="11" t="str">
        <f aca="false">Eingabeblatt!H4</f>
        <v>Faculty</v>
      </c>
      <c r="C6" s="11"/>
      <c r="D6" s="11"/>
      <c r="E6" s="11"/>
      <c r="F6" s="150" t="str">
        <f aca="false">EB.Fakultaet</f>
        <v>Select Faculty</v>
      </c>
      <c r="G6" s="150"/>
      <c r="H6" s="150"/>
      <c r="I6" s="150"/>
      <c r="J6" s="150"/>
      <c r="K6" s="150"/>
      <c r="L6" s="150"/>
      <c r="M6" s="150"/>
      <c r="N6" s="150"/>
      <c r="O6" s="13"/>
      <c r="P6" s="154" t="str">
        <f aca="false">LEFT(INDEX(EB.RAZ_Wochentage.Bereich,1),2)</f>
        <v>Mo</v>
      </c>
      <c r="Q6" s="154" t="str">
        <f aca="false">LEFT(INDEX(EB.RAZ_Wochentage.Bereich,2),2)</f>
        <v>Tu</v>
      </c>
      <c r="R6" s="154" t="str">
        <f aca="false">LEFT(INDEX(EB.RAZ_Wochentage.Bereich,3),2)</f>
        <v>We</v>
      </c>
      <c r="S6" s="154" t="str">
        <f aca="false">LEFT(INDEX(EB.RAZ_Wochentage.Bereich,4),2)</f>
        <v>Th</v>
      </c>
      <c r="T6" s="154" t="str">
        <f aca="false">LEFT(INDEX(EB.RAZ_Wochentage.Bereich,5),2)</f>
        <v>Fr</v>
      </c>
      <c r="U6" s="154" t="str">
        <f aca="false">LEFT(INDEX(EB.RAZ_Wochentage.Bereich,6),2)</f>
        <v>Sa</v>
      </c>
      <c r="V6" s="154" t="str">
        <f aca="false">LEFT(INDEX(EB.RAZ_Wochentage.Bereich,7),2)</f>
        <v>Su</v>
      </c>
      <c r="W6" s="39"/>
      <c r="X6" s="39"/>
      <c r="Y6" s="39"/>
      <c r="Z6" s="39"/>
      <c r="AA6" s="39"/>
      <c r="AB6" s="39"/>
      <c r="AC6" s="39"/>
      <c r="AD6" s="39"/>
      <c r="AE6" s="39"/>
      <c r="AF6" s="13"/>
      <c r="AG6" s="146"/>
      <c r="AH6" s="39"/>
      <c r="AI6" s="39"/>
      <c r="AJ6" s="39"/>
      <c r="AK6" s="39"/>
      <c r="AL6" s="39"/>
      <c r="AM6" s="147"/>
      <c r="AN6" s="39"/>
      <c r="AO6" s="39"/>
      <c r="AP6" s="39"/>
    </row>
    <row r="7" s="148" customFormat="true" ht="15" hidden="false" customHeight="true" outlineLevel="0" collapsed="false">
      <c r="A7" s="149"/>
      <c r="B7" s="11" t="str">
        <f aca="false">Eingabeblatt!H5</f>
        <v>Employee Category</v>
      </c>
      <c r="C7" s="11"/>
      <c r="D7" s="11"/>
      <c r="E7" s="11"/>
      <c r="F7" s="150" t="str">
        <f aca="false">EB.Personalkategorie</f>
        <v>Select Employee Category</v>
      </c>
      <c r="G7" s="150"/>
      <c r="H7" s="150"/>
      <c r="I7" s="150"/>
      <c r="J7" s="150"/>
      <c r="K7" s="150"/>
      <c r="L7" s="150"/>
      <c r="M7" s="150"/>
      <c r="N7" s="150"/>
      <c r="O7" s="13"/>
      <c r="P7" s="155" t="n">
        <f aca="false">IF(EB.Anwendung&lt;&gt;"",IF(MONTH(Monat.Tag1)=1,INDEX(EB.RAZ1_7.Bereich,1),INDEX(IF(MONTH(Monat.Tag1)=2,January!Monat.RAZ1_7.Bereich,IF(MONTH(Monat.Tag1)=3,February!Monat.RAZ1_7.Bereich,IF(MONTH(Monat.Tag1)=4,March!Monat.RAZ1_7.Bereich,IF(MONTH(Monat.Tag1)=5,April!Monat.RAZ1_7.Bereich,IF(MONTH(Monat.Tag1)=6,May!Monat.RAZ1_7.Bereich,IF(MONTH(Monat.Tag1)=7,Monat.RAZ1_7.Bereich,IF(MONTH(Monat.Tag1)=8,July!Monat.RAZ1_7.Bereich,IF(MONTH(Monat.Tag1)=9,August!Monat.RAZ1_7.Bereich,IF(MONTH(Monat.Tag1)=10,September!Monat.RAZ1_7.Bereich,IF(MONTH(Monat.Tag1)=11,October!Monat.RAZ1_7.Bereich,IF(MONTH(Monat.Tag1)=12,November!Monat.RAZ1_7.Bereich,""))))))))))),1)),"")</f>
        <v>0.35</v>
      </c>
      <c r="Q7" s="155" t="n">
        <f aca="false">IF(EB.Anwendung&lt;&gt;"",IF(MONTH(Monat.Tag1)=1,INDEX(EB.RAZ1_7.Bereich,2),INDEX(IF(MONTH(Monat.Tag1)=2,January!Monat.RAZ1_7.Bereich,IF(MONTH(Monat.Tag1)=3,February!Monat.RAZ1_7.Bereich,IF(MONTH(Monat.Tag1)=4,March!Monat.RAZ1_7.Bereich,IF(MONTH(Monat.Tag1)=5,April!Monat.RAZ1_7.Bereich,IF(MONTH(Monat.Tag1)=6,May!Monat.RAZ1_7.Bereich,IF(MONTH(Monat.Tag1)=7,Monat.RAZ1_7.Bereich,IF(MONTH(Monat.Tag1)=8,July!Monat.RAZ1_7.Bereich,IF(MONTH(Monat.Tag1)=9,August!Monat.RAZ1_7.Bereich,IF(MONTH(Monat.Tag1)=10,September!Monat.RAZ1_7.Bereich,IF(MONTH(Monat.Tag1)=11,October!Monat.RAZ1_7.Bereich,IF(MONTH(Monat.Tag1)=12,November!Monat.RAZ1_7.Bereich,""))))))))))),2)),"")</f>
        <v>0.35</v>
      </c>
      <c r="R7" s="155" t="n">
        <f aca="false">IF(EB.Anwendung&lt;&gt;"",IF(MONTH(Monat.Tag1)=1,INDEX(EB.RAZ1_7.Bereich,3),INDEX(IF(MONTH(Monat.Tag1)=2,January!Monat.RAZ1_7.Bereich,IF(MONTH(Monat.Tag1)=3,February!Monat.RAZ1_7.Bereich,IF(MONTH(Monat.Tag1)=4,March!Monat.RAZ1_7.Bereich,IF(MONTH(Monat.Tag1)=5,April!Monat.RAZ1_7.Bereich,IF(MONTH(Monat.Tag1)=6,May!Monat.RAZ1_7.Bereich,IF(MONTH(Monat.Tag1)=7,Monat.RAZ1_7.Bereich,IF(MONTH(Monat.Tag1)=8,July!Monat.RAZ1_7.Bereich,IF(MONTH(Monat.Tag1)=9,August!Monat.RAZ1_7.Bereich,IF(MONTH(Monat.Tag1)=10,September!Monat.RAZ1_7.Bereich,IF(MONTH(Monat.Tag1)=11,October!Monat.RAZ1_7.Bereich,IF(MONTH(Monat.Tag1)=12,November!Monat.RAZ1_7.Bereich,""))))))))))),3)),"")</f>
        <v>0.35</v>
      </c>
      <c r="S7" s="155" t="n">
        <f aca="false">IF(EB.Anwendung&lt;&gt;"",IF(MONTH(Monat.Tag1)=1,INDEX(EB.RAZ1_7.Bereich,4),INDEX(IF(MONTH(Monat.Tag1)=2,January!Monat.RAZ1_7.Bereich,IF(MONTH(Monat.Tag1)=3,February!Monat.RAZ1_7.Bereich,IF(MONTH(Monat.Tag1)=4,March!Monat.RAZ1_7.Bereich,IF(MONTH(Monat.Tag1)=5,April!Monat.RAZ1_7.Bereich,IF(MONTH(Monat.Tag1)=6,May!Monat.RAZ1_7.Bereich,IF(MONTH(Monat.Tag1)=7,Monat.RAZ1_7.Bereich,IF(MONTH(Monat.Tag1)=8,July!Monat.RAZ1_7.Bereich,IF(MONTH(Monat.Tag1)=9,August!Monat.RAZ1_7.Bereich,IF(MONTH(Monat.Tag1)=10,September!Monat.RAZ1_7.Bereich,IF(MONTH(Monat.Tag1)=11,October!Monat.RAZ1_7.Bereich,IF(MONTH(Monat.Tag1)=12,November!Monat.RAZ1_7.Bereich,""))))))))))),4)),"")</f>
        <v>0.35</v>
      </c>
      <c r="T7" s="155" t="n">
        <f aca="false">IF(EB.Anwendung&lt;&gt;"",IF(MONTH(Monat.Tag1)=1,INDEX(EB.RAZ1_7.Bereich,5),INDEX(IF(MONTH(Monat.Tag1)=2,January!Monat.RAZ1_7.Bereich,IF(MONTH(Monat.Tag1)=3,February!Monat.RAZ1_7.Bereich,IF(MONTH(Monat.Tag1)=4,March!Monat.RAZ1_7.Bereich,IF(MONTH(Monat.Tag1)=5,April!Monat.RAZ1_7.Bereich,IF(MONTH(Monat.Tag1)=6,May!Monat.RAZ1_7.Bereich,IF(MONTH(Monat.Tag1)=7,Monat.RAZ1_7.Bereich,IF(MONTH(Monat.Tag1)=8,July!Monat.RAZ1_7.Bereich,IF(MONTH(Monat.Tag1)=9,August!Monat.RAZ1_7.Bereich,IF(MONTH(Monat.Tag1)=10,September!Monat.RAZ1_7.Bereich,IF(MONTH(Monat.Tag1)=11,October!Monat.RAZ1_7.Bereich,IF(MONTH(Monat.Tag1)=12,November!Monat.RAZ1_7.Bereich,""))))))))))),5)),"")</f>
        <v>0.35</v>
      </c>
      <c r="U7" s="155" t="n">
        <f aca="false">IF(EB.Anwendung&lt;&gt;"",IF(MONTH(Monat.Tag1)=1,INDEX(EB.RAZ1_7.Bereich,6),INDEX(IF(MONTH(Monat.Tag1)=2,January!Monat.RAZ1_7.Bereich,IF(MONTH(Monat.Tag1)=3,February!Monat.RAZ1_7.Bereich,IF(MONTH(Monat.Tag1)=4,March!Monat.RAZ1_7.Bereich,IF(MONTH(Monat.Tag1)=5,April!Monat.RAZ1_7.Bereich,IF(MONTH(Monat.Tag1)=6,May!Monat.RAZ1_7.Bereich,IF(MONTH(Monat.Tag1)=7,Monat.RAZ1_7.Bereich,IF(MONTH(Monat.Tag1)=8,July!Monat.RAZ1_7.Bereich,IF(MONTH(Monat.Tag1)=9,August!Monat.RAZ1_7.Bereich,IF(MONTH(Monat.Tag1)=10,September!Monat.RAZ1_7.Bereich,IF(MONTH(Monat.Tag1)=11,October!Monat.RAZ1_7.Bereich,IF(MONTH(Monat.Tag1)=12,November!Monat.RAZ1_7.Bereich,""))))))))))),6)),"")</f>
        <v>0</v>
      </c>
      <c r="V7" s="155" t="n">
        <f aca="false">IF(EB.Anwendung&lt;&gt;"",IF(MONTH(Monat.Tag1)=1,INDEX(EB.RAZ1_7.Bereich,7),INDEX(IF(MONTH(Monat.Tag1)=2,January!Monat.RAZ1_7.Bereich,IF(MONTH(Monat.Tag1)=3,February!Monat.RAZ1_7.Bereich,IF(MONTH(Monat.Tag1)=4,March!Monat.RAZ1_7.Bereich,IF(MONTH(Monat.Tag1)=5,April!Monat.RAZ1_7.Bereich,IF(MONTH(Monat.Tag1)=6,May!Monat.RAZ1_7.Bereich,IF(MONTH(Monat.Tag1)=7,Monat.RAZ1_7.Bereich,IF(MONTH(Monat.Tag1)=8,July!Monat.RAZ1_7.Bereich,IF(MONTH(Monat.Tag1)=9,August!Monat.RAZ1_7.Bereich,IF(MONTH(Monat.Tag1)=10,September!Monat.RAZ1_7.Bereich,IF(MONTH(Monat.Tag1)=11,October!Monat.RAZ1_7.Bereich,IF(MONTH(Monat.Tag1)=12,November!Monat.RAZ1_7.Bereich,""))))))))))),7)),"")</f>
        <v>0</v>
      </c>
      <c r="W7" s="39"/>
      <c r="X7" s="39"/>
      <c r="Y7" s="39"/>
      <c r="Z7" s="39"/>
      <c r="AA7" s="39"/>
      <c r="AB7" s="39"/>
      <c r="AC7" s="39"/>
      <c r="AD7" s="39"/>
      <c r="AE7" s="39"/>
      <c r="AF7" s="13"/>
      <c r="AG7" s="146"/>
      <c r="AH7" s="39"/>
      <c r="AI7" s="39"/>
      <c r="AJ7" s="39"/>
      <c r="AK7" s="39"/>
      <c r="AL7" s="39"/>
      <c r="AM7" s="147"/>
      <c r="AN7" s="39"/>
      <c r="AO7" s="39"/>
      <c r="AP7" s="39"/>
    </row>
    <row r="8" s="148" customFormat="true" ht="11.25" hidden="false" customHeight="true" outlineLevel="0" collapsed="false">
      <c r="A8" s="55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13"/>
      <c r="AG8" s="146"/>
      <c r="AH8" s="39"/>
      <c r="AI8" s="39"/>
      <c r="AJ8" s="39"/>
      <c r="AK8" s="39"/>
      <c r="AL8" s="39"/>
      <c r="AM8" s="147"/>
      <c r="AN8" s="39"/>
      <c r="AO8" s="39"/>
      <c r="AP8" s="39"/>
    </row>
    <row r="9" s="148" customFormat="true" ht="15" hidden="false" customHeight="true" outlineLevel="0" collapsed="false">
      <c r="A9" s="55"/>
      <c r="B9" s="156" t="str">
        <f aca="false">INDEX(Monat.Wochentage.Bereich,1,WEEKDAY(B10,2))</f>
        <v>Fr</v>
      </c>
      <c r="C9" s="156" t="str">
        <f aca="false">INDEX(Monat.Wochentage.Bereich,1,WEEKDAY(C10,2))</f>
        <v>Sa</v>
      </c>
      <c r="D9" s="156" t="str">
        <f aca="false">INDEX(Monat.Wochentage.Bereich,1,WEEKDAY(D10,2))</f>
        <v>Su</v>
      </c>
      <c r="E9" s="156" t="str">
        <f aca="false">INDEX(Monat.Wochentage.Bereich,1,WEEKDAY(E10,2))</f>
        <v>Mo</v>
      </c>
      <c r="F9" s="156" t="str">
        <f aca="false">INDEX(Monat.Wochentage.Bereich,1,WEEKDAY(F10,2))</f>
        <v>Tu</v>
      </c>
      <c r="G9" s="156" t="str">
        <f aca="false">INDEX(Monat.Wochentage.Bereich,1,WEEKDAY(G10,2))</f>
        <v>We</v>
      </c>
      <c r="H9" s="156" t="str">
        <f aca="false">INDEX(Monat.Wochentage.Bereich,1,WEEKDAY(H10,2))</f>
        <v>Th</v>
      </c>
      <c r="I9" s="156" t="str">
        <f aca="false">INDEX(Monat.Wochentage.Bereich,1,WEEKDAY(I10,2))</f>
        <v>Fr</v>
      </c>
      <c r="J9" s="156" t="str">
        <f aca="false">INDEX(Monat.Wochentage.Bereich,1,WEEKDAY(J10,2))</f>
        <v>Sa</v>
      </c>
      <c r="K9" s="156" t="str">
        <f aca="false">INDEX(Monat.Wochentage.Bereich,1,WEEKDAY(K10,2))</f>
        <v>Su</v>
      </c>
      <c r="L9" s="156" t="str">
        <f aca="false">INDEX(Monat.Wochentage.Bereich,1,WEEKDAY(L10,2))</f>
        <v>Mo</v>
      </c>
      <c r="M9" s="156" t="str">
        <f aca="false">INDEX(Monat.Wochentage.Bereich,1,WEEKDAY(M10,2))</f>
        <v>Tu</v>
      </c>
      <c r="N9" s="156" t="str">
        <f aca="false">INDEX(Monat.Wochentage.Bereich,1,WEEKDAY(N10,2))</f>
        <v>We</v>
      </c>
      <c r="O9" s="156" t="str">
        <f aca="false">INDEX(Monat.Wochentage.Bereich,1,WEEKDAY(O10,2))</f>
        <v>Th</v>
      </c>
      <c r="P9" s="156" t="str">
        <f aca="false">INDEX(Monat.Wochentage.Bereich,1,WEEKDAY(P10,2))</f>
        <v>Fr</v>
      </c>
      <c r="Q9" s="156" t="str">
        <f aca="false">INDEX(Monat.Wochentage.Bereich,1,WEEKDAY(Q10,2))</f>
        <v>Sa</v>
      </c>
      <c r="R9" s="156" t="str">
        <f aca="false">INDEX(Monat.Wochentage.Bereich,1,WEEKDAY(R10,2))</f>
        <v>Su</v>
      </c>
      <c r="S9" s="156" t="str">
        <f aca="false">INDEX(Monat.Wochentage.Bereich,1,WEEKDAY(S10,2))</f>
        <v>Mo</v>
      </c>
      <c r="T9" s="156" t="str">
        <f aca="false">INDEX(Monat.Wochentage.Bereich,1,WEEKDAY(T10,2))</f>
        <v>Tu</v>
      </c>
      <c r="U9" s="156" t="str">
        <f aca="false">INDEX(Monat.Wochentage.Bereich,1,WEEKDAY(U10,2))</f>
        <v>We</v>
      </c>
      <c r="V9" s="156" t="str">
        <f aca="false">INDEX(Monat.Wochentage.Bereich,1,WEEKDAY(V10,2))</f>
        <v>Th</v>
      </c>
      <c r="W9" s="156" t="str">
        <f aca="false">INDEX(Monat.Wochentage.Bereich,1,WEEKDAY(W10,2))</f>
        <v>Fr</v>
      </c>
      <c r="X9" s="156" t="str">
        <f aca="false">INDEX(Monat.Wochentage.Bereich,1,WEEKDAY(X10,2))</f>
        <v>Sa</v>
      </c>
      <c r="Y9" s="156" t="str">
        <f aca="false">INDEX(Monat.Wochentage.Bereich,1,WEEKDAY(Y10,2))</f>
        <v>Su</v>
      </c>
      <c r="Z9" s="156" t="str">
        <f aca="false">INDEX(Monat.Wochentage.Bereich,1,WEEKDAY(Z10,2))</f>
        <v>Mo</v>
      </c>
      <c r="AA9" s="156" t="str">
        <f aca="false">INDEX(Monat.Wochentage.Bereich,1,WEEKDAY(AA10,2))</f>
        <v>Tu</v>
      </c>
      <c r="AB9" s="156" t="str">
        <f aca="false">INDEX(Monat.Wochentage.Bereich,1,WEEKDAY(AB10,2))</f>
        <v>We</v>
      </c>
      <c r="AC9" s="156" t="str">
        <f aca="false">INDEX(Monat.Wochentage.Bereich,1,WEEKDAY(AC10,2))</f>
        <v>Th</v>
      </c>
      <c r="AD9" s="156" t="str">
        <f aca="false">INDEX(Monat.Wochentage.Bereich,1,WEEKDAY(AD10,2))</f>
        <v>Fr</v>
      </c>
      <c r="AE9" s="156" t="str">
        <f aca="false">INDEX(Monat.Wochentage.Bereich,1,WEEKDAY(AE10,2))</f>
        <v>Sa</v>
      </c>
      <c r="AF9" s="13"/>
      <c r="AG9" s="146"/>
      <c r="AH9" s="39"/>
      <c r="AI9" s="39"/>
      <c r="AJ9" s="39"/>
      <c r="AK9" s="39"/>
      <c r="AL9" s="39"/>
      <c r="AM9" s="147"/>
      <c r="AN9" s="39"/>
      <c r="AO9" s="39"/>
      <c r="AP9" s="39"/>
    </row>
    <row r="10" s="164" customFormat="true" ht="39" hidden="false" customHeight="false" outlineLevel="0" collapsed="false">
      <c r="A10" s="157" t="s">
        <v>121</v>
      </c>
      <c r="B10" s="158" t="n">
        <v>41790</v>
      </c>
      <c r="C10" s="158" t="n">
        <f aca="false">B10+1</f>
        <v>41791</v>
      </c>
      <c r="D10" s="158" t="n">
        <f aca="false">C10+1</f>
        <v>41792</v>
      </c>
      <c r="E10" s="158" t="n">
        <f aca="false">D10+1</f>
        <v>41793</v>
      </c>
      <c r="F10" s="158" t="n">
        <f aca="false">E10+1</f>
        <v>41794</v>
      </c>
      <c r="G10" s="158" t="n">
        <f aca="false">F10+1</f>
        <v>41795</v>
      </c>
      <c r="H10" s="158" t="n">
        <f aca="false">G10+1</f>
        <v>41796</v>
      </c>
      <c r="I10" s="158" t="n">
        <f aca="false">H10+1</f>
        <v>41797</v>
      </c>
      <c r="J10" s="158" t="n">
        <f aca="false">I10+1</f>
        <v>41798</v>
      </c>
      <c r="K10" s="158" t="n">
        <f aca="false">J10+1</f>
        <v>41799</v>
      </c>
      <c r="L10" s="158" t="n">
        <f aca="false">K10+1</f>
        <v>41800</v>
      </c>
      <c r="M10" s="158" t="n">
        <f aca="false">L10+1</f>
        <v>41801</v>
      </c>
      <c r="N10" s="158" t="n">
        <f aca="false">M10+1</f>
        <v>41802</v>
      </c>
      <c r="O10" s="158" t="n">
        <f aca="false">N10+1</f>
        <v>41803</v>
      </c>
      <c r="P10" s="158" t="n">
        <f aca="false">O10+1</f>
        <v>41804</v>
      </c>
      <c r="Q10" s="158" t="n">
        <f aca="false">P10+1</f>
        <v>41805</v>
      </c>
      <c r="R10" s="158" t="n">
        <f aca="false">Q10+1</f>
        <v>41806</v>
      </c>
      <c r="S10" s="158" t="n">
        <f aca="false">R10+1</f>
        <v>41807</v>
      </c>
      <c r="T10" s="158" t="n">
        <f aca="false">S10+1</f>
        <v>41808</v>
      </c>
      <c r="U10" s="158" t="n">
        <f aca="false">T10+1</f>
        <v>41809</v>
      </c>
      <c r="V10" s="158" t="n">
        <f aca="false">U10+1</f>
        <v>41810</v>
      </c>
      <c r="W10" s="158" t="n">
        <f aca="false">V10+1</f>
        <v>41811</v>
      </c>
      <c r="X10" s="158" t="n">
        <f aca="false">W10+1</f>
        <v>41812</v>
      </c>
      <c r="Y10" s="158" t="n">
        <f aca="false">X10+1</f>
        <v>41813</v>
      </c>
      <c r="Z10" s="158" t="n">
        <f aca="false">Y10+1</f>
        <v>41814</v>
      </c>
      <c r="AA10" s="158" t="n">
        <f aca="false">Z10+1</f>
        <v>41815</v>
      </c>
      <c r="AB10" s="158" t="n">
        <f aca="false">AA10+1</f>
        <v>41816</v>
      </c>
      <c r="AC10" s="158" t="n">
        <f aca="false">AB10+1</f>
        <v>41817</v>
      </c>
      <c r="AD10" s="158" t="n">
        <f aca="false">AC10+1</f>
        <v>41818</v>
      </c>
      <c r="AE10" s="158" t="n">
        <f aca="false">AD10+1</f>
        <v>41819</v>
      </c>
      <c r="AF10" s="159" t="str">
        <f aca="false">A10</f>
        <v>Day</v>
      </c>
      <c r="AG10" s="160" t="str">
        <f aca="false">"Total " &amp; INDEX(EB.Monate.Bereich,MONTH(Monat.Tag1))</f>
        <v>Total June</v>
      </c>
      <c r="AH10" s="160"/>
      <c r="AI10" s="160" t="s">
        <v>122</v>
      </c>
      <c r="AJ10" s="161" t="s">
        <v>123</v>
      </c>
      <c r="AK10" s="161" t="s">
        <v>124</v>
      </c>
      <c r="AL10" s="161" t="s">
        <v>125</v>
      </c>
      <c r="AM10" s="162" t="s">
        <v>68</v>
      </c>
      <c r="AN10" s="156" t="str">
        <f aca="true">IF(EB.Sprache="DE","Jahressaldo per" &amp; CHAR(10) &amp; "    ME       " &amp; IFERROR(TEXT(TODAY(),"[$-0007]"&amp;"TT.MM.JJ"),TEXT(TODAY(),"[$-0007]"&amp;"DD.MM.YY")), "Yearly balance by" &amp; CHAR(10) &amp; "   eom      " &amp; IFERROR(TEXT(TODAY(),"[$-0809]"&amp;"DD.MM.YY"),TEXT(TODAY(),"[$-0809]"&amp;"TT.MM.JJ")))</f>
        <v>Yearly balance by
   eom      22.05.18</v>
      </c>
      <c r="AO10" s="156"/>
      <c r="AP10" s="163"/>
    </row>
    <row r="11" s="164" customFormat="true" ht="12" hidden="true" customHeight="true" outlineLevel="0" collapsed="false">
      <c r="A11" s="157" t="s">
        <v>126</v>
      </c>
      <c r="B11" s="165" t="n">
        <f aca="true">IFERROR(OFFSET(T.Feiertage.Bereich,MATCH(B$10,T.Feiertage.Bereich,0)-1,1,1,1),1)</f>
        <v>1</v>
      </c>
      <c r="C11" s="165" t="n">
        <f aca="true">IFERROR(OFFSET(T.Feiertage.Bereich,MATCH(C$10,T.Feiertage.Bereich,0)-1,1,1,1),1)</f>
        <v>1</v>
      </c>
      <c r="D11" s="165" t="n">
        <f aca="true">IFERROR(OFFSET(T.Feiertage.Bereich,MATCH(D$10,T.Feiertage.Bereich,0)-1,1,1,1),1)</f>
        <v>1</v>
      </c>
      <c r="E11" s="166" t="n">
        <f aca="true">IFERROR(OFFSET(T.Feiertage.Bereich,MATCH(E$10,T.Feiertage.Bereich,0)-1,1,1,1),1)</f>
        <v>1</v>
      </c>
      <c r="F11" s="165" t="n">
        <f aca="true">IFERROR(OFFSET(T.Feiertage.Bereich,MATCH(F$10,T.Feiertage.Bereich,0)-1,1,1,1),1)</f>
        <v>1</v>
      </c>
      <c r="G11" s="165" t="n">
        <f aca="true">IFERROR(OFFSET(T.Feiertage.Bereich,MATCH(G$10,T.Feiertage.Bereich,0)-1,1,1,1),1)</f>
        <v>1</v>
      </c>
      <c r="H11" s="165" t="n">
        <f aca="true">IFERROR(OFFSET(T.Feiertage.Bereich,MATCH(H$10,T.Feiertage.Bereich,0)-1,1,1,1),1)</f>
        <v>1</v>
      </c>
      <c r="I11" s="165" t="n">
        <f aca="true">IFERROR(OFFSET(T.Feiertage.Bereich,MATCH(I$10,T.Feiertage.Bereich,0)-1,1,1,1),1)</f>
        <v>1</v>
      </c>
      <c r="J11" s="166" t="n">
        <f aca="true">IFERROR(OFFSET(T.Feiertage.Bereich,MATCH(J$10,T.Feiertage.Bereich,0)-1,1,1,1),1)</f>
        <v>1</v>
      </c>
      <c r="K11" s="165" t="n">
        <f aca="true">IFERROR(OFFSET(T.Feiertage.Bereich,MATCH(K$10,T.Feiertage.Bereich,0)-1,1,1,1),1)</f>
        <v>1</v>
      </c>
      <c r="L11" s="166" t="n">
        <f aca="true">IFERROR(OFFSET(T.Feiertage.Bereich,MATCH(L$10,T.Feiertage.Bereich,0)-1,1,1,1),1)</f>
        <v>1</v>
      </c>
      <c r="M11" s="165" t="n">
        <f aca="true">IFERROR(OFFSET(T.Feiertage.Bereich,MATCH(M$10,T.Feiertage.Bereich,0)-1,1,1,1),1)</f>
        <v>1</v>
      </c>
      <c r="N11" s="165" t="n">
        <f aca="true">IFERROR(OFFSET(T.Feiertage.Bereich,MATCH(N$10,T.Feiertage.Bereich,0)-1,1,1,1),1)</f>
        <v>1</v>
      </c>
      <c r="O11" s="165" t="n">
        <f aca="true">IFERROR(OFFSET(T.Feiertage.Bereich,MATCH(O$10,T.Feiertage.Bereich,0)-1,1,1,1),1)</f>
        <v>1</v>
      </c>
      <c r="P11" s="165" t="n">
        <f aca="true">IFERROR(OFFSET(T.Feiertage.Bereich,MATCH(P$10,T.Feiertage.Bereich,0)-1,1,1,1),1)</f>
        <v>1</v>
      </c>
      <c r="Q11" s="166" t="n">
        <f aca="true">IFERROR(OFFSET(T.Feiertage.Bereich,MATCH(Q$10,T.Feiertage.Bereich,0)-1,1,1,1),1)</f>
        <v>1</v>
      </c>
      <c r="R11" s="165" t="n">
        <f aca="true">IFERROR(OFFSET(T.Feiertage.Bereich,MATCH(R$10,T.Feiertage.Bereich,0)-1,1,1,1),1)</f>
        <v>1</v>
      </c>
      <c r="S11" s="166" t="n">
        <f aca="true">IFERROR(OFFSET(T.Feiertage.Bereich,MATCH(S$10,T.Feiertage.Bereich,0)-1,1,1,1),1)</f>
        <v>1</v>
      </c>
      <c r="T11" s="166" t="n">
        <f aca="true">IFERROR(OFFSET(T.Feiertage.Bereich,MATCH(T$10,T.Feiertage.Bereich,0)-1,1,1,1),1)</f>
        <v>1</v>
      </c>
      <c r="U11" s="165" t="n">
        <f aca="true">IFERROR(OFFSET(T.Feiertage.Bereich,MATCH(U$10,T.Feiertage.Bereich,0)-1,1,1,1),1)</f>
        <v>1</v>
      </c>
      <c r="V11" s="165" t="n">
        <f aca="true">IFERROR(OFFSET(T.Feiertage.Bereich,MATCH(V$10,T.Feiertage.Bereich,0)-1,1,1,1),1)</f>
        <v>1</v>
      </c>
      <c r="W11" s="165" t="n">
        <f aca="true">IFERROR(OFFSET(T.Feiertage.Bereich,MATCH(W$10,T.Feiertage.Bereich,0)-1,1,1,1),1)</f>
        <v>1</v>
      </c>
      <c r="X11" s="166" t="n">
        <f aca="true">IFERROR(OFFSET(T.Feiertage.Bereich,MATCH(X$10,T.Feiertage.Bereich,0)-1,1,1,1),1)</f>
        <v>1</v>
      </c>
      <c r="Y11" s="165" t="n">
        <f aca="true">IFERROR(OFFSET(T.Feiertage.Bereich,MATCH(Y$10,T.Feiertage.Bereich,0)-1,1,1,1),1)</f>
        <v>1</v>
      </c>
      <c r="Z11" s="167" t="n">
        <f aca="true">IFERROR(OFFSET(T.Feiertage.Bereich,MATCH(Z$10,T.Feiertage.Bereich,0)-1,1,1,1),1)</f>
        <v>1</v>
      </c>
      <c r="AA11" s="165" t="n">
        <f aca="true">IFERROR(OFFSET(T.Feiertage.Bereich,MATCH(AA$10,T.Feiertage.Bereich,0)-1,1,1,1),1)</f>
        <v>1</v>
      </c>
      <c r="AB11" s="165" t="n">
        <f aca="true">IFERROR(OFFSET(T.Feiertage.Bereich,MATCH(AB$10,T.Feiertage.Bereich,0)-1,1,1,1),1)</f>
        <v>1</v>
      </c>
      <c r="AC11" s="165" t="n">
        <f aca="true">IFERROR(OFFSET(T.Feiertage.Bereich,MATCH(AC$10,T.Feiertage.Bereich,0)-1,1,1,1),1)</f>
        <v>1</v>
      </c>
      <c r="AD11" s="165" t="n">
        <f aca="true">IFERROR(OFFSET(T.Feiertage.Bereich,MATCH(AD$10,T.Feiertage.Bereich,0)-1,1,1,1),1)</f>
        <v>1</v>
      </c>
      <c r="AE11" s="166" t="n">
        <f aca="true">IFERROR(OFFSET(T.Feiertage.Bereich,MATCH(AE$10,T.Feiertage.Bereich,0)-1,1,1,1),1)</f>
        <v>1</v>
      </c>
      <c r="AF11" s="168"/>
      <c r="AG11" s="146"/>
      <c r="AH11" s="169"/>
      <c r="AI11" s="170"/>
      <c r="AJ11" s="171"/>
      <c r="AK11" s="172"/>
      <c r="AL11" s="172"/>
      <c r="AM11" s="171"/>
      <c r="AN11" s="172"/>
      <c r="AO11" s="172"/>
      <c r="AP11" s="163"/>
    </row>
    <row r="12" s="164" customFormat="true" ht="12" hidden="true" customHeight="true" outlineLevel="0" collapsed="false">
      <c r="A12" s="157" t="s">
        <v>127</v>
      </c>
      <c r="B12" s="173" t="n">
        <f aca="false">IF(OR(AND(ISNUMBER(EB.UJEintritt),EB.UJEintritt&gt;=B$10+1),AND(ISNUMBER(EB.UJAustritt),EB.UJAustritt&lt;=B$10-1)),0,1)</f>
        <v>1</v>
      </c>
      <c r="C12" s="173" t="n">
        <f aca="false">IF(OR(AND(ISNUMBER(EB.UJEintritt),EB.UJEintritt&gt;=C$10+1),AND(ISNUMBER(EB.UJAustritt),EB.UJAustritt&lt;=C$10-1)),0,1)</f>
        <v>1</v>
      </c>
      <c r="D12" s="173" t="n">
        <f aca="false">IF(OR(AND(ISNUMBER(EB.UJEintritt),EB.UJEintritt&gt;=D$10+1),AND(ISNUMBER(EB.UJAustritt),EB.UJAustritt&lt;=D$10-1)),0,1)</f>
        <v>1</v>
      </c>
      <c r="E12" s="156" t="n">
        <f aca="false">IF(OR(AND(ISNUMBER(EB.UJEintritt),EB.UJEintritt&gt;=E$10+1),AND(ISNUMBER(EB.UJAustritt),EB.UJAustritt&lt;=E$10-1)),0,1)</f>
        <v>1</v>
      </c>
      <c r="F12" s="173" t="n">
        <f aca="false">IF(OR(AND(ISNUMBER(EB.UJEintritt),EB.UJEintritt&gt;=F$10+1),AND(ISNUMBER(EB.UJAustritt),EB.UJAustritt&lt;=F$10-1)),0,1)</f>
        <v>1</v>
      </c>
      <c r="G12" s="173" t="n">
        <f aca="false">IF(OR(AND(ISNUMBER(EB.UJEintritt),EB.UJEintritt&gt;=G$10+1),AND(ISNUMBER(EB.UJAustritt),EB.UJAustritt&lt;=G$10-1)),0,1)</f>
        <v>1</v>
      </c>
      <c r="H12" s="173" t="n">
        <f aca="false">IF(OR(AND(ISNUMBER(EB.UJEintritt),EB.UJEintritt&gt;=H$10+1),AND(ISNUMBER(EB.UJAustritt),EB.UJAustritt&lt;=H$10-1)),0,1)</f>
        <v>1</v>
      </c>
      <c r="I12" s="173" t="n">
        <f aca="false">IF(OR(AND(ISNUMBER(EB.UJEintritt),EB.UJEintritt&gt;=I$10+1),AND(ISNUMBER(EB.UJAustritt),EB.UJAustritt&lt;=I$10-1)),0,1)</f>
        <v>1</v>
      </c>
      <c r="J12" s="156" t="n">
        <f aca="false">IF(OR(AND(ISNUMBER(EB.UJEintritt),EB.UJEintritt&gt;=J$10+1),AND(ISNUMBER(EB.UJAustritt),EB.UJAustritt&lt;=J$10-1)),0,1)</f>
        <v>1</v>
      </c>
      <c r="K12" s="173" t="n">
        <f aca="false">IF(OR(AND(ISNUMBER(EB.UJEintritt),EB.UJEintritt&gt;=K$10+1),AND(ISNUMBER(EB.UJAustritt),EB.UJAustritt&lt;=K$10-1)),0,1)</f>
        <v>1</v>
      </c>
      <c r="L12" s="156" t="n">
        <f aca="false">IF(OR(AND(ISNUMBER(EB.UJEintritt),EB.UJEintritt&gt;=L$10+1),AND(ISNUMBER(EB.UJAustritt),EB.UJAustritt&lt;=L$10-1)),0,1)</f>
        <v>1</v>
      </c>
      <c r="M12" s="173" t="n">
        <f aca="false">IF(OR(AND(ISNUMBER(EB.UJEintritt),EB.UJEintritt&gt;=M$10+1),AND(ISNUMBER(EB.UJAustritt),EB.UJAustritt&lt;=M$10-1)),0,1)</f>
        <v>1</v>
      </c>
      <c r="N12" s="173" t="n">
        <f aca="false">IF(OR(AND(ISNUMBER(EB.UJEintritt),EB.UJEintritt&gt;=N$10+1),AND(ISNUMBER(EB.UJAustritt),EB.UJAustritt&lt;=N$10-1)),0,1)</f>
        <v>1</v>
      </c>
      <c r="O12" s="173" t="n">
        <f aca="false">IF(OR(AND(ISNUMBER(EB.UJEintritt),EB.UJEintritt&gt;=O$10+1),AND(ISNUMBER(EB.UJAustritt),EB.UJAustritt&lt;=O$10-1)),0,1)</f>
        <v>1</v>
      </c>
      <c r="P12" s="173" t="n">
        <f aca="false">IF(OR(AND(ISNUMBER(EB.UJEintritt),EB.UJEintritt&gt;=P$10+1),AND(ISNUMBER(EB.UJAustritt),EB.UJAustritt&lt;=P$10-1)),0,1)</f>
        <v>1</v>
      </c>
      <c r="Q12" s="156" t="n">
        <f aca="false">IF(OR(AND(ISNUMBER(EB.UJEintritt),EB.UJEintritt&gt;=Q$10+1),AND(ISNUMBER(EB.UJAustritt),EB.UJAustritt&lt;=Q$10-1)),0,1)</f>
        <v>1</v>
      </c>
      <c r="R12" s="173" t="n">
        <f aca="false">IF(OR(AND(ISNUMBER(EB.UJEintritt),EB.UJEintritt&gt;=R$10+1),AND(ISNUMBER(EB.UJAustritt),EB.UJAustritt&lt;=R$10-1)),0,1)</f>
        <v>1</v>
      </c>
      <c r="S12" s="156" t="n">
        <f aca="false">IF(OR(AND(ISNUMBER(EB.UJEintritt),EB.UJEintritt&gt;=S$10+1),AND(ISNUMBER(EB.UJAustritt),EB.UJAustritt&lt;=S$10-1)),0,1)</f>
        <v>1</v>
      </c>
      <c r="T12" s="156" t="n">
        <f aca="false">IF(OR(AND(ISNUMBER(EB.UJEintritt),EB.UJEintritt&gt;=T$10+1),AND(ISNUMBER(EB.UJAustritt),EB.UJAustritt&lt;=T$10-1)),0,1)</f>
        <v>1</v>
      </c>
      <c r="U12" s="173" t="n">
        <f aca="false">IF(OR(AND(ISNUMBER(EB.UJEintritt),EB.UJEintritt&gt;=U$10+1),AND(ISNUMBER(EB.UJAustritt),EB.UJAustritt&lt;=U$10-1)),0,1)</f>
        <v>1</v>
      </c>
      <c r="V12" s="173" t="n">
        <f aca="false">IF(OR(AND(ISNUMBER(EB.UJEintritt),EB.UJEintritt&gt;=V$10+1),AND(ISNUMBER(EB.UJAustritt),EB.UJAustritt&lt;=V$10-1)),0,1)</f>
        <v>1</v>
      </c>
      <c r="W12" s="173" t="n">
        <f aca="false">IF(OR(AND(ISNUMBER(EB.UJEintritt),EB.UJEintritt&gt;=W$10+1),AND(ISNUMBER(EB.UJAustritt),EB.UJAustritt&lt;=W$10-1)),0,1)</f>
        <v>1</v>
      </c>
      <c r="X12" s="156" t="n">
        <f aca="false">IF(OR(AND(ISNUMBER(EB.UJEintritt),EB.UJEintritt&gt;=X$10+1),AND(ISNUMBER(EB.UJAustritt),EB.UJAustritt&lt;=X$10-1)),0,1)</f>
        <v>1</v>
      </c>
      <c r="Y12" s="173" t="n">
        <f aca="false">IF(OR(AND(ISNUMBER(EB.UJEintritt),EB.UJEintritt&gt;=Y$10+1),AND(ISNUMBER(EB.UJAustritt),EB.UJAustritt&lt;=Y$10-1)),0,1)</f>
        <v>1</v>
      </c>
      <c r="Z12" s="174" t="n">
        <f aca="false">IF(OR(AND(ISNUMBER(EB.UJEintritt),EB.UJEintritt&gt;=Z$10+1),AND(ISNUMBER(EB.UJAustritt),EB.UJAustritt&lt;=Z$10-1)),0,1)</f>
        <v>1</v>
      </c>
      <c r="AA12" s="173" t="n">
        <f aca="false">IF(OR(AND(ISNUMBER(EB.UJEintritt),EB.UJEintritt&gt;=AA$10+1),AND(ISNUMBER(EB.UJAustritt),EB.UJAustritt&lt;=AA$10-1)),0,1)</f>
        <v>1</v>
      </c>
      <c r="AB12" s="173" t="n">
        <f aca="false">IF(OR(AND(ISNUMBER(EB.UJEintritt),EB.UJEintritt&gt;=AB$10+1),AND(ISNUMBER(EB.UJAustritt),EB.UJAustritt&lt;=AB$10-1)),0,1)</f>
        <v>1</v>
      </c>
      <c r="AC12" s="173" t="n">
        <f aca="false">IF(OR(AND(ISNUMBER(EB.UJEintritt),EB.UJEintritt&gt;=AC$10+1),AND(ISNUMBER(EB.UJAustritt),EB.UJAustritt&lt;=AC$10-1)),0,1)</f>
        <v>1</v>
      </c>
      <c r="AD12" s="173" t="n">
        <f aca="false">IF(OR(AND(ISNUMBER(EB.UJEintritt),EB.UJEintritt&gt;=AD$10+1),AND(ISNUMBER(EB.UJAustritt),EB.UJAustritt&lt;=AD$10-1)),0,1)</f>
        <v>1</v>
      </c>
      <c r="AE12" s="156" t="n">
        <f aca="false">IF(OR(AND(ISNUMBER(EB.UJEintritt),EB.UJEintritt&gt;=AE$10+1),AND(ISNUMBER(EB.UJAustritt),EB.UJAustritt&lt;=AE$10-1)),0,1)</f>
        <v>1</v>
      </c>
      <c r="AF12" s="168"/>
      <c r="AG12" s="146"/>
      <c r="AH12" s="169"/>
      <c r="AI12" s="170"/>
      <c r="AJ12" s="171"/>
      <c r="AK12" s="172"/>
      <c r="AL12" s="172"/>
      <c r="AM12" s="171"/>
      <c r="AN12" s="172"/>
      <c r="AO12" s="172"/>
      <c r="AP12" s="163"/>
    </row>
    <row r="13" s="148" customFormat="true" ht="15" hidden="false" customHeight="true" outlineLevel="0" collapsed="false">
      <c r="A13" s="175" t="s">
        <v>128</v>
      </c>
      <c r="B13" s="176"/>
      <c r="C13" s="176"/>
      <c r="D13" s="176"/>
      <c r="E13" s="177"/>
      <c r="F13" s="176"/>
      <c r="G13" s="176"/>
      <c r="H13" s="176"/>
      <c r="I13" s="176"/>
      <c r="J13" s="177"/>
      <c r="K13" s="176"/>
      <c r="L13" s="177"/>
      <c r="M13" s="176"/>
      <c r="N13" s="176"/>
      <c r="O13" s="176"/>
      <c r="P13" s="176"/>
      <c r="Q13" s="177"/>
      <c r="R13" s="176"/>
      <c r="S13" s="177"/>
      <c r="T13" s="177"/>
      <c r="U13" s="176"/>
      <c r="V13" s="176"/>
      <c r="W13" s="176"/>
      <c r="X13" s="177"/>
      <c r="Y13" s="176"/>
      <c r="Z13" s="178"/>
      <c r="AA13" s="176"/>
      <c r="AB13" s="176"/>
      <c r="AC13" s="176"/>
      <c r="AD13" s="176"/>
      <c r="AE13" s="177"/>
      <c r="AF13" s="168" t="str">
        <f aca="false">A13</f>
        <v>in</v>
      </c>
      <c r="AG13" s="146"/>
      <c r="AH13" s="169"/>
      <c r="AI13" s="170"/>
      <c r="AJ13" s="171"/>
      <c r="AK13" s="172"/>
      <c r="AL13" s="172"/>
      <c r="AM13" s="171"/>
      <c r="AN13" s="172"/>
      <c r="AO13" s="172"/>
      <c r="AP13" s="39"/>
    </row>
    <row r="14" s="148" customFormat="true" ht="15" hidden="false" customHeight="true" outlineLevel="0" collapsed="false">
      <c r="A14" s="175" t="s">
        <v>129</v>
      </c>
      <c r="B14" s="176"/>
      <c r="C14" s="176"/>
      <c r="D14" s="176"/>
      <c r="E14" s="177"/>
      <c r="F14" s="176"/>
      <c r="G14" s="176"/>
      <c r="H14" s="176"/>
      <c r="I14" s="176"/>
      <c r="J14" s="177"/>
      <c r="K14" s="176"/>
      <c r="L14" s="177"/>
      <c r="M14" s="176"/>
      <c r="N14" s="176"/>
      <c r="O14" s="176"/>
      <c r="P14" s="176"/>
      <c r="Q14" s="177"/>
      <c r="R14" s="176"/>
      <c r="S14" s="177"/>
      <c r="T14" s="177"/>
      <c r="U14" s="176"/>
      <c r="V14" s="176"/>
      <c r="W14" s="176"/>
      <c r="X14" s="177"/>
      <c r="Y14" s="176"/>
      <c r="Z14" s="178"/>
      <c r="AA14" s="176"/>
      <c r="AB14" s="176"/>
      <c r="AC14" s="176"/>
      <c r="AD14" s="176"/>
      <c r="AE14" s="177"/>
      <c r="AF14" s="168" t="str">
        <f aca="false">A14</f>
        <v>out</v>
      </c>
      <c r="AG14" s="146"/>
      <c r="AH14" s="169"/>
      <c r="AI14" s="170"/>
      <c r="AJ14" s="171"/>
      <c r="AK14" s="172"/>
      <c r="AL14" s="172"/>
      <c r="AM14" s="171"/>
      <c r="AN14" s="172"/>
      <c r="AO14" s="172"/>
      <c r="AP14" s="39"/>
    </row>
    <row r="15" s="148" customFormat="true" ht="15" hidden="false" customHeight="true" outlineLevel="0" collapsed="false">
      <c r="A15" s="175" t="s">
        <v>128</v>
      </c>
      <c r="B15" s="176"/>
      <c r="C15" s="176"/>
      <c r="D15" s="176"/>
      <c r="E15" s="177"/>
      <c r="F15" s="176"/>
      <c r="G15" s="176"/>
      <c r="H15" s="176"/>
      <c r="I15" s="176"/>
      <c r="J15" s="177"/>
      <c r="K15" s="176"/>
      <c r="L15" s="177"/>
      <c r="M15" s="176"/>
      <c r="N15" s="176"/>
      <c r="O15" s="176"/>
      <c r="P15" s="176"/>
      <c r="Q15" s="177"/>
      <c r="R15" s="176"/>
      <c r="S15" s="177"/>
      <c r="T15" s="177"/>
      <c r="U15" s="176"/>
      <c r="V15" s="176"/>
      <c r="W15" s="176"/>
      <c r="X15" s="177"/>
      <c r="Y15" s="176"/>
      <c r="Z15" s="178"/>
      <c r="AA15" s="176"/>
      <c r="AB15" s="176"/>
      <c r="AC15" s="176"/>
      <c r="AD15" s="176"/>
      <c r="AE15" s="177"/>
      <c r="AF15" s="168" t="str">
        <f aca="false">A15</f>
        <v>in</v>
      </c>
      <c r="AG15" s="146"/>
      <c r="AH15" s="169"/>
      <c r="AI15" s="170"/>
      <c r="AJ15" s="171"/>
      <c r="AK15" s="172"/>
      <c r="AL15" s="172"/>
      <c r="AM15" s="171"/>
      <c r="AN15" s="172"/>
      <c r="AO15" s="172"/>
      <c r="AP15" s="39"/>
    </row>
    <row r="16" s="148" customFormat="true" ht="15" hidden="false" customHeight="true" outlineLevel="0" collapsed="false">
      <c r="A16" s="175" t="s">
        <v>129</v>
      </c>
      <c r="B16" s="176"/>
      <c r="C16" s="176"/>
      <c r="D16" s="176"/>
      <c r="E16" s="177"/>
      <c r="F16" s="176"/>
      <c r="G16" s="176"/>
      <c r="H16" s="176"/>
      <c r="I16" s="176"/>
      <c r="J16" s="177"/>
      <c r="K16" s="176"/>
      <c r="L16" s="177"/>
      <c r="M16" s="176"/>
      <c r="N16" s="176"/>
      <c r="O16" s="176"/>
      <c r="P16" s="176"/>
      <c r="Q16" s="177"/>
      <c r="R16" s="176"/>
      <c r="S16" s="177"/>
      <c r="T16" s="177"/>
      <c r="U16" s="176"/>
      <c r="V16" s="176"/>
      <c r="W16" s="176"/>
      <c r="X16" s="177"/>
      <c r="Y16" s="176"/>
      <c r="Z16" s="178"/>
      <c r="AA16" s="176"/>
      <c r="AB16" s="176"/>
      <c r="AC16" s="176"/>
      <c r="AD16" s="176"/>
      <c r="AE16" s="177"/>
      <c r="AF16" s="168" t="str">
        <f aca="false">A16</f>
        <v>out</v>
      </c>
      <c r="AG16" s="146"/>
      <c r="AH16" s="179"/>
      <c r="AI16" s="180"/>
      <c r="AJ16" s="172"/>
      <c r="AK16" s="172"/>
      <c r="AL16" s="172"/>
      <c r="AM16" s="171"/>
      <c r="AN16" s="172"/>
      <c r="AO16" s="172"/>
      <c r="AP16" s="39"/>
    </row>
    <row r="17" s="148" customFormat="true" ht="15" hidden="false" customHeight="true" outlineLevel="0" collapsed="false">
      <c r="A17" s="175" t="s">
        <v>128</v>
      </c>
      <c r="B17" s="176"/>
      <c r="C17" s="176"/>
      <c r="D17" s="176"/>
      <c r="E17" s="177"/>
      <c r="F17" s="176"/>
      <c r="G17" s="176"/>
      <c r="H17" s="176"/>
      <c r="I17" s="176"/>
      <c r="J17" s="177"/>
      <c r="K17" s="176"/>
      <c r="L17" s="177"/>
      <c r="M17" s="176"/>
      <c r="N17" s="176"/>
      <c r="O17" s="176"/>
      <c r="P17" s="176"/>
      <c r="Q17" s="177"/>
      <c r="R17" s="176"/>
      <c r="S17" s="177"/>
      <c r="T17" s="177"/>
      <c r="U17" s="176"/>
      <c r="V17" s="176"/>
      <c r="W17" s="176"/>
      <c r="X17" s="177"/>
      <c r="Y17" s="176"/>
      <c r="Z17" s="178"/>
      <c r="AA17" s="176"/>
      <c r="AB17" s="176"/>
      <c r="AC17" s="176"/>
      <c r="AD17" s="176"/>
      <c r="AE17" s="177"/>
      <c r="AF17" s="168" t="str">
        <f aca="false">A17</f>
        <v>in</v>
      </c>
      <c r="AG17" s="146"/>
      <c r="AH17" s="179"/>
      <c r="AI17" s="180"/>
      <c r="AJ17" s="172"/>
      <c r="AK17" s="172"/>
      <c r="AL17" s="172"/>
      <c r="AM17" s="171"/>
      <c r="AN17" s="172"/>
      <c r="AO17" s="172"/>
      <c r="AP17" s="39"/>
    </row>
    <row r="18" s="148" customFormat="true" ht="15" hidden="false" customHeight="true" outlineLevel="0" collapsed="false">
      <c r="A18" s="175" t="s">
        <v>129</v>
      </c>
      <c r="B18" s="176"/>
      <c r="C18" s="176"/>
      <c r="D18" s="176"/>
      <c r="E18" s="177"/>
      <c r="F18" s="176"/>
      <c r="G18" s="176"/>
      <c r="H18" s="176"/>
      <c r="I18" s="176"/>
      <c r="J18" s="177"/>
      <c r="K18" s="176"/>
      <c r="L18" s="177"/>
      <c r="M18" s="176"/>
      <c r="N18" s="176"/>
      <c r="O18" s="176"/>
      <c r="P18" s="176"/>
      <c r="Q18" s="177"/>
      <c r="R18" s="176"/>
      <c r="S18" s="177"/>
      <c r="T18" s="177"/>
      <c r="U18" s="176"/>
      <c r="V18" s="176"/>
      <c r="W18" s="176"/>
      <c r="X18" s="177"/>
      <c r="Y18" s="176"/>
      <c r="Z18" s="178"/>
      <c r="AA18" s="176"/>
      <c r="AB18" s="176"/>
      <c r="AC18" s="176"/>
      <c r="AD18" s="176"/>
      <c r="AE18" s="177"/>
      <c r="AF18" s="168" t="str">
        <f aca="false">A18</f>
        <v>out</v>
      </c>
      <c r="AG18" s="146"/>
      <c r="AH18" s="179"/>
      <c r="AI18" s="180"/>
      <c r="AJ18" s="172"/>
      <c r="AK18" s="172"/>
      <c r="AL18" s="172"/>
      <c r="AM18" s="171"/>
      <c r="AN18" s="172"/>
      <c r="AO18" s="172"/>
      <c r="AP18" s="39"/>
    </row>
    <row r="19" s="148" customFormat="true" ht="15" hidden="true" customHeight="true" outlineLevel="1" collapsed="false">
      <c r="A19" s="175" t="s">
        <v>128</v>
      </c>
      <c r="B19" s="176"/>
      <c r="C19" s="176"/>
      <c r="D19" s="176"/>
      <c r="E19" s="177"/>
      <c r="F19" s="176"/>
      <c r="G19" s="176"/>
      <c r="H19" s="176"/>
      <c r="I19" s="176"/>
      <c r="J19" s="177"/>
      <c r="K19" s="176"/>
      <c r="L19" s="177"/>
      <c r="M19" s="176"/>
      <c r="N19" s="176"/>
      <c r="O19" s="176"/>
      <c r="P19" s="176"/>
      <c r="Q19" s="177"/>
      <c r="R19" s="176"/>
      <c r="S19" s="177"/>
      <c r="T19" s="177"/>
      <c r="U19" s="176"/>
      <c r="V19" s="176"/>
      <c r="W19" s="176"/>
      <c r="X19" s="177"/>
      <c r="Y19" s="176"/>
      <c r="Z19" s="178"/>
      <c r="AA19" s="176"/>
      <c r="AB19" s="176"/>
      <c r="AC19" s="176"/>
      <c r="AD19" s="176"/>
      <c r="AE19" s="177"/>
      <c r="AF19" s="168" t="str">
        <f aca="false">A19</f>
        <v>in</v>
      </c>
      <c r="AG19" s="146"/>
      <c r="AH19" s="179"/>
      <c r="AI19" s="180"/>
      <c r="AJ19" s="172"/>
      <c r="AK19" s="172"/>
      <c r="AL19" s="172"/>
      <c r="AM19" s="171"/>
      <c r="AN19" s="172"/>
      <c r="AO19" s="172"/>
      <c r="AP19" s="39"/>
    </row>
    <row r="20" s="148" customFormat="true" ht="15" hidden="true" customHeight="true" outlineLevel="1" collapsed="false">
      <c r="A20" s="175" t="s">
        <v>129</v>
      </c>
      <c r="B20" s="176"/>
      <c r="C20" s="176"/>
      <c r="D20" s="176"/>
      <c r="E20" s="177"/>
      <c r="F20" s="176"/>
      <c r="G20" s="176"/>
      <c r="H20" s="176"/>
      <c r="I20" s="176"/>
      <c r="J20" s="177"/>
      <c r="K20" s="176"/>
      <c r="L20" s="177"/>
      <c r="M20" s="176"/>
      <c r="N20" s="176"/>
      <c r="O20" s="176"/>
      <c r="P20" s="176"/>
      <c r="Q20" s="177"/>
      <c r="R20" s="176"/>
      <c r="S20" s="177"/>
      <c r="T20" s="177"/>
      <c r="U20" s="176"/>
      <c r="V20" s="176"/>
      <c r="W20" s="176"/>
      <c r="X20" s="177"/>
      <c r="Y20" s="176"/>
      <c r="Z20" s="178"/>
      <c r="AA20" s="176"/>
      <c r="AB20" s="176"/>
      <c r="AC20" s="176"/>
      <c r="AD20" s="176"/>
      <c r="AE20" s="177"/>
      <c r="AF20" s="168" t="str">
        <f aca="false">A20</f>
        <v>out</v>
      </c>
      <c r="AG20" s="146"/>
      <c r="AH20" s="179"/>
      <c r="AI20" s="180"/>
      <c r="AJ20" s="172"/>
      <c r="AK20" s="172"/>
      <c r="AL20" s="172"/>
      <c r="AM20" s="171"/>
      <c r="AN20" s="172"/>
      <c r="AO20" s="172"/>
      <c r="AP20" s="39"/>
    </row>
    <row r="21" s="148" customFormat="true" ht="15" hidden="true" customHeight="true" outlineLevel="1" collapsed="false">
      <c r="A21" s="175" t="s">
        <v>128</v>
      </c>
      <c r="B21" s="176"/>
      <c r="C21" s="176"/>
      <c r="D21" s="176"/>
      <c r="E21" s="177"/>
      <c r="F21" s="176"/>
      <c r="G21" s="176"/>
      <c r="H21" s="176"/>
      <c r="I21" s="176"/>
      <c r="J21" s="177"/>
      <c r="K21" s="176"/>
      <c r="L21" s="177"/>
      <c r="M21" s="176"/>
      <c r="N21" s="176"/>
      <c r="O21" s="176"/>
      <c r="P21" s="176"/>
      <c r="Q21" s="177"/>
      <c r="R21" s="176"/>
      <c r="S21" s="177"/>
      <c r="T21" s="177"/>
      <c r="U21" s="176"/>
      <c r="V21" s="176"/>
      <c r="W21" s="176"/>
      <c r="X21" s="177"/>
      <c r="Y21" s="176"/>
      <c r="Z21" s="178"/>
      <c r="AA21" s="176"/>
      <c r="AB21" s="176"/>
      <c r="AC21" s="176"/>
      <c r="AD21" s="176"/>
      <c r="AE21" s="177"/>
      <c r="AF21" s="168" t="str">
        <f aca="false">A21</f>
        <v>in</v>
      </c>
      <c r="AG21" s="146"/>
      <c r="AH21" s="179"/>
      <c r="AI21" s="180"/>
      <c r="AJ21" s="172"/>
      <c r="AK21" s="172"/>
      <c r="AL21" s="172"/>
      <c r="AM21" s="171"/>
      <c r="AN21" s="172"/>
      <c r="AO21" s="172"/>
      <c r="AP21" s="39"/>
    </row>
    <row r="22" s="148" customFormat="true" ht="15" hidden="true" customHeight="true" outlineLevel="1" collapsed="false">
      <c r="A22" s="175" t="s">
        <v>129</v>
      </c>
      <c r="B22" s="176"/>
      <c r="C22" s="176"/>
      <c r="D22" s="176"/>
      <c r="E22" s="177"/>
      <c r="F22" s="176"/>
      <c r="G22" s="176"/>
      <c r="H22" s="176"/>
      <c r="I22" s="176"/>
      <c r="J22" s="177"/>
      <c r="K22" s="176"/>
      <c r="L22" s="177"/>
      <c r="M22" s="176"/>
      <c r="N22" s="176"/>
      <c r="O22" s="176"/>
      <c r="P22" s="176"/>
      <c r="Q22" s="177"/>
      <c r="R22" s="176"/>
      <c r="S22" s="177"/>
      <c r="T22" s="177"/>
      <c r="U22" s="176"/>
      <c r="V22" s="176"/>
      <c r="W22" s="176"/>
      <c r="X22" s="177"/>
      <c r="Y22" s="176"/>
      <c r="Z22" s="178"/>
      <c r="AA22" s="176"/>
      <c r="AB22" s="176"/>
      <c r="AC22" s="176"/>
      <c r="AD22" s="176"/>
      <c r="AE22" s="177"/>
      <c r="AF22" s="168" t="str">
        <f aca="false">A22</f>
        <v>out</v>
      </c>
      <c r="AG22" s="146"/>
      <c r="AH22" s="179"/>
      <c r="AI22" s="180"/>
      <c r="AJ22" s="172"/>
      <c r="AK22" s="172"/>
      <c r="AL22" s="172"/>
      <c r="AM22" s="171"/>
      <c r="AN22" s="172"/>
      <c r="AO22" s="172"/>
      <c r="AP22" s="39"/>
    </row>
    <row r="23" s="148" customFormat="true" ht="15" hidden="false" customHeight="true" outlineLevel="0" collapsed="false">
      <c r="A23" s="181" t="s">
        <v>130</v>
      </c>
      <c r="B23" s="182" t="n">
        <f aca="false">ROUND((B14-B13)+(B16-B15)+(B18-B17)+(B20-B19)+(B22-B21),9)</f>
        <v>0</v>
      </c>
      <c r="C23" s="182" t="n">
        <f aca="false">ROUND((C14-C13)+(C16-C15)+(C18-C17)+(C20-C19)+(C22-C21),9)</f>
        <v>0</v>
      </c>
      <c r="D23" s="182" t="n">
        <f aca="false">ROUND((D14-D13)+(D16-D15)+(D18-D17)+(D20-D19)+(D22-D21),9)</f>
        <v>0</v>
      </c>
      <c r="E23" s="182" t="n">
        <f aca="false">ROUND((E14-E13)+(E16-E15)+(E18-E17)+(E20-E19)+(E22-E21),9)</f>
        <v>0</v>
      </c>
      <c r="F23" s="182" t="n">
        <f aca="false">ROUND((F14-F13)+(F16-F15)+(F18-F17)+(F20-F19)+(F22-F21),9)</f>
        <v>0</v>
      </c>
      <c r="G23" s="182" t="n">
        <f aca="false">ROUND((G14-G13)+(G16-G15)+(G18-G17)+(G20-G19)+(G22-G21),9)</f>
        <v>0</v>
      </c>
      <c r="H23" s="182" t="n">
        <f aca="false">ROUND((H14-H13)+(H16-H15)+(H18-H17)+(H20-H19)+(H22-H21),9)</f>
        <v>0</v>
      </c>
      <c r="I23" s="182" t="n">
        <f aca="false">ROUND((I14-I13)+(I16-I15)+(I18-I17)+(I20-I19)+(I22-I21),9)</f>
        <v>0</v>
      </c>
      <c r="J23" s="182" t="n">
        <f aca="false">ROUND((J14-J13)+(J16-J15)+(J18-J17)+(J20-J19)+(J22-J21),9)</f>
        <v>0</v>
      </c>
      <c r="K23" s="182" t="n">
        <f aca="false">ROUND((K14-K13)+(K16-K15)+(K18-K17)+(K20-K19)+(K22-K21),9)</f>
        <v>0</v>
      </c>
      <c r="L23" s="182" t="n">
        <f aca="false">ROUND((L14-L13)+(L16-L15)+(L18-L17)+(L20-L19)+(L22-L21),9)</f>
        <v>0</v>
      </c>
      <c r="M23" s="182" t="n">
        <f aca="false">ROUND((M14-M13)+(M16-M15)+(M18-M17)+(M20-M19)+(M22-M21),9)</f>
        <v>0</v>
      </c>
      <c r="N23" s="182" t="n">
        <f aca="false">ROUND((N14-N13)+(N16-N15)+(N18-N17)+(N20-N19)+(N22-N21),9)</f>
        <v>0</v>
      </c>
      <c r="O23" s="182" t="n">
        <f aca="false">ROUND((O14-O13)+(O16-O15)+(O18-O17)+(O20-O19)+(O22-O21),9)</f>
        <v>0</v>
      </c>
      <c r="P23" s="182" t="n">
        <f aca="false">ROUND((P14-P13)+(P16-P15)+(P18-P17)+(P20-P19)+(P22-P21),9)</f>
        <v>0</v>
      </c>
      <c r="Q23" s="182" t="n">
        <f aca="false">ROUND((Q14-Q13)+(Q16-Q15)+(Q18-Q17)+(Q20-Q19)+(Q22-Q21),9)</f>
        <v>0</v>
      </c>
      <c r="R23" s="182" t="n">
        <f aca="false">ROUND((R14-R13)+(R16-R15)+(R18-R17)+(R20-R19)+(R22-R21),9)</f>
        <v>0</v>
      </c>
      <c r="S23" s="182" t="n">
        <f aca="false">ROUND((S14-S13)+(S16-S15)+(S18-S17)+(S20-S19)+(S22-S21),9)</f>
        <v>0</v>
      </c>
      <c r="T23" s="182" t="n">
        <f aca="false">ROUND((T14-T13)+(T16-T15)+(T18-T17)+(T20-T19)+(T22-T21),9)</f>
        <v>0</v>
      </c>
      <c r="U23" s="182" t="n">
        <f aca="false">ROUND((U14-U13)+(U16-U15)+(U18-U17)+(U20-U19)+(U22-U21),9)</f>
        <v>0</v>
      </c>
      <c r="V23" s="182" t="n">
        <f aca="false">ROUND((V14-V13)+(V16-V15)+(V18-V17)+(V20-V19)+(V22-V21),9)</f>
        <v>0</v>
      </c>
      <c r="W23" s="182" t="n">
        <f aca="false">ROUND((W14-W13)+(W16-W15)+(W18-W17)+(W20-W19)+(W22-W21),9)</f>
        <v>0</v>
      </c>
      <c r="X23" s="182" t="n">
        <f aca="false">ROUND((X14-X13)+(X16-X15)+(X18-X17)+(X20-X19)+(X22-X21),9)</f>
        <v>0</v>
      </c>
      <c r="Y23" s="182" t="n">
        <f aca="false">ROUND((Y14-Y13)+(Y16-Y15)+(Y18-Y17)+(Y20-Y19)+(Y22-Y21),9)</f>
        <v>0</v>
      </c>
      <c r="Z23" s="182" t="n">
        <f aca="false">ROUND((Z14-Z13)+(Z16-Z15)+(Z18-Z17)+(Z20-Z19)+(Z22-Z21),9)</f>
        <v>0</v>
      </c>
      <c r="AA23" s="182" t="n">
        <f aca="false">ROUND((AA14-AA13)+(AA16-AA15)+(AA18-AA17)+(AA20-AA19)+(AA22-AA21),9)</f>
        <v>0</v>
      </c>
      <c r="AB23" s="182" t="n">
        <f aca="false">ROUND((AB14-AB13)+(AB16-AB15)+(AB18-AB17)+(AB20-AB19)+(AB22-AB21),9)</f>
        <v>0</v>
      </c>
      <c r="AC23" s="182" t="n">
        <f aca="false">ROUND((AC14-AC13)+(AC16-AC15)+(AC18-AC17)+(AC20-AC19)+(AC22-AC21),9)</f>
        <v>0</v>
      </c>
      <c r="AD23" s="182" t="n">
        <f aca="false">ROUND((AD14-AD13)+(AD16-AD15)+(AD18-AD17)+(AD20-AD19)+(AD22-AD21),9)</f>
        <v>0</v>
      </c>
      <c r="AE23" s="182" t="n">
        <f aca="false">ROUND((AE14-AE13)+(AE16-AE15)+(AE18-AE17)+(AE20-AE19)+(AE22-AE21),9)</f>
        <v>0</v>
      </c>
      <c r="AF23" s="183" t="str">
        <f aca="false">A23</f>
        <v>Total in/out</v>
      </c>
      <c r="AG23" s="184"/>
      <c r="AH23" s="185" t="n">
        <f aca="false">SUM(B23:AE23)</f>
        <v>0</v>
      </c>
      <c r="AI23" s="180"/>
      <c r="AJ23" s="172"/>
      <c r="AK23" s="172"/>
      <c r="AL23" s="172"/>
      <c r="AM23" s="171"/>
      <c r="AN23" s="172"/>
      <c r="AO23" s="172"/>
      <c r="AP23" s="39"/>
    </row>
    <row r="24" s="148" customFormat="true" ht="3.75" hidden="true" customHeight="true" outlineLevel="1" collapsed="false">
      <c r="A24" s="186"/>
      <c r="B24" s="187"/>
      <c r="C24" s="187"/>
      <c r="D24" s="187"/>
      <c r="E24" s="187"/>
      <c r="F24" s="187"/>
      <c r="G24" s="187"/>
      <c r="H24" s="187"/>
      <c r="I24" s="187"/>
      <c r="J24" s="187"/>
      <c r="K24" s="187"/>
      <c r="L24" s="187"/>
      <c r="M24" s="187"/>
      <c r="N24" s="187"/>
      <c r="O24" s="187"/>
      <c r="P24" s="187"/>
      <c r="Q24" s="187"/>
      <c r="R24" s="187"/>
      <c r="S24" s="187"/>
      <c r="T24" s="187"/>
      <c r="U24" s="187"/>
      <c r="V24" s="187"/>
      <c r="W24" s="187"/>
      <c r="X24" s="187"/>
      <c r="Y24" s="187"/>
      <c r="Z24" s="187"/>
      <c r="AA24" s="187"/>
      <c r="AB24" s="187"/>
      <c r="AC24" s="187"/>
      <c r="AD24" s="187"/>
      <c r="AE24" s="187"/>
      <c r="AF24" s="168"/>
      <c r="AG24" s="146"/>
      <c r="AH24" s="179"/>
      <c r="AI24" s="180"/>
      <c r="AJ24" s="172"/>
      <c r="AK24" s="172"/>
      <c r="AL24" s="172"/>
      <c r="AM24" s="171"/>
      <c r="AN24" s="172"/>
      <c r="AO24" s="172"/>
      <c r="AP24" s="39"/>
    </row>
    <row r="25" s="148" customFormat="true" ht="15" hidden="true" customHeight="true" outlineLevel="1" collapsed="false">
      <c r="A25" s="175" t="s">
        <v>131</v>
      </c>
      <c r="B25" s="176"/>
      <c r="C25" s="176"/>
      <c r="D25" s="176"/>
      <c r="E25" s="189"/>
      <c r="F25" s="176"/>
      <c r="G25" s="176"/>
      <c r="H25" s="176"/>
      <c r="I25" s="176"/>
      <c r="J25" s="176"/>
      <c r="K25" s="176"/>
      <c r="L25" s="176"/>
      <c r="M25" s="176"/>
      <c r="N25" s="176"/>
      <c r="O25" s="176"/>
      <c r="P25" s="176"/>
      <c r="Q25" s="176"/>
      <c r="R25" s="176"/>
      <c r="S25" s="176"/>
      <c r="T25" s="176"/>
      <c r="U25" s="176"/>
      <c r="V25" s="176"/>
      <c r="W25" s="176"/>
      <c r="X25" s="176"/>
      <c r="Y25" s="176"/>
      <c r="Z25" s="190"/>
      <c r="AA25" s="176"/>
      <c r="AB25" s="176"/>
      <c r="AC25" s="176"/>
      <c r="AD25" s="176"/>
      <c r="AE25" s="176"/>
      <c r="AF25" s="168" t="str">
        <f aca="false">A25</f>
        <v>paid break in</v>
      </c>
      <c r="AG25" s="146"/>
      <c r="AH25" s="179"/>
      <c r="AI25" s="180"/>
      <c r="AJ25" s="172"/>
      <c r="AK25" s="172"/>
      <c r="AL25" s="172"/>
      <c r="AM25" s="171"/>
      <c r="AN25" s="172"/>
      <c r="AO25" s="172"/>
      <c r="AP25" s="39"/>
    </row>
    <row r="26" s="148" customFormat="true" ht="15" hidden="true" customHeight="true" outlineLevel="1" collapsed="false">
      <c r="A26" s="175" t="s">
        <v>132</v>
      </c>
      <c r="B26" s="176"/>
      <c r="C26" s="176"/>
      <c r="D26" s="176"/>
      <c r="E26" s="176"/>
      <c r="F26" s="176"/>
      <c r="G26" s="176"/>
      <c r="H26" s="176"/>
      <c r="I26" s="176"/>
      <c r="J26" s="176"/>
      <c r="K26" s="176"/>
      <c r="L26" s="176"/>
      <c r="M26" s="176"/>
      <c r="N26" s="176"/>
      <c r="O26" s="176"/>
      <c r="P26" s="176"/>
      <c r="Q26" s="176"/>
      <c r="R26" s="176"/>
      <c r="S26" s="176"/>
      <c r="T26" s="176"/>
      <c r="U26" s="176"/>
      <c r="V26" s="176"/>
      <c r="W26" s="176"/>
      <c r="X26" s="176"/>
      <c r="Y26" s="176"/>
      <c r="Z26" s="190"/>
      <c r="AA26" s="176"/>
      <c r="AB26" s="176"/>
      <c r="AC26" s="176"/>
      <c r="AD26" s="176"/>
      <c r="AE26" s="176"/>
      <c r="AF26" s="168" t="str">
        <f aca="false">A26</f>
        <v>paid break out</v>
      </c>
      <c r="AG26" s="146"/>
      <c r="AH26" s="179"/>
      <c r="AI26" s="180"/>
      <c r="AJ26" s="172"/>
      <c r="AK26" s="172"/>
      <c r="AL26" s="172"/>
      <c r="AM26" s="171"/>
      <c r="AN26" s="172"/>
      <c r="AO26" s="172"/>
      <c r="AP26" s="39"/>
    </row>
    <row r="27" s="148" customFormat="true" ht="15" hidden="true" customHeight="true" outlineLevel="1" collapsed="false">
      <c r="A27" s="175" t="s">
        <v>131</v>
      </c>
      <c r="B27" s="176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90"/>
      <c r="AA27" s="176"/>
      <c r="AB27" s="176"/>
      <c r="AC27" s="176"/>
      <c r="AD27" s="176"/>
      <c r="AE27" s="176"/>
      <c r="AF27" s="168" t="str">
        <f aca="false">A27</f>
        <v>paid break in</v>
      </c>
      <c r="AG27" s="146"/>
      <c r="AH27" s="179"/>
      <c r="AI27" s="180"/>
      <c r="AJ27" s="172"/>
      <c r="AK27" s="172"/>
      <c r="AL27" s="172"/>
      <c r="AM27" s="171"/>
      <c r="AN27" s="172"/>
      <c r="AO27" s="172"/>
      <c r="AP27" s="39"/>
    </row>
    <row r="28" s="148" customFormat="true" ht="15" hidden="true" customHeight="true" outlineLevel="1" collapsed="false">
      <c r="A28" s="175" t="s">
        <v>132</v>
      </c>
      <c r="B28" s="176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90"/>
      <c r="AA28" s="176"/>
      <c r="AB28" s="176"/>
      <c r="AC28" s="176"/>
      <c r="AD28" s="176"/>
      <c r="AE28" s="176"/>
      <c r="AF28" s="168" t="str">
        <f aca="false">A28</f>
        <v>paid break out</v>
      </c>
      <c r="AG28" s="146"/>
      <c r="AH28" s="179"/>
      <c r="AI28" s="180"/>
      <c r="AJ28" s="172"/>
      <c r="AK28" s="172"/>
      <c r="AL28" s="172"/>
      <c r="AM28" s="171"/>
      <c r="AN28" s="172"/>
      <c r="AO28" s="172"/>
      <c r="AP28" s="39"/>
    </row>
    <row r="29" s="148" customFormat="true" ht="15" hidden="true" customHeight="true" outlineLevel="1" collapsed="false">
      <c r="A29" s="175" t="s">
        <v>131</v>
      </c>
      <c r="B29" s="176"/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90"/>
      <c r="AA29" s="176"/>
      <c r="AB29" s="176"/>
      <c r="AC29" s="176"/>
      <c r="AD29" s="176"/>
      <c r="AE29" s="176"/>
      <c r="AF29" s="168" t="str">
        <f aca="false">A29</f>
        <v>paid break in</v>
      </c>
      <c r="AG29" s="146"/>
      <c r="AH29" s="179"/>
      <c r="AI29" s="180"/>
      <c r="AJ29" s="172"/>
      <c r="AK29" s="172"/>
      <c r="AL29" s="172"/>
      <c r="AM29" s="171"/>
      <c r="AN29" s="172"/>
      <c r="AO29" s="172"/>
      <c r="AP29" s="39"/>
    </row>
    <row r="30" s="148" customFormat="true" ht="15" hidden="true" customHeight="true" outlineLevel="1" collapsed="false">
      <c r="A30" s="175" t="s">
        <v>132</v>
      </c>
      <c r="B30" s="176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90"/>
      <c r="AA30" s="176"/>
      <c r="AB30" s="176"/>
      <c r="AC30" s="176"/>
      <c r="AD30" s="176"/>
      <c r="AE30" s="176"/>
      <c r="AF30" s="168" t="str">
        <f aca="false">A30</f>
        <v>paid break out</v>
      </c>
      <c r="AG30" s="146"/>
      <c r="AH30" s="179"/>
      <c r="AI30" s="180"/>
      <c r="AJ30" s="172"/>
      <c r="AK30" s="172"/>
      <c r="AL30" s="172"/>
      <c r="AM30" s="171"/>
      <c r="AN30" s="172"/>
      <c r="AO30" s="172"/>
      <c r="AP30" s="39"/>
    </row>
    <row r="31" s="148" customFormat="true" ht="3.75" hidden="true" customHeight="true" outlineLevel="1" collapsed="false">
      <c r="A31" s="186"/>
      <c r="B31" s="191"/>
      <c r="C31" s="191"/>
      <c r="D31" s="191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  <c r="AA31" s="191"/>
      <c r="AB31" s="191"/>
      <c r="AC31" s="191"/>
      <c r="AD31" s="191"/>
      <c r="AE31" s="191"/>
      <c r="AF31" s="168"/>
      <c r="AG31" s="146"/>
      <c r="AH31" s="179"/>
      <c r="AI31" s="180"/>
      <c r="AJ31" s="172"/>
      <c r="AK31" s="172"/>
      <c r="AL31" s="172"/>
      <c r="AM31" s="171"/>
      <c r="AN31" s="172"/>
      <c r="AO31" s="172"/>
      <c r="AP31" s="39"/>
    </row>
    <row r="32" s="148" customFormat="true" ht="15" hidden="true" customHeight="true" outlineLevel="1" collapsed="false">
      <c r="A32" s="181" t="s">
        <v>133</v>
      </c>
      <c r="B32" s="193" t="n">
        <f aca="false">ROUND(IF(MAX(0,B15-B14)&lt;1/24/60*180,MAX(0,B15-B14),0)+IF(MAX(0,B17-B16)&lt;1/24/60*180,MAX(0,B17-B16),0)+IF(MAX(0,B19-B18)&lt;1/24/60*180,MAX(0,B19-B18),0)+IF(MAX(0,B21-B20)&lt;1/24/60*180,MAX(0,B21-B20))+MAX(0,B26-B25)+MAX(0,B28-B27)+MAX(0,B30-B29),9)</f>
        <v>0</v>
      </c>
      <c r="C32" s="193" t="n">
        <f aca="false">ROUND(IF(MAX(0,C15-C14)&lt;1/24/60*180,MAX(0,C15-C14),0)+IF(MAX(0,C17-C16)&lt;1/24/60*180,MAX(0,C17-C16),0)+IF(MAX(0,C19-C18)&lt;1/24/60*180,MAX(0,C19-C18),0)+IF(MAX(0,C21-C20)&lt;1/24/60*180,MAX(0,C21-C20))+MAX(0,C26-C25)+MAX(0,C28-C27)+MAX(0,C30-C29),9)</f>
        <v>0</v>
      </c>
      <c r="D32" s="193" t="n">
        <f aca="false">ROUND(IF(MAX(0,D15-D14)&lt;1/24/60*180,MAX(0,D15-D14),0)+IF(MAX(0,D17-D16)&lt;1/24/60*180,MAX(0,D17-D16),0)+IF(MAX(0,D19-D18)&lt;1/24/60*180,MAX(0,D19-D18),0)+IF(MAX(0,D21-D20)&lt;1/24/60*180,MAX(0,D21-D20))+MAX(0,D26-D25)+MAX(0,D28-D27)+MAX(0,D30-D29),9)</f>
        <v>0</v>
      </c>
      <c r="E32" s="193" t="n">
        <f aca="false">ROUND(IF(MAX(0,E15-E14)&lt;1/24/60*180,MAX(0,E15-E14),0)+IF(MAX(0,E17-E16)&lt;1/24/60*180,MAX(0,E17-E16),0)+IF(MAX(0,E19-E18)&lt;1/24/60*180,MAX(0,E19-E18),0)+IF(MAX(0,E21-E20)&lt;1/24/60*180,MAX(0,E21-E20))+MAX(0,E26-E25)+MAX(0,E28-E27)+MAX(0,E30-E29),9)</f>
        <v>0</v>
      </c>
      <c r="F32" s="193" t="n">
        <f aca="false">ROUND(IF(MAX(0,F15-F14)&lt;1/24/60*180,MAX(0,F15-F14),0)+IF(MAX(0,F17-F16)&lt;1/24/60*180,MAX(0,F17-F16),0)+IF(MAX(0,F19-F18)&lt;1/24/60*180,MAX(0,F19-F18),0)+IF(MAX(0,F21-F20)&lt;1/24/60*180,MAX(0,F21-F20))+MAX(0,F26-F25)+MAX(0,F28-F27)+MAX(0,F30-F29),9)</f>
        <v>0</v>
      </c>
      <c r="G32" s="193" t="n">
        <f aca="false">ROUND(IF(MAX(0,G15-G14)&lt;1/24/60*180,MAX(0,G15-G14),0)+IF(MAX(0,G17-G16)&lt;1/24/60*180,MAX(0,G17-G16),0)+IF(MAX(0,G19-G18)&lt;1/24/60*180,MAX(0,G19-G18),0)+IF(MAX(0,G21-G20)&lt;1/24/60*180,MAX(0,G21-G20))+MAX(0,G26-G25)+MAX(0,G28-G27)+MAX(0,G30-G29),9)</f>
        <v>0</v>
      </c>
      <c r="H32" s="193" t="n">
        <f aca="false">ROUND(IF(MAX(0,H15-H14)&lt;1/24/60*180,MAX(0,H15-H14),0)+IF(MAX(0,H17-H16)&lt;1/24/60*180,MAX(0,H17-H16),0)+IF(MAX(0,H19-H18)&lt;1/24/60*180,MAX(0,H19-H18),0)+IF(MAX(0,H21-H20)&lt;1/24/60*180,MAX(0,H21-H20))+MAX(0,H26-H25)+MAX(0,H28-H27)+MAX(0,H30-H29),9)</f>
        <v>0</v>
      </c>
      <c r="I32" s="193" t="n">
        <f aca="false">ROUND(IF(MAX(0,I15-I14)&lt;1/24/60*180,MAX(0,I15-I14),0)+IF(MAX(0,I17-I16)&lt;1/24/60*180,MAX(0,I17-I16),0)+IF(MAX(0,I19-I18)&lt;1/24/60*180,MAX(0,I19-I18),0)+IF(MAX(0,I21-I20)&lt;1/24/60*180,MAX(0,I21-I20))+MAX(0,I26-I25)+MAX(0,I28-I27)+MAX(0,I30-I29),9)</f>
        <v>0</v>
      </c>
      <c r="J32" s="193" t="n">
        <f aca="false">ROUND(IF(MAX(0,J15-J14)&lt;1/24/60*180,MAX(0,J15-J14),0)+IF(MAX(0,J17-J16)&lt;1/24/60*180,MAX(0,J17-J16),0)+IF(MAX(0,J19-J18)&lt;1/24/60*180,MAX(0,J19-J18),0)+IF(MAX(0,J21-J20)&lt;1/24/60*180,MAX(0,J21-J20))+MAX(0,J26-J25)+MAX(0,J28-J27)+MAX(0,J30-J29),9)</f>
        <v>0</v>
      </c>
      <c r="K32" s="193" t="n">
        <f aca="false">ROUND(IF(MAX(0,K15-K14)&lt;1/24/60*180,MAX(0,K15-K14),0)+IF(MAX(0,K17-K16)&lt;1/24/60*180,MAX(0,K17-K16),0)+IF(MAX(0,K19-K18)&lt;1/24/60*180,MAX(0,K19-K18),0)+IF(MAX(0,K21-K20)&lt;1/24/60*180,MAX(0,K21-K20))+MAX(0,K26-K25)+MAX(0,K28-K27)+MAX(0,K30-K29),9)</f>
        <v>0</v>
      </c>
      <c r="L32" s="193" t="n">
        <f aca="false">ROUND(IF(MAX(0,L15-L14)&lt;1/24/60*180,MAX(0,L15-L14),0)+IF(MAX(0,L17-L16)&lt;1/24/60*180,MAX(0,L17-L16),0)+IF(MAX(0,L19-L18)&lt;1/24/60*180,MAX(0,L19-L18),0)+IF(MAX(0,L21-L20)&lt;1/24/60*180,MAX(0,L21-L20))+MAX(0,L26-L25)+MAX(0,L28-L27)+MAX(0,L30-L29),9)</f>
        <v>0</v>
      </c>
      <c r="M32" s="193" t="n">
        <f aca="false">ROUND(IF(MAX(0,M15-M14)&lt;1/24/60*180,MAX(0,M15-M14),0)+IF(MAX(0,M17-M16)&lt;1/24/60*180,MAX(0,M17-M16),0)+IF(MAX(0,M19-M18)&lt;1/24/60*180,MAX(0,M19-M18),0)+IF(MAX(0,M21-M20)&lt;1/24/60*180,MAX(0,M21-M20))+MAX(0,M26-M25)+MAX(0,M28-M27)+MAX(0,M30-M29),9)</f>
        <v>0</v>
      </c>
      <c r="N32" s="193" t="n">
        <f aca="false">ROUND(IF(MAX(0,N15-N14)&lt;1/24/60*180,MAX(0,N15-N14),0)+IF(MAX(0,N17-N16)&lt;1/24/60*180,MAX(0,N17-N16),0)+IF(MAX(0,N19-N18)&lt;1/24/60*180,MAX(0,N19-N18),0)+IF(MAX(0,N21-N20)&lt;1/24/60*180,MAX(0,N21-N20))+MAX(0,N26-N25)+MAX(0,N28-N27)+MAX(0,N30-N29),9)</f>
        <v>0</v>
      </c>
      <c r="O32" s="193" t="n">
        <f aca="false">ROUND(IF(MAX(0,O15-O14)&lt;1/24/60*180,MAX(0,O15-O14),0)+IF(MAX(0,O17-O16)&lt;1/24/60*180,MAX(0,O17-O16),0)+IF(MAX(0,O19-O18)&lt;1/24/60*180,MAX(0,O19-O18),0)+IF(MAX(0,O21-O20)&lt;1/24/60*180,MAX(0,O21-O20))+MAX(0,O26-O25)+MAX(0,O28-O27)+MAX(0,O30-O29),9)</f>
        <v>0</v>
      </c>
      <c r="P32" s="193" t="n">
        <f aca="false">ROUND(IF(MAX(0,P15-P14)&lt;1/24/60*180,MAX(0,P15-P14),0)+IF(MAX(0,P17-P16)&lt;1/24/60*180,MAX(0,P17-P16),0)+IF(MAX(0,P19-P18)&lt;1/24/60*180,MAX(0,P19-P18),0)+IF(MAX(0,P21-P20)&lt;1/24/60*180,MAX(0,P21-P20))+MAX(0,P26-P25)+MAX(0,P28-P27)+MAX(0,P30-P29),9)</f>
        <v>0</v>
      </c>
      <c r="Q32" s="193" t="n">
        <f aca="false">ROUND(IF(MAX(0,Q15-Q14)&lt;1/24/60*180,MAX(0,Q15-Q14),0)+IF(MAX(0,Q17-Q16)&lt;1/24/60*180,MAX(0,Q17-Q16),0)+IF(MAX(0,Q19-Q18)&lt;1/24/60*180,MAX(0,Q19-Q18),0)+IF(MAX(0,Q21-Q20)&lt;1/24/60*180,MAX(0,Q21-Q20))+MAX(0,Q26-Q25)+MAX(0,Q28-Q27)+MAX(0,Q30-Q29),9)</f>
        <v>0</v>
      </c>
      <c r="R32" s="193" t="n">
        <f aca="false">ROUND(IF(MAX(0,R15-R14)&lt;1/24/60*180,MAX(0,R15-R14),0)+IF(MAX(0,R17-R16)&lt;1/24/60*180,MAX(0,R17-R16),0)+IF(MAX(0,R19-R18)&lt;1/24/60*180,MAX(0,R19-R18),0)+IF(MAX(0,R21-R20)&lt;1/24/60*180,MAX(0,R21-R20))+MAX(0,R26-R25)+MAX(0,R28-R27)+MAX(0,R30-R29),9)</f>
        <v>0</v>
      </c>
      <c r="S32" s="193" t="n">
        <f aca="false">ROUND(IF(MAX(0,S15-S14)&lt;1/24/60*180,MAX(0,S15-S14),0)+IF(MAX(0,S17-S16)&lt;1/24/60*180,MAX(0,S17-S16),0)+IF(MAX(0,S19-S18)&lt;1/24/60*180,MAX(0,S19-S18),0)+IF(MAX(0,S21-S20)&lt;1/24/60*180,MAX(0,S21-S20))+MAX(0,S26-S25)+MAX(0,S28-S27)+MAX(0,S30-S29),9)</f>
        <v>0</v>
      </c>
      <c r="T32" s="193" t="n">
        <f aca="false">ROUND(IF(MAX(0,T15-T14)&lt;1/24/60*180,MAX(0,T15-T14),0)+IF(MAX(0,T17-T16)&lt;1/24/60*180,MAX(0,T17-T16),0)+IF(MAX(0,T19-T18)&lt;1/24/60*180,MAX(0,T19-T18),0)+IF(MAX(0,T21-T20)&lt;1/24/60*180,MAX(0,T21-T20))+MAX(0,T26-T25)+MAX(0,T28-T27)+MAX(0,T30-T29),9)</f>
        <v>0</v>
      </c>
      <c r="U32" s="193" t="n">
        <f aca="false">ROUND(IF(MAX(0,U15-U14)&lt;1/24/60*180,MAX(0,U15-U14),0)+IF(MAX(0,U17-U16)&lt;1/24/60*180,MAX(0,U17-U16),0)+IF(MAX(0,U19-U18)&lt;1/24/60*180,MAX(0,U19-U18),0)+IF(MAX(0,U21-U20)&lt;1/24/60*180,MAX(0,U21-U20))+MAX(0,U26-U25)+MAX(0,U28-U27)+MAX(0,U30-U29),9)</f>
        <v>0</v>
      </c>
      <c r="V32" s="193" t="n">
        <f aca="false">ROUND(IF(MAX(0,V15-V14)&lt;1/24/60*180,MAX(0,V15-V14),0)+IF(MAX(0,V17-V16)&lt;1/24/60*180,MAX(0,V17-V16),0)+IF(MAX(0,V19-V18)&lt;1/24/60*180,MAX(0,V19-V18),0)+IF(MAX(0,V21-V20)&lt;1/24/60*180,MAX(0,V21-V20))+MAX(0,V26-V25)+MAX(0,V28-V27)+MAX(0,V30-V29),9)</f>
        <v>0</v>
      </c>
      <c r="W32" s="193" t="n">
        <f aca="false">ROUND(IF(MAX(0,W15-W14)&lt;1/24/60*180,MAX(0,W15-W14),0)+IF(MAX(0,W17-W16)&lt;1/24/60*180,MAX(0,W17-W16),0)+IF(MAX(0,W19-W18)&lt;1/24/60*180,MAX(0,W19-W18),0)+IF(MAX(0,W21-W20)&lt;1/24/60*180,MAX(0,W21-W20))+MAX(0,W26-W25)+MAX(0,W28-W27)+MAX(0,W30-W29),9)</f>
        <v>0</v>
      </c>
      <c r="X32" s="193" t="n">
        <f aca="false">ROUND(IF(MAX(0,X15-X14)&lt;1/24/60*180,MAX(0,X15-X14),0)+IF(MAX(0,X17-X16)&lt;1/24/60*180,MAX(0,X17-X16),0)+IF(MAX(0,X19-X18)&lt;1/24/60*180,MAX(0,X19-X18),0)+IF(MAX(0,X21-X20)&lt;1/24/60*180,MAX(0,X21-X20))+MAX(0,X26-X25)+MAX(0,X28-X27)+MAX(0,X30-X29),9)</f>
        <v>0</v>
      </c>
      <c r="Y32" s="193" t="n">
        <f aca="false">ROUND(IF(MAX(0,Y15-Y14)&lt;1/24/60*180,MAX(0,Y15-Y14),0)+IF(MAX(0,Y17-Y16)&lt;1/24/60*180,MAX(0,Y17-Y16),0)+IF(MAX(0,Y19-Y18)&lt;1/24/60*180,MAX(0,Y19-Y18),0)+IF(MAX(0,Y21-Y20)&lt;1/24/60*180,MAX(0,Y21-Y20))+MAX(0,Y26-Y25)+MAX(0,Y28-Y27)+MAX(0,Y30-Y29),9)</f>
        <v>0</v>
      </c>
      <c r="Z32" s="193" t="n">
        <f aca="false">ROUND(IF(MAX(0,Z15-Z14)&lt;1/24/60*180,MAX(0,Z15-Z14),0)+IF(MAX(0,Z17-Z16)&lt;1/24/60*180,MAX(0,Z17-Z16),0)+IF(MAX(0,Z19-Z18)&lt;1/24/60*180,MAX(0,Z19-Z18),0)+IF(MAX(0,Z21-Z20)&lt;1/24/60*180,MAX(0,Z21-Z20))+MAX(0,Z26-Z25)+MAX(0,Z28-Z27)+MAX(0,Z30-Z29),9)</f>
        <v>0</v>
      </c>
      <c r="AA32" s="193" t="n">
        <f aca="false">ROUND(IF(MAX(0,AA15-AA14)&lt;1/24/60*180,MAX(0,AA15-AA14),0)+IF(MAX(0,AA17-AA16)&lt;1/24/60*180,MAX(0,AA17-AA16),0)+IF(MAX(0,AA19-AA18)&lt;1/24/60*180,MAX(0,AA19-AA18),0)+IF(MAX(0,AA21-AA20)&lt;1/24/60*180,MAX(0,AA21-AA20))+MAX(0,AA26-AA25)+MAX(0,AA28-AA27)+MAX(0,AA30-AA29),9)</f>
        <v>0</v>
      </c>
      <c r="AB32" s="193" t="n">
        <f aca="false">ROUND(IF(MAX(0,AB15-AB14)&lt;1/24/60*180,MAX(0,AB15-AB14),0)+IF(MAX(0,AB17-AB16)&lt;1/24/60*180,MAX(0,AB17-AB16),0)+IF(MAX(0,AB19-AB18)&lt;1/24/60*180,MAX(0,AB19-AB18),0)+IF(MAX(0,AB21-AB20)&lt;1/24/60*180,MAX(0,AB21-AB20))+MAX(0,AB26-AB25)+MAX(0,AB28-AB27)+MAX(0,AB30-AB29),9)</f>
        <v>0</v>
      </c>
      <c r="AC32" s="193" t="n">
        <f aca="false">ROUND(IF(MAX(0,AC15-AC14)&lt;1/24/60*180,MAX(0,AC15-AC14),0)+IF(MAX(0,AC17-AC16)&lt;1/24/60*180,MAX(0,AC17-AC16),0)+IF(MAX(0,AC19-AC18)&lt;1/24/60*180,MAX(0,AC19-AC18),0)+IF(MAX(0,AC21-AC20)&lt;1/24/60*180,MAX(0,AC21-AC20))+MAX(0,AC26-AC25)+MAX(0,AC28-AC27)+MAX(0,AC30-AC29),9)</f>
        <v>0</v>
      </c>
      <c r="AD32" s="193" t="n">
        <f aca="false">ROUND(IF(MAX(0,AD15-AD14)&lt;1/24/60*180,MAX(0,AD15-AD14),0)+IF(MAX(0,AD17-AD16)&lt;1/24/60*180,MAX(0,AD17-AD16),0)+IF(MAX(0,AD19-AD18)&lt;1/24/60*180,MAX(0,AD19-AD18),0)+IF(MAX(0,AD21-AD20)&lt;1/24/60*180,MAX(0,AD21-AD20))+MAX(0,AD26-AD25)+MAX(0,AD28-AD27)+MAX(0,AD30-AD29),9)</f>
        <v>0</v>
      </c>
      <c r="AE32" s="193" t="n">
        <f aca="false">ROUND(IF(MAX(0,AE15-AE14)&lt;1/24/60*180,MAX(0,AE15-AE14),0)+IF(MAX(0,AE17-AE16)&lt;1/24/60*180,MAX(0,AE17-AE16),0)+IF(MAX(0,AE19-AE18)&lt;1/24/60*180,MAX(0,AE19-AE18),0)+IF(MAX(0,AE21-AE20)&lt;1/24/60*180,MAX(0,AE21-AE20))+MAX(0,AE26-AE25)+MAX(0,AE28-AE27)+MAX(0,AE30-AE29),9)</f>
        <v>0</v>
      </c>
      <c r="AF32" s="183" t="str">
        <f aca="false">A32</f>
        <v>Total breaks (in out/paid)</v>
      </c>
      <c r="AG32" s="184"/>
      <c r="AH32" s="185" t="n">
        <f aca="false">SUM(B32:AE32)</f>
        <v>0</v>
      </c>
      <c r="AI32" s="180"/>
      <c r="AJ32" s="172"/>
      <c r="AK32" s="172"/>
      <c r="AL32" s="172"/>
      <c r="AM32" s="171"/>
      <c r="AN32" s="172"/>
      <c r="AO32" s="172"/>
      <c r="AP32" s="39"/>
    </row>
    <row r="33" s="148" customFormat="true" ht="3.75" hidden="false" customHeight="true" outlineLevel="0" collapsed="false">
      <c r="A33" s="186"/>
      <c r="B33" s="194"/>
      <c r="C33" s="194"/>
      <c r="D33" s="194"/>
      <c r="E33" s="194"/>
      <c r="F33" s="194"/>
      <c r="G33" s="194"/>
      <c r="H33" s="194"/>
      <c r="I33" s="194"/>
      <c r="J33" s="194"/>
      <c r="K33" s="194"/>
      <c r="L33" s="194"/>
      <c r="M33" s="194"/>
      <c r="N33" s="194"/>
      <c r="O33" s="194"/>
      <c r="P33" s="194"/>
      <c r="Q33" s="194"/>
      <c r="R33" s="194"/>
      <c r="S33" s="194"/>
      <c r="T33" s="194"/>
      <c r="U33" s="194"/>
      <c r="V33" s="194"/>
      <c r="W33" s="194"/>
      <c r="X33" s="194"/>
      <c r="Y33" s="194"/>
      <c r="Z33" s="194"/>
      <c r="AA33" s="194"/>
      <c r="AB33" s="194"/>
      <c r="AC33" s="194"/>
      <c r="AD33" s="194"/>
      <c r="AE33" s="194"/>
      <c r="AF33" s="168"/>
      <c r="AG33" s="146"/>
      <c r="AH33" s="179"/>
      <c r="AI33" s="180"/>
      <c r="AJ33" s="172"/>
      <c r="AK33" s="172"/>
      <c r="AL33" s="172"/>
      <c r="AM33" s="171"/>
      <c r="AN33" s="172"/>
      <c r="AO33" s="172"/>
      <c r="AP33" s="39"/>
    </row>
    <row r="34" s="148" customFormat="true" ht="15" hidden="false" customHeight="true" outlineLevel="1" collapsed="false">
      <c r="A34" s="175" t="s">
        <v>134</v>
      </c>
      <c r="B34" s="196" t="str">
        <f aca="true">IF(EB.Anwendung&lt;&gt;"",IF(EB.Wochenarbeitszeit=50/24,INDEX(T.Pikett.Bereich,1),IF(DAY(B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Monat.Pikett,IF(MONTH(Monat.Tag1)=8,July!Monat.Pikett,IF(MONTH(Monat.Tag1)=9,August!Monat.Pikett,IF(MONTH(Monat.Tag1)=10,September!Monat.Pikett,IF(MONTH(Monat.Tag1)=11,October!Monat.Pikett,IF(MONTH(Monat.Tag1)=12,November!Monat.Pikett,"")))))))))))),IF(A34="B",INDEX(T.Pikett.Bereich,4),IF(A34="E",INDEX(T.Pikett.Bereich,1),A34)))),"")</f>
        <v>No</v>
      </c>
      <c r="C34" s="196" t="str">
        <f aca="true">IF(EB.Anwendung&lt;&gt;"",IF(EB.Wochenarbeitszeit=50/24,INDEX(T.Pikett.Bereich,1),IF(DAY(C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Monat.Pikett,IF(MONTH(Monat.Tag1)=8,July!Monat.Pikett,IF(MONTH(Monat.Tag1)=9,August!Monat.Pikett,IF(MONTH(Monat.Tag1)=10,September!Monat.Pikett,IF(MONTH(Monat.Tag1)=11,October!Monat.Pikett,IF(MONTH(Monat.Tag1)=12,November!Monat.Pikett,"")))))))))))),IF(B34="B",INDEX(T.Pikett.Bereich,4),IF(B34="E",INDEX(T.Pikett.Bereich,1),B34)))),"")</f>
        <v>No</v>
      </c>
      <c r="D34" s="196" t="str">
        <f aca="true">IF(EB.Anwendung&lt;&gt;"",IF(EB.Wochenarbeitszeit=50/24,INDEX(T.Pikett.Bereich,1),IF(DAY(D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Monat.Pikett,IF(MONTH(Monat.Tag1)=8,July!Monat.Pikett,IF(MONTH(Monat.Tag1)=9,August!Monat.Pikett,IF(MONTH(Monat.Tag1)=10,September!Monat.Pikett,IF(MONTH(Monat.Tag1)=11,October!Monat.Pikett,IF(MONTH(Monat.Tag1)=12,November!Monat.Pikett,"")))))))))))),IF(C34="B",INDEX(T.Pikett.Bereich,4),IF(C34="E",INDEX(T.Pikett.Bereich,1),C34)))),"")</f>
        <v>No</v>
      </c>
      <c r="E34" s="196" t="str">
        <f aca="true">IF(EB.Anwendung&lt;&gt;"",IF(EB.Wochenarbeitszeit=50/24,INDEX(T.Pikett.Bereich,1),IF(DAY(E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Monat.Pikett,IF(MONTH(Monat.Tag1)=8,July!Monat.Pikett,IF(MONTH(Monat.Tag1)=9,August!Monat.Pikett,IF(MONTH(Monat.Tag1)=10,September!Monat.Pikett,IF(MONTH(Monat.Tag1)=11,October!Monat.Pikett,IF(MONTH(Monat.Tag1)=12,November!Monat.Pikett,"")))))))))))),IF(D34="B",INDEX(T.Pikett.Bereich,4),IF(D34="E",INDEX(T.Pikett.Bereich,1),D34)))),"")</f>
        <v>No</v>
      </c>
      <c r="F34" s="196" t="str">
        <f aca="true">IF(EB.Anwendung&lt;&gt;"",IF(EB.Wochenarbeitszeit=50/24,INDEX(T.Pikett.Bereich,1),IF(DAY(F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Monat.Pikett,IF(MONTH(Monat.Tag1)=8,July!Monat.Pikett,IF(MONTH(Monat.Tag1)=9,August!Monat.Pikett,IF(MONTH(Monat.Tag1)=10,September!Monat.Pikett,IF(MONTH(Monat.Tag1)=11,October!Monat.Pikett,IF(MONTH(Monat.Tag1)=12,November!Monat.Pikett,"")))))))))))),IF(E34="B",INDEX(T.Pikett.Bereich,4),IF(E34="E",INDEX(T.Pikett.Bereich,1),E34)))),"")</f>
        <v>No</v>
      </c>
      <c r="G34" s="196" t="str">
        <f aca="true">IF(EB.Anwendung&lt;&gt;"",IF(EB.Wochenarbeitszeit=50/24,INDEX(T.Pikett.Bereich,1),IF(DAY(G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Monat.Pikett,IF(MONTH(Monat.Tag1)=8,July!Monat.Pikett,IF(MONTH(Monat.Tag1)=9,August!Monat.Pikett,IF(MONTH(Monat.Tag1)=10,September!Monat.Pikett,IF(MONTH(Monat.Tag1)=11,October!Monat.Pikett,IF(MONTH(Monat.Tag1)=12,November!Monat.Pikett,"")))))))))))),IF(F34="B",INDEX(T.Pikett.Bereich,4),IF(F34="E",INDEX(T.Pikett.Bereich,1),F34)))),"")</f>
        <v>No</v>
      </c>
      <c r="H34" s="196" t="str">
        <f aca="true">IF(EB.Anwendung&lt;&gt;"",IF(EB.Wochenarbeitszeit=50/24,INDEX(T.Pikett.Bereich,1),IF(DAY(H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Monat.Pikett,IF(MONTH(Monat.Tag1)=8,July!Monat.Pikett,IF(MONTH(Monat.Tag1)=9,August!Monat.Pikett,IF(MONTH(Monat.Tag1)=10,September!Monat.Pikett,IF(MONTH(Monat.Tag1)=11,October!Monat.Pikett,IF(MONTH(Monat.Tag1)=12,November!Monat.Pikett,"")))))))))))),IF(G34="B",INDEX(T.Pikett.Bereich,4),IF(G34="E",INDEX(T.Pikett.Bereich,1),G34)))),"")</f>
        <v>No</v>
      </c>
      <c r="I34" s="196" t="str">
        <f aca="true">IF(EB.Anwendung&lt;&gt;"",IF(EB.Wochenarbeitszeit=50/24,INDEX(T.Pikett.Bereich,1),IF(DAY(I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Monat.Pikett,IF(MONTH(Monat.Tag1)=8,July!Monat.Pikett,IF(MONTH(Monat.Tag1)=9,August!Monat.Pikett,IF(MONTH(Monat.Tag1)=10,September!Monat.Pikett,IF(MONTH(Monat.Tag1)=11,October!Monat.Pikett,IF(MONTH(Monat.Tag1)=12,November!Monat.Pikett,"")))))))))))),IF(H34="B",INDEX(T.Pikett.Bereich,4),IF(H34="E",INDEX(T.Pikett.Bereich,1),H34)))),"")</f>
        <v>No</v>
      </c>
      <c r="J34" s="196" t="str">
        <f aca="true">IF(EB.Anwendung&lt;&gt;"",IF(EB.Wochenarbeitszeit=50/24,INDEX(T.Pikett.Bereich,1),IF(DAY(J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Monat.Pikett,IF(MONTH(Monat.Tag1)=8,July!Monat.Pikett,IF(MONTH(Monat.Tag1)=9,August!Monat.Pikett,IF(MONTH(Monat.Tag1)=10,September!Monat.Pikett,IF(MONTH(Monat.Tag1)=11,October!Monat.Pikett,IF(MONTH(Monat.Tag1)=12,November!Monat.Pikett,"")))))))))))),IF(I34="B",INDEX(T.Pikett.Bereich,4),IF(I34="E",INDEX(T.Pikett.Bereich,1),I34)))),"")</f>
        <v>No</v>
      </c>
      <c r="K34" s="196" t="str">
        <f aca="true">IF(EB.Anwendung&lt;&gt;"",IF(EB.Wochenarbeitszeit=50/24,INDEX(T.Pikett.Bereich,1),IF(DAY(K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Monat.Pikett,IF(MONTH(Monat.Tag1)=8,July!Monat.Pikett,IF(MONTH(Monat.Tag1)=9,August!Monat.Pikett,IF(MONTH(Monat.Tag1)=10,September!Monat.Pikett,IF(MONTH(Monat.Tag1)=11,October!Monat.Pikett,IF(MONTH(Monat.Tag1)=12,November!Monat.Pikett,"")))))))))))),IF(J34="B",INDEX(T.Pikett.Bereich,4),IF(J34="E",INDEX(T.Pikett.Bereich,1),J34)))),"")</f>
        <v>No</v>
      </c>
      <c r="L34" s="196" t="str">
        <f aca="true">IF(EB.Anwendung&lt;&gt;"",IF(EB.Wochenarbeitszeit=50/24,INDEX(T.Pikett.Bereich,1),IF(DAY(L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Monat.Pikett,IF(MONTH(Monat.Tag1)=8,July!Monat.Pikett,IF(MONTH(Monat.Tag1)=9,August!Monat.Pikett,IF(MONTH(Monat.Tag1)=10,September!Monat.Pikett,IF(MONTH(Monat.Tag1)=11,October!Monat.Pikett,IF(MONTH(Monat.Tag1)=12,November!Monat.Pikett,"")))))))))))),IF(K34="B",INDEX(T.Pikett.Bereich,4),IF(K34="E",INDEX(T.Pikett.Bereich,1),K34)))),"")</f>
        <v>No</v>
      </c>
      <c r="M34" s="196" t="str">
        <f aca="true">IF(EB.Anwendung&lt;&gt;"",IF(EB.Wochenarbeitszeit=50/24,INDEX(T.Pikett.Bereich,1),IF(DAY(M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Monat.Pikett,IF(MONTH(Monat.Tag1)=8,July!Monat.Pikett,IF(MONTH(Monat.Tag1)=9,August!Monat.Pikett,IF(MONTH(Monat.Tag1)=10,September!Monat.Pikett,IF(MONTH(Monat.Tag1)=11,October!Monat.Pikett,IF(MONTH(Monat.Tag1)=12,November!Monat.Pikett,"")))))))))))),IF(L34="B",INDEX(T.Pikett.Bereich,4),IF(L34="E",INDEX(T.Pikett.Bereich,1),L34)))),"")</f>
        <v>No</v>
      </c>
      <c r="N34" s="196" t="str">
        <f aca="true">IF(EB.Anwendung&lt;&gt;"",IF(EB.Wochenarbeitszeit=50/24,INDEX(T.Pikett.Bereich,1),IF(DAY(N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Monat.Pikett,IF(MONTH(Monat.Tag1)=8,July!Monat.Pikett,IF(MONTH(Monat.Tag1)=9,August!Monat.Pikett,IF(MONTH(Monat.Tag1)=10,September!Monat.Pikett,IF(MONTH(Monat.Tag1)=11,October!Monat.Pikett,IF(MONTH(Monat.Tag1)=12,November!Monat.Pikett,"")))))))))))),IF(M34="B",INDEX(T.Pikett.Bereich,4),IF(M34="E",INDEX(T.Pikett.Bereich,1),M34)))),"")</f>
        <v>No</v>
      </c>
      <c r="O34" s="196" t="str">
        <f aca="true">IF(EB.Anwendung&lt;&gt;"",IF(EB.Wochenarbeitszeit=50/24,INDEX(T.Pikett.Bereich,1),IF(DAY(O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Monat.Pikett,IF(MONTH(Monat.Tag1)=8,July!Monat.Pikett,IF(MONTH(Monat.Tag1)=9,August!Monat.Pikett,IF(MONTH(Monat.Tag1)=10,September!Monat.Pikett,IF(MONTH(Monat.Tag1)=11,October!Monat.Pikett,IF(MONTH(Monat.Tag1)=12,November!Monat.Pikett,"")))))))))))),IF(N34="B",INDEX(T.Pikett.Bereich,4),IF(N34="E",INDEX(T.Pikett.Bereich,1),N34)))),"")</f>
        <v>No</v>
      </c>
      <c r="P34" s="196" t="str">
        <f aca="true">IF(EB.Anwendung&lt;&gt;"",IF(EB.Wochenarbeitszeit=50/24,INDEX(T.Pikett.Bereich,1),IF(DAY(P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Monat.Pikett,IF(MONTH(Monat.Tag1)=8,July!Monat.Pikett,IF(MONTH(Monat.Tag1)=9,August!Monat.Pikett,IF(MONTH(Monat.Tag1)=10,September!Monat.Pikett,IF(MONTH(Monat.Tag1)=11,October!Monat.Pikett,IF(MONTH(Monat.Tag1)=12,November!Monat.Pikett,"")))))))))))),IF(O34="B",INDEX(T.Pikett.Bereich,4),IF(O34="E",INDEX(T.Pikett.Bereich,1),O34)))),"")</f>
        <v>No</v>
      </c>
      <c r="Q34" s="196" t="str">
        <f aca="true">IF(EB.Anwendung&lt;&gt;"",IF(EB.Wochenarbeitszeit=50/24,INDEX(T.Pikett.Bereich,1),IF(DAY(Q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Monat.Pikett,IF(MONTH(Monat.Tag1)=8,July!Monat.Pikett,IF(MONTH(Monat.Tag1)=9,August!Monat.Pikett,IF(MONTH(Monat.Tag1)=10,September!Monat.Pikett,IF(MONTH(Monat.Tag1)=11,October!Monat.Pikett,IF(MONTH(Monat.Tag1)=12,November!Monat.Pikett,"")))))))))))),IF(P34="B",INDEX(T.Pikett.Bereich,4),IF(P34="E",INDEX(T.Pikett.Bereich,1),P34)))),"")</f>
        <v>No</v>
      </c>
      <c r="R34" s="196" t="str">
        <f aca="true">IF(EB.Anwendung&lt;&gt;"",IF(EB.Wochenarbeitszeit=50/24,INDEX(T.Pikett.Bereich,1),IF(DAY(R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Monat.Pikett,IF(MONTH(Monat.Tag1)=8,July!Monat.Pikett,IF(MONTH(Monat.Tag1)=9,August!Monat.Pikett,IF(MONTH(Monat.Tag1)=10,September!Monat.Pikett,IF(MONTH(Monat.Tag1)=11,October!Monat.Pikett,IF(MONTH(Monat.Tag1)=12,November!Monat.Pikett,"")))))))))))),IF(Q34="B",INDEX(T.Pikett.Bereich,4),IF(Q34="E",INDEX(T.Pikett.Bereich,1),Q34)))),"")</f>
        <v>No</v>
      </c>
      <c r="S34" s="196" t="str">
        <f aca="true">IF(EB.Anwendung&lt;&gt;"",IF(EB.Wochenarbeitszeit=50/24,INDEX(T.Pikett.Bereich,1),IF(DAY(S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Monat.Pikett,IF(MONTH(Monat.Tag1)=8,July!Monat.Pikett,IF(MONTH(Monat.Tag1)=9,August!Monat.Pikett,IF(MONTH(Monat.Tag1)=10,September!Monat.Pikett,IF(MONTH(Monat.Tag1)=11,October!Monat.Pikett,IF(MONTH(Monat.Tag1)=12,November!Monat.Pikett,"")))))))))))),IF(R34="B",INDEX(T.Pikett.Bereich,4),IF(R34="E",INDEX(T.Pikett.Bereich,1),R34)))),"")</f>
        <v>No</v>
      </c>
      <c r="T34" s="196" t="str">
        <f aca="true">IF(EB.Anwendung&lt;&gt;"",IF(EB.Wochenarbeitszeit=50/24,INDEX(T.Pikett.Bereich,1),IF(DAY(T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Monat.Pikett,IF(MONTH(Monat.Tag1)=8,July!Monat.Pikett,IF(MONTH(Monat.Tag1)=9,August!Monat.Pikett,IF(MONTH(Monat.Tag1)=10,September!Monat.Pikett,IF(MONTH(Monat.Tag1)=11,October!Monat.Pikett,IF(MONTH(Monat.Tag1)=12,November!Monat.Pikett,"")))))))))))),IF(S34="B",INDEX(T.Pikett.Bereich,4),IF(S34="E",INDEX(T.Pikett.Bereich,1),S34)))),"")</f>
        <v>No</v>
      </c>
      <c r="U34" s="196" t="str">
        <f aca="true">IF(EB.Anwendung&lt;&gt;"",IF(EB.Wochenarbeitszeit=50/24,INDEX(T.Pikett.Bereich,1),IF(DAY(U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Monat.Pikett,IF(MONTH(Monat.Tag1)=8,July!Monat.Pikett,IF(MONTH(Monat.Tag1)=9,August!Monat.Pikett,IF(MONTH(Monat.Tag1)=10,September!Monat.Pikett,IF(MONTH(Monat.Tag1)=11,October!Monat.Pikett,IF(MONTH(Monat.Tag1)=12,November!Monat.Pikett,"")))))))))))),IF(T34="B",INDEX(T.Pikett.Bereich,4),IF(T34="E",INDEX(T.Pikett.Bereich,1),T34)))),"")</f>
        <v>No</v>
      </c>
      <c r="V34" s="196" t="str">
        <f aca="true">IF(EB.Anwendung&lt;&gt;"",IF(EB.Wochenarbeitszeit=50/24,INDEX(T.Pikett.Bereich,1),IF(DAY(V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Monat.Pikett,IF(MONTH(Monat.Tag1)=8,July!Monat.Pikett,IF(MONTH(Monat.Tag1)=9,August!Monat.Pikett,IF(MONTH(Monat.Tag1)=10,September!Monat.Pikett,IF(MONTH(Monat.Tag1)=11,October!Monat.Pikett,IF(MONTH(Monat.Tag1)=12,November!Monat.Pikett,"")))))))))))),IF(U34="B",INDEX(T.Pikett.Bereich,4),IF(U34="E",INDEX(T.Pikett.Bereich,1),U34)))),"")</f>
        <v>No</v>
      </c>
      <c r="W34" s="196" t="str">
        <f aca="true">IF(EB.Anwendung&lt;&gt;"",IF(EB.Wochenarbeitszeit=50/24,INDEX(T.Pikett.Bereich,1),IF(DAY(W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Monat.Pikett,IF(MONTH(Monat.Tag1)=8,July!Monat.Pikett,IF(MONTH(Monat.Tag1)=9,August!Monat.Pikett,IF(MONTH(Monat.Tag1)=10,September!Monat.Pikett,IF(MONTH(Monat.Tag1)=11,October!Monat.Pikett,IF(MONTH(Monat.Tag1)=12,November!Monat.Pikett,"")))))))))))),IF(V34="B",INDEX(T.Pikett.Bereich,4),IF(V34="E",INDEX(T.Pikett.Bereich,1),V34)))),"")</f>
        <v>No</v>
      </c>
      <c r="X34" s="196" t="str">
        <f aca="true">IF(EB.Anwendung&lt;&gt;"",IF(EB.Wochenarbeitszeit=50/24,INDEX(T.Pikett.Bereich,1),IF(DAY(X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Monat.Pikett,IF(MONTH(Monat.Tag1)=8,July!Monat.Pikett,IF(MONTH(Monat.Tag1)=9,August!Monat.Pikett,IF(MONTH(Monat.Tag1)=10,September!Monat.Pikett,IF(MONTH(Monat.Tag1)=11,October!Monat.Pikett,IF(MONTH(Monat.Tag1)=12,November!Monat.Pikett,"")))))))))))),IF(W34="B",INDEX(T.Pikett.Bereich,4),IF(W34="E",INDEX(T.Pikett.Bereich,1),W34)))),"")</f>
        <v>No</v>
      </c>
      <c r="Y34" s="196" t="str">
        <f aca="true">IF(EB.Anwendung&lt;&gt;"",IF(EB.Wochenarbeitszeit=50/24,INDEX(T.Pikett.Bereich,1),IF(DAY(Y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Monat.Pikett,IF(MONTH(Monat.Tag1)=8,July!Monat.Pikett,IF(MONTH(Monat.Tag1)=9,August!Monat.Pikett,IF(MONTH(Monat.Tag1)=10,September!Monat.Pikett,IF(MONTH(Monat.Tag1)=11,October!Monat.Pikett,IF(MONTH(Monat.Tag1)=12,November!Monat.Pikett,"")))))))))))),IF(X34="B",INDEX(T.Pikett.Bereich,4),IF(X34="E",INDEX(T.Pikett.Bereich,1),X34)))),"")</f>
        <v>No</v>
      </c>
      <c r="Z34" s="196" t="str">
        <f aca="true">IF(EB.Anwendung&lt;&gt;"",IF(EB.Wochenarbeitszeit=50/24,INDEX(T.Pikett.Bereich,1),IF(DAY(Z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Monat.Pikett,IF(MONTH(Monat.Tag1)=8,July!Monat.Pikett,IF(MONTH(Monat.Tag1)=9,August!Monat.Pikett,IF(MONTH(Monat.Tag1)=10,September!Monat.Pikett,IF(MONTH(Monat.Tag1)=11,October!Monat.Pikett,IF(MONTH(Monat.Tag1)=12,November!Monat.Pikett,"")))))))))))),IF(Y34="B",INDEX(T.Pikett.Bereich,4),IF(Y34="E",INDEX(T.Pikett.Bereich,1),Y34)))),"")</f>
        <v>No</v>
      </c>
      <c r="AA34" s="196" t="str">
        <f aca="true">IF(EB.Anwendung&lt;&gt;"",IF(EB.Wochenarbeitszeit=50/24,INDEX(T.Pikett.Bereich,1),IF(DAY(AA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Monat.Pikett,IF(MONTH(Monat.Tag1)=8,July!Monat.Pikett,IF(MONTH(Monat.Tag1)=9,August!Monat.Pikett,IF(MONTH(Monat.Tag1)=10,September!Monat.Pikett,IF(MONTH(Monat.Tag1)=11,October!Monat.Pikett,IF(MONTH(Monat.Tag1)=12,November!Monat.Pikett,"")))))))))))),IF(Z34="B",INDEX(T.Pikett.Bereich,4),IF(Z34="E",INDEX(T.Pikett.Bereich,1),Z34)))),"")</f>
        <v>No</v>
      </c>
      <c r="AB34" s="196" t="str">
        <f aca="true">IF(EB.Anwendung&lt;&gt;"",IF(EB.Wochenarbeitszeit=50/24,INDEX(T.Pikett.Bereich,1),IF(DAY(AB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Monat.Pikett,IF(MONTH(Monat.Tag1)=8,July!Monat.Pikett,IF(MONTH(Monat.Tag1)=9,August!Monat.Pikett,IF(MONTH(Monat.Tag1)=10,September!Monat.Pikett,IF(MONTH(Monat.Tag1)=11,October!Monat.Pikett,IF(MONTH(Monat.Tag1)=12,November!Monat.Pikett,"")))))))))))),IF(AA34="B",INDEX(T.Pikett.Bereich,4),IF(AA34="E",INDEX(T.Pikett.Bereich,1),AA34)))),"")</f>
        <v>No</v>
      </c>
      <c r="AC34" s="196" t="str">
        <f aca="true">IF(EB.Anwendung&lt;&gt;"",IF(EB.Wochenarbeitszeit=50/24,INDEX(T.Pikett.Bereich,1),IF(DAY(AC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Monat.Pikett,IF(MONTH(Monat.Tag1)=8,July!Monat.Pikett,IF(MONTH(Monat.Tag1)=9,August!Monat.Pikett,IF(MONTH(Monat.Tag1)=10,September!Monat.Pikett,IF(MONTH(Monat.Tag1)=11,October!Monat.Pikett,IF(MONTH(Monat.Tag1)=12,November!Monat.Pikett,"")))))))))))),IF(AB34="B",INDEX(T.Pikett.Bereich,4),IF(AB34="E",INDEX(T.Pikett.Bereich,1),AB34)))),"")</f>
        <v>No</v>
      </c>
      <c r="AD34" s="196" t="str">
        <f aca="true">IF(EB.Anwendung&lt;&gt;"",IF(EB.Wochenarbeitszeit=50/24,INDEX(T.Pikett.Bereich,1),IF(DAY(AD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Monat.Pikett,IF(MONTH(Monat.Tag1)=8,July!Monat.Pikett,IF(MONTH(Monat.Tag1)=9,August!Monat.Pikett,IF(MONTH(Monat.Tag1)=10,September!Monat.Pikett,IF(MONTH(Monat.Tag1)=11,October!Monat.Pikett,IF(MONTH(Monat.Tag1)=12,November!Monat.Pikett,"")))))))))))),IF(AC34="B",INDEX(T.Pikett.Bereich,4),IF(AC34="E",INDEX(T.Pikett.Bereich,1),AC34)))),"")</f>
        <v>No</v>
      </c>
      <c r="AE34" s="196" t="str">
        <f aca="true">IF(EB.Anwendung&lt;&gt;"",IF(EB.Wochenarbeitszeit=50/24,INDEX(T.Pikett.Bereich,1),IF(DAY(AE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Monat.Pikett,IF(MONTH(Monat.Tag1)=8,July!Monat.Pikett,IF(MONTH(Monat.Tag1)=9,August!Monat.Pikett,IF(MONTH(Monat.Tag1)=10,September!Monat.Pikett,IF(MONTH(Monat.Tag1)=11,October!Monat.Pikett,IF(MONTH(Monat.Tag1)=12,November!Monat.Pikett,"")))))))))))),IF(AD34="B",INDEX(T.Pikett.Bereich,4),IF(AD34="E",INDEX(T.Pikett.Bereich,1),AD34)))),"")</f>
        <v>No</v>
      </c>
      <c r="AF34" s="183" t="str">
        <f aca="true">IF(OFFSET(B34,0,DAY(EOMONTH(Monat.Tag1,0))-1,1,1)="B",INDEX(T.Pikett.Bereich,4),IF(OFFSET(B34,0,DAY(EOMONTH(Monat.Tag1,0))-1,1,1)="E",INDEX(T.Pikett.Bereich,1),OFFSET(B34,0,DAY(EOMONTH(Monat.Tag1,0))-1,1,1)))</f>
        <v>No</v>
      </c>
      <c r="AG34" s="197"/>
      <c r="AH34" s="192"/>
      <c r="AI34" s="198" t="str">
        <f aca="true">IF(T.50_Vetsuisse,IFERROR(SUMPRODUCT((B34:AE34=INDEX(T.Pikett.Bereich,4))*((B49:AE49)&lt;1/24*5)),0) &amp; " / " &amp; IFERROR(SUMPRODUCT((B34:AE34=INDEX(T.Pikett.Bereich,4))*((B49:AE49)&gt;=1/24*5)),0) &amp; " / " &amp; IFERROR(SUMPRODUCT((B34:AE34=INDEX(T.Pikett.Bereich,4))*((B49:AE49)&lt;1/24*5)),0) + IFERROR(SUMPRODUCT((B34:AE34=INDEX(T.Pikett.Bereich,4))*((B49:AE49)&gt;=1/24*5)),0), IFERROR(SUMPRODUCT((B34:AE34=INDEX(T.Pikett.Bereich,4))*(WEEKDAY(B10:AE10,2)&lt;6)*(B11:AE11&lt;&gt;0)),0) &amp; " / " &amp; IFERROR(SUMPRODUCT((B34:AE34=INDEX(T.Pikett.Bereich,4))*(WEEKDAY(B10:AE10,2)&gt;5)*(B11:AE11&lt;&gt;0))+SUMPRODUCT((B34:AE34=INDEX(T.Pikett.Bereich,4))*(B11:AE11=0)),0) &amp; " / " &amp; IFERROR(SUMPRODUCT((B34:AE34=INDEX(T.Pikett.Bereich,4))*(WEEKDAY(B10:AE10,2)&lt;6)*(B11:AE11&lt;&gt;0)),0) + IFERROR(SUMPRODUCT((B34:AE34=INDEX(T.Pikett.Bereich,4))*(WEEKDAY(B10:AE10,2)&gt;5)*(B11:AE11&lt;&gt;0))+SUMPRODUCT((B34:AE34=INDEX(T.Pikett.Bereich,4))*(B11:AE11=0)),0))</f>
        <v>0 / 0 / 0</v>
      </c>
      <c r="AJ34" s="172"/>
      <c r="AK34" s="172"/>
      <c r="AL34" s="172"/>
      <c r="AM34" s="171"/>
      <c r="AN34" s="172"/>
      <c r="AO34" s="172"/>
      <c r="AP34" s="39"/>
    </row>
    <row r="35" s="148" customFormat="true" ht="15" hidden="false" customHeight="true" outlineLevel="1" collapsed="false">
      <c r="A35" s="175" t="s">
        <v>128</v>
      </c>
      <c r="B35" s="176"/>
      <c r="C35" s="176"/>
      <c r="D35" s="176"/>
      <c r="E35" s="177"/>
      <c r="F35" s="176"/>
      <c r="G35" s="176"/>
      <c r="H35" s="176"/>
      <c r="I35" s="176"/>
      <c r="J35" s="177"/>
      <c r="K35" s="176"/>
      <c r="L35" s="177"/>
      <c r="M35" s="176"/>
      <c r="N35" s="176"/>
      <c r="O35" s="176"/>
      <c r="P35" s="176"/>
      <c r="Q35" s="177"/>
      <c r="R35" s="176"/>
      <c r="S35" s="177"/>
      <c r="T35" s="177"/>
      <c r="U35" s="176"/>
      <c r="V35" s="176"/>
      <c r="W35" s="176"/>
      <c r="X35" s="177"/>
      <c r="Y35" s="176"/>
      <c r="Z35" s="178"/>
      <c r="AA35" s="176"/>
      <c r="AB35" s="176"/>
      <c r="AC35" s="176"/>
      <c r="AD35" s="176"/>
      <c r="AE35" s="177"/>
      <c r="AF35" s="168" t="str">
        <f aca="false">A35</f>
        <v>in</v>
      </c>
      <c r="AG35" s="146"/>
      <c r="AH35" s="179"/>
      <c r="AI35" s="180"/>
      <c r="AJ35" s="172"/>
      <c r="AK35" s="172"/>
      <c r="AL35" s="172"/>
      <c r="AM35" s="171"/>
      <c r="AN35" s="172"/>
      <c r="AO35" s="172"/>
      <c r="AP35" s="39"/>
    </row>
    <row r="36" s="148" customFormat="true" ht="15" hidden="false" customHeight="true" outlineLevel="1" collapsed="false">
      <c r="A36" s="175" t="s">
        <v>129</v>
      </c>
      <c r="B36" s="176"/>
      <c r="C36" s="176"/>
      <c r="D36" s="176"/>
      <c r="E36" s="177"/>
      <c r="F36" s="176"/>
      <c r="G36" s="176"/>
      <c r="H36" s="176"/>
      <c r="I36" s="176"/>
      <c r="J36" s="177"/>
      <c r="K36" s="176"/>
      <c r="L36" s="177"/>
      <c r="M36" s="176"/>
      <c r="N36" s="176"/>
      <c r="O36" s="176"/>
      <c r="P36" s="176"/>
      <c r="Q36" s="177"/>
      <c r="R36" s="176"/>
      <c r="S36" s="177"/>
      <c r="T36" s="177"/>
      <c r="U36" s="176"/>
      <c r="V36" s="176"/>
      <c r="W36" s="176"/>
      <c r="X36" s="177"/>
      <c r="Y36" s="176"/>
      <c r="Z36" s="178"/>
      <c r="AA36" s="176"/>
      <c r="AB36" s="176"/>
      <c r="AC36" s="176"/>
      <c r="AD36" s="176"/>
      <c r="AE36" s="177"/>
      <c r="AF36" s="168" t="str">
        <f aca="false">A36</f>
        <v>out</v>
      </c>
      <c r="AG36" s="146"/>
      <c r="AH36" s="179"/>
      <c r="AI36" s="180"/>
      <c r="AJ36" s="172"/>
      <c r="AK36" s="172"/>
      <c r="AL36" s="172"/>
      <c r="AM36" s="171"/>
      <c r="AN36" s="172"/>
      <c r="AO36" s="172"/>
      <c r="AP36" s="39"/>
    </row>
    <row r="37" s="148" customFormat="true" ht="15" hidden="false" customHeight="true" outlineLevel="1" collapsed="false">
      <c r="A37" s="175" t="s">
        <v>128</v>
      </c>
      <c r="B37" s="176"/>
      <c r="C37" s="176"/>
      <c r="D37" s="176"/>
      <c r="E37" s="177"/>
      <c r="F37" s="176"/>
      <c r="G37" s="176"/>
      <c r="H37" s="176"/>
      <c r="I37" s="176"/>
      <c r="J37" s="177"/>
      <c r="K37" s="176"/>
      <c r="L37" s="177"/>
      <c r="M37" s="176"/>
      <c r="N37" s="176"/>
      <c r="O37" s="176"/>
      <c r="P37" s="176"/>
      <c r="Q37" s="177"/>
      <c r="R37" s="176"/>
      <c r="S37" s="177"/>
      <c r="T37" s="177"/>
      <c r="U37" s="176"/>
      <c r="V37" s="176"/>
      <c r="W37" s="176"/>
      <c r="X37" s="177"/>
      <c r="Y37" s="176"/>
      <c r="Z37" s="178"/>
      <c r="AA37" s="176"/>
      <c r="AB37" s="176"/>
      <c r="AC37" s="176"/>
      <c r="AD37" s="176"/>
      <c r="AE37" s="177"/>
      <c r="AF37" s="168" t="str">
        <f aca="false">A37</f>
        <v>in</v>
      </c>
      <c r="AG37" s="146"/>
      <c r="AH37" s="179"/>
      <c r="AI37" s="180"/>
      <c r="AJ37" s="172"/>
      <c r="AK37" s="172"/>
      <c r="AL37" s="172"/>
      <c r="AM37" s="171"/>
      <c r="AN37" s="172"/>
      <c r="AO37" s="172"/>
      <c r="AP37" s="39"/>
    </row>
    <row r="38" s="148" customFormat="true" ht="15" hidden="false" customHeight="true" outlineLevel="1" collapsed="false">
      <c r="A38" s="175" t="s">
        <v>129</v>
      </c>
      <c r="B38" s="176"/>
      <c r="C38" s="176"/>
      <c r="D38" s="176"/>
      <c r="E38" s="177"/>
      <c r="F38" s="176"/>
      <c r="G38" s="176"/>
      <c r="H38" s="176"/>
      <c r="I38" s="176"/>
      <c r="J38" s="177"/>
      <c r="K38" s="176"/>
      <c r="L38" s="177"/>
      <c r="M38" s="176"/>
      <c r="N38" s="176"/>
      <c r="O38" s="176"/>
      <c r="P38" s="176"/>
      <c r="Q38" s="177"/>
      <c r="R38" s="176"/>
      <c r="S38" s="177"/>
      <c r="T38" s="177"/>
      <c r="U38" s="176"/>
      <c r="V38" s="176"/>
      <c r="W38" s="176"/>
      <c r="X38" s="177"/>
      <c r="Y38" s="176"/>
      <c r="Z38" s="178"/>
      <c r="AA38" s="176"/>
      <c r="AB38" s="176"/>
      <c r="AC38" s="176"/>
      <c r="AD38" s="176"/>
      <c r="AE38" s="177"/>
      <c r="AF38" s="168" t="str">
        <f aca="false">A38</f>
        <v>out</v>
      </c>
      <c r="AG38" s="146"/>
      <c r="AH38" s="179"/>
      <c r="AI38" s="180"/>
      <c r="AJ38" s="172"/>
      <c r="AK38" s="172"/>
      <c r="AL38" s="172"/>
      <c r="AM38" s="171"/>
      <c r="AN38" s="172"/>
      <c r="AO38" s="172"/>
      <c r="AP38" s="39"/>
    </row>
    <row r="39" s="148" customFormat="true" ht="15" hidden="false" customHeight="true" outlineLevel="1" collapsed="false">
      <c r="A39" s="175" t="s">
        <v>128</v>
      </c>
      <c r="B39" s="176"/>
      <c r="C39" s="176"/>
      <c r="D39" s="176"/>
      <c r="E39" s="177"/>
      <c r="F39" s="176"/>
      <c r="G39" s="176"/>
      <c r="H39" s="176"/>
      <c r="I39" s="176"/>
      <c r="J39" s="177"/>
      <c r="K39" s="176"/>
      <c r="L39" s="177"/>
      <c r="M39" s="176"/>
      <c r="N39" s="176"/>
      <c r="O39" s="176"/>
      <c r="P39" s="176"/>
      <c r="Q39" s="177"/>
      <c r="R39" s="176"/>
      <c r="S39" s="177"/>
      <c r="T39" s="177"/>
      <c r="U39" s="176"/>
      <c r="V39" s="176"/>
      <c r="W39" s="176"/>
      <c r="X39" s="177"/>
      <c r="Y39" s="176"/>
      <c r="Z39" s="178"/>
      <c r="AA39" s="176"/>
      <c r="AB39" s="176"/>
      <c r="AC39" s="176"/>
      <c r="AD39" s="176"/>
      <c r="AE39" s="177"/>
      <c r="AF39" s="168" t="str">
        <f aca="false">A39</f>
        <v>in</v>
      </c>
      <c r="AG39" s="146"/>
      <c r="AH39" s="179"/>
      <c r="AI39" s="180"/>
      <c r="AJ39" s="172"/>
      <c r="AK39" s="172"/>
      <c r="AL39" s="172"/>
      <c r="AM39" s="171"/>
      <c r="AN39" s="172"/>
      <c r="AO39" s="172"/>
      <c r="AP39" s="39"/>
    </row>
    <row r="40" s="148" customFormat="true" ht="15" hidden="false" customHeight="true" outlineLevel="1" collapsed="false">
      <c r="A40" s="175" t="s">
        <v>129</v>
      </c>
      <c r="B40" s="176"/>
      <c r="C40" s="176"/>
      <c r="D40" s="176"/>
      <c r="E40" s="177"/>
      <c r="F40" s="176"/>
      <c r="G40" s="176"/>
      <c r="H40" s="176"/>
      <c r="I40" s="176"/>
      <c r="J40" s="177"/>
      <c r="K40" s="176"/>
      <c r="L40" s="177"/>
      <c r="M40" s="176"/>
      <c r="N40" s="176"/>
      <c r="O40" s="176"/>
      <c r="P40" s="176"/>
      <c r="Q40" s="177"/>
      <c r="R40" s="176"/>
      <c r="S40" s="177"/>
      <c r="T40" s="177"/>
      <c r="U40" s="176"/>
      <c r="V40" s="176"/>
      <c r="W40" s="176"/>
      <c r="X40" s="177"/>
      <c r="Y40" s="176"/>
      <c r="Z40" s="178"/>
      <c r="AA40" s="176"/>
      <c r="AB40" s="176"/>
      <c r="AC40" s="176"/>
      <c r="AD40" s="176"/>
      <c r="AE40" s="177"/>
      <c r="AF40" s="168" t="str">
        <f aca="false">A40</f>
        <v>out</v>
      </c>
      <c r="AG40" s="146"/>
      <c r="AH40" s="179"/>
      <c r="AI40" s="180"/>
      <c r="AJ40" s="172"/>
      <c r="AK40" s="172"/>
      <c r="AL40" s="172"/>
      <c r="AM40" s="171"/>
      <c r="AN40" s="172"/>
      <c r="AO40" s="172"/>
      <c r="AP40" s="39"/>
    </row>
    <row r="41" s="148" customFormat="true" ht="15" hidden="true" customHeight="true" outlineLevel="1" collapsed="false">
      <c r="A41" s="175" t="s">
        <v>128</v>
      </c>
      <c r="B41" s="176"/>
      <c r="C41" s="176"/>
      <c r="D41" s="176"/>
      <c r="E41" s="177"/>
      <c r="F41" s="176"/>
      <c r="G41" s="176"/>
      <c r="H41" s="176"/>
      <c r="I41" s="176"/>
      <c r="J41" s="177"/>
      <c r="K41" s="176"/>
      <c r="L41" s="177"/>
      <c r="M41" s="176"/>
      <c r="N41" s="176"/>
      <c r="O41" s="176"/>
      <c r="P41" s="176"/>
      <c r="Q41" s="177"/>
      <c r="R41" s="176"/>
      <c r="S41" s="177"/>
      <c r="T41" s="177"/>
      <c r="U41" s="176"/>
      <c r="V41" s="176"/>
      <c r="W41" s="176"/>
      <c r="X41" s="177"/>
      <c r="Y41" s="176"/>
      <c r="Z41" s="178"/>
      <c r="AA41" s="176"/>
      <c r="AB41" s="176"/>
      <c r="AC41" s="176"/>
      <c r="AD41" s="176"/>
      <c r="AE41" s="177"/>
      <c r="AF41" s="168" t="str">
        <f aca="false">A41</f>
        <v>in</v>
      </c>
      <c r="AG41" s="146"/>
      <c r="AH41" s="179"/>
      <c r="AI41" s="180"/>
      <c r="AJ41" s="172"/>
      <c r="AK41" s="172"/>
      <c r="AL41" s="172"/>
      <c r="AM41" s="171"/>
      <c r="AN41" s="172"/>
      <c r="AO41" s="172"/>
      <c r="AP41" s="39"/>
    </row>
    <row r="42" s="148" customFormat="true" ht="15" hidden="true" customHeight="true" outlineLevel="1" collapsed="false">
      <c r="A42" s="175" t="s">
        <v>129</v>
      </c>
      <c r="B42" s="176"/>
      <c r="C42" s="176"/>
      <c r="D42" s="176"/>
      <c r="E42" s="177"/>
      <c r="F42" s="176"/>
      <c r="G42" s="176"/>
      <c r="H42" s="176"/>
      <c r="I42" s="176"/>
      <c r="J42" s="177"/>
      <c r="K42" s="176"/>
      <c r="L42" s="177"/>
      <c r="M42" s="176"/>
      <c r="N42" s="176"/>
      <c r="O42" s="176"/>
      <c r="P42" s="176"/>
      <c r="Q42" s="177"/>
      <c r="R42" s="176"/>
      <c r="S42" s="177"/>
      <c r="T42" s="177"/>
      <c r="U42" s="176"/>
      <c r="V42" s="176"/>
      <c r="W42" s="176"/>
      <c r="X42" s="177"/>
      <c r="Y42" s="176"/>
      <c r="Z42" s="178"/>
      <c r="AA42" s="176"/>
      <c r="AB42" s="176"/>
      <c r="AC42" s="176"/>
      <c r="AD42" s="176"/>
      <c r="AE42" s="177"/>
      <c r="AF42" s="168" t="str">
        <f aca="false">A42</f>
        <v>out</v>
      </c>
      <c r="AG42" s="146"/>
      <c r="AH42" s="179"/>
      <c r="AI42" s="180"/>
      <c r="AJ42" s="172"/>
      <c r="AK42" s="172"/>
      <c r="AL42" s="172"/>
      <c r="AM42" s="171"/>
      <c r="AN42" s="172"/>
      <c r="AO42" s="172"/>
      <c r="AP42" s="39"/>
    </row>
    <row r="43" s="148" customFormat="true" ht="15" hidden="true" customHeight="true" outlineLevel="1" collapsed="false">
      <c r="A43" s="175" t="s">
        <v>128</v>
      </c>
      <c r="B43" s="176"/>
      <c r="C43" s="176"/>
      <c r="D43" s="176"/>
      <c r="E43" s="177"/>
      <c r="F43" s="176"/>
      <c r="G43" s="176"/>
      <c r="H43" s="176"/>
      <c r="I43" s="176"/>
      <c r="J43" s="177"/>
      <c r="K43" s="176"/>
      <c r="L43" s="177"/>
      <c r="M43" s="176"/>
      <c r="N43" s="176"/>
      <c r="O43" s="176"/>
      <c r="P43" s="176"/>
      <c r="Q43" s="177"/>
      <c r="R43" s="176"/>
      <c r="S43" s="177"/>
      <c r="T43" s="177"/>
      <c r="U43" s="176"/>
      <c r="V43" s="176"/>
      <c r="W43" s="176"/>
      <c r="X43" s="177"/>
      <c r="Y43" s="176"/>
      <c r="Z43" s="178"/>
      <c r="AA43" s="176"/>
      <c r="AB43" s="176"/>
      <c r="AC43" s="176"/>
      <c r="AD43" s="176"/>
      <c r="AE43" s="177"/>
      <c r="AF43" s="168" t="str">
        <f aca="false">A43</f>
        <v>in</v>
      </c>
      <c r="AG43" s="146"/>
      <c r="AH43" s="179"/>
      <c r="AI43" s="180"/>
      <c r="AJ43" s="172"/>
      <c r="AK43" s="172"/>
      <c r="AL43" s="172"/>
      <c r="AM43" s="171"/>
      <c r="AN43" s="172"/>
      <c r="AO43" s="172"/>
      <c r="AP43" s="39"/>
    </row>
    <row r="44" s="148" customFormat="true" ht="15" hidden="true" customHeight="true" outlineLevel="1" collapsed="false">
      <c r="A44" s="175" t="s">
        <v>129</v>
      </c>
      <c r="B44" s="176"/>
      <c r="C44" s="176"/>
      <c r="D44" s="176"/>
      <c r="E44" s="177"/>
      <c r="F44" s="176"/>
      <c r="G44" s="176"/>
      <c r="H44" s="176"/>
      <c r="I44" s="176"/>
      <c r="J44" s="177"/>
      <c r="K44" s="176"/>
      <c r="L44" s="177"/>
      <c r="M44" s="176"/>
      <c r="N44" s="176"/>
      <c r="O44" s="176"/>
      <c r="P44" s="176"/>
      <c r="Q44" s="177"/>
      <c r="R44" s="176"/>
      <c r="S44" s="177"/>
      <c r="T44" s="177"/>
      <c r="U44" s="176"/>
      <c r="V44" s="176"/>
      <c r="W44" s="176"/>
      <c r="X44" s="177"/>
      <c r="Y44" s="176"/>
      <c r="Z44" s="178"/>
      <c r="AA44" s="176"/>
      <c r="AB44" s="176"/>
      <c r="AC44" s="176"/>
      <c r="AD44" s="176"/>
      <c r="AE44" s="177"/>
      <c r="AF44" s="168" t="str">
        <f aca="false">A44</f>
        <v>out</v>
      </c>
      <c r="AG44" s="146"/>
      <c r="AH44" s="179"/>
      <c r="AI44" s="180"/>
      <c r="AJ44" s="172"/>
      <c r="AK44" s="172"/>
      <c r="AL44" s="172"/>
      <c r="AM44" s="171"/>
      <c r="AN44" s="172"/>
      <c r="AO44" s="172"/>
      <c r="AP44" s="39"/>
    </row>
    <row r="45" s="148" customFormat="true" ht="15" hidden="false" customHeight="true" outlineLevel="1" collapsed="false">
      <c r="A45" s="181" t="s">
        <v>135</v>
      </c>
      <c r="B45" s="182" t="n">
        <f aca="false">ROUND((B36-B35)+(B38-B37)+(B40-B39)+(B42-B41)+(B44-B43),9)</f>
        <v>0</v>
      </c>
      <c r="C45" s="182" t="n">
        <f aca="false">ROUND((C36-C35)+(C38-C37)+(C40-C39)+(C42-C41)+(C44-C43),9)</f>
        <v>0</v>
      </c>
      <c r="D45" s="182" t="n">
        <f aca="false">ROUND((D36-D35)+(D38-D37)+(D40-D39)+(D42-D41)+(D44-D43),9)</f>
        <v>0</v>
      </c>
      <c r="E45" s="182" t="n">
        <f aca="false">ROUND((E36-E35)+(E38-E37)+(E40-E39)+(E42-E41)+(E44-E43),9)</f>
        <v>0</v>
      </c>
      <c r="F45" s="182" t="n">
        <f aca="false">ROUND((F36-F35)+(F38-F37)+(F40-F39)+(F42-F41)+(F44-F43),9)</f>
        <v>0</v>
      </c>
      <c r="G45" s="182" t="n">
        <f aca="false">ROUND((G36-G35)+(G38-G37)+(G40-G39)+(G42-G41)+(G44-G43),9)</f>
        <v>0</v>
      </c>
      <c r="H45" s="182" t="n">
        <f aca="false">ROUND((H36-H35)+(H38-H37)+(H40-H39)+(H42-H41)+(H44-H43),9)</f>
        <v>0</v>
      </c>
      <c r="I45" s="182" t="n">
        <f aca="false">ROUND((I36-I35)+(I38-I37)+(I40-I39)+(I42-I41)+(I44-I43),9)</f>
        <v>0</v>
      </c>
      <c r="J45" s="182" t="n">
        <f aca="false">ROUND((J36-J35)+(J38-J37)+(J40-J39)+(J42-J41)+(J44-J43),9)</f>
        <v>0</v>
      </c>
      <c r="K45" s="182" t="n">
        <f aca="false">ROUND((K36-K35)+(K38-K37)+(K40-K39)+(K42-K41)+(K44-K43),9)</f>
        <v>0</v>
      </c>
      <c r="L45" s="182" t="n">
        <f aca="false">ROUND((L36-L35)+(L38-L37)+(L40-L39)+(L42-L41)+(L44-L43),9)</f>
        <v>0</v>
      </c>
      <c r="M45" s="182" t="n">
        <f aca="false">ROUND((M36-M35)+(M38-M37)+(M40-M39)+(M42-M41)+(M44-M43),9)</f>
        <v>0</v>
      </c>
      <c r="N45" s="182" t="n">
        <f aca="false">ROUND((N36-N35)+(N38-N37)+(N40-N39)+(N42-N41)+(N44-N43),9)</f>
        <v>0</v>
      </c>
      <c r="O45" s="182" t="n">
        <f aca="false">ROUND((O36-O35)+(O38-O37)+(O40-O39)+(O42-O41)+(O44-O43),9)</f>
        <v>0</v>
      </c>
      <c r="P45" s="182" t="n">
        <f aca="false">ROUND((P36-P35)+(P38-P37)+(P40-P39)+(P42-P41)+(P44-P43),9)</f>
        <v>0</v>
      </c>
      <c r="Q45" s="182" t="n">
        <f aca="false">ROUND((Q36-Q35)+(Q38-Q37)+(Q40-Q39)+(Q42-Q41)+(Q44-Q43),9)</f>
        <v>0</v>
      </c>
      <c r="R45" s="182" t="n">
        <f aca="false">ROUND((R36-R35)+(R38-R37)+(R40-R39)+(R42-R41)+(R44-R43),9)</f>
        <v>0</v>
      </c>
      <c r="S45" s="182" t="n">
        <f aca="false">ROUND((S36-S35)+(S38-S37)+(S40-S39)+(S42-S41)+(S44-S43),9)</f>
        <v>0</v>
      </c>
      <c r="T45" s="182" t="n">
        <f aca="false">ROUND((T36-T35)+(T38-T37)+(T40-T39)+(T42-T41)+(T44-T43),9)</f>
        <v>0</v>
      </c>
      <c r="U45" s="182" t="n">
        <f aca="false">ROUND((U36-U35)+(U38-U37)+(U40-U39)+(U42-U41)+(U44-U43),9)</f>
        <v>0</v>
      </c>
      <c r="V45" s="182" t="n">
        <f aca="false">ROUND((V36-V35)+(V38-V37)+(V40-V39)+(V42-V41)+(V44-V43),9)</f>
        <v>0</v>
      </c>
      <c r="W45" s="182" t="n">
        <f aca="false">ROUND((W36-W35)+(W38-W37)+(W40-W39)+(W42-W41)+(W44-W43),9)</f>
        <v>0</v>
      </c>
      <c r="X45" s="182" t="n">
        <f aca="false">ROUND((X36-X35)+(X38-X37)+(X40-X39)+(X42-X41)+(X44-X43),9)</f>
        <v>0</v>
      </c>
      <c r="Y45" s="182" t="n">
        <f aca="false">ROUND((Y36-Y35)+(Y38-Y37)+(Y40-Y39)+(Y42-Y41)+(Y44-Y43),9)</f>
        <v>0</v>
      </c>
      <c r="Z45" s="182" t="n">
        <f aca="false">ROUND((Z36-Z35)+(Z38-Z37)+(Z40-Z39)+(Z42-Z41)+(Z44-Z43),9)</f>
        <v>0</v>
      </c>
      <c r="AA45" s="182" t="n">
        <f aca="false">ROUND((AA36-AA35)+(AA38-AA37)+(AA40-AA39)+(AA42-AA41)+(AA44-AA43),9)</f>
        <v>0</v>
      </c>
      <c r="AB45" s="182" t="n">
        <f aca="false">ROUND((AB36-AB35)+(AB38-AB37)+(AB40-AB39)+(AB42-AB41)+(AB44-AB43),9)</f>
        <v>0</v>
      </c>
      <c r="AC45" s="182" t="n">
        <f aca="false">ROUND((AC36-AC35)+(AC38-AC37)+(AC40-AC39)+(AC42-AC41)+(AC44-AC43),9)</f>
        <v>0</v>
      </c>
      <c r="AD45" s="182" t="n">
        <f aca="false">ROUND((AD36-AD35)+(AD38-AD37)+(AD40-AD39)+(AD42-AD41)+(AD44-AD43),9)</f>
        <v>0</v>
      </c>
      <c r="AE45" s="182" t="n">
        <f aca="false">ROUND((AE36-AE35)+(AE38-AE37)+(AE40-AE39)+(AE42-AE41)+(AE44-AE43),9)</f>
        <v>0</v>
      </c>
      <c r="AF45" s="183" t="str">
        <f aca="false">A45</f>
        <v>Total on call standby in/out</v>
      </c>
      <c r="AG45" s="184"/>
      <c r="AH45" s="185" t="n">
        <f aca="false">SUM(B45:AE45)</f>
        <v>0</v>
      </c>
      <c r="AI45" s="180"/>
      <c r="AJ45" s="172"/>
      <c r="AK45" s="172"/>
      <c r="AL45" s="172"/>
      <c r="AM45" s="171"/>
      <c r="AN45" s="172"/>
      <c r="AO45" s="172"/>
      <c r="AP45" s="39"/>
    </row>
    <row r="46" s="148" customFormat="true" ht="3.75" hidden="false" customHeight="true" outlineLevel="0" collapsed="false">
      <c r="A46" s="186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168"/>
      <c r="AG46" s="146"/>
      <c r="AH46" s="179"/>
      <c r="AI46" s="180"/>
      <c r="AJ46" s="172"/>
      <c r="AK46" s="172"/>
      <c r="AL46" s="172"/>
      <c r="AM46" s="171"/>
      <c r="AN46" s="172"/>
      <c r="AO46" s="172"/>
      <c r="AP46" s="39"/>
    </row>
    <row r="47" s="148" customFormat="true" ht="16.5" hidden="true" customHeight="true" outlineLevel="1" collapsed="false">
      <c r="A47" s="181" t="s">
        <v>136</v>
      </c>
      <c r="B47" s="182" t="n">
        <f aca="false">IF(B45&gt;0,ROUND(B45- IF(B35&lt;T.PikettVetsuissebis,MIN(T.PikettVetsuissebis-B35,B36-B35)+IF(B37&lt;T.PikettVetsuissebis,MIN(T.PikettVetsuissebis-B37,B38-B37)+IF(B39&lt;T.PikettVetsuissebis,MIN(T.PikettVetsuissebis-B39,B40-B39)+IF(B41&lt;T.PikettVetsuissebis,MIN(T.PikettVetsuissebis-B41,B42-B41)+IF(B43&lt;T.PikettVetsuissebis,MIN(T.PikettVetsuissebis-B43,B44-B43),0),0),0),0),0),9),0)</f>
        <v>0</v>
      </c>
      <c r="C47" s="182" t="n">
        <f aca="false">IF(C45&gt;0,ROUND(C45- IF(C35&lt;T.PikettVetsuissebis,MIN(T.PikettVetsuissebis-C35,C36-C35)+IF(C37&lt;T.PikettVetsuissebis,MIN(T.PikettVetsuissebis-C37,C38-C37)+IF(C39&lt;T.PikettVetsuissebis,MIN(T.PikettVetsuissebis-C39,C40-C39)+IF(C41&lt;T.PikettVetsuissebis,MIN(T.PikettVetsuissebis-C41,C42-C41)+IF(C43&lt;T.PikettVetsuissebis,MIN(T.PikettVetsuissebis-C43,C44-C43),0),0),0),0),0),9),0)</f>
        <v>0</v>
      </c>
      <c r="D47" s="182" t="n">
        <f aca="false">IF(D45&gt;0,ROUND(D45- IF(D35&lt;T.PikettVetsuissebis,MIN(T.PikettVetsuissebis-D35,D36-D35)+IF(D37&lt;T.PikettVetsuissebis,MIN(T.PikettVetsuissebis-D37,D38-D37)+IF(D39&lt;T.PikettVetsuissebis,MIN(T.PikettVetsuissebis-D39,D40-D39)+IF(D41&lt;T.PikettVetsuissebis,MIN(T.PikettVetsuissebis-D41,D42-D41)+IF(D43&lt;T.PikettVetsuissebis,MIN(T.PikettVetsuissebis-D43,D44-D43),0),0),0),0),0),9),0)</f>
        <v>0</v>
      </c>
      <c r="E47" s="182" t="n">
        <f aca="false">IF(E45&gt;0,ROUND(E45- IF(E35&lt;T.PikettVetsuissebis,MIN(T.PikettVetsuissebis-E35,E36-E35)+IF(E37&lt;T.PikettVetsuissebis,MIN(T.PikettVetsuissebis-E37,E38-E37)+IF(E39&lt;T.PikettVetsuissebis,MIN(T.PikettVetsuissebis-E39,E40-E39)+IF(E41&lt;T.PikettVetsuissebis,MIN(T.PikettVetsuissebis-E41,E42-E41)+IF(E43&lt;T.PikettVetsuissebis,MIN(T.PikettVetsuissebis-E43,E44-E43),0),0),0),0),0),9),0)</f>
        <v>0</v>
      </c>
      <c r="F47" s="182" t="n">
        <f aca="false">IF(F45&gt;0,ROUND(F45- IF(F35&lt;T.PikettVetsuissebis,MIN(T.PikettVetsuissebis-F35,F36-F35)+IF(F37&lt;T.PikettVetsuissebis,MIN(T.PikettVetsuissebis-F37,F38-F37)+IF(F39&lt;T.PikettVetsuissebis,MIN(T.PikettVetsuissebis-F39,F40-F39)+IF(F41&lt;T.PikettVetsuissebis,MIN(T.PikettVetsuissebis-F41,F42-F41)+IF(F43&lt;T.PikettVetsuissebis,MIN(T.PikettVetsuissebis-F43,F44-F43),0),0),0),0),0),9),0)</f>
        <v>0</v>
      </c>
      <c r="G47" s="182" t="n">
        <f aca="false">IF(G45&gt;0,ROUND(G45- IF(G35&lt;T.PikettVetsuissebis,MIN(T.PikettVetsuissebis-G35,G36-G35)+IF(G37&lt;T.PikettVetsuissebis,MIN(T.PikettVetsuissebis-G37,G38-G37)+IF(G39&lt;T.PikettVetsuissebis,MIN(T.PikettVetsuissebis-G39,G40-G39)+IF(G41&lt;T.PikettVetsuissebis,MIN(T.PikettVetsuissebis-G41,G42-G41)+IF(G43&lt;T.PikettVetsuissebis,MIN(T.PikettVetsuissebis-G43,G44-G43),0),0),0),0),0),9),0)</f>
        <v>0</v>
      </c>
      <c r="H47" s="182" t="n">
        <f aca="false">IF(H45&gt;0,ROUND(H45- IF(H35&lt;T.PikettVetsuissebis,MIN(T.PikettVetsuissebis-H35,H36-H35)+IF(H37&lt;T.PikettVetsuissebis,MIN(T.PikettVetsuissebis-H37,H38-H37)+IF(H39&lt;T.PikettVetsuissebis,MIN(T.PikettVetsuissebis-H39,H40-H39)+IF(H41&lt;T.PikettVetsuissebis,MIN(T.PikettVetsuissebis-H41,H42-H41)+IF(H43&lt;T.PikettVetsuissebis,MIN(T.PikettVetsuissebis-H43,H44-H43),0),0),0),0),0),9),0)</f>
        <v>0</v>
      </c>
      <c r="I47" s="182" t="n">
        <f aca="false">IF(I45&gt;0,ROUND(I45- IF(I35&lt;T.PikettVetsuissebis,MIN(T.PikettVetsuissebis-I35,I36-I35)+IF(I37&lt;T.PikettVetsuissebis,MIN(T.PikettVetsuissebis-I37,I38-I37)+IF(I39&lt;T.PikettVetsuissebis,MIN(T.PikettVetsuissebis-I39,I40-I39)+IF(I41&lt;T.PikettVetsuissebis,MIN(T.PikettVetsuissebis-I41,I42-I41)+IF(I43&lt;T.PikettVetsuissebis,MIN(T.PikettVetsuissebis-I43,I44-I43),0),0),0),0),0),9),0)</f>
        <v>0</v>
      </c>
      <c r="J47" s="182" t="n">
        <f aca="false">IF(J45&gt;0,ROUND(J45- IF(J35&lt;T.PikettVetsuissebis,MIN(T.PikettVetsuissebis-J35,J36-J35)+IF(J37&lt;T.PikettVetsuissebis,MIN(T.PikettVetsuissebis-J37,J38-J37)+IF(J39&lt;T.PikettVetsuissebis,MIN(T.PikettVetsuissebis-J39,J40-J39)+IF(J41&lt;T.PikettVetsuissebis,MIN(T.PikettVetsuissebis-J41,J42-J41)+IF(J43&lt;T.PikettVetsuissebis,MIN(T.PikettVetsuissebis-J43,J44-J43),0),0),0),0),0),9),0)</f>
        <v>0</v>
      </c>
      <c r="K47" s="182" t="n">
        <f aca="false">IF(K45&gt;0,ROUND(K45- IF(K35&lt;T.PikettVetsuissebis,MIN(T.PikettVetsuissebis-K35,K36-K35)+IF(K37&lt;T.PikettVetsuissebis,MIN(T.PikettVetsuissebis-K37,K38-K37)+IF(K39&lt;T.PikettVetsuissebis,MIN(T.PikettVetsuissebis-K39,K40-K39)+IF(K41&lt;T.PikettVetsuissebis,MIN(T.PikettVetsuissebis-K41,K42-K41)+IF(K43&lt;T.PikettVetsuissebis,MIN(T.PikettVetsuissebis-K43,K44-K43),0),0),0),0),0),9),0)</f>
        <v>0</v>
      </c>
      <c r="L47" s="182" t="n">
        <f aca="false">IF(L45&gt;0,ROUND(L45- IF(L35&lt;T.PikettVetsuissebis,MIN(T.PikettVetsuissebis-L35,L36-L35)+IF(L37&lt;T.PikettVetsuissebis,MIN(T.PikettVetsuissebis-L37,L38-L37)+IF(L39&lt;T.PikettVetsuissebis,MIN(T.PikettVetsuissebis-L39,L40-L39)+IF(L41&lt;T.PikettVetsuissebis,MIN(T.PikettVetsuissebis-L41,L42-L41)+IF(L43&lt;T.PikettVetsuissebis,MIN(T.PikettVetsuissebis-L43,L44-L43),0),0),0),0),0),9),0)</f>
        <v>0</v>
      </c>
      <c r="M47" s="182" t="n">
        <f aca="false">IF(M45&gt;0,ROUND(M45- IF(M35&lt;T.PikettVetsuissebis,MIN(T.PikettVetsuissebis-M35,M36-M35)+IF(M37&lt;T.PikettVetsuissebis,MIN(T.PikettVetsuissebis-M37,M38-M37)+IF(M39&lt;T.PikettVetsuissebis,MIN(T.PikettVetsuissebis-M39,M40-M39)+IF(M41&lt;T.PikettVetsuissebis,MIN(T.PikettVetsuissebis-M41,M42-M41)+IF(M43&lt;T.PikettVetsuissebis,MIN(T.PikettVetsuissebis-M43,M44-M43),0),0),0),0),0),9),0)</f>
        <v>0</v>
      </c>
      <c r="N47" s="182" t="n">
        <f aca="false">IF(N45&gt;0,ROUND(N45- IF(N35&lt;T.PikettVetsuissebis,MIN(T.PikettVetsuissebis-N35,N36-N35)+IF(N37&lt;T.PikettVetsuissebis,MIN(T.PikettVetsuissebis-N37,N38-N37)+IF(N39&lt;T.PikettVetsuissebis,MIN(T.PikettVetsuissebis-N39,N40-N39)+IF(N41&lt;T.PikettVetsuissebis,MIN(T.PikettVetsuissebis-N41,N42-N41)+IF(N43&lt;T.PikettVetsuissebis,MIN(T.PikettVetsuissebis-N43,N44-N43),0),0),0),0),0),9),0)</f>
        <v>0</v>
      </c>
      <c r="O47" s="182" t="n">
        <f aca="false">IF(O45&gt;0,ROUND(O45- IF(O35&lt;T.PikettVetsuissebis,MIN(T.PikettVetsuissebis-O35,O36-O35)+IF(O37&lt;T.PikettVetsuissebis,MIN(T.PikettVetsuissebis-O37,O38-O37)+IF(O39&lt;T.PikettVetsuissebis,MIN(T.PikettVetsuissebis-O39,O40-O39)+IF(O41&lt;T.PikettVetsuissebis,MIN(T.PikettVetsuissebis-O41,O42-O41)+IF(O43&lt;T.PikettVetsuissebis,MIN(T.PikettVetsuissebis-O43,O44-O43),0),0),0),0),0),9),0)</f>
        <v>0</v>
      </c>
      <c r="P47" s="182" t="n">
        <f aca="false">IF(P45&gt;0,ROUND(P45- IF(P35&lt;T.PikettVetsuissebis,MIN(T.PikettVetsuissebis-P35,P36-P35)+IF(P37&lt;T.PikettVetsuissebis,MIN(T.PikettVetsuissebis-P37,P38-P37)+IF(P39&lt;T.PikettVetsuissebis,MIN(T.PikettVetsuissebis-P39,P40-P39)+IF(P41&lt;T.PikettVetsuissebis,MIN(T.PikettVetsuissebis-P41,P42-P41)+IF(P43&lt;T.PikettVetsuissebis,MIN(T.PikettVetsuissebis-P43,P44-P43),0),0),0),0),0),9),0)</f>
        <v>0</v>
      </c>
      <c r="Q47" s="182" t="n">
        <f aca="false">IF(Q45&gt;0,ROUND(Q45- IF(Q35&lt;T.PikettVetsuissebis,MIN(T.PikettVetsuissebis-Q35,Q36-Q35)+IF(Q37&lt;T.PikettVetsuissebis,MIN(T.PikettVetsuissebis-Q37,Q38-Q37)+IF(Q39&lt;T.PikettVetsuissebis,MIN(T.PikettVetsuissebis-Q39,Q40-Q39)+IF(Q41&lt;T.PikettVetsuissebis,MIN(T.PikettVetsuissebis-Q41,Q42-Q41)+IF(Q43&lt;T.PikettVetsuissebis,MIN(T.PikettVetsuissebis-Q43,Q44-Q43),0),0),0),0),0),9),0)</f>
        <v>0</v>
      </c>
      <c r="R47" s="182" t="n">
        <f aca="false">IF(R45&gt;0,ROUND(R45- IF(R35&lt;T.PikettVetsuissebis,MIN(T.PikettVetsuissebis-R35,R36-R35)+IF(R37&lt;T.PikettVetsuissebis,MIN(T.PikettVetsuissebis-R37,R38-R37)+IF(R39&lt;T.PikettVetsuissebis,MIN(T.PikettVetsuissebis-R39,R40-R39)+IF(R41&lt;T.PikettVetsuissebis,MIN(T.PikettVetsuissebis-R41,R42-R41)+IF(R43&lt;T.PikettVetsuissebis,MIN(T.PikettVetsuissebis-R43,R44-R43),0),0),0),0),0),9),0)</f>
        <v>0</v>
      </c>
      <c r="S47" s="182" t="n">
        <f aca="false">IF(S45&gt;0,ROUND(S45- IF(S35&lt;T.PikettVetsuissebis,MIN(T.PikettVetsuissebis-S35,S36-S35)+IF(S37&lt;T.PikettVetsuissebis,MIN(T.PikettVetsuissebis-S37,S38-S37)+IF(S39&lt;T.PikettVetsuissebis,MIN(T.PikettVetsuissebis-S39,S40-S39)+IF(S41&lt;T.PikettVetsuissebis,MIN(T.PikettVetsuissebis-S41,S42-S41)+IF(S43&lt;T.PikettVetsuissebis,MIN(T.PikettVetsuissebis-S43,S44-S43),0),0),0),0),0),9),0)</f>
        <v>0</v>
      </c>
      <c r="T47" s="182" t="n">
        <f aca="false">IF(T45&gt;0,ROUND(T45- IF(T35&lt;T.PikettVetsuissebis,MIN(T.PikettVetsuissebis-T35,T36-T35)+IF(T37&lt;T.PikettVetsuissebis,MIN(T.PikettVetsuissebis-T37,T38-T37)+IF(T39&lt;T.PikettVetsuissebis,MIN(T.PikettVetsuissebis-T39,T40-T39)+IF(T41&lt;T.PikettVetsuissebis,MIN(T.PikettVetsuissebis-T41,T42-T41)+IF(T43&lt;T.PikettVetsuissebis,MIN(T.PikettVetsuissebis-T43,T44-T43),0),0),0),0),0),9),0)</f>
        <v>0</v>
      </c>
      <c r="U47" s="182" t="n">
        <f aca="false">IF(U45&gt;0,ROUND(U45- IF(U35&lt;T.PikettVetsuissebis,MIN(T.PikettVetsuissebis-U35,U36-U35)+IF(U37&lt;T.PikettVetsuissebis,MIN(T.PikettVetsuissebis-U37,U38-U37)+IF(U39&lt;T.PikettVetsuissebis,MIN(T.PikettVetsuissebis-U39,U40-U39)+IF(U41&lt;T.PikettVetsuissebis,MIN(T.PikettVetsuissebis-U41,U42-U41)+IF(U43&lt;T.PikettVetsuissebis,MIN(T.PikettVetsuissebis-U43,U44-U43),0),0),0),0),0),9),0)</f>
        <v>0</v>
      </c>
      <c r="V47" s="182" t="n">
        <f aca="false">IF(V45&gt;0,ROUND(V45- IF(V35&lt;T.PikettVetsuissebis,MIN(T.PikettVetsuissebis-V35,V36-V35)+IF(V37&lt;T.PikettVetsuissebis,MIN(T.PikettVetsuissebis-V37,V38-V37)+IF(V39&lt;T.PikettVetsuissebis,MIN(T.PikettVetsuissebis-V39,V40-V39)+IF(V41&lt;T.PikettVetsuissebis,MIN(T.PikettVetsuissebis-V41,V42-V41)+IF(V43&lt;T.PikettVetsuissebis,MIN(T.PikettVetsuissebis-V43,V44-V43),0),0),0),0),0),9),0)</f>
        <v>0</v>
      </c>
      <c r="W47" s="182" t="n">
        <f aca="false">IF(W45&gt;0,ROUND(W45- IF(W35&lt;T.PikettVetsuissebis,MIN(T.PikettVetsuissebis-W35,W36-W35)+IF(W37&lt;T.PikettVetsuissebis,MIN(T.PikettVetsuissebis-W37,W38-W37)+IF(W39&lt;T.PikettVetsuissebis,MIN(T.PikettVetsuissebis-W39,W40-W39)+IF(W41&lt;T.PikettVetsuissebis,MIN(T.PikettVetsuissebis-W41,W42-W41)+IF(W43&lt;T.PikettVetsuissebis,MIN(T.PikettVetsuissebis-W43,W44-W43),0),0),0),0),0),9),0)</f>
        <v>0</v>
      </c>
      <c r="X47" s="182" t="n">
        <f aca="false">IF(X45&gt;0,ROUND(X45- IF(X35&lt;T.PikettVetsuissebis,MIN(T.PikettVetsuissebis-X35,X36-X35)+IF(X37&lt;T.PikettVetsuissebis,MIN(T.PikettVetsuissebis-X37,X38-X37)+IF(X39&lt;T.PikettVetsuissebis,MIN(T.PikettVetsuissebis-X39,X40-X39)+IF(X41&lt;T.PikettVetsuissebis,MIN(T.PikettVetsuissebis-X41,X42-X41)+IF(X43&lt;T.PikettVetsuissebis,MIN(T.PikettVetsuissebis-X43,X44-X43),0),0),0),0),0),9),0)</f>
        <v>0</v>
      </c>
      <c r="Y47" s="182" t="n">
        <f aca="false">IF(Y45&gt;0,ROUND(Y45- IF(Y35&lt;T.PikettVetsuissebis,MIN(T.PikettVetsuissebis-Y35,Y36-Y35)+IF(Y37&lt;T.PikettVetsuissebis,MIN(T.PikettVetsuissebis-Y37,Y38-Y37)+IF(Y39&lt;T.PikettVetsuissebis,MIN(T.PikettVetsuissebis-Y39,Y40-Y39)+IF(Y41&lt;T.PikettVetsuissebis,MIN(T.PikettVetsuissebis-Y41,Y42-Y41)+IF(Y43&lt;T.PikettVetsuissebis,MIN(T.PikettVetsuissebis-Y43,Y44-Y43),0),0),0),0),0),9),0)</f>
        <v>0</v>
      </c>
      <c r="Z47" s="182" t="n">
        <f aca="false">IF(Z45&gt;0,ROUND(Z45- IF(Z35&lt;T.PikettVetsuissebis,MIN(T.PikettVetsuissebis-Z35,Z36-Z35)+IF(Z37&lt;T.PikettVetsuissebis,MIN(T.PikettVetsuissebis-Z37,Z38-Z37)+IF(Z39&lt;T.PikettVetsuissebis,MIN(T.PikettVetsuissebis-Z39,Z40-Z39)+IF(Z41&lt;T.PikettVetsuissebis,MIN(T.PikettVetsuissebis-Z41,Z42-Z41)+IF(Z43&lt;T.PikettVetsuissebis,MIN(T.PikettVetsuissebis-Z43,Z44-Z43),0),0),0),0),0),9),0)</f>
        <v>0</v>
      </c>
      <c r="AA47" s="182" t="n">
        <f aca="false">IF(AA45&gt;0,ROUND(AA45- IF(AA35&lt;T.PikettVetsuissebis,MIN(T.PikettVetsuissebis-AA35,AA36-AA35)+IF(AA37&lt;T.PikettVetsuissebis,MIN(T.PikettVetsuissebis-AA37,AA38-AA37)+IF(AA39&lt;T.PikettVetsuissebis,MIN(T.PikettVetsuissebis-AA39,AA40-AA39)+IF(AA41&lt;T.PikettVetsuissebis,MIN(T.PikettVetsuissebis-AA41,AA42-AA41)+IF(AA43&lt;T.PikettVetsuissebis,MIN(T.PikettVetsuissebis-AA43,AA44-AA43),0),0),0),0),0),9),0)</f>
        <v>0</v>
      </c>
      <c r="AB47" s="182" t="n">
        <f aca="false">IF(AB45&gt;0,ROUND(AB45- IF(AB35&lt;T.PikettVetsuissebis,MIN(T.PikettVetsuissebis-AB35,AB36-AB35)+IF(AB37&lt;T.PikettVetsuissebis,MIN(T.PikettVetsuissebis-AB37,AB38-AB37)+IF(AB39&lt;T.PikettVetsuissebis,MIN(T.PikettVetsuissebis-AB39,AB40-AB39)+IF(AB41&lt;T.PikettVetsuissebis,MIN(T.PikettVetsuissebis-AB41,AB42-AB41)+IF(AB43&lt;T.PikettVetsuissebis,MIN(T.PikettVetsuissebis-AB43,AB44-AB43),0),0),0),0),0),9),0)</f>
        <v>0</v>
      </c>
      <c r="AC47" s="182" t="n">
        <f aca="false">IF(AC45&gt;0,ROUND(AC45- IF(AC35&lt;T.PikettVetsuissebis,MIN(T.PikettVetsuissebis-AC35,AC36-AC35)+IF(AC37&lt;T.PikettVetsuissebis,MIN(T.PikettVetsuissebis-AC37,AC38-AC37)+IF(AC39&lt;T.PikettVetsuissebis,MIN(T.PikettVetsuissebis-AC39,AC40-AC39)+IF(AC41&lt;T.PikettVetsuissebis,MIN(T.PikettVetsuissebis-AC41,AC42-AC41)+IF(AC43&lt;T.PikettVetsuissebis,MIN(T.PikettVetsuissebis-AC43,AC44-AC43),0),0),0),0),0),9),0)</f>
        <v>0</v>
      </c>
      <c r="AD47" s="182" t="n">
        <f aca="false">IF(AD45&gt;0,ROUND(AD45- IF(AD35&lt;T.PikettVetsuissebis,MIN(T.PikettVetsuissebis-AD35,AD36-AD35)+IF(AD37&lt;T.PikettVetsuissebis,MIN(T.PikettVetsuissebis-AD37,AD38-AD37)+IF(AD39&lt;T.PikettVetsuissebis,MIN(T.PikettVetsuissebis-AD39,AD40-AD39)+IF(AD41&lt;T.PikettVetsuissebis,MIN(T.PikettVetsuissebis-AD41,AD42-AD41)+IF(AD43&lt;T.PikettVetsuissebis,MIN(T.PikettVetsuissebis-AD43,AD44-AD43),0),0),0),0),0),9),0)</f>
        <v>0</v>
      </c>
      <c r="AE47" s="182" t="n">
        <f aca="false">IF(AE45&gt;0,ROUND(AE45- IF(AE35&lt;T.PikettVetsuissebis,MIN(T.PikettVetsuissebis-AE35,AE36-AE35)+IF(AE37&lt;T.PikettVetsuissebis,MIN(T.PikettVetsuissebis-AE37,AE38-AE37)+IF(AE39&lt;T.PikettVetsuissebis,MIN(T.PikettVetsuissebis-AE39,AE40-AE39)+IF(AE41&lt;T.PikettVetsuissebis,MIN(T.PikettVetsuissebis-AE41,AE42-AE41)+IF(AE43&lt;T.PikettVetsuissebis,MIN(T.PikettVetsuissebis-AE43,AE44-AE43),0),0),0),0),0),9),0)</f>
        <v>0</v>
      </c>
      <c r="AF47" s="183" t="str">
        <f aca="false">A47</f>
        <v>Total on call hours today</v>
      </c>
      <c r="AG47" s="146"/>
      <c r="AH47" s="179"/>
      <c r="AI47" s="180"/>
      <c r="AJ47" s="172"/>
      <c r="AK47" s="172"/>
      <c r="AL47" s="172"/>
      <c r="AM47" s="171"/>
      <c r="AN47" s="172"/>
      <c r="AO47" s="172"/>
      <c r="AP47" s="39"/>
    </row>
    <row r="48" s="148" customFormat="true" ht="16.5" hidden="true" customHeight="true" outlineLevel="1" collapsed="false">
      <c r="A48" s="181" t="s">
        <v>137</v>
      </c>
      <c r="B48" s="193" t="n">
        <f aca="false">B45-B47</f>
        <v>0</v>
      </c>
      <c r="C48" s="193" t="n">
        <f aca="false">C45-C47</f>
        <v>0</v>
      </c>
      <c r="D48" s="193" t="n">
        <f aca="false">D45-D47</f>
        <v>0</v>
      </c>
      <c r="E48" s="193" t="n">
        <f aca="false">E45-E47</f>
        <v>0</v>
      </c>
      <c r="F48" s="193" t="n">
        <f aca="false">F45-F47</f>
        <v>0</v>
      </c>
      <c r="G48" s="193" t="n">
        <f aca="false">G45-G47</f>
        <v>0</v>
      </c>
      <c r="H48" s="193" t="n">
        <f aca="false">H45-H47</f>
        <v>0</v>
      </c>
      <c r="I48" s="193" t="n">
        <f aca="false">I45-I47</f>
        <v>0</v>
      </c>
      <c r="J48" s="193" t="n">
        <f aca="false">J45-J47</f>
        <v>0</v>
      </c>
      <c r="K48" s="193" t="n">
        <f aca="false">K45-K47</f>
        <v>0</v>
      </c>
      <c r="L48" s="193" t="n">
        <f aca="false">L45-L47</f>
        <v>0</v>
      </c>
      <c r="M48" s="193" t="n">
        <f aca="false">M45-M47</f>
        <v>0</v>
      </c>
      <c r="N48" s="193" t="n">
        <f aca="false">N45-N47</f>
        <v>0</v>
      </c>
      <c r="O48" s="193" t="n">
        <f aca="false">O45-O47</f>
        <v>0</v>
      </c>
      <c r="P48" s="193" t="n">
        <f aca="false">P45-P47</f>
        <v>0</v>
      </c>
      <c r="Q48" s="193" t="n">
        <f aca="false">Q45-Q47</f>
        <v>0</v>
      </c>
      <c r="R48" s="193" t="n">
        <f aca="false">R45-R47</f>
        <v>0</v>
      </c>
      <c r="S48" s="193" t="n">
        <f aca="false">S45-S47</f>
        <v>0</v>
      </c>
      <c r="T48" s="193" t="n">
        <f aca="false">T45-T47</f>
        <v>0</v>
      </c>
      <c r="U48" s="193" t="n">
        <f aca="false">U45-U47</f>
        <v>0</v>
      </c>
      <c r="V48" s="193" t="n">
        <f aca="false">V45-V47</f>
        <v>0</v>
      </c>
      <c r="W48" s="193" t="n">
        <f aca="false">W45-W47</f>
        <v>0</v>
      </c>
      <c r="X48" s="193" t="n">
        <f aca="false">X45-X47</f>
        <v>0</v>
      </c>
      <c r="Y48" s="193" t="n">
        <f aca="false">Y45-Y47</f>
        <v>0</v>
      </c>
      <c r="Z48" s="193" t="n">
        <f aca="false">Z45-Z47</f>
        <v>0</v>
      </c>
      <c r="AA48" s="193" t="n">
        <f aca="false">AA45-AA47</f>
        <v>0</v>
      </c>
      <c r="AB48" s="193" t="n">
        <f aca="false">AB45-AB47</f>
        <v>0</v>
      </c>
      <c r="AC48" s="193" t="n">
        <f aca="false">AC45-AC47</f>
        <v>0</v>
      </c>
      <c r="AD48" s="193" t="n">
        <f aca="false">AD45-AD47</f>
        <v>0</v>
      </c>
      <c r="AE48" s="193" t="n">
        <f aca="false">AE45-AE47</f>
        <v>0</v>
      </c>
      <c r="AF48" s="183" t="str">
        <f aca="false">A48</f>
        <v>Total on call hours yesterday</v>
      </c>
      <c r="AG48" s="146"/>
      <c r="AH48" s="179"/>
      <c r="AI48" s="180"/>
      <c r="AJ48" s="172"/>
      <c r="AK48" s="172"/>
      <c r="AL48" s="199" t="n">
        <f aca="false">IF(EB.Anwendung&lt;&gt;"",IF(MONTH(Monat.Tag1)=12,0,IF(MONTH(Monat.Tag1)=1,February!Monat.PikettgesternTag1,IF(MONTH(Monat.Tag1)=2,March!Monat.PikettgesternTag1,IF(MONTH(Monat.Tag1)=3,April!Monat.PikettgesternTag1,IF(MONTH(Monat.Tag1)=4,May!Monat.PikettgesternTag1,IF(MONTH(Monat.Tag1)=5,Monat.PikettgesternTag1,IF(MONTH(Monat.Tag1)=6,July!Monat.PikettgesternTag1,IF(MONTH(Monat.Tag1)=7,August!Monat.PikettgesternTag1,IF(MONTH(Monat.Tag1)=8,September!Monat.PikettgesternTag1,IF(MONTH(Monat.Tag1)=9,October!Monat.PikettgesternTag1,IF(MONTH(Monat.Tag1)=10,November!Monat.PikettgesternTag1,IF(MONTH(Monat.Tag1)=11,December!Monat.PikettgesternTag1,"")))))))))))),"")</f>
        <v>0</v>
      </c>
      <c r="AM48" s="171"/>
      <c r="AN48" s="172"/>
      <c r="AO48" s="172"/>
      <c r="AP48" s="39"/>
    </row>
    <row r="49" s="148" customFormat="true" ht="16.5" hidden="true" customHeight="true" outlineLevel="1" collapsed="false">
      <c r="A49" s="181" t="s">
        <v>138</v>
      </c>
      <c r="B49" s="182" t="n">
        <f aca="false">B47+IF(B$10=EOMONTH(B$10,0),$AL48,C48)</f>
        <v>0</v>
      </c>
      <c r="C49" s="182" t="n">
        <f aca="false">C47+IF(C$10=EOMONTH(C$10,0),$AL48,D48)</f>
        <v>0</v>
      </c>
      <c r="D49" s="182" t="n">
        <f aca="false">D47+IF(D$10=EOMONTH(D$10,0),$AL48,E48)</f>
        <v>0</v>
      </c>
      <c r="E49" s="182" t="n">
        <f aca="false">E47+IF(E$10=EOMONTH(E$10,0),$AL48,F48)</f>
        <v>0</v>
      </c>
      <c r="F49" s="182" t="n">
        <f aca="false">F47+IF(F$10=EOMONTH(F$10,0),$AL48,G48)</f>
        <v>0</v>
      </c>
      <c r="G49" s="182" t="n">
        <f aca="false">G47+IF(G$10=EOMONTH(G$10,0),$AL48,H48)</f>
        <v>0</v>
      </c>
      <c r="H49" s="182" t="n">
        <f aca="false">H47+IF(H$10=EOMONTH(H$10,0),$AL48,I48)</f>
        <v>0</v>
      </c>
      <c r="I49" s="182" t="n">
        <f aca="false">I47+IF(I$10=EOMONTH(I$10,0),$AL48,J48)</f>
        <v>0</v>
      </c>
      <c r="J49" s="182" t="n">
        <f aca="false">J47+IF(J$10=EOMONTH(J$10,0),$AL48,K48)</f>
        <v>0</v>
      </c>
      <c r="K49" s="182" t="n">
        <f aca="false">K47+IF(K$10=EOMONTH(K$10,0),$AL48,L48)</f>
        <v>0</v>
      </c>
      <c r="L49" s="182" t="n">
        <f aca="false">L47+IF(L$10=EOMONTH(L$10,0),$AL48,M48)</f>
        <v>0</v>
      </c>
      <c r="M49" s="182" t="n">
        <f aca="false">M47+IF(M$10=EOMONTH(M$10,0),$AL48,N48)</f>
        <v>0</v>
      </c>
      <c r="N49" s="182" t="n">
        <f aca="false">N47+IF(N$10=EOMONTH(N$10,0),$AL48,O48)</f>
        <v>0</v>
      </c>
      <c r="O49" s="182" t="n">
        <f aca="false">O47+IF(O$10=EOMONTH(O$10,0),$AL48,P48)</f>
        <v>0</v>
      </c>
      <c r="P49" s="182" t="n">
        <f aca="false">P47+IF(P$10=EOMONTH(P$10,0),$AL48,Q48)</f>
        <v>0</v>
      </c>
      <c r="Q49" s="182" t="n">
        <f aca="false">Q47+IF(Q$10=EOMONTH(Q$10,0),$AL48,R48)</f>
        <v>0</v>
      </c>
      <c r="R49" s="182" t="n">
        <f aca="false">R47+IF(R$10=EOMONTH(R$10,0),$AL48,S48)</f>
        <v>0</v>
      </c>
      <c r="S49" s="182" t="n">
        <f aca="false">S47+IF(S$10=EOMONTH(S$10,0),$AL48,T48)</f>
        <v>0</v>
      </c>
      <c r="T49" s="182" t="n">
        <f aca="false">T47+IF(T$10=EOMONTH(T$10,0),$AL48,U48)</f>
        <v>0</v>
      </c>
      <c r="U49" s="182" t="n">
        <f aca="false">U47+IF(U$10=EOMONTH(U$10,0),$AL48,V48)</f>
        <v>0</v>
      </c>
      <c r="V49" s="182" t="n">
        <f aca="false">V47+IF(V$10=EOMONTH(V$10,0),$AL48,W48)</f>
        <v>0</v>
      </c>
      <c r="W49" s="182" t="n">
        <f aca="false">W47+IF(W$10=EOMONTH(W$10,0),$AL48,X48)</f>
        <v>0</v>
      </c>
      <c r="X49" s="182" t="n">
        <f aca="false">X47+IF(X$10=EOMONTH(X$10,0),$AL48,Y48)</f>
        <v>0</v>
      </c>
      <c r="Y49" s="182" t="n">
        <f aca="false">Y47+IF(Y$10=EOMONTH(Y$10,0),$AL48,Z48)</f>
        <v>0</v>
      </c>
      <c r="Z49" s="182" t="n">
        <f aca="false">Z47+IF(Z$10=EOMONTH(Z$10,0),$AL48,AA48)</f>
        <v>0</v>
      </c>
      <c r="AA49" s="182" t="n">
        <f aca="false">AA47+IF(AA$10=EOMONTH(AA$10,0),$AL48,AB48)</f>
        <v>0</v>
      </c>
      <c r="AB49" s="182" t="n">
        <f aca="false">AB47+IF(AB$10=EOMONTH(AB$10,0),$AL48,AC48)</f>
        <v>0</v>
      </c>
      <c r="AC49" s="182" t="n">
        <f aca="false">AC47+IF(AC$10=EOMONTH(AC$10,0),$AL48,AD48)</f>
        <v>0</v>
      </c>
      <c r="AD49" s="182" t="n">
        <f aca="false">AD47+IF(AD$10=EOMONTH(AD$10,0),$AL48,AE48)</f>
        <v>0</v>
      </c>
      <c r="AE49" s="182" t="n">
        <f aca="false">AE47+IF(AE$10=EOMONTH(AE$10,0),$AL48,#REF!)</f>
        <v>0</v>
      </c>
      <c r="AF49" s="183" t="str">
        <f aca="false">A49</f>
        <v>Total on call standby hours</v>
      </c>
      <c r="AG49" s="184"/>
      <c r="AH49" s="185" t="n">
        <f aca="false">SUM(B49:AE49)</f>
        <v>0</v>
      </c>
      <c r="AI49" s="180"/>
      <c r="AJ49" s="172"/>
      <c r="AK49" s="172"/>
      <c r="AL49" s="172"/>
      <c r="AM49" s="171"/>
      <c r="AN49" s="172"/>
      <c r="AO49" s="172"/>
      <c r="AP49" s="39"/>
    </row>
    <row r="50" s="148" customFormat="true" ht="3.75" hidden="false" customHeight="true" outlineLevel="0" collapsed="false">
      <c r="A50" s="200"/>
      <c r="B50" s="187"/>
      <c r="C50" s="187"/>
      <c r="D50" s="187"/>
      <c r="E50" s="187"/>
      <c r="F50" s="187"/>
      <c r="G50" s="187"/>
      <c r="H50" s="187"/>
      <c r="I50" s="187"/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87"/>
      <c r="U50" s="187"/>
      <c r="V50" s="187"/>
      <c r="W50" s="187"/>
      <c r="X50" s="187"/>
      <c r="Y50" s="187"/>
      <c r="Z50" s="187"/>
      <c r="AA50" s="187"/>
      <c r="AB50" s="187"/>
      <c r="AC50" s="187"/>
      <c r="AD50" s="187"/>
      <c r="AE50" s="187"/>
      <c r="AF50" s="201"/>
      <c r="AG50" s="202"/>
      <c r="AH50" s="188"/>
      <c r="AI50" s="180"/>
      <c r="AJ50" s="172"/>
      <c r="AK50" s="172"/>
      <c r="AL50" s="172"/>
      <c r="AM50" s="171"/>
      <c r="AN50" s="172"/>
      <c r="AO50" s="172"/>
      <c r="AP50" s="39"/>
    </row>
    <row r="51" s="148" customFormat="true" ht="15" hidden="false" customHeight="true" outlineLevel="0" collapsed="false">
      <c r="A51" s="181" t="s">
        <v>139</v>
      </c>
      <c r="B51" s="203" t="n">
        <f aca="false">ROUND(B23+B45+B84+SUM(B86:B95)+IF(T.50_Vetsuisse,B71,0),9)</f>
        <v>0</v>
      </c>
      <c r="C51" s="203" t="n">
        <f aca="false">ROUND(C23+C45+C84+SUM(C86:C95)+IF(T.50_Vetsuisse,C71,0),9)</f>
        <v>0</v>
      </c>
      <c r="D51" s="203" t="n">
        <f aca="false">ROUND(D23+D45+D84+SUM(D86:D95)+IF(T.50_Vetsuisse,D71,0),9)</f>
        <v>0</v>
      </c>
      <c r="E51" s="204" t="n">
        <f aca="false">ROUND(E23+E45+E84+SUM(E86:E95)+IF(T.50_Vetsuisse,E71,0),9)</f>
        <v>0</v>
      </c>
      <c r="F51" s="203" t="n">
        <f aca="false">ROUND(F23+F45+F84+SUM(F86:F95)+IF(T.50_Vetsuisse,F71,0),9)</f>
        <v>0</v>
      </c>
      <c r="G51" s="203" t="n">
        <f aca="false">ROUND(G23+G45+G84+SUM(G86:G95)+IF(T.50_Vetsuisse,G71,0),9)</f>
        <v>0</v>
      </c>
      <c r="H51" s="203" t="n">
        <f aca="false">ROUND(H23+H45+H84+SUM(H86:H95)+IF(T.50_Vetsuisse,H71,0),9)</f>
        <v>0</v>
      </c>
      <c r="I51" s="203" t="n">
        <f aca="false">ROUND(I23+I45+I84+SUM(I86:I95)+IF(T.50_Vetsuisse,I71,0),9)</f>
        <v>0</v>
      </c>
      <c r="J51" s="205" t="n">
        <f aca="false">ROUND(J23+J45+J84+SUM(J86:J95)+IF(T.50_Vetsuisse,J71,0),9)</f>
        <v>0</v>
      </c>
      <c r="K51" s="203" t="n">
        <f aca="false">ROUND(K23+K45+K84+SUM(K86:K95)+IF(T.50_Vetsuisse,K71,0),9)</f>
        <v>0</v>
      </c>
      <c r="L51" s="205" t="n">
        <f aca="false">ROUND(L23+L45+L84+SUM(L86:L95)+IF(T.50_Vetsuisse,L71,0),9)</f>
        <v>0</v>
      </c>
      <c r="M51" s="203" t="n">
        <f aca="false">ROUND(M23+M45+M84+SUM(M86:M95)+IF(T.50_Vetsuisse,M71,0),9)</f>
        <v>0</v>
      </c>
      <c r="N51" s="203" t="n">
        <f aca="false">ROUND(N23+N45+N84+SUM(N86:N95)+IF(T.50_Vetsuisse,N71,0),9)</f>
        <v>0</v>
      </c>
      <c r="O51" s="203" t="n">
        <f aca="false">ROUND(O23+O45+O84+SUM(O86:O95)+IF(T.50_Vetsuisse,O71,0),9)</f>
        <v>0</v>
      </c>
      <c r="P51" s="203" t="n">
        <f aca="false">ROUND(P23+P45+P84+SUM(P86:P95)+IF(T.50_Vetsuisse,P71,0),9)</f>
        <v>0</v>
      </c>
      <c r="Q51" s="205" t="n">
        <f aca="false">ROUND(Q23+Q45+Q84+SUM(Q86:Q95)+IF(T.50_Vetsuisse,Q71,0),9)</f>
        <v>0</v>
      </c>
      <c r="R51" s="203" t="n">
        <f aca="false">ROUND(R23+R45+R84+SUM(R86:R95)+IF(T.50_Vetsuisse,R71,0),9)</f>
        <v>0</v>
      </c>
      <c r="S51" s="205" t="n">
        <f aca="false">ROUND(S23+S45+S84+SUM(S86:S95)+IF(T.50_Vetsuisse,S71,0),9)</f>
        <v>0</v>
      </c>
      <c r="T51" s="205" t="n">
        <f aca="false">ROUND(T23+T45+T84+SUM(T86:T95)+IF(T.50_Vetsuisse,T71,0),9)</f>
        <v>0</v>
      </c>
      <c r="U51" s="203" t="n">
        <f aca="false">ROUND(U23+U45+U84+SUM(U86:U95)+IF(T.50_Vetsuisse,U71,0),9)</f>
        <v>0</v>
      </c>
      <c r="V51" s="203" t="n">
        <f aca="false">ROUND(V23+V45+V84+SUM(V86:V95)+IF(T.50_Vetsuisse,V71,0),9)</f>
        <v>0</v>
      </c>
      <c r="W51" s="203" t="n">
        <f aca="false">ROUND(W23+W45+W84+SUM(W86:W95)+IF(T.50_Vetsuisse,W71,0),9)</f>
        <v>0</v>
      </c>
      <c r="X51" s="205" t="n">
        <f aca="false">ROUND(X23+X45+X84+SUM(X86:X95)+IF(T.50_Vetsuisse,X71,0),9)</f>
        <v>0</v>
      </c>
      <c r="Y51" s="203" t="n">
        <f aca="false">ROUND(Y23+Y45+Y84+SUM(Y86:Y95)+IF(T.50_Vetsuisse,Y71,0),9)</f>
        <v>0</v>
      </c>
      <c r="Z51" s="206" t="n">
        <f aca="false">ROUND(Z23+Z45+Z84+SUM(Z86:Z95)+IF(T.50_Vetsuisse,Z71,0),9)</f>
        <v>0</v>
      </c>
      <c r="AA51" s="203" t="n">
        <f aca="false">ROUND(AA23+AA45+AA84+SUM(AA86:AA95)+IF(T.50_Vetsuisse,AA71,0),9)</f>
        <v>0</v>
      </c>
      <c r="AB51" s="203" t="n">
        <f aca="false">ROUND(AB23+AB45+AB84+SUM(AB86:AB95)+IF(T.50_Vetsuisse,AB71,0),9)</f>
        <v>0</v>
      </c>
      <c r="AC51" s="203" t="n">
        <f aca="false">ROUND(AC23+AC45+AC84+SUM(AC86:AC95)+IF(T.50_Vetsuisse,AC71,0),9)</f>
        <v>0</v>
      </c>
      <c r="AD51" s="203" t="n">
        <f aca="false">ROUND(AD23+AD45+AD84+SUM(AD86:AD95)+IF(T.50_Vetsuisse,AD71,0),9)</f>
        <v>0</v>
      </c>
      <c r="AE51" s="205" t="n">
        <f aca="false">ROUND(AE23+AE45+AE84+SUM(AE86:AE95)+IF(T.50_Vetsuisse,AE71,0),9)</f>
        <v>0</v>
      </c>
      <c r="AF51" s="183" t="str">
        <f aca="false">A51</f>
        <v>Actual hours worked</v>
      </c>
      <c r="AG51" s="184"/>
      <c r="AH51" s="207" t="n">
        <f aca="false">SUM(B51:AE51)</f>
        <v>0</v>
      </c>
      <c r="AI51" s="180"/>
      <c r="AJ51" s="172"/>
      <c r="AK51" s="172"/>
      <c r="AL51" s="172"/>
      <c r="AM51" s="208" t="n">
        <f aca="true">IF(WEEKDAY(EOMONTH(Monat.Tag1,0),2)=7,0,MAX(0,SUM(OFFSET(B51,0,DAY(EOMONTH(Monat.Tag1,0))-WEEKDAY(EOMONTH(Monat.Tag1,0),2),1,WEEKDAY(EOMONTH(Monat.Tag1,0),2)))))</f>
        <v>0</v>
      </c>
      <c r="AN51" s="172"/>
      <c r="AO51" s="172"/>
      <c r="AP51" s="39"/>
    </row>
    <row r="52" s="148" customFormat="true" ht="15" hidden="false" customHeight="true" outlineLevel="1" collapsed="false">
      <c r="A52" s="175" t="s">
        <v>140</v>
      </c>
      <c r="B52" s="209" t="n">
        <f aca="false">IF(B$12=0,0,ROUND(INDEX(Monat.RAZ1_7.Bereich,WEEKDAY(B$10,2))*B$11,9))</f>
        <v>0.35</v>
      </c>
      <c r="C52" s="209" t="n">
        <f aca="false">IF(C$12=0,0,ROUND(INDEX(Monat.RAZ1_7.Bereich,WEEKDAY(C$10,2))*C$11,9))</f>
        <v>0</v>
      </c>
      <c r="D52" s="210" t="n">
        <f aca="false">IF(D$12=0,0,ROUND(INDEX(Monat.RAZ1_7.Bereich,WEEKDAY(D$10,2))*D$11,9))</f>
        <v>0</v>
      </c>
      <c r="E52" s="209" t="n">
        <f aca="false">IF(E$12=0,0,ROUND(INDEX(Monat.RAZ1_7.Bereich,WEEKDAY(E$10,2))*E$11,9))</f>
        <v>0.35</v>
      </c>
      <c r="F52" s="210" t="n">
        <f aca="false">IF(F$12=0,0,ROUND(INDEX(Monat.RAZ1_7.Bereich,WEEKDAY(F$10,2))*F$11,9))</f>
        <v>0.35</v>
      </c>
      <c r="G52" s="210" t="n">
        <f aca="false">IF(G$12=0,0,ROUND(INDEX(Monat.RAZ1_7.Bereich,WEEKDAY(G$10,2))*G$11,9))</f>
        <v>0.35</v>
      </c>
      <c r="H52" s="210" t="n">
        <f aca="false">IF(H$12=0,0,ROUND(INDEX(Monat.RAZ1_7.Bereich,WEEKDAY(H$10,2))*H$11,9))</f>
        <v>0.35</v>
      </c>
      <c r="I52" s="210" t="n">
        <f aca="false">IF(I$12=0,0,ROUND(INDEX(Monat.RAZ1_7.Bereich,WEEKDAY(I$10,2))*I$11,9))</f>
        <v>0.35</v>
      </c>
      <c r="J52" s="209" t="n">
        <f aca="false">IF(J$12=0,0,ROUND(INDEX(Monat.RAZ1_7.Bereich,WEEKDAY(J$10,2))*J$11,9))</f>
        <v>0</v>
      </c>
      <c r="K52" s="210" t="n">
        <f aca="false">IF(K$12=0,0,ROUND(INDEX(Monat.RAZ1_7.Bereich,WEEKDAY(K$10,2))*K$11,9))</f>
        <v>0</v>
      </c>
      <c r="L52" s="209" t="n">
        <f aca="false">IF(L$12=0,0,ROUND(INDEX(Monat.RAZ1_7.Bereich,WEEKDAY(L$10,2))*L$11,9))</f>
        <v>0.35</v>
      </c>
      <c r="M52" s="210" t="n">
        <f aca="false">IF(M$12=0,0,ROUND(INDEX(Monat.RAZ1_7.Bereich,WEEKDAY(M$10,2))*M$11,9))</f>
        <v>0.35</v>
      </c>
      <c r="N52" s="210" t="n">
        <f aca="false">IF(N$12=0,0,ROUND(INDEX(Monat.RAZ1_7.Bereich,WEEKDAY(N$10,2))*N$11,9))</f>
        <v>0.35</v>
      </c>
      <c r="O52" s="210" t="n">
        <f aca="false">IF(O$12=0,0,ROUND(INDEX(Monat.RAZ1_7.Bereich,WEEKDAY(O$10,2))*O$11,9))</f>
        <v>0.35</v>
      </c>
      <c r="P52" s="210" t="n">
        <f aca="false">IF(P$12=0,0,ROUND(INDEX(Monat.RAZ1_7.Bereich,WEEKDAY(P$10,2))*P$11,9))</f>
        <v>0.35</v>
      </c>
      <c r="Q52" s="209" t="n">
        <f aca="false">IF(Q$12=0,0,ROUND(INDEX(Monat.RAZ1_7.Bereich,WEEKDAY(Q$10,2))*Q$11,9))</f>
        <v>0</v>
      </c>
      <c r="R52" s="210" t="n">
        <f aca="false">IF(R$12=0,0,ROUND(INDEX(Monat.RAZ1_7.Bereich,WEEKDAY(R$10,2))*R$11,9))</f>
        <v>0</v>
      </c>
      <c r="S52" s="209" t="n">
        <f aca="false">IF(S$12=0,0,ROUND(INDEX(Monat.RAZ1_7.Bereich,WEEKDAY(S$10,2))*S$11,9))</f>
        <v>0.35</v>
      </c>
      <c r="T52" s="209" t="n">
        <f aca="false">IF(T$12=0,0,ROUND(INDEX(Monat.RAZ1_7.Bereich,WEEKDAY(T$10,2))*T$11,9))</f>
        <v>0.35</v>
      </c>
      <c r="U52" s="210" t="n">
        <f aca="false">IF(U$12=0,0,ROUND(INDEX(Monat.RAZ1_7.Bereich,WEEKDAY(U$10,2))*U$11,9))</f>
        <v>0.35</v>
      </c>
      <c r="V52" s="210" t="n">
        <f aca="false">IF(V$12=0,0,ROUND(INDEX(Monat.RAZ1_7.Bereich,WEEKDAY(V$10,2))*V$11,9))</f>
        <v>0.35</v>
      </c>
      <c r="W52" s="210" t="n">
        <f aca="false">IF(W$12=0,0,ROUND(INDEX(Monat.RAZ1_7.Bereich,WEEKDAY(W$10,2))*W$11,9))</f>
        <v>0.35</v>
      </c>
      <c r="X52" s="209" t="n">
        <f aca="false">IF(X$12=0,0,ROUND(INDEX(Monat.RAZ1_7.Bereich,WEEKDAY(X$10,2))*X$11,9))</f>
        <v>0</v>
      </c>
      <c r="Y52" s="210" t="n">
        <f aca="false">IF(Y$12=0,0,ROUND(INDEX(Monat.RAZ1_7.Bereich,WEEKDAY(Y$10,2))*Y$11,9))</f>
        <v>0</v>
      </c>
      <c r="Z52" s="211" t="n">
        <f aca="false">IF(Z$12=0,0,ROUND(INDEX(Monat.RAZ1_7.Bereich,WEEKDAY(Z$10,2))*Z$11,9))</f>
        <v>0.35</v>
      </c>
      <c r="AA52" s="210" t="n">
        <f aca="false">IF(AA$12=0,0,ROUND(INDEX(Monat.RAZ1_7.Bereich,WEEKDAY(AA$10,2))*AA$11,9))</f>
        <v>0.35</v>
      </c>
      <c r="AB52" s="210" t="n">
        <f aca="false">IF(AB$12=0,0,ROUND(INDEX(Monat.RAZ1_7.Bereich,WEEKDAY(AB$10,2))*AB$11,9))</f>
        <v>0.35</v>
      </c>
      <c r="AC52" s="210" t="n">
        <f aca="false">IF(AC$12=0,0,ROUND(INDEX(Monat.RAZ1_7.Bereich,WEEKDAY(AC$10,2))*AC$11,9))</f>
        <v>0.35</v>
      </c>
      <c r="AD52" s="210" t="n">
        <f aca="false">IF(AD$12=0,0,ROUND(INDEX(Monat.RAZ1_7.Bereich,WEEKDAY(AD$10,2))*AD$11,9))</f>
        <v>0.35</v>
      </c>
      <c r="AE52" s="209" t="n">
        <f aca="false">IF(AE$12=0,0,ROUND(INDEX(Monat.RAZ1_7.Bereich,WEEKDAY(AE$10,2))*AE$11,9))</f>
        <v>0</v>
      </c>
      <c r="AF52" s="212" t="str">
        <f aca="false">A52</f>
        <v>Standardized hours (Info)</v>
      </c>
      <c r="AG52" s="184"/>
      <c r="AH52" s="179"/>
      <c r="AI52" s="180"/>
      <c r="AJ52" s="172"/>
      <c r="AK52" s="172"/>
      <c r="AL52" s="172"/>
      <c r="AM52" s="171"/>
      <c r="AN52" s="172"/>
      <c r="AO52" s="172"/>
      <c r="AP52" s="39"/>
    </row>
    <row r="53" s="148" customFormat="true" ht="15" hidden="false" customHeight="true" outlineLevel="0" collapsed="false">
      <c r="A53" s="175" t="s">
        <v>141</v>
      </c>
      <c r="B53" s="213" t="n">
        <f aca="false">IF(B$12=0,0,ROUND(INDEX(EB.AZSOLLTag100.Bereich,MATCH(INDEX(EB.Monate.Bereich,MONTH(Monat.Tag1)),EB.Monate.Bereich,0))*B$11*IF(WEEKDAY(B$10,2)&gt;5,0,1)*$V$2/100,9))</f>
        <v>0.35</v>
      </c>
      <c r="C53" s="213" t="n">
        <f aca="false">IF(C$12=0,0,ROUND(INDEX(EB.AZSOLLTag100.Bereich,MATCH(INDEX(EB.Monate.Bereich,MONTH(Monat.Tag1)),EB.Monate.Bereich,0))*C$11*IF(WEEKDAY(C$10,2)&gt;5,0,1)*$V$2/100,9))</f>
        <v>0</v>
      </c>
      <c r="D53" s="213" t="n">
        <f aca="false">IF(D$12=0,0,ROUND(INDEX(EB.AZSOLLTag100.Bereich,MATCH(INDEX(EB.Monate.Bereich,MONTH(Monat.Tag1)),EB.Monate.Bereich,0))*D$11*IF(WEEKDAY(D$10,2)&gt;5,0,1)*$V$2/100,9))</f>
        <v>0</v>
      </c>
      <c r="E53" s="213" t="n">
        <f aca="false">IF(E$12=0,0,ROUND(INDEX(EB.AZSOLLTag100.Bereich,MATCH(INDEX(EB.Monate.Bereich,MONTH(Monat.Tag1)),EB.Monate.Bereich,0))*E$11*IF(WEEKDAY(E$10,2)&gt;5,0,1)*$V$2/100,9))</f>
        <v>0.35</v>
      </c>
      <c r="F53" s="213" t="n">
        <f aca="false">IF(F$12=0,0,ROUND(INDEX(EB.AZSOLLTag100.Bereich,MATCH(INDEX(EB.Monate.Bereich,MONTH(Monat.Tag1)),EB.Monate.Bereich,0))*F$11*IF(WEEKDAY(F$10,2)&gt;5,0,1)*$V$2/100,9))</f>
        <v>0.35</v>
      </c>
      <c r="G53" s="213" t="n">
        <f aca="false">IF(G$12=0,0,ROUND(INDEX(EB.AZSOLLTag100.Bereich,MATCH(INDEX(EB.Monate.Bereich,MONTH(Monat.Tag1)),EB.Monate.Bereich,0))*G$11*IF(WEEKDAY(G$10,2)&gt;5,0,1)*$V$2/100,9))</f>
        <v>0.35</v>
      </c>
      <c r="H53" s="213" t="n">
        <f aca="false">IF(H$12=0,0,ROUND(INDEX(EB.AZSOLLTag100.Bereich,MATCH(INDEX(EB.Monate.Bereich,MONTH(Monat.Tag1)),EB.Monate.Bereich,0))*H$11*IF(WEEKDAY(H$10,2)&gt;5,0,1)*$V$2/100,9))</f>
        <v>0.35</v>
      </c>
      <c r="I53" s="213" t="n">
        <f aca="false">IF(I$12=0,0,ROUND(INDEX(EB.AZSOLLTag100.Bereich,MATCH(INDEX(EB.Monate.Bereich,MONTH(Monat.Tag1)),EB.Monate.Bereich,0))*I$11*IF(WEEKDAY(I$10,2)&gt;5,0,1)*$V$2/100,9))</f>
        <v>0.35</v>
      </c>
      <c r="J53" s="213" t="n">
        <f aca="false">IF(J$12=0,0,ROUND(INDEX(EB.AZSOLLTag100.Bereich,MATCH(INDEX(EB.Monate.Bereich,MONTH(Monat.Tag1)),EB.Monate.Bereich,0))*J$11*IF(WEEKDAY(J$10,2)&gt;5,0,1)*$V$2/100,9))</f>
        <v>0</v>
      </c>
      <c r="K53" s="213" t="n">
        <f aca="false">IF(K$12=0,0,ROUND(INDEX(EB.AZSOLLTag100.Bereich,MATCH(INDEX(EB.Monate.Bereich,MONTH(Monat.Tag1)),EB.Monate.Bereich,0))*K$11*IF(WEEKDAY(K$10,2)&gt;5,0,1)*$V$2/100,9))</f>
        <v>0</v>
      </c>
      <c r="L53" s="213" t="n">
        <f aca="false">IF(L$12=0,0,ROUND(INDEX(EB.AZSOLLTag100.Bereich,MATCH(INDEX(EB.Monate.Bereich,MONTH(Monat.Tag1)),EB.Monate.Bereich,0))*L$11*IF(WEEKDAY(L$10,2)&gt;5,0,1)*$V$2/100,9))</f>
        <v>0.35</v>
      </c>
      <c r="M53" s="213" t="n">
        <f aca="false">IF(M$12=0,0,ROUND(INDEX(EB.AZSOLLTag100.Bereich,MATCH(INDEX(EB.Monate.Bereich,MONTH(Monat.Tag1)),EB.Monate.Bereich,0))*M$11*IF(WEEKDAY(M$10,2)&gt;5,0,1)*$V$2/100,9))</f>
        <v>0.35</v>
      </c>
      <c r="N53" s="213" t="n">
        <f aca="false">IF(N$12=0,0,ROUND(INDEX(EB.AZSOLLTag100.Bereich,MATCH(INDEX(EB.Monate.Bereich,MONTH(Monat.Tag1)),EB.Monate.Bereich,0))*N$11*IF(WEEKDAY(N$10,2)&gt;5,0,1)*$V$2/100,9))</f>
        <v>0.35</v>
      </c>
      <c r="O53" s="213" t="n">
        <f aca="false">IF(O$12=0,0,ROUND(INDEX(EB.AZSOLLTag100.Bereich,MATCH(INDEX(EB.Monate.Bereich,MONTH(Monat.Tag1)),EB.Monate.Bereich,0))*O$11*IF(WEEKDAY(O$10,2)&gt;5,0,1)*$V$2/100,9))</f>
        <v>0.35</v>
      </c>
      <c r="P53" s="213" t="n">
        <f aca="false">IF(P$12=0,0,ROUND(INDEX(EB.AZSOLLTag100.Bereich,MATCH(INDEX(EB.Monate.Bereich,MONTH(Monat.Tag1)),EB.Monate.Bereich,0))*P$11*IF(WEEKDAY(P$10,2)&gt;5,0,1)*$V$2/100,9))</f>
        <v>0.35</v>
      </c>
      <c r="Q53" s="213" t="n">
        <f aca="false">IF(Q$12=0,0,ROUND(INDEX(EB.AZSOLLTag100.Bereich,MATCH(INDEX(EB.Monate.Bereich,MONTH(Monat.Tag1)),EB.Monate.Bereich,0))*Q$11*IF(WEEKDAY(Q$10,2)&gt;5,0,1)*$V$2/100,9))</f>
        <v>0</v>
      </c>
      <c r="R53" s="213" t="n">
        <f aca="false">IF(R$12=0,0,ROUND(INDEX(EB.AZSOLLTag100.Bereich,MATCH(INDEX(EB.Monate.Bereich,MONTH(Monat.Tag1)),EB.Monate.Bereich,0))*R$11*IF(WEEKDAY(R$10,2)&gt;5,0,1)*$V$2/100,9))</f>
        <v>0</v>
      </c>
      <c r="S53" s="213" t="n">
        <f aca="false">IF(S$12=0,0,ROUND(INDEX(EB.AZSOLLTag100.Bereich,MATCH(INDEX(EB.Monate.Bereich,MONTH(Monat.Tag1)),EB.Monate.Bereich,0))*S$11*IF(WEEKDAY(S$10,2)&gt;5,0,1)*$V$2/100,9))</f>
        <v>0.35</v>
      </c>
      <c r="T53" s="213" t="n">
        <f aca="false">IF(T$12=0,0,ROUND(INDEX(EB.AZSOLLTag100.Bereich,MATCH(INDEX(EB.Monate.Bereich,MONTH(Monat.Tag1)),EB.Monate.Bereich,0))*T$11*IF(WEEKDAY(T$10,2)&gt;5,0,1)*$V$2/100,9))</f>
        <v>0.35</v>
      </c>
      <c r="U53" s="213" t="n">
        <f aca="false">IF(U$12=0,0,ROUND(INDEX(EB.AZSOLLTag100.Bereich,MATCH(INDEX(EB.Monate.Bereich,MONTH(Monat.Tag1)),EB.Monate.Bereich,0))*U$11*IF(WEEKDAY(U$10,2)&gt;5,0,1)*$V$2/100,9))</f>
        <v>0.35</v>
      </c>
      <c r="V53" s="213" t="n">
        <f aca="false">IF(V$12=0,0,ROUND(INDEX(EB.AZSOLLTag100.Bereich,MATCH(INDEX(EB.Monate.Bereich,MONTH(Monat.Tag1)),EB.Monate.Bereich,0))*V$11*IF(WEEKDAY(V$10,2)&gt;5,0,1)*$V$2/100,9))</f>
        <v>0.35</v>
      </c>
      <c r="W53" s="213" t="n">
        <f aca="false">IF(W$12=0,0,ROUND(INDEX(EB.AZSOLLTag100.Bereich,MATCH(INDEX(EB.Monate.Bereich,MONTH(Monat.Tag1)),EB.Monate.Bereich,0))*W$11*IF(WEEKDAY(W$10,2)&gt;5,0,1)*$V$2/100,9))</f>
        <v>0.35</v>
      </c>
      <c r="X53" s="213" t="n">
        <f aca="false">IF(X$12=0,0,ROUND(INDEX(EB.AZSOLLTag100.Bereich,MATCH(INDEX(EB.Monate.Bereich,MONTH(Monat.Tag1)),EB.Monate.Bereich,0))*X$11*IF(WEEKDAY(X$10,2)&gt;5,0,1)*$V$2/100,9))</f>
        <v>0</v>
      </c>
      <c r="Y53" s="213" t="n">
        <f aca="false">IF(Y$12=0,0,ROUND(INDEX(EB.AZSOLLTag100.Bereich,MATCH(INDEX(EB.Monate.Bereich,MONTH(Monat.Tag1)),EB.Monate.Bereich,0))*Y$11*IF(WEEKDAY(Y$10,2)&gt;5,0,1)*$V$2/100,9))</f>
        <v>0</v>
      </c>
      <c r="Z53" s="213" t="n">
        <f aca="false">IF(Z$12=0,0,ROUND(INDEX(EB.AZSOLLTag100.Bereich,MATCH(INDEX(EB.Monate.Bereich,MONTH(Monat.Tag1)),EB.Monate.Bereich,0))*Z$11*IF(WEEKDAY(Z$10,2)&gt;5,0,1)*$V$2/100,9))</f>
        <v>0.35</v>
      </c>
      <c r="AA53" s="213" t="n">
        <f aca="false">IF(AA$12=0,0,ROUND(INDEX(EB.AZSOLLTag100.Bereich,MATCH(INDEX(EB.Monate.Bereich,MONTH(Monat.Tag1)),EB.Monate.Bereich,0))*AA$11*IF(WEEKDAY(AA$10,2)&gt;5,0,1)*$V$2/100,9))</f>
        <v>0.35</v>
      </c>
      <c r="AB53" s="213" t="n">
        <f aca="false">IF(AB$12=0,0,ROUND(INDEX(EB.AZSOLLTag100.Bereich,MATCH(INDEX(EB.Monate.Bereich,MONTH(Monat.Tag1)),EB.Monate.Bereich,0))*AB$11*IF(WEEKDAY(AB$10,2)&gt;5,0,1)*$V$2/100,9))</f>
        <v>0.35</v>
      </c>
      <c r="AC53" s="213" t="n">
        <f aca="false">IF(AC$12=0,0,ROUND(INDEX(EB.AZSOLLTag100.Bereich,MATCH(INDEX(EB.Monate.Bereich,MONTH(Monat.Tag1)),EB.Monate.Bereich,0))*AC$11*IF(WEEKDAY(AC$10,2)&gt;5,0,1)*$V$2/100,9))</f>
        <v>0.35</v>
      </c>
      <c r="AD53" s="213" t="n">
        <f aca="false">IF(AD$12=0,0,ROUND(INDEX(EB.AZSOLLTag100.Bereich,MATCH(INDEX(EB.Monate.Bereich,MONTH(Monat.Tag1)),EB.Monate.Bereich,0))*AD$11*IF(WEEKDAY(AD$10,2)&gt;5,0,1)*$V$2/100,9))</f>
        <v>0.35</v>
      </c>
      <c r="AE53" s="213" t="n">
        <f aca="false">IF(AE$12=0,0,ROUND(INDEX(EB.AZSOLLTag100.Bereich,MATCH(INDEX(EB.Monate.Bereich,MONTH(Monat.Tag1)),EB.Monate.Bereich,0))*AE$11*IF(WEEKDAY(AE$10,2)&gt;5,0,1)*$V$2/100,9))</f>
        <v>0</v>
      </c>
      <c r="AF53" s="168" t="str">
        <f aca="false">A53</f>
        <v>Req. hours of work FTE</v>
      </c>
      <c r="AG53" s="184"/>
      <c r="AH53" s="207" t="n">
        <f aca="false">SUM(B53:AE53)</f>
        <v>7.35</v>
      </c>
      <c r="AI53" s="180"/>
      <c r="AJ53" s="172"/>
      <c r="AK53" s="172"/>
      <c r="AL53" s="172"/>
      <c r="AM53" s="171"/>
      <c r="AN53" s="172"/>
      <c r="AO53" s="172"/>
      <c r="AP53" s="39"/>
    </row>
    <row r="54" s="148" customFormat="true" ht="15" hidden="true" customHeight="true" outlineLevel="1" collapsed="false">
      <c r="A54" s="175" t="s">
        <v>142</v>
      </c>
      <c r="B54" s="213" t="n">
        <f aca="false">ROUND(INDEX(EB.AZSOLLTag100.Bereich,MATCH(INDEX(EB.Monate.Bereich,MONTH(Monat.Tag1)),EB.Monate.Bereich,0))*B$11*IF(WEEKDAY(B$10,2)&gt;5,0,1),9)</f>
        <v>0.35</v>
      </c>
      <c r="C54" s="213" t="n">
        <f aca="false">ROUND(INDEX(EB.AZSOLLTag100.Bereich,MATCH(INDEX(EB.Monate.Bereich,MONTH(Monat.Tag1)),EB.Monate.Bereich,0))*C$11*IF(WEEKDAY(C$10,2)&gt;5,0,1),9)</f>
        <v>0</v>
      </c>
      <c r="D54" s="214" t="n">
        <f aca="false">ROUND(INDEX(EB.AZSOLLTag100.Bereich,MATCH(INDEX(EB.Monate.Bereich,MONTH(Monat.Tag1)),EB.Monate.Bereich,0))*D$11*IF(WEEKDAY(D$10,2)&gt;5,0,1),9)</f>
        <v>0</v>
      </c>
      <c r="E54" s="213" t="n">
        <f aca="false">ROUND(INDEX(EB.AZSOLLTag100.Bereich,MATCH(INDEX(EB.Monate.Bereich,MONTH(Monat.Tag1)),EB.Monate.Bereich,0))*E$11*IF(WEEKDAY(E$10,2)&gt;5,0,1),9)</f>
        <v>0.35</v>
      </c>
      <c r="F54" s="214" t="n">
        <f aca="false">ROUND(INDEX(EB.AZSOLLTag100.Bereich,MATCH(INDEX(EB.Monate.Bereich,MONTH(Monat.Tag1)),EB.Monate.Bereich,0))*F$11*IF(WEEKDAY(F$10,2)&gt;5,0,1),9)</f>
        <v>0.35</v>
      </c>
      <c r="G54" s="214" t="n">
        <f aca="false">ROUND(INDEX(EB.AZSOLLTag100.Bereich,MATCH(INDEX(EB.Monate.Bereich,MONTH(Monat.Tag1)),EB.Monate.Bereich,0))*G$11*IF(WEEKDAY(G$10,2)&gt;5,0,1),9)</f>
        <v>0.35</v>
      </c>
      <c r="H54" s="214" t="n">
        <f aca="false">ROUND(INDEX(EB.AZSOLLTag100.Bereich,MATCH(INDEX(EB.Monate.Bereich,MONTH(Monat.Tag1)),EB.Monate.Bereich,0))*H$11*IF(WEEKDAY(H$10,2)&gt;5,0,1),9)</f>
        <v>0.35</v>
      </c>
      <c r="I54" s="214" t="n">
        <f aca="false">ROUND(INDEX(EB.AZSOLLTag100.Bereich,MATCH(INDEX(EB.Monate.Bereich,MONTH(Monat.Tag1)),EB.Monate.Bereich,0))*I$11*IF(WEEKDAY(I$10,2)&gt;5,0,1),9)</f>
        <v>0.35</v>
      </c>
      <c r="J54" s="213" t="n">
        <f aca="false">ROUND(INDEX(EB.AZSOLLTag100.Bereich,MATCH(INDEX(EB.Monate.Bereich,MONTH(Monat.Tag1)),EB.Monate.Bereich,0))*J$11*IF(WEEKDAY(J$10,2)&gt;5,0,1),9)</f>
        <v>0</v>
      </c>
      <c r="K54" s="214" t="n">
        <f aca="false">ROUND(INDEX(EB.AZSOLLTag100.Bereich,MATCH(INDEX(EB.Monate.Bereich,MONTH(Monat.Tag1)),EB.Monate.Bereich,0))*K$11*IF(WEEKDAY(K$10,2)&gt;5,0,1),9)</f>
        <v>0</v>
      </c>
      <c r="L54" s="213" t="n">
        <f aca="false">ROUND(INDEX(EB.AZSOLLTag100.Bereich,MATCH(INDEX(EB.Monate.Bereich,MONTH(Monat.Tag1)),EB.Monate.Bereich,0))*L$11*IF(WEEKDAY(L$10,2)&gt;5,0,1),9)</f>
        <v>0.35</v>
      </c>
      <c r="M54" s="214" t="n">
        <f aca="false">ROUND(INDEX(EB.AZSOLLTag100.Bereich,MATCH(INDEX(EB.Monate.Bereich,MONTH(Monat.Tag1)),EB.Monate.Bereich,0))*M$11*IF(WEEKDAY(M$10,2)&gt;5,0,1),9)</f>
        <v>0.35</v>
      </c>
      <c r="N54" s="214" t="n">
        <f aca="false">ROUND(INDEX(EB.AZSOLLTag100.Bereich,MATCH(INDEX(EB.Monate.Bereich,MONTH(Monat.Tag1)),EB.Monate.Bereich,0))*N$11*IF(WEEKDAY(N$10,2)&gt;5,0,1),9)</f>
        <v>0.35</v>
      </c>
      <c r="O54" s="214" t="n">
        <f aca="false">ROUND(INDEX(EB.AZSOLLTag100.Bereich,MATCH(INDEX(EB.Monate.Bereich,MONTH(Monat.Tag1)),EB.Monate.Bereich,0))*O$11*IF(WEEKDAY(O$10,2)&gt;5,0,1),9)</f>
        <v>0.35</v>
      </c>
      <c r="P54" s="214" t="n">
        <f aca="false">ROUND(INDEX(EB.AZSOLLTag100.Bereich,MATCH(INDEX(EB.Monate.Bereich,MONTH(Monat.Tag1)),EB.Monate.Bereich,0))*P$11*IF(WEEKDAY(P$10,2)&gt;5,0,1),9)</f>
        <v>0.35</v>
      </c>
      <c r="Q54" s="213" t="n">
        <f aca="false">ROUND(INDEX(EB.AZSOLLTag100.Bereich,MATCH(INDEX(EB.Monate.Bereich,MONTH(Monat.Tag1)),EB.Monate.Bereich,0))*Q$11*IF(WEEKDAY(Q$10,2)&gt;5,0,1),9)</f>
        <v>0</v>
      </c>
      <c r="R54" s="214" t="n">
        <f aca="false">ROUND(INDEX(EB.AZSOLLTag100.Bereich,MATCH(INDEX(EB.Monate.Bereich,MONTH(Monat.Tag1)),EB.Monate.Bereich,0))*R$11*IF(WEEKDAY(R$10,2)&gt;5,0,1),9)</f>
        <v>0</v>
      </c>
      <c r="S54" s="213" t="n">
        <f aca="false">ROUND(INDEX(EB.AZSOLLTag100.Bereich,MATCH(INDEX(EB.Monate.Bereich,MONTH(Monat.Tag1)),EB.Monate.Bereich,0))*S$11*IF(WEEKDAY(S$10,2)&gt;5,0,1),9)</f>
        <v>0.35</v>
      </c>
      <c r="T54" s="213" t="n">
        <f aca="false">ROUND(INDEX(EB.AZSOLLTag100.Bereich,MATCH(INDEX(EB.Monate.Bereich,MONTH(Monat.Tag1)),EB.Monate.Bereich,0))*T$11*IF(WEEKDAY(T$10,2)&gt;5,0,1),9)</f>
        <v>0.35</v>
      </c>
      <c r="U54" s="214" t="n">
        <f aca="false">ROUND(INDEX(EB.AZSOLLTag100.Bereich,MATCH(INDEX(EB.Monate.Bereich,MONTH(Monat.Tag1)),EB.Monate.Bereich,0))*U$11*IF(WEEKDAY(U$10,2)&gt;5,0,1),9)</f>
        <v>0.35</v>
      </c>
      <c r="V54" s="214" t="n">
        <f aca="false">ROUND(INDEX(EB.AZSOLLTag100.Bereich,MATCH(INDEX(EB.Monate.Bereich,MONTH(Monat.Tag1)),EB.Monate.Bereich,0))*V$11*IF(WEEKDAY(V$10,2)&gt;5,0,1),9)</f>
        <v>0.35</v>
      </c>
      <c r="W54" s="214" t="n">
        <f aca="false">ROUND(INDEX(EB.AZSOLLTag100.Bereich,MATCH(INDEX(EB.Monate.Bereich,MONTH(Monat.Tag1)),EB.Monate.Bereich,0))*W$11*IF(WEEKDAY(W$10,2)&gt;5,0,1),9)</f>
        <v>0.35</v>
      </c>
      <c r="X54" s="213" t="n">
        <f aca="false">ROUND(INDEX(EB.AZSOLLTag100.Bereich,MATCH(INDEX(EB.Monate.Bereich,MONTH(Monat.Tag1)),EB.Monate.Bereich,0))*X$11*IF(WEEKDAY(X$10,2)&gt;5,0,1),9)</f>
        <v>0</v>
      </c>
      <c r="Y54" s="214" t="n">
        <f aca="false">ROUND(INDEX(EB.AZSOLLTag100.Bereich,MATCH(INDEX(EB.Monate.Bereich,MONTH(Monat.Tag1)),EB.Monate.Bereich,0))*Y$11*IF(WEEKDAY(Y$10,2)&gt;5,0,1),9)</f>
        <v>0</v>
      </c>
      <c r="Z54" s="215" t="n">
        <f aca="false">ROUND(INDEX(EB.AZSOLLTag100.Bereich,MATCH(INDEX(EB.Monate.Bereich,MONTH(Monat.Tag1)),EB.Monate.Bereich,0))*Z$11*IF(WEEKDAY(Z$10,2)&gt;5,0,1),9)</f>
        <v>0.35</v>
      </c>
      <c r="AA54" s="214" t="n">
        <f aca="false">ROUND(INDEX(EB.AZSOLLTag100.Bereich,MATCH(INDEX(EB.Monate.Bereich,MONTH(Monat.Tag1)),EB.Monate.Bereich,0))*AA$11*IF(WEEKDAY(AA$10,2)&gt;5,0,1),9)</f>
        <v>0.35</v>
      </c>
      <c r="AB54" s="214" t="n">
        <f aca="false">ROUND(INDEX(EB.AZSOLLTag100.Bereich,MATCH(INDEX(EB.Monate.Bereich,MONTH(Monat.Tag1)),EB.Monate.Bereich,0))*AB$11*IF(WEEKDAY(AB$10,2)&gt;5,0,1),9)</f>
        <v>0.35</v>
      </c>
      <c r="AC54" s="214" t="n">
        <f aca="false">ROUND(INDEX(EB.AZSOLLTag100.Bereich,MATCH(INDEX(EB.Monate.Bereich,MONTH(Monat.Tag1)),EB.Monate.Bereich,0))*AC$11*IF(WEEKDAY(AC$10,2)&gt;5,0,1),9)</f>
        <v>0.35</v>
      </c>
      <c r="AD54" s="214" t="n">
        <f aca="false">ROUND(INDEX(EB.AZSOLLTag100.Bereich,MATCH(INDEX(EB.Monate.Bereich,MONTH(Monat.Tag1)),EB.Monate.Bereich,0))*AD$11*IF(WEEKDAY(AD$10,2)&gt;5,0,1),9)</f>
        <v>0.35</v>
      </c>
      <c r="AE54" s="213" t="n">
        <f aca="false">ROUND(INDEX(EB.AZSOLLTag100.Bereich,MATCH(INDEX(EB.Monate.Bereich,MONTH(Monat.Tag1)),EB.Monate.Bereich,0))*AE$11*IF(WEEKDAY(AE$10,2)&gt;5,0,1),9)</f>
        <v>0</v>
      </c>
      <c r="AF54" s="168" t="str">
        <f aca="false">A54</f>
        <v>Req. hours of work 100%</v>
      </c>
      <c r="AG54" s="184"/>
      <c r="AH54" s="207" t="n">
        <f aca="false">SUM(B54:AE54)</f>
        <v>7.35</v>
      </c>
      <c r="AI54" s="180"/>
      <c r="AJ54" s="172"/>
      <c r="AK54" s="172"/>
      <c r="AL54" s="172"/>
      <c r="AM54" s="171"/>
      <c r="AN54" s="172"/>
      <c r="AO54" s="172"/>
      <c r="AP54" s="39"/>
    </row>
    <row r="55" s="148" customFormat="true" ht="15" hidden="false" customHeight="true" outlineLevel="0" collapsed="false">
      <c r="A55" s="175" t="s">
        <v>143</v>
      </c>
      <c r="B55" s="203" t="n">
        <f aca="false">ROUND(B51-B53,9)</f>
        <v>-0.35</v>
      </c>
      <c r="C55" s="203" t="n">
        <f aca="false">ROUND(C51-C53,9)</f>
        <v>0</v>
      </c>
      <c r="D55" s="203" t="n">
        <f aca="false">ROUND(D51-D53,9)</f>
        <v>0</v>
      </c>
      <c r="E55" s="205" t="n">
        <f aca="false">ROUND(E51-E53,9)</f>
        <v>-0.35</v>
      </c>
      <c r="F55" s="203" t="n">
        <f aca="false">ROUND(F51-F53,9)</f>
        <v>-0.35</v>
      </c>
      <c r="G55" s="203" t="n">
        <f aca="false">ROUND(G51-G53,9)</f>
        <v>-0.35</v>
      </c>
      <c r="H55" s="203" t="n">
        <f aca="false">ROUND(H51-H53,9)</f>
        <v>-0.35</v>
      </c>
      <c r="I55" s="203" t="n">
        <f aca="false">ROUND(I51-I53,9)</f>
        <v>-0.35</v>
      </c>
      <c r="J55" s="205" t="n">
        <f aca="false">ROUND(J51-J53,9)</f>
        <v>0</v>
      </c>
      <c r="K55" s="203" t="n">
        <f aca="false">ROUND(K51-K53,9)</f>
        <v>0</v>
      </c>
      <c r="L55" s="205" t="n">
        <f aca="false">ROUND(L51-L53,9)</f>
        <v>-0.35</v>
      </c>
      <c r="M55" s="203" t="n">
        <f aca="false">ROUND(M51-M53,9)</f>
        <v>-0.35</v>
      </c>
      <c r="N55" s="203" t="n">
        <f aca="false">ROUND(N51-N53,9)</f>
        <v>-0.35</v>
      </c>
      <c r="O55" s="203" t="n">
        <f aca="false">ROUND(O51-O53,9)</f>
        <v>-0.35</v>
      </c>
      <c r="P55" s="203" t="n">
        <f aca="false">ROUND(P51-P53,9)</f>
        <v>-0.35</v>
      </c>
      <c r="Q55" s="205" t="n">
        <f aca="false">ROUND(Q51-Q53,9)</f>
        <v>0</v>
      </c>
      <c r="R55" s="203" t="n">
        <f aca="false">ROUND(R51-R53,9)</f>
        <v>0</v>
      </c>
      <c r="S55" s="205" t="n">
        <f aca="false">ROUND(S51-S53,9)</f>
        <v>-0.35</v>
      </c>
      <c r="T55" s="205" t="n">
        <f aca="false">ROUND(T51-T53,9)</f>
        <v>-0.35</v>
      </c>
      <c r="U55" s="203" t="n">
        <f aca="false">ROUND(U51-U53,9)</f>
        <v>-0.35</v>
      </c>
      <c r="V55" s="203" t="n">
        <f aca="false">ROUND(V51-V53,9)</f>
        <v>-0.35</v>
      </c>
      <c r="W55" s="203" t="n">
        <f aca="false">ROUND(W51-W53,9)</f>
        <v>-0.35</v>
      </c>
      <c r="X55" s="205" t="n">
        <f aca="false">ROUND(X51-X53,9)</f>
        <v>0</v>
      </c>
      <c r="Y55" s="203" t="n">
        <f aca="false">ROUND(Y51-Y53,9)</f>
        <v>0</v>
      </c>
      <c r="Z55" s="206" t="n">
        <f aca="false">ROUND(Z51-Z53,9)</f>
        <v>-0.35</v>
      </c>
      <c r="AA55" s="203" t="n">
        <f aca="false">ROUND(AA51-AA53,9)</f>
        <v>-0.35</v>
      </c>
      <c r="AB55" s="203" t="n">
        <f aca="false">ROUND(AB51-AB53,9)</f>
        <v>-0.35</v>
      </c>
      <c r="AC55" s="203" t="n">
        <f aca="false">ROUND(AC51-AC53,9)</f>
        <v>-0.35</v>
      </c>
      <c r="AD55" s="203" t="n">
        <f aca="false">ROUND(AD51-AD53,9)</f>
        <v>-0.35</v>
      </c>
      <c r="AE55" s="205" t="n">
        <f aca="false">ROUND(AE51-AE53,9)</f>
        <v>0</v>
      </c>
      <c r="AF55" s="168" t="str">
        <f aca="false">A55</f>
        <v>+/- required/actual hours daily</v>
      </c>
      <c r="AG55" s="184"/>
      <c r="AH55" s="207" t="n">
        <f aca="false">SUM(B55:AE55)</f>
        <v>-7.35</v>
      </c>
      <c r="AI55" s="180"/>
      <c r="AJ55" s="172"/>
      <c r="AK55" s="216" t="n">
        <f aca="false">IF(EB.Anwendung&lt;&gt;"",IF(MONTH(Monat.Tag1)=1,0,IF(MONTH(Monat.Tag1)=2,January!Monat.Soll_Ist_UeVM,IF(MONTH(Monat.Tag1)=3,February!Monat.Soll_Ist_UeVM,IF(MONTH(Monat.Tag1)=4,March!Monat.Soll_Ist_UeVM,IF(MONTH(Monat.Tag1)=5,April!Monat.Soll_Ist_UeVM,IF(MONTH(Monat.Tag1)=6,May!Monat.Soll_Ist_UeVM,IF(MONTH(Monat.Tag1)=7,Monat.Soll_Ist_UeVM,IF(MONTH(Monat.Tag1)=8,July!Monat.Soll_Ist_UeVM,IF(MONTH(Monat.Tag1)=9,August!Monat.Soll_Ist_UeVM,IF(MONTH(Monat.Tag1)=10,September!Monat.Soll_Ist_UeVM,IF(MONTH(Monat.Tag1)=11,October!Monat.Soll_Ist_UeVM,IF(MONTH(Monat.Tag1)=12,November!Monat.Soll_Ist_UeVM,"")))))))))))),"")</f>
        <v>-3.143055555</v>
      </c>
      <c r="AL55" s="172"/>
      <c r="AM55" s="217" t="n">
        <f aca="false">IF(AG57="+",(AH55+AH57),(AH55-AH57))</f>
        <v>-7.35</v>
      </c>
      <c r="AN55" s="217" t="n">
        <f aca="true">SUM(OFFSET(J.AZSaldo.Total,-12,0,MONTH(Monat.Tag1),1))</f>
        <v>-10.568055555</v>
      </c>
      <c r="AO55" s="217" t="n">
        <f aca="false">J.AZSaldo.Total</f>
        <v>-54.918055555</v>
      </c>
      <c r="AP55" s="39"/>
    </row>
    <row r="56" s="148" customFormat="true" ht="15" hidden="false" customHeight="true" outlineLevel="0" collapsed="false">
      <c r="A56" s="175" t="s">
        <v>144</v>
      </c>
      <c r="B56" s="218" t="n">
        <f aca="true">IF(EB.Anwendung&lt;&gt;"",IF(DAY(B$10)=1,IF(MONTH(Monat.Tag1)=1,ROUND(EB.ÜVMMS,9),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Monat.MMS.UeVM,IF(MONTH(Monat.Tag1)=8,July!Monat.MMS.UeVM,IF(MONTH(Monat.Tag1)=9,August!Monat.MMS.UeVM,IF(MONTH(Monat.Tag1)=10,September!Monat.MMS.UeVM,IF(MONTH(Monat.Tag1)=11,October!Monat.MMS.UeVM,IF(MONTH(Monat.Tag1)=12,November!Monat.MMS.UeVM,""))))))))))))+IF(B$10&gt;TODAY(),0,B55), IF(B$10&gt;TODAY(),A56,A56+B55)),"")</f>
        <v>-0.768055555</v>
      </c>
      <c r="C56" s="218" t="n">
        <f aca="true">IF(EB.Anwendung&lt;&gt;"",IF(DAY(C$10)=1,IF(MONTH(Monat.Tag1)=1,ROUND(EB.ÜVMMS,9),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Monat.MMS.UeVM,IF(MONTH(Monat.Tag1)=8,July!Monat.MMS.UeVM,IF(MONTH(Monat.Tag1)=9,August!Monat.MMS.UeVM,IF(MONTH(Monat.Tag1)=10,September!Monat.MMS.UeVM,IF(MONTH(Monat.Tag1)=11,October!Monat.MMS.UeVM,IF(MONTH(Monat.Tag1)=12,November!Monat.MMS.UeVM,""))))))))))))+IF(C$10&gt;TODAY(),0,C55), IF(C$10&gt;TODAY(),B56,B56+C55)),"")</f>
        <v>-0.768055555</v>
      </c>
      <c r="D56" s="218" t="n">
        <f aca="true">IF(EB.Anwendung&lt;&gt;"",IF(DAY(D$10)=1,IF(MONTH(Monat.Tag1)=1,ROUND(EB.ÜVMMS,9),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Monat.MMS.UeVM,IF(MONTH(Monat.Tag1)=8,July!Monat.MMS.UeVM,IF(MONTH(Monat.Tag1)=9,August!Monat.MMS.UeVM,IF(MONTH(Monat.Tag1)=10,September!Monat.MMS.UeVM,IF(MONTH(Monat.Tag1)=11,October!Monat.MMS.UeVM,IF(MONTH(Monat.Tag1)=12,November!Monat.MMS.UeVM,""))))))))))))+IF(D$10&gt;TODAY(),0,D55), IF(D$10&gt;TODAY(),C56,C56+D55)),"")</f>
        <v>-0.768055555</v>
      </c>
      <c r="E56" s="218" t="n">
        <f aca="true">IF(EB.Anwendung&lt;&gt;"",IF(DAY(E$10)=1,IF(MONTH(Monat.Tag1)=1,ROUND(EB.ÜVMMS,9),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Monat.MMS.UeVM,IF(MONTH(Monat.Tag1)=8,July!Monat.MMS.UeVM,IF(MONTH(Monat.Tag1)=9,August!Monat.MMS.UeVM,IF(MONTH(Monat.Tag1)=10,September!Monat.MMS.UeVM,IF(MONTH(Monat.Tag1)=11,October!Monat.MMS.UeVM,IF(MONTH(Monat.Tag1)=12,November!Monat.MMS.UeVM,""))))))))))))+IF(E$10&gt;TODAY(),0,E55), IF(E$10&gt;TODAY(),D56,D56+E55)),"")</f>
        <v>-0.768055555</v>
      </c>
      <c r="F56" s="218" t="n">
        <f aca="true">IF(EB.Anwendung&lt;&gt;"",IF(DAY(F$10)=1,IF(MONTH(Monat.Tag1)=1,ROUND(EB.ÜVMMS,9),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Monat.MMS.UeVM,IF(MONTH(Monat.Tag1)=8,July!Monat.MMS.UeVM,IF(MONTH(Monat.Tag1)=9,August!Monat.MMS.UeVM,IF(MONTH(Monat.Tag1)=10,September!Monat.MMS.UeVM,IF(MONTH(Monat.Tag1)=11,October!Monat.MMS.UeVM,IF(MONTH(Monat.Tag1)=12,November!Monat.MMS.UeVM,""))))))))))))+IF(F$10&gt;TODAY(),0,F55), IF(F$10&gt;TODAY(),E56,E56+F55)),"")</f>
        <v>-0.768055555</v>
      </c>
      <c r="G56" s="218" t="n">
        <f aca="true">IF(EB.Anwendung&lt;&gt;"",IF(DAY(G$10)=1,IF(MONTH(Monat.Tag1)=1,ROUND(EB.ÜVMMS,9),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Monat.MMS.UeVM,IF(MONTH(Monat.Tag1)=8,July!Monat.MMS.UeVM,IF(MONTH(Monat.Tag1)=9,August!Monat.MMS.UeVM,IF(MONTH(Monat.Tag1)=10,September!Monat.MMS.UeVM,IF(MONTH(Monat.Tag1)=11,October!Monat.MMS.UeVM,IF(MONTH(Monat.Tag1)=12,November!Monat.MMS.UeVM,""))))))))))))+IF(G$10&gt;TODAY(),0,G55), IF(G$10&gt;TODAY(),F56,F56+G55)),"")</f>
        <v>-0.768055555</v>
      </c>
      <c r="H56" s="218" t="n">
        <f aca="true">IF(EB.Anwendung&lt;&gt;"",IF(DAY(H$10)=1,IF(MONTH(Monat.Tag1)=1,ROUND(EB.ÜVMMS,9),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Monat.MMS.UeVM,IF(MONTH(Monat.Tag1)=8,July!Monat.MMS.UeVM,IF(MONTH(Monat.Tag1)=9,August!Monat.MMS.UeVM,IF(MONTH(Monat.Tag1)=10,September!Monat.MMS.UeVM,IF(MONTH(Monat.Tag1)=11,October!Monat.MMS.UeVM,IF(MONTH(Monat.Tag1)=12,November!Monat.MMS.UeVM,""))))))))))))+IF(H$10&gt;TODAY(),0,H55), IF(H$10&gt;TODAY(),G56,G56+H55)),"")</f>
        <v>-0.768055555</v>
      </c>
      <c r="I56" s="218" t="n">
        <f aca="true">IF(EB.Anwendung&lt;&gt;"",IF(DAY(I$10)=1,IF(MONTH(Monat.Tag1)=1,ROUND(EB.ÜVMMS,9),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Monat.MMS.UeVM,IF(MONTH(Monat.Tag1)=8,July!Monat.MMS.UeVM,IF(MONTH(Monat.Tag1)=9,August!Monat.MMS.UeVM,IF(MONTH(Monat.Tag1)=10,September!Monat.MMS.UeVM,IF(MONTH(Monat.Tag1)=11,October!Monat.MMS.UeVM,IF(MONTH(Monat.Tag1)=12,November!Monat.MMS.UeVM,""))))))))))))+IF(I$10&gt;TODAY(),0,I55), IF(I$10&gt;TODAY(),H56,H56+I55)),"")</f>
        <v>-0.768055555</v>
      </c>
      <c r="J56" s="218" t="n">
        <f aca="true">IF(EB.Anwendung&lt;&gt;"",IF(DAY(J$10)=1,IF(MONTH(Monat.Tag1)=1,ROUND(EB.ÜVMMS,9),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Monat.MMS.UeVM,IF(MONTH(Monat.Tag1)=8,July!Monat.MMS.UeVM,IF(MONTH(Monat.Tag1)=9,August!Monat.MMS.UeVM,IF(MONTH(Monat.Tag1)=10,September!Monat.MMS.UeVM,IF(MONTH(Monat.Tag1)=11,October!Monat.MMS.UeVM,IF(MONTH(Monat.Tag1)=12,November!Monat.MMS.UeVM,""))))))))))))+IF(J$10&gt;TODAY(),0,J55), IF(J$10&gt;TODAY(),I56,I56+J55)),"")</f>
        <v>-0.768055555</v>
      </c>
      <c r="K56" s="218" t="n">
        <f aca="true">IF(EB.Anwendung&lt;&gt;"",IF(DAY(K$10)=1,IF(MONTH(Monat.Tag1)=1,ROUND(EB.ÜVMMS,9),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Monat.MMS.UeVM,IF(MONTH(Monat.Tag1)=8,July!Monat.MMS.UeVM,IF(MONTH(Monat.Tag1)=9,August!Monat.MMS.UeVM,IF(MONTH(Monat.Tag1)=10,September!Monat.MMS.UeVM,IF(MONTH(Monat.Tag1)=11,October!Monat.MMS.UeVM,IF(MONTH(Monat.Tag1)=12,November!Monat.MMS.UeVM,""))))))))))))+IF(K$10&gt;TODAY(),0,K55), IF(K$10&gt;TODAY(),J56,J56+K55)),"")</f>
        <v>-0.768055555</v>
      </c>
      <c r="L56" s="218" t="n">
        <f aca="true">IF(EB.Anwendung&lt;&gt;"",IF(DAY(L$10)=1,IF(MONTH(Monat.Tag1)=1,ROUND(EB.ÜVMMS,9),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Monat.MMS.UeVM,IF(MONTH(Monat.Tag1)=8,July!Monat.MMS.UeVM,IF(MONTH(Monat.Tag1)=9,August!Monat.MMS.UeVM,IF(MONTH(Monat.Tag1)=10,September!Monat.MMS.UeVM,IF(MONTH(Monat.Tag1)=11,October!Monat.MMS.UeVM,IF(MONTH(Monat.Tag1)=12,November!Monat.MMS.UeVM,""))))))))))))+IF(L$10&gt;TODAY(),0,L55), IF(L$10&gt;TODAY(),K56,K56+L55)),"")</f>
        <v>-0.768055555</v>
      </c>
      <c r="M56" s="218" t="n">
        <f aca="true">IF(EB.Anwendung&lt;&gt;"",IF(DAY(M$10)=1,IF(MONTH(Monat.Tag1)=1,ROUND(EB.ÜVMMS,9),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Monat.MMS.UeVM,IF(MONTH(Monat.Tag1)=8,July!Monat.MMS.UeVM,IF(MONTH(Monat.Tag1)=9,August!Monat.MMS.UeVM,IF(MONTH(Monat.Tag1)=10,September!Monat.MMS.UeVM,IF(MONTH(Monat.Tag1)=11,October!Monat.MMS.UeVM,IF(MONTH(Monat.Tag1)=12,November!Monat.MMS.UeVM,""))))))))))))+IF(M$10&gt;TODAY(),0,M55), IF(M$10&gt;TODAY(),L56,L56+M55)),"")</f>
        <v>-0.768055555</v>
      </c>
      <c r="N56" s="218" t="n">
        <f aca="true">IF(EB.Anwendung&lt;&gt;"",IF(DAY(N$10)=1,IF(MONTH(Monat.Tag1)=1,ROUND(EB.ÜVMMS,9),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Monat.MMS.UeVM,IF(MONTH(Monat.Tag1)=8,July!Monat.MMS.UeVM,IF(MONTH(Monat.Tag1)=9,August!Monat.MMS.UeVM,IF(MONTH(Monat.Tag1)=10,September!Monat.MMS.UeVM,IF(MONTH(Monat.Tag1)=11,October!Monat.MMS.UeVM,IF(MONTH(Monat.Tag1)=12,November!Monat.MMS.UeVM,""))))))))))))+IF(N$10&gt;TODAY(),0,N55), IF(N$10&gt;TODAY(),M56,M56+N55)),"")</f>
        <v>-0.768055555</v>
      </c>
      <c r="O56" s="218" t="n">
        <f aca="true">IF(EB.Anwendung&lt;&gt;"",IF(DAY(O$10)=1,IF(MONTH(Monat.Tag1)=1,ROUND(EB.ÜVMMS,9),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Monat.MMS.UeVM,IF(MONTH(Monat.Tag1)=8,July!Monat.MMS.UeVM,IF(MONTH(Monat.Tag1)=9,August!Monat.MMS.UeVM,IF(MONTH(Monat.Tag1)=10,September!Monat.MMS.UeVM,IF(MONTH(Monat.Tag1)=11,October!Monat.MMS.UeVM,IF(MONTH(Monat.Tag1)=12,November!Monat.MMS.UeVM,""))))))))))))+IF(O$10&gt;TODAY(),0,O55), IF(O$10&gt;TODAY(),N56,N56+O55)),"")</f>
        <v>-0.768055555</v>
      </c>
      <c r="P56" s="218" t="n">
        <f aca="true">IF(EB.Anwendung&lt;&gt;"",IF(DAY(P$10)=1,IF(MONTH(Monat.Tag1)=1,ROUND(EB.ÜVMMS,9),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Monat.MMS.UeVM,IF(MONTH(Monat.Tag1)=8,July!Monat.MMS.UeVM,IF(MONTH(Monat.Tag1)=9,August!Monat.MMS.UeVM,IF(MONTH(Monat.Tag1)=10,September!Monat.MMS.UeVM,IF(MONTH(Monat.Tag1)=11,October!Monat.MMS.UeVM,IF(MONTH(Monat.Tag1)=12,November!Monat.MMS.UeVM,""))))))))))))+IF(P$10&gt;TODAY(),0,P55), IF(P$10&gt;TODAY(),O56,O56+P55)),"")</f>
        <v>-0.768055555</v>
      </c>
      <c r="Q56" s="218" t="n">
        <f aca="true">IF(EB.Anwendung&lt;&gt;"",IF(DAY(Q$10)=1,IF(MONTH(Monat.Tag1)=1,ROUND(EB.ÜVMMS,9),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Monat.MMS.UeVM,IF(MONTH(Monat.Tag1)=8,July!Monat.MMS.UeVM,IF(MONTH(Monat.Tag1)=9,August!Monat.MMS.UeVM,IF(MONTH(Monat.Tag1)=10,September!Monat.MMS.UeVM,IF(MONTH(Monat.Tag1)=11,October!Monat.MMS.UeVM,IF(MONTH(Monat.Tag1)=12,November!Monat.MMS.UeVM,""))))))))))))+IF(Q$10&gt;TODAY(),0,Q55), IF(Q$10&gt;TODAY(),P56,P56+Q55)),"")</f>
        <v>-0.768055555</v>
      </c>
      <c r="R56" s="218" t="n">
        <f aca="true">IF(EB.Anwendung&lt;&gt;"",IF(DAY(R$10)=1,IF(MONTH(Monat.Tag1)=1,ROUND(EB.ÜVMMS,9),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Monat.MMS.UeVM,IF(MONTH(Monat.Tag1)=8,July!Monat.MMS.UeVM,IF(MONTH(Monat.Tag1)=9,August!Monat.MMS.UeVM,IF(MONTH(Monat.Tag1)=10,September!Monat.MMS.UeVM,IF(MONTH(Monat.Tag1)=11,October!Monat.MMS.UeVM,IF(MONTH(Monat.Tag1)=12,November!Monat.MMS.UeVM,""))))))))))))+IF(R$10&gt;TODAY(),0,R55), IF(R$10&gt;TODAY(),Q56,Q56+R55)),"")</f>
        <v>-0.768055555</v>
      </c>
      <c r="S56" s="218" t="n">
        <f aca="true">IF(EB.Anwendung&lt;&gt;"",IF(DAY(S$10)=1,IF(MONTH(Monat.Tag1)=1,ROUND(EB.ÜVMMS,9),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Monat.MMS.UeVM,IF(MONTH(Monat.Tag1)=8,July!Monat.MMS.UeVM,IF(MONTH(Monat.Tag1)=9,August!Monat.MMS.UeVM,IF(MONTH(Monat.Tag1)=10,September!Monat.MMS.UeVM,IF(MONTH(Monat.Tag1)=11,October!Monat.MMS.UeVM,IF(MONTH(Monat.Tag1)=12,November!Monat.MMS.UeVM,""))))))))))))+IF(S$10&gt;TODAY(),0,S55), IF(S$10&gt;TODAY(),R56,R56+S55)),"")</f>
        <v>-0.768055555</v>
      </c>
      <c r="T56" s="218" t="n">
        <f aca="true">IF(EB.Anwendung&lt;&gt;"",IF(DAY(T$10)=1,IF(MONTH(Monat.Tag1)=1,ROUND(EB.ÜVMMS,9),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Monat.MMS.UeVM,IF(MONTH(Monat.Tag1)=8,July!Monat.MMS.UeVM,IF(MONTH(Monat.Tag1)=9,August!Monat.MMS.UeVM,IF(MONTH(Monat.Tag1)=10,September!Monat.MMS.UeVM,IF(MONTH(Monat.Tag1)=11,October!Monat.MMS.UeVM,IF(MONTH(Monat.Tag1)=12,November!Monat.MMS.UeVM,""))))))))))))+IF(T$10&gt;TODAY(),0,T55), IF(T$10&gt;TODAY(),S56,S56+T55)),"")</f>
        <v>-0.768055555</v>
      </c>
      <c r="U56" s="218" t="n">
        <f aca="true">IF(EB.Anwendung&lt;&gt;"",IF(DAY(U$10)=1,IF(MONTH(Monat.Tag1)=1,ROUND(EB.ÜVMMS,9),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Monat.MMS.UeVM,IF(MONTH(Monat.Tag1)=8,July!Monat.MMS.UeVM,IF(MONTH(Monat.Tag1)=9,August!Monat.MMS.UeVM,IF(MONTH(Monat.Tag1)=10,September!Monat.MMS.UeVM,IF(MONTH(Monat.Tag1)=11,October!Monat.MMS.UeVM,IF(MONTH(Monat.Tag1)=12,November!Monat.MMS.UeVM,""))))))))))))+IF(U$10&gt;TODAY(),0,U55), IF(U$10&gt;TODAY(),T56,T56+U55)),"")</f>
        <v>-0.768055555</v>
      </c>
      <c r="V56" s="218" t="n">
        <f aca="true">IF(EB.Anwendung&lt;&gt;"",IF(DAY(V$10)=1,IF(MONTH(Monat.Tag1)=1,ROUND(EB.ÜVMMS,9),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Monat.MMS.UeVM,IF(MONTH(Monat.Tag1)=8,July!Monat.MMS.UeVM,IF(MONTH(Monat.Tag1)=9,August!Monat.MMS.UeVM,IF(MONTH(Monat.Tag1)=10,September!Monat.MMS.UeVM,IF(MONTH(Monat.Tag1)=11,October!Monat.MMS.UeVM,IF(MONTH(Monat.Tag1)=12,November!Monat.MMS.UeVM,""))))))))))))+IF(V$10&gt;TODAY(),0,V55), IF(V$10&gt;TODAY(),U56,U56+V55)),"")</f>
        <v>-0.768055555</v>
      </c>
      <c r="W56" s="218" t="n">
        <f aca="true">IF(EB.Anwendung&lt;&gt;"",IF(DAY(W$10)=1,IF(MONTH(Monat.Tag1)=1,ROUND(EB.ÜVMMS,9),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Monat.MMS.UeVM,IF(MONTH(Monat.Tag1)=8,July!Monat.MMS.UeVM,IF(MONTH(Monat.Tag1)=9,August!Monat.MMS.UeVM,IF(MONTH(Monat.Tag1)=10,September!Monat.MMS.UeVM,IF(MONTH(Monat.Tag1)=11,October!Monat.MMS.UeVM,IF(MONTH(Monat.Tag1)=12,November!Monat.MMS.UeVM,""))))))))))))+IF(W$10&gt;TODAY(),0,W55), IF(W$10&gt;TODAY(),V56,V56+W55)),"")</f>
        <v>-0.768055555</v>
      </c>
      <c r="X56" s="218" t="n">
        <f aca="true">IF(EB.Anwendung&lt;&gt;"",IF(DAY(X$10)=1,IF(MONTH(Monat.Tag1)=1,ROUND(EB.ÜVMMS,9),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Monat.MMS.UeVM,IF(MONTH(Monat.Tag1)=8,July!Monat.MMS.UeVM,IF(MONTH(Monat.Tag1)=9,August!Monat.MMS.UeVM,IF(MONTH(Monat.Tag1)=10,September!Monat.MMS.UeVM,IF(MONTH(Monat.Tag1)=11,October!Monat.MMS.UeVM,IF(MONTH(Monat.Tag1)=12,November!Monat.MMS.UeVM,""))))))))))))+IF(X$10&gt;TODAY(),0,X55), IF(X$10&gt;TODAY(),W56,W56+X55)),"")</f>
        <v>-0.768055555</v>
      </c>
      <c r="Y56" s="218" t="n">
        <f aca="true">IF(EB.Anwendung&lt;&gt;"",IF(DAY(Y$10)=1,IF(MONTH(Monat.Tag1)=1,ROUND(EB.ÜVMMS,9),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Monat.MMS.UeVM,IF(MONTH(Monat.Tag1)=8,July!Monat.MMS.UeVM,IF(MONTH(Monat.Tag1)=9,August!Monat.MMS.UeVM,IF(MONTH(Monat.Tag1)=10,September!Monat.MMS.UeVM,IF(MONTH(Monat.Tag1)=11,October!Monat.MMS.UeVM,IF(MONTH(Monat.Tag1)=12,November!Monat.MMS.UeVM,""))))))))))))+IF(Y$10&gt;TODAY(),0,Y55), IF(Y$10&gt;TODAY(),X56,X56+Y55)),"")</f>
        <v>-0.768055555</v>
      </c>
      <c r="Z56" s="218" t="n">
        <f aca="true">IF(EB.Anwendung&lt;&gt;"",IF(DAY(Z$10)=1,IF(MONTH(Monat.Tag1)=1,ROUND(EB.ÜVMMS,9),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Monat.MMS.UeVM,IF(MONTH(Monat.Tag1)=8,July!Monat.MMS.UeVM,IF(MONTH(Monat.Tag1)=9,August!Monat.MMS.UeVM,IF(MONTH(Monat.Tag1)=10,September!Monat.MMS.UeVM,IF(MONTH(Monat.Tag1)=11,October!Monat.MMS.UeVM,IF(MONTH(Monat.Tag1)=12,November!Monat.MMS.UeVM,""))))))))))))+IF(Z$10&gt;TODAY(),0,Z55), IF(Z$10&gt;TODAY(),Y56,Y56+Z55)),"")</f>
        <v>-0.768055555</v>
      </c>
      <c r="AA56" s="218" t="n">
        <f aca="true">IF(EB.Anwendung&lt;&gt;"",IF(DAY(AA$10)=1,IF(MONTH(Monat.Tag1)=1,ROUND(EB.ÜVMMS,9),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Monat.MMS.UeVM,IF(MONTH(Monat.Tag1)=8,July!Monat.MMS.UeVM,IF(MONTH(Monat.Tag1)=9,August!Monat.MMS.UeVM,IF(MONTH(Monat.Tag1)=10,September!Monat.MMS.UeVM,IF(MONTH(Monat.Tag1)=11,October!Monat.MMS.UeVM,IF(MONTH(Monat.Tag1)=12,November!Monat.MMS.UeVM,""))))))))))))+IF(AA$10&gt;TODAY(),0,AA55), IF(AA$10&gt;TODAY(),Z56,Z56+AA55)),"")</f>
        <v>-0.768055555</v>
      </c>
      <c r="AB56" s="218" t="n">
        <f aca="true">IF(EB.Anwendung&lt;&gt;"",IF(DAY(AB$10)=1,IF(MONTH(Monat.Tag1)=1,ROUND(EB.ÜVMMS,9),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Monat.MMS.UeVM,IF(MONTH(Monat.Tag1)=8,July!Monat.MMS.UeVM,IF(MONTH(Monat.Tag1)=9,August!Monat.MMS.UeVM,IF(MONTH(Monat.Tag1)=10,September!Monat.MMS.UeVM,IF(MONTH(Monat.Tag1)=11,October!Monat.MMS.UeVM,IF(MONTH(Monat.Tag1)=12,November!Monat.MMS.UeVM,""))))))))))))+IF(AB$10&gt;TODAY(),0,AB55), IF(AB$10&gt;TODAY(),AA56,AA56+AB55)),"")</f>
        <v>-0.768055555</v>
      </c>
      <c r="AC56" s="218" t="n">
        <f aca="true">IF(EB.Anwendung&lt;&gt;"",IF(DAY(AC$10)=1,IF(MONTH(Monat.Tag1)=1,ROUND(EB.ÜVMMS,9),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Monat.MMS.UeVM,IF(MONTH(Monat.Tag1)=8,July!Monat.MMS.UeVM,IF(MONTH(Monat.Tag1)=9,August!Monat.MMS.UeVM,IF(MONTH(Monat.Tag1)=10,September!Monat.MMS.UeVM,IF(MONTH(Monat.Tag1)=11,October!Monat.MMS.UeVM,IF(MONTH(Monat.Tag1)=12,November!Monat.MMS.UeVM,""))))))))))))+IF(AC$10&gt;TODAY(),0,AC55), IF(AC$10&gt;TODAY(),AB56,AB56+AC55)),"")</f>
        <v>-0.768055555</v>
      </c>
      <c r="AD56" s="218" t="n">
        <f aca="true">IF(EB.Anwendung&lt;&gt;"",IF(DAY(AD$10)=1,IF(MONTH(Monat.Tag1)=1,ROUND(EB.ÜVMMS,9),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Monat.MMS.UeVM,IF(MONTH(Monat.Tag1)=8,July!Monat.MMS.UeVM,IF(MONTH(Monat.Tag1)=9,August!Monat.MMS.UeVM,IF(MONTH(Monat.Tag1)=10,September!Monat.MMS.UeVM,IF(MONTH(Monat.Tag1)=11,October!Monat.MMS.UeVM,IF(MONTH(Monat.Tag1)=12,November!Monat.MMS.UeVM,""))))))))))))+IF(AD$10&gt;TODAY(),0,AD55), IF(AD$10&gt;TODAY(),AC56,AC56+AD55)),"")</f>
        <v>-0.768055555</v>
      </c>
      <c r="AE56" s="218" t="n">
        <f aca="true">IF(EB.Anwendung&lt;&gt;"",IF(DAY(AE$10)=1,IF(MONTH(Monat.Tag1)=1,ROUND(EB.ÜVMMS,9),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Monat.MMS.UeVM,IF(MONTH(Monat.Tag1)=8,July!Monat.MMS.UeVM,IF(MONTH(Monat.Tag1)=9,August!Monat.MMS.UeVM,IF(MONTH(Monat.Tag1)=10,September!Monat.MMS.UeVM,IF(MONTH(Monat.Tag1)=11,October!Monat.MMS.UeVM,IF(MONTH(Monat.Tag1)=12,November!Monat.MMS.UeVM,""))))))))))))+IF(AE$10&gt;TODAY(),0,AE55), IF(AE$10&gt;TODAY(),AD56,AD56+AE55)),"")</f>
        <v>-0.768055555</v>
      </c>
      <c r="AF56" s="168" t="str">
        <f aca="false">A56</f>
        <v>current extra/minus hours</v>
      </c>
      <c r="AG56" s="184"/>
      <c r="AH56" s="207" t="n">
        <f aca="true">OFFSET(B56,0,DAY(EOMONTH(Monat.Tag1,0))-1,1,1)</f>
        <v>-0.768055555</v>
      </c>
      <c r="AI56" s="180"/>
      <c r="AJ56" s="172"/>
      <c r="AK56" s="172"/>
      <c r="AL56" s="172"/>
      <c r="AM56" s="171"/>
      <c r="AN56" s="172"/>
      <c r="AO56" s="172"/>
      <c r="AP56" s="39"/>
    </row>
    <row r="57" s="231" customFormat="true" ht="15" hidden="false" customHeight="true" outlineLevel="1" collapsed="false">
      <c r="A57" s="219"/>
      <c r="B57" s="220"/>
      <c r="C57" s="220"/>
      <c r="D57" s="220"/>
      <c r="E57" s="152"/>
      <c r="F57" s="220"/>
      <c r="G57" s="220"/>
      <c r="H57" s="221"/>
      <c r="I57" s="220"/>
      <c r="J57" s="222"/>
      <c r="K57" s="220"/>
      <c r="L57" s="223"/>
      <c r="M57" s="220"/>
      <c r="N57" s="220"/>
      <c r="O57" s="221"/>
      <c r="P57" s="220"/>
      <c r="Q57" s="152"/>
      <c r="R57" s="220"/>
      <c r="S57" s="223"/>
      <c r="T57" s="220"/>
      <c r="U57" s="220"/>
      <c r="V57" s="221"/>
      <c r="W57" s="220"/>
      <c r="X57" s="224"/>
      <c r="Y57" s="220"/>
      <c r="Z57" s="152"/>
      <c r="AA57" s="220"/>
      <c r="AB57" s="220"/>
      <c r="AC57" s="221"/>
      <c r="AD57" s="220"/>
      <c r="AE57" s="152"/>
      <c r="AF57" s="175" t="s">
        <v>145</v>
      </c>
      <c r="AG57" s="226" t="s">
        <v>146</v>
      </c>
      <c r="AH57" s="227"/>
      <c r="AI57" s="228"/>
      <c r="AJ57" s="229"/>
      <c r="AK57" s="172"/>
      <c r="AL57" s="172"/>
      <c r="AM57" s="171"/>
      <c r="AN57" s="230"/>
      <c r="AO57" s="230"/>
      <c r="AP57" s="96"/>
    </row>
    <row r="58" s="236" customFormat="true" ht="15" hidden="false" customHeight="true" outlineLevel="0" collapsed="false">
      <c r="A58" s="232"/>
      <c r="B58" s="223"/>
      <c r="C58" s="223"/>
      <c r="D58" s="223"/>
      <c r="E58" s="152"/>
      <c r="F58" s="223"/>
      <c r="G58" s="223"/>
      <c r="H58" s="223"/>
      <c r="I58" s="223"/>
      <c r="J58" s="152"/>
      <c r="K58" s="223"/>
      <c r="L58" s="223"/>
      <c r="M58" s="223"/>
      <c r="N58" s="223"/>
      <c r="O58" s="223"/>
      <c r="P58" s="223"/>
      <c r="Q58" s="152"/>
      <c r="R58" s="223"/>
      <c r="S58" s="223"/>
      <c r="T58" s="223"/>
      <c r="U58" s="223"/>
      <c r="V58" s="223"/>
      <c r="W58" s="223"/>
      <c r="X58" s="224"/>
      <c r="Y58" s="223"/>
      <c r="Z58" s="152"/>
      <c r="AA58" s="223"/>
      <c r="AB58" s="223"/>
      <c r="AC58" s="223"/>
      <c r="AD58" s="223"/>
      <c r="AE58" s="152"/>
      <c r="AF58" s="234" t="s">
        <v>147</v>
      </c>
      <c r="AG58" s="184"/>
      <c r="AH58" s="207" t="n">
        <f aca="false">IF(AG57="+",(Monat.ZUeZ.Total+AH57),(Monat.ZUeZ.Total-AH57))</f>
        <v>-0.768055555</v>
      </c>
      <c r="AI58" s="33"/>
      <c r="AJ58" s="235"/>
      <c r="AK58" s="216" t="n">
        <f aca="false">IF(EB.Anwendung&lt;&gt;"",IF(MONTH(Monat.Tag1)=1,EB.MMS,IF(MONTH(Monat.Tag1)=2,January!Monat.MMS.UeVM,IF(MONTH(Monat.Tag1)=3,February!Monat.MMS.UeVM,IF(MONTH(Monat.Tag1)=4,March!Monat.MMS.UeVM,IF(MONTH(Monat.Tag1)=5,April!Monat.MMS.UeVM,IF(MONTH(Monat.Tag1)=6,May!Monat.MMS.UeVM,IF(MONTH(Monat.Tag1)=7,Monat.MMS.UeVM,IF(MONTH(Monat.Tag1)=8,July!Monat.MMS.UeVM,IF(MONTH(Monat.Tag1)=9,August!Monat.MMS.UeVM,IF(MONTH(Monat.Tag1)=10,September!Monat.MMS.UeVM,IF(MONTH(Monat.Tag1)=11,October!Monat.MMS.UeVM,IF(MONTH(Monat.Tag1)=12,November!Monat.MMS.UeVM,"")))))))))))),"")</f>
        <v>-0.768055555</v>
      </c>
      <c r="AL58" s="172"/>
      <c r="AM58" s="217" t="n">
        <f aca="false">AH58</f>
        <v>-0.768055555</v>
      </c>
      <c r="AN58" s="172"/>
      <c r="AO58" s="172"/>
      <c r="AP58" s="51"/>
    </row>
    <row r="59" s="148" customFormat="true" ht="11.25" hidden="false" customHeight="true" outlineLevel="0" collapsed="false">
      <c r="A59" s="186"/>
      <c r="B59" s="187"/>
      <c r="C59" s="187"/>
      <c r="D59" s="187"/>
      <c r="E59" s="187"/>
      <c r="F59" s="187"/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  <c r="U59" s="187"/>
      <c r="V59" s="187"/>
      <c r="W59" s="187"/>
      <c r="X59" s="187"/>
      <c r="Y59" s="187"/>
      <c r="Z59" s="187"/>
      <c r="AA59" s="187"/>
      <c r="AB59" s="187"/>
      <c r="AC59" s="187"/>
      <c r="AD59" s="187"/>
      <c r="AE59" s="187"/>
      <c r="AF59" s="168"/>
      <c r="AG59" s="146"/>
      <c r="AH59" s="179"/>
      <c r="AI59" s="180"/>
      <c r="AJ59" s="172"/>
      <c r="AK59" s="172"/>
      <c r="AL59" s="172"/>
      <c r="AM59" s="171"/>
      <c r="AN59" s="172"/>
      <c r="AO59" s="172"/>
      <c r="AP59" s="39"/>
    </row>
    <row r="60" s="148" customFormat="true" ht="15" hidden="false" customHeight="true" outlineLevel="0" collapsed="false">
      <c r="A60" s="175" t="s">
        <v>148</v>
      </c>
      <c r="B60" s="237" t="str">
        <f aca="true">IF(EB.Wochenarbeitszeit=50/24,IF(T.50_Vetsuisse,IF(WEEKDAY(B$10,2)=7,MAX(0,SUM(OFFSET(B51,0,-MIN(6,DAY(B$10)-1),1,MIN(7,DAY(B$10))))+IF(AND(MONTH(Monat.Tag1)&lt;&gt;1,DAY(B$10)&lt;7),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-1/24*50),""),""),IF(B45=0,"",B45))</f>
        <v/>
      </c>
      <c r="C60" s="237" t="str">
        <f aca="true">IF(EB.Wochenarbeitszeit=50/24,IF(T.50_Vetsuisse,IF(WEEKDAY(C$10,2)=7,MAX(0,SUM(OFFSET(C51,0,-MIN(6,DAY(C$10)-1),1,MIN(7,DAY(C$10))))+IF(AND(MONTH(Monat.Tag1)&lt;&gt;1,DAY(C$10)&lt;7),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-1/24*50),""),""),IF(C45=0,"",C45))</f>
        <v/>
      </c>
      <c r="D60" s="237" t="str">
        <f aca="true">IF(EB.Wochenarbeitszeit=50/24,IF(T.50_Vetsuisse,IF(WEEKDAY(D$10,2)=7,MAX(0,SUM(OFFSET(D51,0,-MIN(6,DAY(D$10)-1),1,MIN(7,DAY(D$10))))+IF(AND(MONTH(Monat.Tag1)&lt;&gt;1,DAY(D$10)&lt;7),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-1/24*50),""),""),IF(D45=0,"",D45))</f>
        <v/>
      </c>
      <c r="E60" s="238" t="str">
        <f aca="true">IF(EB.Wochenarbeitszeit=50/24,IF(T.50_Vetsuisse,IF(WEEKDAY(E$10,2)=7,MAX(0,SUM(OFFSET(E51,0,-MIN(6,DAY(E$10)-1),1,MIN(7,DAY(E$10))))+IF(AND(MONTH(Monat.Tag1)&lt;&gt;1,DAY(E$10)&lt;7),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-1/24*50),""),""),IF(E45=0,"",E45))</f>
        <v/>
      </c>
      <c r="F60" s="237" t="str">
        <f aca="true">IF(EB.Wochenarbeitszeit=50/24,IF(T.50_Vetsuisse,IF(WEEKDAY(F$10,2)=7,MAX(0,SUM(OFFSET(F51,0,-MIN(6,DAY(F$10)-1),1,MIN(7,DAY(F$10))))+IF(AND(MONTH(Monat.Tag1)&lt;&gt;1,DAY(F$10)&lt;7),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-1/24*50),""),""),IF(F45=0,"",F45))</f>
        <v/>
      </c>
      <c r="G60" s="237" t="str">
        <f aca="true">IF(EB.Wochenarbeitszeit=50/24,IF(T.50_Vetsuisse,IF(WEEKDAY(G$10,2)=7,MAX(0,SUM(OFFSET(G51,0,-MIN(6,DAY(G$10)-1),1,MIN(7,DAY(G$10))))+IF(AND(MONTH(Monat.Tag1)&lt;&gt;1,DAY(G$10)&lt;7),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-1/24*50),""),""),IF(G45=0,"",G45))</f>
        <v/>
      </c>
      <c r="H60" s="237" t="str">
        <f aca="true">IF(EB.Wochenarbeitszeit=50/24,IF(T.50_Vetsuisse,IF(WEEKDAY(H$10,2)=7,MAX(0,SUM(OFFSET(H51,0,-MIN(6,DAY(H$10)-1),1,MIN(7,DAY(H$10))))+IF(AND(MONTH(Monat.Tag1)&lt;&gt;1,DAY(H$10)&lt;7),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-1/24*50),""),""),IF(H45=0,"",H45))</f>
        <v/>
      </c>
      <c r="I60" s="237" t="str">
        <f aca="true">IF(EB.Wochenarbeitszeit=50/24,IF(T.50_Vetsuisse,IF(WEEKDAY(I$10,2)=7,MAX(0,SUM(OFFSET(I51,0,-MIN(6,DAY(I$10)-1),1,MIN(7,DAY(I$10))))+IF(AND(MONTH(Monat.Tag1)&lt;&gt;1,DAY(I$10)&lt;7),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-1/24*50),""),""),IF(I45=0,"",I45))</f>
        <v/>
      </c>
      <c r="J60" s="238" t="str">
        <f aca="true">IF(EB.Wochenarbeitszeit=50/24,IF(T.50_Vetsuisse,IF(WEEKDAY(J$10,2)=7,MAX(0,SUM(OFFSET(J51,0,-MIN(6,DAY(J$10)-1),1,MIN(7,DAY(J$10))))+IF(AND(MONTH(Monat.Tag1)&lt;&gt;1,DAY(J$10)&lt;7),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-1/24*50),""),""),IF(J45=0,"",J45))</f>
        <v/>
      </c>
      <c r="K60" s="237" t="str">
        <f aca="true">IF(EB.Wochenarbeitszeit=50/24,IF(T.50_Vetsuisse,IF(WEEKDAY(K$10,2)=7,MAX(0,SUM(OFFSET(K51,0,-MIN(6,DAY(K$10)-1),1,MIN(7,DAY(K$10))))+IF(AND(MONTH(Monat.Tag1)&lt;&gt;1,DAY(K$10)&lt;7),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-1/24*50),""),""),IF(K45=0,"",K45))</f>
        <v/>
      </c>
      <c r="L60" s="238" t="str">
        <f aca="true">IF(EB.Wochenarbeitszeit=50/24,IF(T.50_Vetsuisse,IF(WEEKDAY(L$10,2)=7,MAX(0,SUM(OFFSET(L51,0,-MIN(6,DAY(L$10)-1),1,MIN(7,DAY(L$10))))+IF(AND(MONTH(Monat.Tag1)&lt;&gt;1,DAY(L$10)&lt;7),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-1/24*50),""),""),IF(L45=0,"",L45))</f>
        <v/>
      </c>
      <c r="M60" s="237" t="str">
        <f aca="true">IF(EB.Wochenarbeitszeit=50/24,IF(T.50_Vetsuisse,IF(WEEKDAY(M$10,2)=7,MAX(0,SUM(OFFSET(M51,0,-MIN(6,DAY(M$10)-1),1,MIN(7,DAY(M$10))))+IF(AND(MONTH(Monat.Tag1)&lt;&gt;1,DAY(M$10)&lt;7),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-1/24*50),""),""),IF(M45=0,"",M45))</f>
        <v/>
      </c>
      <c r="N60" s="237" t="str">
        <f aca="true">IF(EB.Wochenarbeitszeit=50/24,IF(T.50_Vetsuisse,IF(WEEKDAY(N$10,2)=7,MAX(0,SUM(OFFSET(N51,0,-MIN(6,DAY(N$10)-1),1,MIN(7,DAY(N$10))))+IF(AND(MONTH(Monat.Tag1)&lt;&gt;1,DAY(N$10)&lt;7),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-1/24*50),""),""),IF(N45=0,"",N45))</f>
        <v/>
      </c>
      <c r="O60" s="237" t="str">
        <f aca="true">IF(EB.Wochenarbeitszeit=50/24,IF(T.50_Vetsuisse,IF(WEEKDAY(O$10,2)=7,MAX(0,SUM(OFFSET(O51,0,-MIN(6,DAY(O$10)-1),1,MIN(7,DAY(O$10))))+IF(AND(MONTH(Monat.Tag1)&lt;&gt;1,DAY(O$10)&lt;7),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-1/24*50),""),""),IF(O45=0,"",O45))</f>
        <v/>
      </c>
      <c r="P60" s="237" t="str">
        <f aca="true">IF(EB.Wochenarbeitszeit=50/24,IF(T.50_Vetsuisse,IF(WEEKDAY(P$10,2)=7,MAX(0,SUM(OFFSET(P51,0,-MIN(6,DAY(P$10)-1),1,MIN(7,DAY(P$10))))+IF(AND(MONTH(Monat.Tag1)&lt;&gt;1,DAY(P$10)&lt;7),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-1/24*50),""),""),IF(P45=0,"",P45))</f>
        <v/>
      </c>
      <c r="Q60" s="238" t="str">
        <f aca="true">IF(EB.Wochenarbeitszeit=50/24,IF(T.50_Vetsuisse,IF(WEEKDAY(Q$10,2)=7,MAX(0,SUM(OFFSET(Q51,0,-MIN(6,DAY(Q$10)-1),1,MIN(7,DAY(Q$10))))+IF(AND(MONTH(Monat.Tag1)&lt;&gt;1,DAY(Q$10)&lt;7),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-1/24*50),""),""),IF(Q45=0,"",Q45))</f>
        <v/>
      </c>
      <c r="R60" s="237" t="str">
        <f aca="true">IF(EB.Wochenarbeitszeit=50/24,IF(T.50_Vetsuisse,IF(WEEKDAY(R$10,2)=7,MAX(0,SUM(OFFSET(R51,0,-MIN(6,DAY(R$10)-1),1,MIN(7,DAY(R$10))))+IF(AND(MONTH(Monat.Tag1)&lt;&gt;1,DAY(R$10)&lt;7),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-1/24*50),""),""),IF(R45=0,"",R45))</f>
        <v/>
      </c>
      <c r="S60" s="238" t="str">
        <f aca="true">IF(EB.Wochenarbeitszeit=50/24,IF(T.50_Vetsuisse,IF(WEEKDAY(S$10,2)=7,MAX(0,SUM(OFFSET(S51,0,-MIN(6,DAY(S$10)-1),1,MIN(7,DAY(S$10))))+IF(AND(MONTH(Monat.Tag1)&lt;&gt;1,DAY(S$10)&lt;7),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-1/24*50),""),""),IF(S45=0,"",S45))</f>
        <v/>
      </c>
      <c r="T60" s="238" t="str">
        <f aca="true">IF(EB.Wochenarbeitszeit=50/24,IF(T.50_Vetsuisse,IF(WEEKDAY(T$10,2)=7,MAX(0,SUM(OFFSET(T51,0,-MIN(6,DAY(T$10)-1),1,MIN(7,DAY(T$10))))+IF(AND(MONTH(Monat.Tag1)&lt;&gt;1,DAY(T$10)&lt;7),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-1/24*50),""),""),IF(T45=0,"",T45))</f>
        <v/>
      </c>
      <c r="U60" s="237" t="str">
        <f aca="true">IF(EB.Wochenarbeitszeit=50/24,IF(T.50_Vetsuisse,IF(WEEKDAY(U$10,2)=7,MAX(0,SUM(OFFSET(U51,0,-MIN(6,DAY(U$10)-1),1,MIN(7,DAY(U$10))))+IF(AND(MONTH(Monat.Tag1)&lt;&gt;1,DAY(U$10)&lt;7),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-1/24*50),""),""),IF(U45=0,"",U45))</f>
        <v/>
      </c>
      <c r="V60" s="237" t="str">
        <f aca="true">IF(EB.Wochenarbeitszeit=50/24,IF(T.50_Vetsuisse,IF(WEEKDAY(V$10,2)=7,MAX(0,SUM(OFFSET(V51,0,-MIN(6,DAY(V$10)-1),1,MIN(7,DAY(V$10))))+IF(AND(MONTH(Monat.Tag1)&lt;&gt;1,DAY(V$10)&lt;7),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-1/24*50),""),""),IF(V45=0,"",V45))</f>
        <v/>
      </c>
      <c r="W60" s="237" t="str">
        <f aca="true">IF(EB.Wochenarbeitszeit=50/24,IF(T.50_Vetsuisse,IF(WEEKDAY(W$10,2)=7,MAX(0,SUM(OFFSET(W51,0,-MIN(6,DAY(W$10)-1),1,MIN(7,DAY(W$10))))+IF(AND(MONTH(Monat.Tag1)&lt;&gt;1,DAY(W$10)&lt;7),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-1/24*50),""),""),IF(W45=0,"",W45))</f>
        <v/>
      </c>
      <c r="X60" s="238" t="str">
        <f aca="true">IF(EB.Wochenarbeitszeit=50/24,IF(T.50_Vetsuisse,IF(WEEKDAY(X$10,2)=7,MAX(0,SUM(OFFSET(X51,0,-MIN(6,DAY(X$10)-1),1,MIN(7,DAY(X$10))))+IF(AND(MONTH(Monat.Tag1)&lt;&gt;1,DAY(X$10)&lt;7),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-1/24*50),""),""),IF(X45=0,"",X45))</f>
        <v/>
      </c>
      <c r="Y60" s="237" t="str">
        <f aca="true">IF(EB.Wochenarbeitszeit=50/24,IF(T.50_Vetsuisse,IF(WEEKDAY(Y$10,2)=7,MAX(0,SUM(OFFSET(Y51,0,-MIN(6,DAY(Y$10)-1),1,MIN(7,DAY(Y$10))))+IF(AND(MONTH(Monat.Tag1)&lt;&gt;1,DAY(Y$10)&lt;7),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-1/24*50),""),""),IF(Y45=0,"",Y45))</f>
        <v/>
      </c>
      <c r="Z60" s="239" t="str">
        <f aca="true">IF(EB.Wochenarbeitszeit=50/24,IF(T.50_Vetsuisse,IF(WEEKDAY(Z$10,2)=7,MAX(0,SUM(OFFSET(Z51,0,-MIN(6,DAY(Z$10)-1),1,MIN(7,DAY(Z$10))))+IF(AND(MONTH(Monat.Tag1)&lt;&gt;1,DAY(Z$10)&lt;7),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-1/24*50),""),""),IF(Z45=0,"",Z45))</f>
        <v/>
      </c>
      <c r="AA60" s="237" t="str">
        <f aca="true">IF(EB.Wochenarbeitszeit=50/24,IF(T.50_Vetsuisse,IF(WEEKDAY(AA$10,2)=7,MAX(0,SUM(OFFSET(AA51,0,-MIN(6,DAY(AA$10)-1),1,MIN(7,DAY(AA$10))))+IF(AND(MONTH(Monat.Tag1)&lt;&gt;1,DAY(AA$10)&lt;7),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-1/24*50),""),""),IF(AA45=0,"",AA45))</f>
        <v/>
      </c>
      <c r="AB60" s="237" t="str">
        <f aca="true">IF(EB.Wochenarbeitszeit=50/24,IF(T.50_Vetsuisse,IF(WEEKDAY(AB$10,2)=7,MAX(0,SUM(OFFSET(AB51,0,-MIN(6,DAY(AB$10)-1),1,MIN(7,DAY(AB$10))))+IF(AND(MONTH(Monat.Tag1)&lt;&gt;1,DAY(AB$10)&lt;7),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-1/24*50),""),""),IF(AB45=0,"",AB45))</f>
        <v/>
      </c>
      <c r="AC60" s="237" t="str">
        <f aca="true">IF(EB.Wochenarbeitszeit=50/24,IF(T.50_Vetsuisse,IF(WEEKDAY(AC$10,2)=7,MAX(0,SUM(OFFSET(AC51,0,-MIN(6,DAY(AC$10)-1),1,MIN(7,DAY(AC$10))))+IF(AND(MONTH(Monat.Tag1)&lt;&gt;1,DAY(AC$10)&lt;7),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-1/24*50),""),""),IF(AC45=0,"",AC45))</f>
        <v/>
      </c>
      <c r="AD60" s="237" t="str">
        <f aca="true">IF(EB.Wochenarbeitszeit=50/24,IF(T.50_Vetsuisse,IF(WEEKDAY(AD$10,2)=7,MAX(0,SUM(OFFSET(AD51,0,-MIN(6,DAY(AD$10)-1),1,MIN(7,DAY(AD$10))))+IF(AND(MONTH(Monat.Tag1)&lt;&gt;1,DAY(AD$10)&lt;7),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-1/24*50),""),""),IF(AD45=0,"",AD45))</f>
        <v/>
      </c>
      <c r="AE60" s="238" t="str">
        <f aca="true">IF(EB.Wochenarbeitszeit=50/24,IF(T.50_Vetsuisse,IF(WEEKDAY(AE$10,2)=7,MAX(0,SUM(OFFSET(AE51,0,-MIN(6,DAY(AE$10)-1),1,MIN(7,DAY(AE$10))))+IF(AND(MONTH(Monat.Tag1)&lt;&gt;1,DAY(AE$10)&lt;7),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Monat.AZIstWRestUeVM,IF(MONTH(Monat.Tag1)=8,July!Monat.AZIstWRestUeVM,IF(MONTH(Monat.Tag1)=9,August!Monat.AZIstWRestUeVM,IF(MONTH(Monat.Tag1)=10,September!Monat.AZIstWRestUeVM,IF(MONTH(Monat.Tag1)=11,October!Monat.AZIstWRestUeVM,IF(MONTH(Monat.Tag1)=12,November!Monat.AZIstWRestUeVM,""))))))))))),0) -1/24*50),""),""),IF(AE45=0,"",AE45))</f>
        <v/>
      </c>
      <c r="AF60" s="168" t="str">
        <f aca="false">A60</f>
        <v>Ordered overtime</v>
      </c>
      <c r="AG60" s="184"/>
      <c r="AH60" s="207" t="n">
        <f aca="false">SUM(B60:AE60)</f>
        <v>0</v>
      </c>
      <c r="AI60" s="180"/>
      <c r="AJ60" s="172"/>
      <c r="AK60" s="216" t="n">
        <f aca="false">IF(EB.Anwendung&lt;&gt;"",IF(MONTH(Monat.Tag1)=1,0,IF(MONTH(Monat.Tag1)=2,January!Monat.AnUeZUeVM,IF(MONTH(Monat.Tag1)=3,February!Monat.AnUeZUeVM,IF(MONTH(Monat.Tag1)=4,March!Monat.AnUeZUeVM,IF(MONTH(Monat.Tag1)=5,April!Monat.AnUeZUeVM,IF(MONTH(Monat.Tag1)=6,May!Monat.AnUeZUeVM,IF(MONTH(Monat.Tag1)=7,Monat.AnUeZUeVM,IF(MONTH(Monat.Tag1)=8,July!Monat.AnUeZUeVM,IF(MONTH(Monat.Tag1)=9,August!Monat.AnUeZUeVM,IF(MONTH(Monat.Tag1)=10,September!Monat.AnUeZUeVM,IF(MONTH(Monat.Tag1)=11,October!Monat.AnUeZUeVM,IF(MONTH(Monat.Tag1)=12,November!Monat.AnUeZUeVM,"")))))))))))),"")</f>
        <v>0</v>
      </c>
      <c r="AL60" s="172"/>
      <c r="AM60" s="217" t="n">
        <f aca="false">AH60+AK60</f>
        <v>0</v>
      </c>
      <c r="AN60" s="217" t="n">
        <f aca="true">SUM(OFFSET(Jahr.AngÜZ,-12,0,MONTH(Monat.Tag1),1))</f>
        <v>0</v>
      </c>
      <c r="AO60" s="217" t="n">
        <f aca="false">Jahr.AngÜZ</f>
        <v>0</v>
      </c>
      <c r="AP60" s="39"/>
    </row>
    <row r="61" s="148" customFormat="true" ht="15" hidden="false" customHeight="true" outlineLevel="0" collapsed="false">
      <c r="A61" s="175" t="s">
        <v>149</v>
      </c>
      <c r="B61" s="177"/>
      <c r="C61" s="177"/>
      <c r="D61" s="177"/>
      <c r="E61" s="177"/>
      <c r="F61" s="177"/>
      <c r="G61" s="177"/>
      <c r="H61" s="177"/>
      <c r="I61" s="177"/>
      <c r="J61" s="177"/>
      <c r="K61" s="177"/>
      <c r="L61" s="177"/>
      <c r="M61" s="177"/>
      <c r="N61" s="177"/>
      <c r="O61" s="177"/>
      <c r="P61" s="177"/>
      <c r="Q61" s="177"/>
      <c r="R61" s="177"/>
      <c r="S61" s="177"/>
      <c r="T61" s="177"/>
      <c r="U61" s="177"/>
      <c r="V61" s="177"/>
      <c r="W61" s="177"/>
      <c r="X61" s="177"/>
      <c r="Y61" s="177"/>
      <c r="Z61" s="178"/>
      <c r="AA61" s="177"/>
      <c r="AB61" s="177"/>
      <c r="AC61" s="177"/>
      <c r="AD61" s="177"/>
      <c r="AE61" s="177"/>
      <c r="AF61" s="168" t="str">
        <f aca="false">A61</f>
        <v>Compensation overtime</v>
      </c>
      <c r="AG61" s="184"/>
      <c r="AH61" s="207" t="n">
        <f aca="false">SUM(B61:AE61)</f>
        <v>0</v>
      </c>
      <c r="AI61" s="180"/>
      <c r="AJ61" s="172"/>
      <c r="AK61" s="172"/>
      <c r="AL61" s="172"/>
      <c r="AM61" s="171"/>
      <c r="AN61" s="172"/>
      <c r="AO61" s="172"/>
      <c r="AP61" s="39"/>
    </row>
    <row r="62" s="231" customFormat="true" ht="15" hidden="true" customHeight="true" outlineLevel="1" collapsed="false">
      <c r="A62" s="219"/>
      <c r="B62" s="224"/>
      <c r="C62" s="224"/>
      <c r="D62" s="224"/>
      <c r="E62" s="152"/>
      <c r="F62" s="224"/>
      <c r="G62" s="224"/>
      <c r="H62" s="224"/>
      <c r="I62" s="224"/>
      <c r="J62" s="222"/>
      <c r="K62" s="224"/>
      <c r="L62" s="223"/>
      <c r="M62" s="224"/>
      <c r="N62" s="224"/>
      <c r="O62" s="224"/>
      <c r="P62" s="224"/>
      <c r="Q62" s="152"/>
      <c r="R62" s="224"/>
      <c r="S62" s="223"/>
      <c r="T62" s="224"/>
      <c r="U62" s="224"/>
      <c r="V62" s="224"/>
      <c r="W62" s="224"/>
      <c r="X62" s="224"/>
      <c r="Y62" s="224"/>
      <c r="Z62" s="152"/>
      <c r="AA62" s="224"/>
      <c r="AB62" s="224"/>
      <c r="AC62" s="224"/>
      <c r="AD62" s="224"/>
      <c r="AE62" s="152"/>
      <c r="AF62" s="241" t="s">
        <v>150</v>
      </c>
      <c r="AG62" s="242"/>
      <c r="AH62" s="207" t="n">
        <f aca="false">Monat.AnUeZ.Total-Monat.KomUeZ.Total</f>
        <v>0</v>
      </c>
      <c r="AI62" s="180"/>
      <c r="AJ62" s="230"/>
      <c r="AK62" s="230"/>
      <c r="AL62" s="172"/>
      <c r="AM62" s="230"/>
      <c r="AN62" s="230"/>
      <c r="AO62" s="230"/>
      <c r="AP62" s="96"/>
    </row>
    <row r="63" s="148" customFormat="true" ht="15" hidden="false" customHeight="true" outlineLevel="0" collapsed="false">
      <c r="A63" s="186"/>
      <c r="B63" s="152"/>
      <c r="C63" s="152"/>
      <c r="D63" s="152"/>
      <c r="E63" s="152"/>
      <c r="F63" s="152"/>
      <c r="G63" s="152"/>
      <c r="H63" s="152"/>
      <c r="I63" s="152"/>
      <c r="J63" s="152"/>
      <c r="K63" s="152"/>
      <c r="L63" s="223"/>
      <c r="M63" s="152"/>
      <c r="N63" s="152"/>
      <c r="O63" s="152"/>
      <c r="P63" s="152"/>
      <c r="Q63" s="152"/>
      <c r="R63" s="152"/>
      <c r="S63" s="223"/>
      <c r="T63" s="152"/>
      <c r="U63" s="152"/>
      <c r="V63" s="152"/>
      <c r="W63" s="152"/>
      <c r="X63" s="224"/>
      <c r="Y63" s="152"/>
      <c r="Z63" s="152"/>
      <c r="AA63" s="152"/>
      <c r="AB63" s="152"/>
      <c r="AC63" s="152"/>
      <c r="AD63" s="152"/>
      <c r="AE63" s="152"/>
      <c r="AF63" s="175" t="s">
        <v>151</v>
      </c>
      <c r="AG63" s="184"/>
      <c r="AH63" s="207" t="n">
        <f aca="true">IF(T.50_Vetsuisse,0,IF(AND(AH62&gt;0,Monat.ÜZZSBerechtigt=INDEX(T.JaNein.Bereich,1,1)),(AH62*0.25),0))</f>
        <v>0</v>
      </c>
      <c r="AI63" s="180"/>
      <c r="AJ63" s="172"/>
      <c r="AK63" s="230"/>
      <c r="AL63" s="172"/>
      <c r="AM63" s="230"/>
      <c r="AN63" s="230"/>
      <c r="AO63" s="230"/>
      <c r="AP63" s="39"/>
    </row>
    <row r="64" s="148" customFormat="true" ht="15" hidden="true" customHeight="true" outlineLevel="1" collapsed="false">
      <c r="A64" s="186"/>
      <c r="B64" s="152"/>
      <c r="C64" s="152"/>
      <c r="D64" s="152"/>
      <c r="E64" s="152"/>
      <c r="F64" s="152"/>
      <c r="G64" s="152"/>
      <c r="H64" s="152"/>
      <c r="I64" s="152"/>
      <c r="J64" s="152"/>
      <c r="K64" s="152"/>
      <c r="L64" s="223"/>
      <c r="M64" s="152"/>
      <c r="N64" s="152"/>
      <c r="O64" s="152"/>
      <c r="P64" s="152"/>
      <c r="Q64" s="152"/>
      <c r="R64" s="152"/>
      <c r="S64" s="223"/>
      <c r="T64" s="152"/>
      <c r="U64" s="152"/>
      <c r="V64" s="152"/>
      <c r="W64" s="152"/>
      <c r="X64" s="224"/>
      <c r="Y64" s="152"/>
      <c r="Z64" s="152"/>
      <c r="AA64" s="152"/>
      <c r="AB64" s="152"/>
      <c r="AC64" s="152"/>
      <c r="AD64" s="152"/>
      <c r="AE64" s="152"/>
      <c r="AF64" s="175" t="s">
        <v>152</v>
      </c>
      <c r="AG64" s="244" t="s">
        <v>146</v>
      </c>
      <c r="AH64" s="245"/>
      <c r="AI64" s="246"/>
      <c r="AJ64" s="172"/>
      <c r="AK64" s="230"/>
      <c r="AL64" s="172"/>
      <c r="AM64" s="230"/>
      <c r="AN64" s="230"/>
      <c r="AO64" s="230"/>
      <c r="AP64" s="39"/>
    </row>
    <row r="65" s="231" customFormat="true" ht="15" hidden="false" customHeight="true" outlineLevel="0" collapsed="false">
      <c r="A65" s="219"/>
      <c r="B65" s="224"/>
      <c r="C65" s="224"/>
      <c r="D65" s="224"/>
      <c r="E65" s="152"/>
      <c r="F65" s="224"/>
      <c r="G65" s="224"/>
      <c r="H65" s="224"/>
      <c r="I65" s="224"/>
      <c r="J65" s="152"/>
      <c r="K65" s="224"/>
      <c r="L65" s="223"/>
      <c r="M65" s="224"/>
      <c r="N65" s="224"/>
      <c r="O65" s="224"/>
      <c r="P65" s="224"/>
      <c r="Q65" s="152"/>
      <c r="R65" s="224"/>
      <c r="S65" s="223"/>
      <c r="T65" s="224"/>
      <c r="U65" s="224"/>
      <c r="V65" s="224"/>
      <c r="W65" s="224"/>
      <c r="X65" s="224"/>
      <c r="Y65" s="224"/>
      <c r="Z65" s="152"/>
      <c r="AA65" s="224"/>
      <c r="AB65" s="224"/>
      <c r="AC65" s="224"/>
      <c r="AD65" s="224"/>
      <c r="AE65" s="152"/>
      <c r="AF65" s="234" t="s">
        <v>153</v>
      </c>
      <c r="AG65" s="242"/>
      <c r="AH65" s="207" t="n">
        <f aca="false">IF(AG64="+",(AH62+AH63+AH64),(AH62+AH63-AH64))</f>
        <v>0</v>
      </c>
      <c r="AI65" s="33"/>
      <c r="AJ65" s="247"/>
      <c r="AK65" s="216" t="n">
        <f aca="false">IF(EB.Anwendung&lt;&gt;"",IF(MONTH(Monat.Tag1)=1,EB.UeZ,IF(MONTH(Monat.Tag1)=2,January!Monat.UeZUeVM,IF(MONTH(Monat.Tag1)=3,February!Monat.UeZUeVM,IF(MONTH(Monat.Tag1)=4,March!Monat.UeZUeVM,IF(MONTH(Monat.Tag1)=5,April!Monat.UeZUeVM,IF(MONTH(Monat.Tag1)=6,May!Monat.UeZUeVM,IF(MONTH(Monat.Tag1)=7,Monat.UeZUeVM,IF(MONTH(Monat.Tag1)=8,July!Monat.UeZUeVM,IF(MONTH(Monat.Tag1)=9,August!Monat.UeZUeVM,IF(MONTH(Monat.Tag1)=10,September!Monat.UeZUeVM,IF(MONTH(Monat.Tag1)=11,October!Monat.UeZUeVM,IF(MONTH(Monat.Tag1)=12,November!Monat.UeZUeVM,"")))))))))))),"")</f>
        <v>0</v>
      </c>
      <c r="AL65" s="172"/>
      <c r="AM65" s="217" t="n">
        <f aca="false">AH65+AK65</f>
        <v>0</v>
      </c>
      <c r="AN65" s="217" t="n">
        <f aca="true">SUM(OFFSET(J.UeZ.Total,-12,0,MONTH(Monat.Tag1),1))</f>
        <v>0</v>
      </c>
      <c r="AO65" s="217" t="n">
        <f aca="false">J.UeZ.Total</f>
        <v>0</v>
      </c>
      <c r="AP65" s="96"/>
    </row>
    <row r="66" s="148" customFormat="true" ht="11.25" hidden="false" customHeight="true" outlineLevel="1" collapsed="false">
      <c r="A66" s="186"/>
      <c r="B66" s="57"/>
      <c r="C66" s="57"/>
      <c r="D66" s="57"/>
      <c r="E66" s="152"/>
      <c r="F66" s="57"/>
      <c r="G66" s="57"/>
      <c r="H66" s="57"/>
      <c r="I66" s="57"/>
      <c r="J66" s="152"/>
      <c r="K66" s="57"/>
      <c r="L66" s="223"/>
      <c r="M66" s="57"/>
      <c r="N66" s="57"/>
      <c r="O66" s="57"/>
      <c r="P66" s="57"/>
      <c r="Q66" s="152"/>
      <c r="R66" s="57"/>
      <c r="S66" s="223"/>
      <c r="T66" s="57"/>
      <c r="U66" s="57"/>
      <c r="V66" s="57"/>
      <c r="W66" s="57"/>
      <c r="X66" s="224"/>
      <c r="Y66" s="57"/>
      <c r="Z66" s="152"/>
      <c r="AA66" s="57"/>
      <c r="AB66" s="57"/>
      <c r="AC66" s="57"/>
      <c r="AD66" s="57"/>
      <c r="AE66" s="152"/>
      <c r="AF66" s="175"/>
      <c r="AG66" s="146"/>
      <c r="AH66" s="179"/>
      <c r="AI66" s="180"/>
      <c r="AJ66" s="172"/>
      <c r="AK66" s="172"/>
      <c r="AL66" s="172"/>
      <c r="AM66" s="171"/>
      <c r="AN66" s="172"/>
      <c r="AO66" s="172"/>
      <c r="AP66" s="39"/>
    </row>
    <row r="67" s="148" customFormat="true" ht="15" hidden="false" customHeight="true" outlineLevel="1" collapsed="false">
      <c r="A67" s="175" t="s">
        <v>154</v>
      </c>
      <c r="B67" s="177"/>
      <c r="C67" s="177"/>
      <c r="D67" s="177"/>
      <c r="E67" s="177"/>
      <c r="F67" s="177"/>
      <c r="G67" s="177"/>
      <c r="H67" s="177"/>
      <c r="I67" s="177"/>
      <c r="J67" s="177"/>
      <c r="K67" s="177"/>
      <c r="L67" s="177"/>
      <c r="M67" s="177"/>
      <c r="N67" s="177"/>
      <c r="O67" s="177"/>
      <c r="P67" s="177"/>
      <c r="Q67" s="177"/>
      <c r="R67" s="177"/>
      <c r="S67" s="177"/>
      <c r="T67" s="177"/>
      <c r="U67" s="177"/>
      <c r="V67" s="177"/>
      <c r="W67" s="177"/>
      <c r="X67" s="177"/>
      <c r="Y67" s="177"/>
      <c r="Z67" s="178"/>
      <c r="AA67" s="177"/>
      <c r="AB67" s="177"/>
      <c r="AC67" s="177"/>
      <c r="AD67" s="177"/>
      <c r="AE67" s="177"/>
      <c r="AF67" s="168" t="str">
        <f aca="false">A67</f>
        <v>Compensation working hours</v>
      </c>
      <c r="AG67" s="184"/>
      <c r="AH67" s="207" t="n">
        <f aca="false">SUM(B67:AE67)</f>
        <v>0</v>
      </c>
      <c r="AI67" s="33"/>
      <c r="AJ67" s="216" t="n">
        <f aca="true">OFFSET(EB.MKAStd.Knoten,MONTH(Monat.Tag1),0,1,1)</f>
        <v>0.4375</v>
      </c>
      <c r="AK67" s="248" t="n">
        <f aca="false">IF(EB.Anwendung&lt;&gt;"",IF(MONTH(Monat.Tag1)=1,0,IF(MONTH(Monat.Tag1)=2,January!Monat.KomUeVM,IF(MONTH(Monat.Tag1)=3,February!Monat.KomUeVM,IF(MONTH(Monat.Tag1)=4,March!Monat.KomUeVM,IF(MONTH(Monat.Tag1)=5,April!Monat.KomUeVM,IF(MONTH(Monat.Tag1)=6,May!Monat.KomUeVM,IF(MONTH(Monat.Tag1)=7,Monat.KomUeVM,IF(MONTH(Monat.Tag1)=8,July!Monat.KomUeVM,IF(MONTH(Monat.Tag1)=9,August!Monat.KomUeVM,IF(MONTH(Monat.Tag1)=10,September!Monat.KomUeVM,IF(MONTH(Monat.Tag1)=11,October!Monat.KomUeVM,IF(MONTH(Monat.Tag1)=12,November!Monat.KomUeVM,"")))))))))))),"")</f>
        <v>0.875</v>
      </c>
      <c r="AL67" s="172"/>
      <c r="AM67" s="217" t="n">
        <f aca="false">AJ67+AK67-Monat.KomAZ.Total</f>
        <v>1.3125</v>
      </c>
      <c r="AN67" s="217" t="n">
        <f aca="true">Jahresabrechnung!P12-SUM(OFFSET(Jahresabrechnung!P15,0,0,MONTH(Monat.Tag1),1))</f>
        <v>3.9375</v>
      </c>
      <c r="AO67" s="217" t="n">
        <f aca="false">Jahresabrechnung!P28</f>
        <v>3.9375</v>
      </c>
      <c r="AP67" s="39"/>
    </row>
    <row r="68" s="148" customFormat="true" ht="11.25" hidden="false" customHeight="true" outlineLevel="0" collapsed="false">
      <c r="A68" s="186"/>
      <c r="B68" s="187"/>
      <c r="C68" s="187"/>
      <c r="D68" s="187"/>
      <c r="E68" s="187"/>
      <c r="F68" s="187"/>
      <c r="G68" s="187"/>
      <c r="H68" s="187"/>
      <c r="I68" s="187"/>
      <c r="J68" s="187"/>
      <c r="K68" s="187"/>
      <c r="L68" s="187"/>
      <c r="M68" s="187"/>
      <c r="N68" s="187"/>
      <c r="O68" s="187"/>
      <c r="P68" s="187"/>
      <c r="Q68" s="187"/>
      <c r="R68" s="187"/>
      <c r="S68" s="187"/>
      <c r="T68" s="187"/>
      <c r="U68" s="187"/>
      <c r="V68" s="187"/>
      <c r="W68" s="187"/>
      <c r="X68" s="187"/>
      <c r="Y68" s="187"/>
      <c r="Z68" s="187"/>
      <c r="AA68" s="187"/>
      <c r="AB68" s="187"/>
      <c r="AC68" s="187"/>
      <c r="AD68" s="187"/>
      <c r="AE68" s="187"/>
      <c r="AF68" s="168"/>
      <c r="AG68" s="146"/>
      <c r="AH68" s="179"/>
      <c r="AI68" s="180"/>
      <c r="AJ68" s="172"/>
      <c r="AK68" s="172"/>
      <c r="AL68" s="172"/>
      <c r="AM68" s="171"/>
      <c r="AN68" s="172"/>
      <c r="AO68" s="172"/>
      <c r="AP68" s="39"/>
    </row>
    <row r="69" s="148" customFormat="true" ht="15" hidden="true" customHeight="true" outlineLevel="0" collapsed="false">
      <c r="A69" s="175" t="s">
        <v>155</v>
      </c>
      <c r="B69" s="249" t="n">
        <f aca="true">IF(AND(T.50_Vetsuisse,B72=INDEX(T.JaNein.Bereich,1,1),B73&gt;0,MOD(IFERROR(MATCH(1,B13:B22,0),1),2)=0),1, IF(AND(T.ServiceCenterIrchel,B72=INDEX(T.JaNein.Bereich,1,1),B77&gt;0),1, IF(AND(T.50_Vetsuisse=0,T.ServiceCenterIrchel=0,B77&gt;0),1,0)))</f>
        <v>0</v>
      </c>
      <c r="C69" s="249" t="n">
        <f aca="true">IF(AND(T.50_Vetsuisse,C72=INDEX(T.JaNein.Bereich,1,1),C73&gt;0,MOD(IFERROR(MATCH(1,C13:C22,0),1),2)=0),1, IF(AND(T.ServiceCenterIrchel,C72=INDEX(T.JaNein.Bereich,1,1),C77&gt;0),1, IF(AND(T.50_Vetsuisse=0,T.ServiceCenterIrchel=0,C77&gt;0),1,0)))</f>
        <v>0</v>
      </c>
      <c r="D69" s="249" t="n">
        <f aca="true">IF(AND(T.50_Vetsuisse,D72=INDEX(T.JaNein.Bereich,1,1),D73&gt;0,MOD(IFERROR(MATCH(1,D13:D22,0),1),2)=0),1, IF(AND(T.ServiceCenterIrchel,D72=INDEX(T.JaNein.Bereich,1,1),D77&gt;0),1, IF(AND(T.50_Vetsuisse=0,T.ServiceCenterIrchel=0,D77&gt;0),1,0)))</f>
        <v>0</v>
      </c>
      <c r="E69" s="249" t="n">
        <f aca="true">IF(AND(T.50_Vetsuisse,E72=INDEX(T.JaNein.Bereich,1,1),E73&gt;0,MOD(IFERROR(MATCH(1,E13:E22,0),1),2)=0),1, IF(AND(T.ServiceCenterIrchel,E72=INDEX(T.JaNein.Bereich,1,1),E77&gt;0),1, IF(AND(T.50_Vetsuisse=0,T.ServiceCenterIrchel=0,E77&gt;0),1,0)))</f>
        <v>0</v>
      </c>
      <c r="F69" s="249" t="n">
        <f aca="true">IF(AND(T.50_Vetsuisse,F72=INDEX(T.JaNein.Bereich,1,1),F73&gt;0,MOD(IFERROR(MATCH(1,F13:F22,0),1),2)=0),1, IF(AND(T.ServiceCenterIrchel,F72=INDEX(T.JaNein.Bereich,1,1),F77&gt;0),1, IF(AND(T.50_Vetsuisse=0,T.ServiceCenterIrchel=0,F77&gt;0),1,0)))</f>
        <v>0</v>
      </c>
      <c r="G69" s="249" t="n">
        <f aca="true">IF(AND(T.50_Vetsuisse,G72=INDEX(T.JaNein.Bereich,1,1),G73&gt;0,MOD(IFERROR(MATCH(1,G13:G22,0),1),2)=0),1, IF(AND(T.ServiceCenterIrchel,G72=INDEX(T.JaNein.Bereich,1,1),G77&gt;0),1, IF(AND(T.50_Vetsuisse=0,T.ServiceCenterIrchel=0,G77&gt;0),1,0)))</f>
        <v>0</v>
      </c>
      <c r="H69" s="249" t="n">
        <f aca="true">IF(AND(T.50_Vetsuisse,H72=INDEX(T.JaNein.Bereich,1,1),H73&gt;0,MOD(IFERROR(MATCH(1,H13:H22,0),1),2)=0),1, IF(AND(T.ServiceCenterIrchel,H72=INDEX(T.JaNein.Bereich,1,1),H77&gt;0),1, IF(AND(T.50_Vetsuisse=0,T.ServiceCenterIrchel=0,H77&gt;0),1,0)))</f>
        <v>0</v>
      </c>
      <c r="I69" s="249" t="n">
        <f aca="true">IF(AND(T.50_Vetsuisse,I72=INDEX(T.JaNein.Bereich,1,1),I73&gt;0,MOD(IFERROR(MATCH(1,I13:I22,0),1),2)=0),1, IF(AND(T.ServiceCenterIrchel,I72=INDEX(T.JaNein.Bereich,1,1),I77&gt;0),1, IF(AND(T.50_Vetsuisse=0,T.ServiceCenterIrchel=0,I77&gt;0),1,0)))</f>
        <v>0</v>
      </c>
      <c r="J69" s="249" t="n">
        <f aca="true">IF(AND(T.50_Vetsuisse,J72=INDEX(T.JaNein.Bereich,1,1),J73&gt;0,MOD(IFERROR(MATCH(1,J13:J22,0),1),2)=0),1, IF(AND(T.ServiceCenterIrchel,J72=INDEX(T.JaNein.Bereich,1,1),J77&gt;0),1, IF(AND(T.50_Vetsuisse=0,T.ServiceCenterIrchel=0,J77&gt;0),1,0)))</f>
        <v>0</v>
      </c>
      <c r="K69" s="249" t="n">
        <f aca="true">IF(AND(T.50_Vetsuisse,K72=INDEX(T.JaNein.Bereich,1,1),K73&gt;0,MOD(IFERROR(MATCH(1,K13:K22,0),1),2)=0),1, IF(AND(T.ServiceCenterIrchel,K72=INDEX(T.JaNein.Bereich,1,1),K77&gt;0),1, IF(AND(T.50_Vetsuisse=0,T.ServiceCenterIrchel=0,K77&gt;0),1,0)))</f>
        <v>0</v>
      </c>
      <c r="L69" s="249" t="n">
        <f aca="true">IF(AND(T.50_Vetsuisse,L72=INDEX(T.JaNein.Bereich,1,1),L73&gt;0,MOD(IFERROR(MATCH(1,L13:L22,0),1),2)=0),1, IF(AND(T.ServiceCenterIrchel,L72=INDEX(T.JaNein.Bereich,1,1),L77&gt;0),1, IF(AND(T.50_Vetsuisse=0,T.ServiceCenterIrchel=0,L77&gt;0),1,0)))</f>
        <v>0</v>
      </c>
      <c r="M69" s="249" t="n">
        <f aca="true">IF(AND(T.50_Vetsuisse,M72=INDEX(T.JaNein.Bereich,1,1),M73&gt;0,MOD(IFERROR(MATCH(1,M13:M22,0),1),2)=0),1, IF(AND(T.ServiceCenterIrchel,M72=INDEX(T.JaNein.Bereich,1,1),M77&gt;0),1, IF(AND(T.50_Vetsuisse=0,T.ServiceCenterIrchel=0,M77&gt;0),1,0)))</f>
        <v>0</v>
      </c>
      <c r="N69" s="249" t="n">
        <f aca="true">IF(AND(T.50_Vetsuisse,N72=INDEX(T.JaNein.Bereich,1,1),N73&gt;0,MOD(IFERROR(MATCH(1,N13:N22,0),1),2)=0),1, IF(AND(T.ServiceCenterIrchel,N72=INDEX(T.JaNein.Bereich,1,1),N77&gt;0),1, IF(AND(T.50_Vetsuisse=0,T.ServiceCenterIrchel=0,N77&gt;0),1,0)))</f>
        <v>0</v>
      </c>
      <c r="O69" s="249" t="n">
        <f aca="true">IF(AND(T.50_Vetsuisse,O72=INDEX(T.JaNein.Bereich,1,1),O73&gt;0,MOD(IFERROR(MATCH(1,O13:O22,0),1),2)=0),1, IF(AND(T.ServiceCenterIrchel,O72=INDEX(T.JaNein.Bereich,1,1),O77&gt;0),1, IF(AND(T.50_Vetsuisse=0,T.ServiceCenterIrchel=0,O77&gt;0),1,0)))</f>
        <v>0</v>
      </c>
      <c r="P69" s="249" t="n">
        <f aca="true">IF(AND(T.50_Vetsuisse,P72=INDEX(T.JaNein.Bereich,1,1),P73&gt;0,MOD(IFERROR(MATCH(1,P13:P22,0),1),2)=0),1, IF(AND(T.ServiceCenterIrchel,P72=INDEX(T.JaNein.Bereich,1,1),P77&gt;0),1, IF(AND(T.50_Vetsuisse=0,T.ServiceCenterIrchel=0,P77&gt;0),1,0)))</f>
        <v>0</v>
      </c>
      <c r="Q69" s="249" t="n">
        <f aca="true">IF(AND(T.50_Vetsuisse,Q72=INDEX(T.JaNein.Bereich,1,1),Q73&gt;0,MOD(IFERROR(MATCH(1,Q13:Q22,0),1),2)=0),1, IF(AND(T.ServiceCenterIrchel,Q72=INDEX(T.JaNein.Bereich,1,1),Q77&gt;0),1, IF(AND(T.50_Vetsuisse=0,T.ServiceCenterIrchel=0,Q77&gt;0),1,0)))</f>
        <v>0</v>
      </c>
      <c r="R69" s="249" t="n">
        <f aca="true">IF(AND(T.50_Vetsuisse,R72=INDEX(T.JaNein.Bereich,1,1),R73&gt;0,MOD(IFERROR(MATCH(1,R13:R22,0),1),2)=0),1, IF(AND(T.ServiceCenterIrchel,R72=INDEX(T.JaNein.Bereich,1,1),R77&gt;0),1, IF(AND(T.50_Vetsuisse=0,T.ServiceCenterIrchel=0,R77&gt;0),1,0)))</f>
        <v>0</v>
      </c>
      <c r="S69" s="249" t="n">
        <f aca="true">IF(AND(T.50_Vetsuisse,S72=INDEX(T.JaNein.Bereich,1,1),S73&gt;0,MOD(IFERROR(MATCH(1,S13:S22,0),1),2)=0),1, IF(AND(T.ServiceCenterIrchel,S72=INDEX(T.JaNein.Bereich,1,1),S77&gt;0),1, IF(AND(T.50_Vetsuisse=0,T.ServiceCenterIrchel=0,S77&gt;0),1,0)))</f>
        <v>0</v>
      </c>
      <c r="T69" s="249" t="n">
        <f aca="true">IF(AND(T.50_Vetsuisse,T72=INDEX(T.JaNein.Bereich,1,1),T73&gt;0,MOD(IFERROR(MATCH(1,T13:T22,0),1),2)=0),1, IF(AND(T.ServiceCenterIrchel,T72=INDEX(T.JaNein.Bereich,1,1),T77&gt;0),1, IF(AND(T.50_Vetsuisse=0,T.ServiceCenterIrchel=0,T77&gt;0),1,0)))</f>
        <v>0</v>
      </c>
      <c r="U69" s="249" t="n">
        <f aca="true">IF(AND(T.50_Vetsuisse,U72=INDEX(T.JaNein.Bereich,1,1),U73&gt;0,MOD(IFERROR(MATCH(1,U13:U22,0),1),2)=0),1, IF(AND(T.ServiceCenterIrchel,U72=INDEX(T.JaNein.Bereich,1,1),U77&gt;0),1, IF(AND(T.50_Vetsuisse=0,T.ServiceCenterIrchel=0,U77&gt;0),1,0)))</f>
        <v>0</v>
      </c>
      <c r="V69" s="249" t="n">
        <f aca="true">IF(AND(T.50_Vetsuisse,V72=INDEX(T.JaNein.Bereich,1,1),V73&gt;0,MOD(IFERROR(MATCH(1,V13:V22,0),1),2)=0),1, IF(AND(T.ServiceCenterIrchel,V72=INDEX(T.JaNein.Bereich,1,1),V77&gt;0),1, IF(AND(T.50_Vetsuisse=0,T.ServiceCenterIrchel=0,V77&gt;0),1,0)))</f>
        <v>0</v>
      </c>
      <c r="W69" s="249" t="n">
        <f aca="true">IF(AND(T.50_Vetsuisse,W72=INDEX(T.JaNein.Bereich,1,1),W73&gt;0,MOD(IFERROR(MATCH(1,W13:W22,0),1),2)=0),1, IF(AND(T.ServiceCenterIrchel,W72=INDEX(T.JaNein.Bereich,1,1),W77&gt;0),1, IF(AND(T.50_Vetsuisse=0,T.ServiceCenterIrchel=0,W77&gt;0),1,0)))</f>
        <v>0</v>
      </c>
      <c r="X69" s="249" t="n">
        <f aca="true">IF(AND(T.50_Vetsuisse,X72=INDEX(T.JaNein.Bereich,1,1),X73&gt;0,MOD(IFERROR(MATCH(1,X13:X22,0),1),2)=0),1, IF(AND(T.ServiceCenterIrchel,X72=INDEX(T.JaNein.Bereich,1,1),X77&gt;0),1, IF(AND(T.50_Vetsuisse=0,T.ServiceCenterIrchel=0,X77&gt;0),1,0)))</f>
        <v>0</v>
      </c>
      <c r="Y69" s="249" t="n">
        <f aca="true">IF(AND(T.50_Vetsuisse,Y72=INDEX(T.JaNein.Bereich,1,1),Y73&gt;0,MOD(IFERROR(MATCH(1,Y13:Y22,0),1),2)=0),1, IF(AND(T.ServiceCenterIrchel,Y72=INDEX(T.JaNein.Bereich,1,1),Y77&gt;0),1, IF(AND(T.50_Vetsuisse=0,T.ServiceCenterIrchel=0,Y77&gt;0),1,0)))</f>
        <v>0</v>
      </c>
      <c r="Z69" s="249" t="n">
        <f aca="true">IF(AND(T.50_Vetsuisse,Z72=INDEX(T.JaNein.Bereich,1,1),Z73&gt;0,MOD(IFERROR(MATCH(1,Z13:Z22,0),1),2)=0),1, IF(AND(T.ServiceCenterIrchel,Z72=INDEX(T.JaNein.Bereich,1,1),Z77&gt;0),1, IF(AND(T.50_Vetsuisse=0,T.ServiceCenterIrchel=0,Z77&gt;0),1,0)))</f>
        <v>0</v>
      </c>
      <c r="AA69" s="249" t="n">
        <f aca="true">IF(AND(T.50_Vetsuisse,AA72=INDEX(T.JaNein.Bereich,1,1),AA73&gt;0,MOD(IFERROR(MATCH(1,AA13:AA22,0),1),2)=0),1, IF(AND(T.ServiceCenterIrchel,AA72=INDEX(T.JaNein.Bereich,1,1),AA77&gt;0),1, IF(AND(T.50_Vetsuisse=0,T.ServiceCenterIrchel=0,AA77&gt;0),1,0)))</f>
        <v>0</v>
      </c>
      <c r="AB69" s="249" t="n">
        <f aca="true">IF(AND(T.50_Vetsuisse,AB72=INDEX(T.JaNein.Bereich,1,1),AB73&gt;0,MOD(IFERROR(MATCH(1,AB13:AB22,0),1),2)=0),1, IF(AND(T.ServiceCenterIrchel,AB72=INDEX(T.JaNein.Bereich,1,1),AB77&gt;0),1, IF(AND(T.50_Vetsuisse=0,T.ServiceCenterIrchel=0,AB77&gt;0),1,0)))</f>
        <v>0</v>
      </c>
      <c r="AC69" s="249" t="n">
        <f aca="true">IF(AND(T.50_Vetsuisse,AC72=INDEX(T.JaNein.Bereich,1,1),AC73&gt;0,MOD(IFERROR(MATCH(1,AC13:AC22,0),1),2)=0),1, IF(AND(T.ServiceCenterIrchel,AC72=INDEX(T.JaNein.Bereich,1,1),AC77&gt;0),1, IF(AND(T.50_Vetsuisse=0,T.ServiceCenterIrchel=0,AC77&gt;0),1,0)))</f>
        <v>0</v>
      </c>
      <c r="AD69" s="249" t="n">
        <f aca="true">IF(AND(T.50_Vetsuisse,AD72=INDEX(T.JaNein.Bereich,1,1),AD73&gt;0,MOD(IFERROR(MATCH(1,AD13:AD22,0),1),2)=0),1, IF(AND(T.ServiceCenterIrchel,AD72=INDEX(T.JaNein.Bereich,1,1),AD77&gt;0),1, IF(AND(T.50_Vetsuisse=0,T.ServiceCenterIrchel=0,AD77&gt;0),1,0)))</f>
        <v>0</v>
      </c>
      <c r="AE69" s="249" t="n">
        <f aca="true">IF(AND(T.50_Vetsuisse,AE72=INDEX(T.JaNein.Bereich,1,1),AE73&gt;0,MOD(IFERROR(MATCH(1,AE13:AE22,0),1),2)=0),1, IF(AND(T.ServiceCenterIrchel,AE72=INDEX(T.JaNein.Bereich,1,1),AE77&gt;0),1, IF(AND(T.50_Vetsuisse=0,T.ServiceCenterIrchel=0,AE77&gt;0),1,0)))</f>
        <v>0</v>
      </c>
      <c r="AF69" s="168" t="str">
        <f aca="false">A69</f>
        <v>Counter night shift</v>
      </c>
      <c r="AG69" s="250"/>
      <c r="AH69" s="251" t="n">
        <f aca="false">SUM(B69:AE69)</f>
        <v>0</v>
      </c>
      <c r="AI69" s="33"/>
      <c r="AJ69" s="192"/>
      <c r="AK69" s="252" t="n">
        <f aca="false">IF(EB.Anwendung&lt;&gt;"",IF(MONTH(Monat.Tag1)=1,0,IF(MONTH(Monat.Tag1)=2,January!Monat.ZählerNDUe,IF(MONTH(Monat.Tag1)=3,February!Monat.ZählerNDUe,IF(MONTH(Monat.Tag1)=4,March!Monat.ZählerNDUe,IF(MONTH(Monat.Tag1)=5,April!Monat.ZählerNDUe,IF(MONTH(Monat.Tag1)=6,May!Monat.ZählerNDUe,IF(MONTH(Monat.Tag1)=7,Monat.ZählerNDUe,IF(MONTH(Monat.Tag1)=8,July!Monat.ZählerNDUe,IF(MONTH(Monat.Tag1)=9,August!Monat.ZählerNDUe,IF(MONTH(Monat.Tag1)=10,September!Monat.ZählerNDUe,IF(MONTH(Monat.Tag1)=11,October!Monat.ZählerNDUe,IF(MONTH(Monat.Tag1)=12,November!Monat.ZählerNDUe,"")))))))))))),"")</f>
        <v>0</v>
      </c>
      <c r="AL69" s="172"/>
      <c r="AM69" s="253" t="n">
        <f aca="false">AK69+AH69</f>
        <v>0</v>
      </c>
      <c r="AN69" s="171"/>
      <c r="AO69" s="171"/>
      <c r="AP69" s="39"/>
    </row>
    <row r="70" s="148" customFormat="true" ht="15" hidden="true" customHeight="true" outlineLevel="0" collapsed="false">
      <c r="A70" s="175" t="s">
        <v>156</v>
      </c>
      <c r="B70" s="249" t="n">
        <f aca="false">IF(DAY(B$10)=1,$AK$69,A70)+B69</f>
        <v>0</v>
      </c>
      <c r="C70" s="249" t="n">
        <f aca="false">IF(DAY(C$10)=1,$AK$69,B70)+C69</f>
        <v>0</v>
      </c>
      <c r="D70" s="249" t="n">
        <f aca="false">IF(DAY(D$10)=1,$AK$69,C70)+D69</f>
        <v>0</v>
      </c>
      <c r="E70" s="249" t="n">
        <f aca="false">IF(DAY(E$10)=1,$AK$69,D70)+E69</f>
        <v>0</v>
      </c>
      <c r="F70" s="249" t="n">
        <f aca="false">IF(DAY(F$10)=1,$AK$69,E70)+F69</f>
        <v>0</v>
      </c>
      <c r="G70" s="249" t="n">
        <f aca="false">IF(DAY(G$10)=1,$AK$69,F70)+G69</f>
        <v>0</v>
      </c>
      <c r="H70" s="249" t="n">
        <f aca="false">IF(DAY(H$10)=1,$AK$69,G70)+H69</f>
        <v>0</v>
      </c>
      <c r="I70" s="249" t="n">
        <f aca="false">IF(DAY(I$10)=1,$AK$69,H70)+I69</f>
        <v>0</v>
      </c>
      <c r="J70" s="249" t="n">
        <f aca="false">IF(DAY(J$10)=1,$AK$69,I70)+J69</f>
        <v>0</v>
      </c>
      <c r="K70" s="249" t="n">
        <f aca="false">IF(DAY(K$10)=1,$AK$69,J70)+K69</f>
        <v>0</v>
      </c>
      <c r="L70" s="249" t="n">
        <f aca="false">IF(DAY(L$10)=1,$AK$69,K70)+L69</f>
        <v>0</v>
      </c>
      <c r="M70" s="249" t="n">
        <f aca="false">IF(DAY(M$10)=1,$AK$69,L70)+M69</f>
        <v>0</v>
      </c>
      <c r="N70" s="249" t="n">
        <f aca="false">IF(DAY(N$10)=1,$AK$69,M70)+N69</f>
        <v>0</v>
      </c>
      <c r="O70" s="249" t="n">
        <f aca="false">IF(DAY(O$10)=1,$AK$69,N70)+O69</f>
        <v>0</v>
      </c>
      <c r="P70" s="249" t="n">
        <f aca="false">IF(DAY(P$10)=1,$AK$69,O70)+P69</f>
        <v>0</v>
      </c>
      <c r="Q70" s="249" t="n">
        <f aca="false">IF(DAY(Q$10)=1,$AK$69,P70)+Q69</f>
        <v>0</v>
      </c>
      <c r="R70" s="249" t="n">
        <f aca="false">IF(DAY(R$10)=1,$AK$69,Q70)+R69</f>
        <v>0</v>
      </c>
      <c r="S70" s="249" t="n">
        <f aca="false">IF(DAY(S$10)=1,$AK$69,R70)+S69</f>
        <v>0</v>
      </c>
      <c r="T70" s="249" t="n">
        <f aca="false">IF(DAY(T$10)=1,$AK$69,S70)+T69</f>
        <v>0</v>
      </c>
      <c r="U70" s="249" t="n">
        <f aca="false">IF(DAY(U$10)=1,$AK$69,T70)+U69</f>
        <v>0</v>
      </c>
      <c r="V70" s="249" t="n">
        <f aca="false">IF(DAY(V$10)=1,$AK$69,U70)+V69</f>
        <v>0</v>
      </c>
      <c r="W70" s="249" t="n">
        <f aca="false">IF(DAY(W$10)=1,$AK$69,V70)+W69</f>
        <v>0</v>
      </c>
      <c r="X70" s="249" t="n">
        <f aca="false">IF(DAY(X$10)=1,$AK$69,W70)+X69</f>
        <v>0</v>
      </c>
      <c r="Y70" s="249" t="n">
        <f aca="false">IF(DAY(Y$10)=1,$AK$69,X70)+Y69</f>
        <v>0</v>
      </c>
      <c r="Z70" s="249" t="n">
        <f aca="false">IF(DAY(Z$10)=1,$AK$69,Y70)+Z69</f>
        <v>0</v>
      </c>
      <c r="AA70" s="249" t="n">
        <f aca="false">IF(DAY(AA$10)=1,$AK$69,Z70)+AA69</f>
        <v>0</v>
      </c>
      <c r="AB70" s="249" t="n">
        <f aca="false">IF(DAY(AB$10)=1,$AK$69,AA70)+AB69</f>
        <v>0</v>
      </c>
      <c r="AC70" s="249" t="n">
        <f aca="false">IF(DAY(AC$10)=1,$AK$69,AB70)+AC69</f>
        <v>0</v>
      </c>
      <c r="AD70" s="249" t="n">
        <f aca="false">IF(DAY(AD$10)=1,$AK$69,AC70)+AD69</f>
        <v>0</v>
      </c>
      <c r="AE70" s="249" t="n">
        <f aca="false">IF(DAY(AE$10)=1,$AK$69,AD70)+AE69</f>
        <v>0</v>
      </c>
      <c r="AF70" s="168" t="str">
        <f aca="false">A70</f>
        <v>Balance counter night shift</v>
      </c>
      <c r="AG70" s="197"/>
      <c r="AH70" s="192"/>
      <c r="AI70" s="27"/>
      <c r="AJ70" s="235"/>
      <c r="AK70" s="235"/>
      <c r="AL70" s="172"/>
      <c r="AM70" s="254"/>
      <c r="AN70" s="171"/>
      <c r="AO70" s="171"/>
      <c r="AP70" s="39"/>
    </row>
    <row r="71" s="148" customFormat="true" ht="15" hidden="true" customHeight="true" outlineLevel="1" collapsed="false">
      <c r="A71" s="175" t="s">
        <v>157</v>
      </c>
      <c r="B71" s="176"/>
      <c r="C71" s="176"/>
      <c r="D71" s="176"/>
      <c r="E71" s="177"/>
      <c r="F71" s="176"/>
      <c r="G71" s="176"/>
      <c r="H71" s="176"/>
      <c r="I71" s="176"/>
      <c r="J71" s="177"/>
      <c r="K71" s="176"/>
      <c r="L71" s="177"/>
      <c r="M71" s="176"/>
      <c r="N71" s="176"/>
      <c r="O71" s="176"/>
      <c r="P71" s="176"/>
      <c r="Q71" s="177"/>
      <c r="R71" s="176"/>
      <c r="S71" s="177"/>
      <c r="T71" s="177"/>
      <c r="U71" s="176"/>
      <c r="V71" s="176"/>
      <c r="W71" s="176"/>
      <c r="X71" s="177"/>
      <c r="Y71" s="176"/>
      <c r="Z71" s="178"/>
      <c r="AA71" s="176"/>
      <c r="AB71" s="176"/>
      <c r="AC71" s="176"/>
      <c r="AD71" s="176"/>
      <c r="AE71" s="177"/>
      <c r="AF71" s="168" t="str">
        <f aca="false">A71</f>
        <v>Compensation TS night shift</v>
      </c>
      <c r="AG71" s="184"/>
      <c r="AH71" s="207" t="n">
        <f aca="false">SUM(B71:AE71)</f>
        <v>0</v>
      </c>
      <c r="AI71" s="33"/>
      <c r="AJ71" s="235"/>
      <c r="AK71" s="216" t="n">
        <f aca="false">IF(EB.Anwendung&lt;&gt;"",IF(MONTH(Monat.Tag1)=1,0,IF(MONTH(Monat.Tag1)=2,January!Monat.KompZZSNDUeVM,IF(MONTH(Monat.Tag1)=3,February!Monat.KompZZSNDUeVM,IF(MONTH(Monat.Tag1)=4,March!Monat.KompZZSNDUeVM,IF(MONTH(Monat.Tag1)=5,April!Monat.KompZZSNDUeVM,IF(MONTH(Monat.Tag1)=6,May!Monat.KompZZSNDUeVM,IF(MONTH(Monat.Tag1)=7,Monat.KompZZSNDUeVM,IF(MONTH(Monat.Tag1)=8,July!Monat.KompZZSNDUeVM,IF(MONTH(Monat.Tag1)=9,August!Monat.KompZZSNDUeVM,IF(MONTH(Monat.Tag1)=10,September!Monat.KompZZSNDUeVM,IF(MONTH(Monat.Tag1)=11,October!Monat.KompZZSNDUeVM,IF(MONTH(Monat.Tag1)=12,November!Monat.KompZZSNDUeVM,"")))))))))))),"")</f>
        <v>0</v>
      </c>
      <c r="AL71" s="172"/>
      <c r="AM71" s="217" t="n">
        <f aca="false">AH71+AK71</f>
        <v>0</v>
      </c>
      <c r="AN71" s="217" t="n">
        <f aca="true">SUM(OFFSET(Jahr.KompZZSND,-12,0,MONTH(Monat.Tag1),1))</f>
        <v>0</v>
      </c>
      <c r="AO71" s="217" t="n">
        <f aca="false">Jahr.KompZZSND</f>
        <v>0</v>
      </c>
      <c r="AP71" s="39"/>
    </row>
    <row r="72" s="148" customFormat="true" ht="15" hidden="true" customHeight="true" outlineLevel="1" collapsed="false">
      <c r="A72" s="175" t="s">
        <v>158</v>
      </c>
      <c r="B72" s="255"/>
      <c r="C72" s="255"/>
      <c r="D72" s="255"/>
      <c r="E72" s="255"/>
      <c r="F72" s="255"/>
      <c r="G72" s="255"/>
      <c r="H72" s="255"/>
      <c r="I72" s="255"/>
      <c r="J72" s="255"/>
      <c r="K72" s="255"/>
      <c r="L72" s="255"/>
      <c r="M72" s="255"/>
      <c r="N72" s="255"/>
      <c r="O72" s="255"/>
      <c r="P72" s="255"/>
      <c r="Q72" s="255"/>
      <c r="R72" s="255"/>
      <c r="S72" s="255"/>
      <c r="T72" s="255"/>
      <c r="U72" s="255"/>
      <c r="V72" s="255"/>
      <c r="W72" s="255"/>
      <c r="X72" s="255"/>
      <c r="Y72" s="255"/>
      <c r="Z72" s="255"/>
      <c r="AA72" s="255"/>
      <c r="AB72" s="255"/>
      <c r="AC72" s="255"/>
      <c r="AD72" s="255"/>
      <c r="AE72" s="255"/>
      <c r="AF72" s="168" t="str">
        <f aca="false">A72</f>
        <v>Start pl. night shift Yes/No</v>
      </c>
      <c r="AG72" s="184"/>
      <c r="AH72" s="192"/>
      <c r="AI72" s="198" t="n">
        <f aca="true">IFERROR(SUMPRODUCT((B72:AE72=INDEX(T.JaNein.Bereich,1))*(B72:AE72&lt;&gt;"")),0)</f>
        <v>0</v>
      </c>
      <c r="AJ72" s="235"/>
      <c r="AK72" s="198" t="n">
        <f aca="false">AK69</f>
        <v>0</v>
      </c>
      <c r="AL72" s="172"/>
      <c r="AM72" s="253" t="n">
        <f aca="false">AM69</f>
        <v>0</v>
      </c>
      <c r="AN72" s="172"/>
      <c r="AO72" s="172"/>
      <c r="AP72" s="39"/>
    </row>
    <row r="73" s="148" customFormat="true" ht="15" hidden="false" customHeight="true" outlineLevel="1" collapsed="false">
      <c r="A73" s="175" t="s">
        <v>159</v>
      </c>
      <c r="B73" s="256" t="n">
        <f aca="false">IF(B$12=0,0,IF(OR(T.50_Vetsuisse,T.ServiceCenterIrchel),ROUND(B14-B13+MAX(0,T.Nachtab-MAX(T.Nachtbis,B14))-MAX(0,T.Nachtab-MAX(B13,T.Nachtbis))+(B13&gt;B14)*(1+T.Nachtbis-T.Nachtab)+B16-B15+MAX(0,T.Nachtab-MAX(T.Nachtbis,B16))-MAX(0,T.Nachtab-MAX(B15,T.Nachtbis))+(B15&gt;B16)*(1+T.Nachtbis-T.Nachtab)+B18-B17+MAX(0,T.Nachtab-MAX(T.Nachtbis,B18))-MAX(0,T.Nachtab-MAX(B17,T.Nachtbis))+(B17&gt;B18)*(1+T.Nachtbis-T.Nachtab)+B20-B19+MAX(0,T.Nachtab-MAX(T.Nachtbis,B20))-MAX(0,T.Nachtab-MAX(B19,T.Nachtbis))+(B19&gt;B20)*(1+T.Nachtbis-T.Nachtab)+B22-B21+MAX(0,T.Nachtab-MAX(T.Nachtbis,B22))-MAX(0,T.Nachtab-MAX(B21,T.Nachtbis))+(B21&gt;B22)*(1+T.Nachtbis-T.Nachtab),9), IF(AND(WEEKDAY(B$10,2)&lt;6,B$11&lt;&gt;0),ROUND(B36-B35+MAX(0,T.Nachtab-MAX(T.Nachtbis,B36))-MAX(0,T.Nachtab-MAX(B35,T.Nachtbis))+(B35&gt;B36)*(1+T.Nachtbis-T.Nachtab)+B38-B37+MAX(0,T.Nachtab-MAX(T.Nachtbis,B38))-MAX(0,T.Nachtab-MAX(B37,T.Nachtbis))+(B37&gt;B38)*(1+T.Nachtbis-T.Nachtab)+B40-B39+MAX(0,T.Nachtab-MAX(T.Nachtbis,B40))-MAX(0,T.Nachtab-MAX(B39,T.Nachtbis))+(B39&gt;B40)*(1+T.Nachtbis-T.Nachtab)+B42-B41+MAX(0,T.Nachtab-MAX(T.Nachtbis,B42))-MAX(0,T.Nachtab-MAX(B41,T.Nachtbis))+(B41&gt;B42)*(1+T.Nachtbis-T.Nachtab)+B44-B43+MAX(0,T.Nachtab-MAX(T.Nachtbis,B44))-MAX(0,T.Nachtab-MAX(B43,T.Nachtbis))+(B43&gt;B44)*(1+T.Nachtbis-T.Nachtab),9),0)))</f>
        <v>0</v>
      </c>
      <c r="C73" s="256" t="n">
        <f aca="false">IF(C$12=0,0,IF(OR(T.50_Vetsuisse,T.ServiceCenterIrchel),ROUND(C14-C13+MAX(0,T.Nachtab-MAX(T.Nachtbis,C14))-MAX(0,T.Nachtab-MAX(C13,T.Nachtbis))+(C13&gt;C14)*(1+T.Nachtbis-T.Nachtab)+C16-C15+MAX(0,T.Nachtab-MAX(T.Nachtbis,C16))-MAX(0,T.Nachtab-MAX(C15,T.Nachtbis))+(C15&gt;C16)*(1+T.Nachtbis-T.Nachtab)+C18-C17+MAX(0,T.Nachtab-MAX(T.Nachtbis,C18))-MAX(0,T.Nachtab-MAX(C17,T.Nachtbis))+(C17&gt;C18)*(1+T.Nachtbis-T.Nachtab)+C20-C19+MAX(0,T.Nachtab-MAX(T.Nachtbis,C20))-MAX(0,T.Nachtab-MAX(C19,T.Nachtbis))+(C19&gt;C20)*(1+T.Nachtbis-T.Nachtab)+C22-C21+MAX(0,T.Nachtab-MAX(T.Nachtbis,C22))-MAX(0,T.Nachtab-MAX(C21,T.Nachtbis))+(C21&gt;C22)*(1+T.Nachtbis-T.Nachtab),9), IF(AND(WEEKDAY(C$10,2)&lt;6,C$11&lt;&gt;0),ROUND(C36-C35+MAX(0,T.Nachtab-MAX(T.Nachtbis,C36))-MAX(0,T.Nachtab-MAX(C35,T.Nachtbis))+(C35&gt;C36)*(1+T.Nachtbis-T.Nachtab)+C38-C37+MAX(0,T.Nachtab-MAX(T.Nachtbis,C38))-MAX(0,T.Nachtab-MAX(C37,T.Nachtbis))+(C37&gt;C38)*(1+T.Nachtbis-T.Nachtab)+C40-C39+MAX(0,T.Nachtab-MAX(T.Nachtbis,C40))-MAX(0,T.Nachtab-MAX(C39,T.Nachtbis))+(C39&gt;C40)*(1+T.Nachtbis-T.Nachtab)+C42-C41+MAX(0,T.Nachtab-MAX(T.Nachtbis,C42))-MAX(0,T.Nachtab-MAX(C41,T.Nachtbis))+(C41&gt;C42)*(1+T.Nachtbis-T.Nachtab)+C44-C43+MAX(0,T.Nachtab-MAX(T.Nachtbis,C44))-MAX(0,T.Nachtab-MAX(C43,T.Nachtbis))+(C43&gt;C44)*(1+T.Nachtbis-T.Nachtab),9),0)))</f>
        <v>0</v>
      </c>
      <c r="D73" s="256" t="n">
        <f aca="false">IF(D$12=0,0,IF(OR(T.50_Vetsuisse,T.ServiceCenterIrchel),ROUND(D14-D13+MAX(0,T.Nachtab-MAX(T.Nachtbis,D14))-MAX(0,T.Nachtab-MAX(D13,T.Nachtbis))+(D13&gt;D14)*(1+T.Nachtbis-T.Nachtab)+D16-D15+MAX(0,T.Nachtab-MAX(T.Nachtbis,D16))-MAX(0,T.Nachtab-MAX(D15,T.Nachtbis))+(D15&gt;D16)*(1+T.Nachtbis-T.Nachtab)+D18-D17+MAX(0,T.Nachtab-MAX(T.Nachtbis,D18))-MAX(0,T.Nachtab-MAX(D17,T.Nachtbis))+(D17&gt;D18)*(1+T.Nachtbis-T.Nachtab)+D20-D19+MAX(0,T.Nachtab-MAX(T.Nachtbis,D20))-MAX(0,T.Nachtab-MAX(D19,T.Nachtbis))+(D19&gt;D20)*(1+T.Nachtbis-T.Nachtab)+D22-D21+MAX(0,T.Nachtab-MAX(T.Nachtbis,D22))-MAX(0,T.Nachtab-MAX(D21,T.Nachtbis))+(D21&gt;D22)*(1+T.Nachtbis-T.Nachtab),9), IF(AND(WEEKDAY(D$10,2)&lt;6,D$11&lt;&gt;0),ROUND(D36-D35+MAX(0,T.Nachtab-MAX(T.Nachtbis,D36))-MAX(0,T.Nachtab-MAX(D35,T.Nachtbis))+(D35&gt;D36)*(1+T.Nachtbis-T.Nachtab)+D38-D37+MAX(0,T.Nachtab-MAX(T.Nachtbis,D38))-MAX(0,T.Nachtab-MAX(D37,T.Nachtbis))+(D37&gt;D38)*(1+T.Nachtbis-T.Nachtab)+D40-D39+MAX(0,T.Nachtab-MAX(T.Nachtbis,D40))-MAX(0,T.Nachtab-MAX(D39,T.Nachtbis))+(D39&gt;D40)*(1+T.Nachtbis-T.Nachtab)+D42-D41+MAX(0,T.Nachtab-MAX(T.Nachtbis,D42))-MAX(0,T.Nachtab-MAX(D41,T.Nachtbis))+(D41&gt;D42)*(1+T.Nachtbis-T.Nachtab)+D44-D43+MAX(0,T.Nachtab-MAX(T.Nachtbis,D44))-MAX(0,T.Nachtab-MAX(D43,T.Nachtbis))+(D43&gt;D44)*(1+T.Nachtbis-T.Nachtab),9),0)))</f>
        <v>0</v>
      </c>
      <c r="E73" s="256" t="n">
        <f aca="false">IF(E$12=0,0,IF(OR(T.50_Vetsuisse,T.ServiceCenterIrchel),ROUND(E14-E13+MAX(0,T.Nachtab-MAX(T.Nachtbis,E14))-MAX(0,T.Nachtab-MAX(E13,T.Nachtbis))+(E13&gt;E14)*(1+T.Nachtbis-T.Nachtab)+E16-E15+MAX(0,T.Nachtab-MAX(T.Nachtbis,E16))-MAX(0,T.Nachtab-MAX(E15,T.Nachtbis))+(E15&gt;E16)*(1+T.Nachtbis-T.Nachtab)+E18-E17+MAX(0,T.Nachtab-MAX(T.Nachtbis,E18))-MAX(0,T.Nachtab-MAX(E17,T.Nachtbis))+(E17&gt;E18)*(1+T.Nachtbis-T.Nachtab)+E20-E19+MAX(0,T.Nachtab-MAX(T.Nachtbis,E20))-MAX(0,T.Nachtab-MAX(E19,T.Nachtbis))+(E19&gt;E20)*(1+T.Nachtbis-T.Nachtab)+E22-E21+MAX(0,T.Nachtab-MAX(T.Nachtbis,E22))-MAX(0,T.Nachtab-MAX(E21,T.Nachtbis))+(E21&gt;E22)*(1+T.Nachtbis-T.Nachtab),9), IF(AND(WEEKDAY(E$10,2)&lt;6,E$11&lt;&gt;0),ROUND(E36-E35+MAX(0,T.Nachtab-MAX(T.Nachtbis,E36))-MAX(0,T.Nachtab-MAX(E35,T.Nachtbis))+(E35&gt;E36)*(1+T.Nachtbis-T.Nachtab)+E38-E37+MAX(0,T.Nachtab-MAX(T.Nachtbis,E38))-MAX(0,T.Nachtab-MAX(E37,T.Nachtbis))+(E37&gt;E38)*(1+T.Nachtbis-T.Nachtab)+E40-E39+MAX(0,T.Nachtab-MAX(T.Nachtbis,E40))-MAX(0,T.Nachtab-MAX(E39,T.Nachtbis))+(E39&gt;E40)*(1+T.Nachtbis-T.Nachtab)+E42-E41+MAX(0,T.Nachtab-MAX(T.Nachtbis,E42))-MAX(0,T.Nachtab-MAX(E41,T.Nachtbis))+(E41&gt;E42)*(1+T.Nachtbis-T.Nachtab)+E44-E43+MAX(0,T.Nachtab-MAX(T.Nachtbis,E44))-MAX(0,T.Nachtab-MAX(E43,T.Nachtbis))+(E43&gt;E44)*(1+T.Nachtbis-T.Nachtab),9),0)))</f>
        <v>0</v>
      </c>
      <c r="F73" s="256" t="n">
        <f aca="false">IF(F$12=0,0,IF(OR(T.50_Vetsuisse,T.ServiceCenterIrchel),ROUND(F14-F13+MAX(0,T.Nachtab-MAX(T.Nachtbis,F14))-MAX(0,T.Nachtab-MAX(F13,T.Nachtbis))+(F13&gt;F14)*(1+T.Nachtbis-T.Nachtab)+F16-F15+MAX(0,T.Nachtab-MAX(T.Nachtbis,F16))-MAX(0,T.Nachtab-MAX(F15,T.Nachtbis))+(F15&gt;F16)*(1+T.Nachtbis-T.Nachtab)+F18-F17+MAX(0,T.Nachtab-MAX(T.Nachtbis,F18))-MAX(0,T.Nachtab-MAX(F17,T.Nachtbis))+(F17&gt;F18)*(1+T.Nachtbis-T.Nachtab)+F20-F19+MAX(0,T.Nachtab-MAX(T.Nachtbis,F20))-MAX(0,T.Nachtab-MAX(F19,T.Nachtbis))+(F19&gt;F20)*(1+T.Nachtbis-T.Nachtab)+F22-F21+MAX(0,T.Nachtab-MAX(T.Nachtbis,F22))-MAX(0,T.Nachtab-MAX(F21,T.Nachtbis))+(F21&gt;F22)*(1+T.Nachtbis-T.Nachtab),9), IF(AND(WEEKDAY(F$10,2)&lt;6,F$11&lt;&gt;0),ROUND(F36-F35+MAX(0,T.Nachtab-MAX(T.Nachtbis,F36))-MAX(0,T.Nachtab-MAX(F35,T.Nachtbis))+(F35&gt;F36)*(1+T.Nachtbis-T.Nachtab)+F38-F37+MAX(0,T.Nachtab-MAX(T.Nachtbis,F38))-MAX(0,T.Nachtab-MAX(F37,T.Nachtbis))+(F37&gt;F38)*(1+T.Nachtbis-T.Nachtab)+F40-F39+MAX(0,T.Nachtab-MAX(T.Nachtbis,F40))-MAX(0,T.Nachtab-MAX(F39,T.Nachtbis))+(F39&gt;F40)*(1+T.Nachtbis-T.Nachtab)+F42-F41+MAX(0,T.Nachtab-MAX(T.Nachtbis,F42))-MAX(0,T.Nachtab-MAX(F41,T.Nachtbis))+(F41&gt;F42)*(1+T.Nachtbis-T.Nachtab)+F44-F43+MAX(0,T.Nachtab-MAX(T.Nachtbis,F44))-MAX(0,T.Nachtab-MAX(F43,T.Nachtbis))+(F43&gt;F44)*(1+T.Nachtbis-T.Nachtab),9),0)))</f>
        <v>0</v>
      </c>
      <c r="G73" s="256" t="n">
        <f aca="false">IF(G$12=0,0,IF(OR(T.50_Vetsuisse,T.ServiceCenterIrchel),ROUND(G14-G13+MAX(0,T.Nachtab-MAX(T.Nachtbis,G14))-MAX(0,T.Nachtab-MAX(G13,T.Nachtbis))+(G13&gt;G14)*(1+T.Nachtbis-T.Nachtab)+G16-G15+MAX(0,T.Nachtab-MAX(T.Nachtbis,G16))-MAX(0,T.Nachtab-MAX(G15,T.Nachtbis))+(G15&gt;G16)*(1+T.Nachtbis-T.Nachtab)+G18-G17+MAX(0,T.Nachtab-MAX(T.Nachtbis,G18))-MAX(0,T.Nachtab-MAX(G17,T.Nachtbis))+(G17&gt;G18)*(1+T.Nachtbis-T.Nachtab)+G20-G19+MAX(0,T.Nachtab-MAX(T.Nachtbis,G20))-MAX(0,T.Nachtab-MAX(G19,T.Nachtbis))+(G19&gt;G20)*(1+T.Nachtbis-T.Nachtab)+G22-G21+MAX(0,T.Nachtab-MAX(T.Nachtbis,G22))-MAX(0,T.Nachtab-MAX(G21,T.Nachtbis))+(G21&gt;G22)*(1+T.Nachtbis-T.Nachtab),9), IF(AND(WEEKDAY(G$10,2)&lt;6,G$11&lt;&gt;0),ROUND(G36-G35+MAX(0,T.Nachtab-MAX(T.Nachtbis,G36))-MAX(0,T.Nachtab-MAX(G35,T.Nachtbis))+(G35&gt;G36)*(1+T.Nachtbis-T.Nachtab)+G38-G37+MAX(0,T.Nachtab-MAX(T.Nachtbis,G38))-MAX(0,T.Nachtab-MAX(G37,T.Nachtbis))+(G37&gt;G38)*(1+T.Nachtbis-T.Nachtab)+G40-G39+MAX(0,T.Nachtab-MAX(T.Nachtbis,G40))-MAX(0,T.Nachtab-MAX(G39,T.Nachtbis))+(G39&gt;G40)*(1+T.Nachtbis-T.Nachtab)+G42-G41+MAX(0,T.Nachtab-MAX(T.Nachtbis,G42))-MAX(0,T.Nachtab-MAX(G41,T.Nachtbis))+(G41&gt;G42)*(1+T.Nachtbis-T.Nachtab)+G44-G43+MAX(0,T.Nachtab-MAX(T.Nachtbis,G44))-MAX(0,T.Nachtab-MAX(G43,T.Nachtbis))+(G43&gt;G44)*(1+T.Nachtbis-T.Nachtab),9),0)))</f>
        <v>0</v>
      </c>
      <c r="H73" s="256" t="n">
        <f aca="false">IF(H$12=0,0,IF(OR(T.50_Vetsuisse,T.ServiceCenterIrchel),ROUND(H14-H13+MAX(0,T.Nachtab-MAX(T.Nachtbis,H14))-MAX(0,T.Nachtab-MAX(H13,T.Nachtbis))+(H13&gt;H14)*(1+T.Nachtbis-T.Nachtab)+H16-H15+MAX(0,T.Nachtab-MAX(T.Nachtbis,H16))-MAX(0,T.Nachtab-MAX(H15,T.Nachtbis))+(H15&gt;H16)*(1+T.Nachtbis-T.Nachtab)+H18-H17+MAX(0,T.Nachtab-MAX(T.Nachtbis,H18))-MAX(0,T.Nachtab-MAX(H17,T.Nachtbis))+(H17&gt;H18)*(1+T.Nachtbis-T.Nachtab)+H20-H19+MAX(0,T.Nachtab-MAX(T.Nachtbis,H20))-MAX(0,T.Nachtab-MAX(H19,T.Nachtbis))+(H19&gt;H20)*(1+T.Nachtbis-T.Nachtab)+H22-H21+MAX(0,T.Nachtab-MAX(T.Nachtbis,H22))-MAX(0,T.Nachtab-MAX(H21,T.Nachtbis))+(H21&gt;H22)*(1+T.Nachtbis-T.Nachtab),9), IF(AND(WEEKDAY(H$10,2)&lt;6,H$11&lt;&gt;0),ROUND(H36-H35+MAX(0,T.Nachtab-MAX(T.Nachtbis,H36))-MAX(0,T.Nachtab-MAX(H35,T.Nachtbis))+(H35&gt;H36)*(1+T.Nachtbis-T.Nachtab)+H38-H37+MAX(0,T.Nachtab-MAX(T.Nachtbis,H38))-MAX(0,T.Nachtab-MAX(H37,T.Nachtbis))+(H37&gt;H38)*(1+T.Nachtbis-T.Nachtab)+H40-H39+MAX(0,T.Nachtab-MAX(T.Nachtbis,H40))-MAX(0,T.Nachtab-MAX(H39,T.Nachtbis))+(H39&gt;H40)*(1+T.Nachtbis-T.Nachtab)+H42-H41+MAX(0,T.Nachtab-MAX(T.Nachtbis,H42))-MAX(0,T.Nachtab-MAX(H41,T.Nachtbis))+(H41&gt;H42)*(1+T.Nachtbis-T.Nachtab)+H44-H43+MAX(0,T.Nachtab-MAX(T.Nachtbis,H44))-MAX(0,T.Nachtab-MAX(H43,T.Nachtbis))+(H43&gt;H44)*(1+T.Nachtbis-T.Nachtab),9),0)))</f>
        <v>0</v>
      </c>
      <c r="I73" s="256" t="n">
        <f aca="false">IF(I$12=0,0,IF(OR(T.50_Vetsuisse,T.ServiceCenterIrchel),ROUND(I14-I13+MAX(0,T.Nachtab-MAX(T.Nachtbis,I14))-MAX(0,T.Nachtab-MAX(I13,T.Nachtbis))+(I13&gt;I14)*(1+T.Nachtbis-T.Nachtab)+I16-I15+MAX(0,T.Nachtab-MAX(T.Nachtbis,I16))-MAX(0,T.Nachtab-MAX(I15,T.Nachtbis))+(I15&gt;I16)*(1+T.Nachtbis-T.Nachtab)+I18-I17+MAX(0,T.Nachtab-MAX(T.Nachtbis,I18))-MAX(0,T.Nachtab-MAX(I17,T.Nachtbis))+(I17&gt;I18)*(1+T.Nachtbis-T.Nachtab)+I20-I19+MAX(0,T.Nachtab-MAX(T.Nachtbis,I20))-MAX(0,T.Nachtab-MAX(I19,T.Nachtbis))+(I19&gt;I20)*(1+T.Nachtbis-T.Nachtab)+I22-I21+MAX(0,T.Nachtab-MAX(T.Nachtbis,I22))-MAX(0,T.Nachtab-MAX(I21,T.Nachtbis))+(I21&gt;I22)*(1+T.Nachtbis-T.Nachtab),9), IF(AND(WEEKDAY(I$10,2)&lt;6,I$11&lt;&gt;0),ROUND(I36-I35+MAX(0,T.Nachtab-MAX(T.Nachtbis,I36))-MAX(0,T.Nachtab-MAX(I35,T.Nachtbis))+(I35&gt;I36)*(1+T.Nachtbis-T.Nachtab)+I38-I37+MAX(0,T.Nachtab-MAX(T.Nachtbis,I38))-MAX(0,T.Nachtab-MAX(I37,T.Nachtbis))+(I37&gt;I38)*(1+T.Nachtbis-T.Nachtab)+I40-I39+MAX(0,T.Nachtab-MAX(T.Nachtbis,I40))-MAX(0,T.Nachtab-MAX(I39,T.Nachtbis))+(I39&gt;I40)*(1+T.Nachtbis-T.Nachtab)+I42-I41+MAX(0,T.Nachtab-MAX(T.Nachtbis,I42))-MAX(0,T.Nachtab-MAX(I41,T.Nachtbis))+(I41&gt;I42)*(1+T.Nachtbis-T.Nachtab)+I44-I43+MAX(0,T.Nachtab-MAX(T.Nachtbis,I44))-MAX(0,T.Nachtab-MAX(I43,T.Nachtbis))+(I43&gt;I44)*(1+T.Nachtbis-T.Nachtab),9),0)))</f>
        <v>0</v>
      </c>
      <c r="J73" s="256" t="n">
        <f aca="false">IF(J$12=0,0,IF(OR(T.50_Vetsuisse,T.ServiceCenterIrchel),ROUND(J14-J13+MAX(0,T.Nachtab-MAX(T.Nachtbis,J14))-MAX(0,T.Nachtab-MAX(J13,T.Nachtbis))+(J13&gt;J14)*(1+T.Nachtbis-T.Nachtab)+J16-J15+MAX(0,T.Nachtab-MAX(T.Nachtbis,J16))-MAX(0,T.Nachtab-MAX(J15,T.Nachtbis))+(J15&gt;J16)*(1+T.Nachtbis-T.Nachtab)+J18-J17+MAX(0,T.Nachtab-MAX(T.Nachtbis,J18))-MAX(0,T.Nachtab-MAX(J17,T.Nachtbis))+(J17&gt;J18)*(1+T.Nachtbis-T.Nachtab)+J20-J19+MAX(0,T.Nachtab-MAX(T.Nachtbis,J20))-MAX(0,T.Nachtab-MAX(J19,T.Nachtbis))+(J19&gt;J20)*(1+T.Nachtbis-T.Nachtab)+J22-J21+MAX(0,T.Nachtab-MAX(T.Nachtbis,J22))-MAX(0,T.Nachtab-MAX(J21,T.Nachtbis))+(J21&gt;J22)*(1+T.Nachtbis-T.Nachtab),9), IF(AND(WEEKDAY(J$10,2)&lt;6,J$11&lt;&gt;0),ROUND(J36-J35+MAX(0,T.Nachtab-MAX(T.Nachtbis,J36))-MAX(0,T.Nachtab-MAX(J35,T.Nachtbis))+(J35&gt;J36)*(1+T.Nachtbis-T.Nachtab)+J38-J37+MAX(0,T.Nachtab-MAX(T.Nachtbis,J38))-MAX(0,T.Nachtab-MAX(J37,T.Nachtbis))+(J37&gt;J38)*(1+T.Nachtbis-T.Nachtab)+J40-J39+MAX(0,T.Nachtab-MAX(T.Nachtbis,J40))-MAX(0,T.Nachtab-MAX(J39,T.Nachtbis))+(J39&gt;J40)*(1+T.Nachtbis-T.Nachtab)+J42-J41+MAX(0,T.Nachtab-MAX(T.Nachtbis,J42))-MAX(0,T.Nachtab-MAX(J41,T.Nachtbis))+(J41&gt;J42)*(1+T.Nachtbis-T.Nachtab)+J44-J43+MAX(0,T.Nachtab-MAX(T.Nachtbis,J44))-MAX(0,T.Nachtab-MAX(J43,T.Nachtbis))+(J43&gt;J44)*(1+T.Nachtbis-T.Nachtab),9),0)))</f>
        <v>0</v>
      </c>
      <c r="K73" s="256" t="n">
        <f aca="false">IF(K$12=0,0,IF(OR(T.50_Vetsuisse,T.ServiceCenterIrchel),ROUND(K14-K13+MAX(0,T.Nachtab-MAX(T.Nachtbis,K14))-MAX(0,T.Nachtab-MAX(K13,T.Nachtbis))+(K13&gt;K14)*(1+T.Nachtbis-T.Nachtab)+K16-K15+MAX(0,T.Nachtab-MAX(T.Nachtbis,K16))-MAX(0,T.Nachtab-MAX(K15,T.Nachtbis))+(K15&gt;K16)*(1+T.Nachtbis-T.Nachtab)+K18-K17+MAX(0,T.Nachtab-MAX(T.Nachtbis,K18))-MAX(0,T.Nachtab-MAX(K17,T.Nachtbis))+(K17&gt;K18)*(1+T.Nachtbis-T.Nachtab)+K20-K19+MAX(0,T.Nachtab-MAX(T.Nachtbis,K20))-MAX(0,T.Nachtab-MAX(K19,T.Nachtbis))+(K19&gt;K20)*(1+T.Nachtbis-T.Nachtab)+K22-K21+MAX(0,T.Nachtab-MAX(T.Nachtbis,K22))-MAX(0,T.Nachtab-MAX(K21,T.Nachtbis))+(K21&gt;K22)*(1+T.Nachtbis-T.Nachtab),9), IF(AND(WEEKDAY(K$10,2)&lt;6,K$11&lt;&gt;0),ROUND(K36-K35+MAX(0,T.Nachtab-MAX(T.Nachtbis,K36))-MAX(0,T.Nachtab-MAX(K35,T.Nachtbis))+(K35&gt;K36)*(1+T.Nachtbis-T.Nachtab)+K38-K37+MAX(0,T.Nachtab-MAX(T.Nachtbis,K38))-MAX(0,T.Nachtab-MAX(K37,T.Nachtbis))+(K37&gt;K38)*(1+T.Nachtbis-T.Nachtab)+K40-K39+MAX(0,T.Nachtab-MAX(T.Nachtbis,K40))-MAX(0,T.Nachtab-MAX(K39,T.Nachtbis))+(K39&gt;K40)*(1+T.Nachtbis-T.Nachtab)+K42-K41+MAX(0,T.Nachtab-MAX(T.Nachtbis,K42))-MAX(0,T.Nachtab-MAX(K41,T.Nachtbis))+(K41&gt;K42)*(1+T.Nachtbis-T.Nachtab)+K44-K43+MAX(0,T.Nachtab-MAX(T.Nachtbis,K44))-MAX(0,T.Nachtab-MAX(K43,T.Nachtbis))+(K43&gt;K44)*(1+T.Nachtbis-T.Nachtab),9),0)))</f>
        <v>0</v>
      </c>
      <c r="L73" s="256" t="n">
        <f aca="false">IF(L$12=0,0,IF(OR(T.50_Vetsuisse,T.ServiceCenterIrchel),ROUND(L14-L13+MAX(0,T.Nachtab-MAX(T.Nachtbis,L14))-MAX(0,T.Nachtab-MAX(L13,T.Nachtbis))+(L13&gt;L14)*(1+T.Nachtbis-T.Nachtab)+L16-L15+MAX(0,T.Nachtab-MAX(T.Nachtbis,L16))-MAX(0,T.Nachtab-MAX(L15,T.Nachtbis))+(L15&gt;L16)*(1+T.Nachtbis-T.Nachtab)+L18-L17+MAX(0,T.Nachtab-MAX(T.Nachtbis,L18))-MAX(0,T.Nachtab-MAX(L17,T.Nachtbis))+(L17&gt;L18)*(1+T.Nachtbis-T.Nachtab)+L20-L19+MAX(0,T.Nachtab-MAX(T.Nachtbis,L20))-MAX(0,T.Nachtab-MAX(L19,T.Nachtbis))+(L19&gt;L20)*(1+T.Nachtbis-T.Nachtab)+L22-L21+MAX(0,T.Nachtab-MAX(T.Nachtbis,L22))-MAX(0,T.Nachtab-MAX(L21,T.Nachtbis))+(L21&gt;L22)*(1+T.Nachtbis-T.Nachtab),9), IF(AND(WEEKDAY(L$10,2)&lt;6,L$11&lt;&gt;0),ROUND(L36-L35+MAX(0,T.Nachtab-MAX(T.Nachtbis,L36))-MAX(0,T.Nachtab-MAX(L35,T.Nachtbis))+(L35&gt;L36)*(1+T.Nachtbis-T.Nachtab)+L38-L37+MAX(0,T.Nachtab-MAX(T.Nachtbis,L38))-MAX(0,T.Nachtab-MAX(L37,T.Nachtbis))+(L37&gt;L38)*(1+T.Nachtbis-T.Nachtab)+L40-L39+MAX(0,T.Nachtab-MAX(T.Nachtbis,L40))-MAX(0,T.Nachtab-MAX(L39,T.Nachtbis))+(L39&gt;L40)*(1+T.Nachtbis-T.Nachtab)+L42-L41+MAX(0,T.Nachtab-MAX(T.Nachtbis,L42))-MAX(0,T.Nachtab-MAX(L41,T.Nachtbis))+(L41&gt;L42)*(1+T.Nachtbis-T.Nachtab)+L44-L43+MAX(0,T.Nachtab-MAX(T.Nachtbis,L44))-MAX(0,T.Nachtab-MAX(L43,T.Nachtbis))+(L43&gt;L44)*(1+T.Nachtbis-T.Nachtab),9),0)))</f>
        <v>0</v>
      </c>
      <c r="M73" s="256" t="n">
        <f aca="false">IF(M$12=0,0,IF(OR(T.50_Vetsuisse,T.ServiceCenterIrchel),ROUND(M14-M13+MAX(0,T.Nachtab-MAX(T.Nachtbis,M14))-MAX(0,T.Nachtab-MAX(M13,T.Nachtbis))+(M13&gt;M14)*(1+T.Nachtbis-T.Nachtab)+M16-M15+MAX(0,T.Nachtab-MAX(T.Nachtbis,M16))-MAX(0,T.Nachtab-MAX(M15,T.Nachtbis))+(M15&gt;M16)*(1+T.Nachtbis-T.Nachtab)+M18-M17+MAX(0,T.Nachtab-MAX(T.Nachtbis,M18))-MAX(0,T.Nachtab-MAX(M17,T.Nachtbis))+(M17&gt;M18)*(1+T.Nachtbis-T.Nachtab)+M20-M19+MAX(0,T.Nachtab-MAX(T.Nachtbis,M20))-MAX(0,T.Nachtab-MAX(M19,T.Nachtbis))+(M19&gt;M20)*(1+T.Nachtbis-T.Nachtab)+M22-M21+MAX(0,T.Nachtab-MAX(T.Nachtbis,M22))-MAX(0,T.Nachtab-MAX(M21,T.Nachtbis))+(M21&gt;M22)*(1+T.Nachtbis-T.Nachtab),9), IF(AND(WEEKDAY(M$10,2)&lt;6,M$11&lt;&gt;0),ROUND(M36-M35+MAX(0,T.Nachtab-MAX(T.Nachtbis,M36))-MAX(0,T.Nachtab-MAX(M35,T.Nachtbis))+(M35&gt;M36)*(1+T.Nachtbis-T.Nachtab)+M38-M37+MAX(0,T.Nachtab-MAX(T.Nachtbis,M38))-MAX(0,T.Nachtab-MAX(M37,T.Nachtbis))+(M37&gt;M38)*(1+T.Nachtbis-T.Nachtab)+M40-M39+MAX(0,T.Nachtab-MAX(T.Nachtbis,M40))-MAX(0,T.Nachtab-MAX(M39,T.Nachtbis))+(M39&gt;M40)*(1+T.Nachtbis-T.Nachtab)+M42-M41+MAX(0,T.Nachtab-MAX(T.Nachtbis,M42))-MAX(0,T.Nachtab-MAX(M41,T.Nachtbis))+(M41&gt;M42)*(1+T.Nachtbis-T.Nachtab)+M44-M43+MAX(0,T.Nachtab-MAX(T.Nachtbis,M44))-MAX(0,T.Nachtab-MAX(M43,T.Nachtbis))+(M43&gt;M44)*(1+T.Nachtbis-T.Nachtab),9),0)))</f>
        <v>0</v>
      </c>
      <c r="N73" s="256" t="n">
        <f aca="false">IF(N$12=0,0,IF(OR(T.50_Vetsuisse,T.ServiceCenterIrchel),ROUND(N14-N13+MAX(0,T.Nachtab-MAX(T.Nachtbis,N14))-MAX(0,T.Nachtab-MAX(N13,T.Nachtbis))+(N13&gt;N14)*(1+T.Nachtbis-T.Nachtab)+N16-N15+MAX(0,T.Nachtab-MAX(T.Nachtbis,N16))-MAX(0,T.Nachtab-MAX(N15,T.Nachtbis))+(N15&gt;N16)*(1+T.Nachtbis-T.Nachtab)+N18-N17+MAX(0,T.Nachtab-MAX(T.Nachtbis,N18))-MAX(0,T.Nachtab-MAX(N17,T.Nachtbis))+(N17&gt;N18)*(1+T.Nachtbis-T.Nachtab)+N20-N19+MAX(0,T.Nachtab-MAX(T.Nachtbis,N20))-MAX(0,T.Nachtab-MAX(N19,T.Nachtbis))+(N19&gt;N20)*(1+T.Nachtbis-T.Nachtab)+N22-N21+MAX(0,T.Nachtab-MAX(T.Nachtbis,N22))-MAX(0,T.Nachtab-MAX(N21,T.Nachtbis))+(N21&gt;N22)*(1+T.Nachtbis-T.Nachtab),9), IF(AND(WEEKDAY(N$10,2)&lt;6,N$11&lt;&gt;0),ROUND(N36-N35+MAX(0,T.Nachtab-MAX(T.Nachtbis,N36))-MAX(0,T.Nachtab-MAX(N35,T.Nachtbis))+(N35&gt;N36)*(1+T.Nachtbis-T.Nachtab)+N38-N37+MAX(0,T.Nachtab-MAX(T.Nachtbis,N38))-MAX(0,T.Nachtab-MAX(N37,T.Nachtbis))+(N37&gt;N38)*(1+T.Nachtbis-T.Nachtab)+N40-N39+MAX(0,T.Nachtab-MAX(T.Nachtbis,N40))-MAX(0,T.Nachtab-MAX(N39,T.Nachtbis))+(N39&gt;N40)*(1+T.Nachtbis-T.Nachtab)+N42-N41+MAX(0,T.Nachtab-MAX(T.Nachtbis,N42))-MAX(0,T.Nachtab-MAX(N41,T.Nachtbis))+(N41&gt;N42)*(1+T.Nachtbis-T.Nachtab)+N44-N43+MAX(0,T.Nachtab-MAX(T.Nachtbis,N44))-MAX(0,T.Nachtab-MAX(N43,T.Nachtbis))+(N43&gt;N44)*(1+T.Nachtbis-T.Nachtab),9),0)))</f>
        <v>0</v>
      </c>
      <c r="O73" s="256" t="n">
        <f aca="false">IF(O$12=0,0,IF(OR(T.50_Vetsuisse,T.ServiceCenterIrchel),ROUND(O14-O13+MAX(0,T.Nachtab-MAX(T.Nachtbis,O14))-MAX(0,T.Nachtab-MAX(O13,T.Nachtbis))+(O13&gt;O14)*(1+T.Nachtbis-T.Nachtab)+O16-O15+MAX(0,T.Nachtab-MAX(T.Nachtbis,O16))-MAX(0,T.Nachtab-MAX(O15,T.Nachtbis))+(O15&gt;O16)*(1+T.Nachtbis-T.Nachtab)+O18-O17+MAX(0,T.Nachtab-MAX(T.Nachtbis,O18))-MAX(0,T.Nachtab-MAX(O17,T.Nachtbis))+(O17&gt;O18)*(1+T.Nachtbis-T.Nachtab)+O20-O19+MAX(0,T.Nachtab-MAX(T.Nachtbis,O20))-MAX(0,T.Nachtab-MAX(O19,T.Nachtbis))+(O19&gt;O20)*(1+T.Nachtbis-T.Nachtab)+O22-O21+MAX(0,T.Nachtab-MAX(T.Nachtbis,O22))-MAX(0,T.Nachtab-MAX(O21,T.Nachtbis))+(O21&gt;O22)*(1+T.Nachtbis-T.Nachtab),9), IF(AND(WEEKDAY(O$10,2)&lt;6,O$11&lt;&gt;0),ROUND(O36-O35+MAX(0,T.Nachtab-MAX(T.Nachtbis,O36))-MAX(0,T.Nachtab-MAX(O35,T.Nachtbis))+(O35&gt;O36)*(1+T.Nachtbis-T.Nachtab)+O38-O37+MAX(0,T.Nachtab-MAX(T.Nachtbis,O38))-MAX(0,T.Nachtab-MAX(O37,T.Nachtbis))+(O37&gt;O38)*(1+T.Nachtbis-T.Nachtab)+O40-O39+MAX(0,T.Nachtab-MAX(T.Nachtbis,O40))-MAX(0,T.Nachtab-MAX(O39,T.Nachtbis))+(O39&gt;O40)*(1+T.Nachtbis-T.Nachtab)+O42-O41+MAX(0,T.Nachtab-MAX(T.Nachtbis,O42))-MAX(0,T.Nachtab-MAX(O41,T.Nachtbis))+(O41&gt;O42)*(1+T.Nachtbis-T.Nachtab)+O44-O43+MAX(0,T.Nachtab-MAX(T.Nachtbis,O44))-MAX(0,T.Nachtab-MAX(O43,T.Nachtbis))+(O43&gt;O44)*(1+T.Nachtbis-T.Nachtab),9),0)))</f>
        <v>0</v>
      </c>
      <c r="P73" s="256" t="n">
        <f aca="false">IF(P$12=0,0,IF(OR(T.50_Vetsuisse,T.ServiceCenterIrchel),ROUND(P14-P13+MAX(0,T.Nachtab-MAX(T.Nachtbis,P14))-MAX(0,T.Nachtab-MAX(P13,T.Nachtbis))+(P13&gt;P14)*(1+T.Nachtbis-T.Nachtab)+P16-P15+MAX(0,T.Nachtab-MAX(T.Nachtbis,P16))-MAX(0,T.Nachtab-MAX(P15,T.Nachtbis))+(P15&gt;P16)*(1+T.Nachtbis-T.Nachtab)+P18-P17+MAX(0,T.Nachtab-MAX(T.Nachtbis,P18))-MAX(0,T.Nachtab-MAX(P17,T.Nachtbis))+(P17&gt;P18)*(1+T.Nachtbis-T.Nachtab)+P20-P19+MAX(0,T.Nachtab-MAX(T.Nachtbis,P20))-MAX(0,T.Nachtab-MAX(P19,T.Nachtbis))+(P19&gt;P20)*(1+T.Nachtbis-T.Nachtab)+P22-P21+MAX(0,T.Nachtab-MAX(T.Nachtbis,P22))-MAX(0,T.Nachtab-MAX(P21,T.Nachtbis))+(P21&gt;P22)*(1+T.Nachtbis-T.Nachtab),9), IF(AND(WEEKDAY(P$10,2)&lt;6,P$11&lt;&gt;0),ROUND(P36-P35+MAX(0,T.Nachtab-MAX(T.Nachtbis,P36))-MAX(0,T.Nachtab-MAX(P35,T.Nachtbis))+(P35&gt;P36)*(1+T.Nachtbis-T.Nachtab)+P38-P37+MAX(0,T.Nachtab-MAX(T.Nachtbis,P38))-MAX(0,T.Nachtab-MAX(P37,T.Nachtbis))+(P37&gt;P38)*(1+T.Nachtbis-T.Nachtab)+P40-P39+MAX(0,T.Nachtab-MAX(T.Nachtbis,P40))-MAX(0,T.Nachtab-MAX(P39,T.Nachtbis))+(P39&gt;P40)*(1+T.Nachtbis-T.Nachtab)+P42-P41+MAX(0,T.Nachtab-MAX(T.Nachtbis,P42))-MAX(0,T.Nachtab-MAX(P41,T.Nachtbis))+(P41&gt;P42)*(1+T.Nachtbis-T.Nachtab)+P44-P43+MAX(0,T.Nachtab-MAX(T.Nachtbis,P44))-MAX(0,T.Nachtab-MAX(P43,T.Nachtbis))+(P43&gt;P44)*(1+T.Nachtbis-T.Nachtab),9),0)))</f>
        <v>0</v>
      </c>
      <c r="Q73" s="256" t="n">
        <f aca="false">IF(Q$12=0,0,IF(OR(T.50_Vetsuisse,T.ServiceCenterIrchel),ROUND(Q14-Q13+MAX(0,T.Nachtab-MAX(T.Nachtbis,Q14))-MAX(0,T.Nachtab-MAX(Q13,T.Nachtbis))+(Q13&gt;Q14)*(1+T.Nachtbis-T.Nachtab)+Q16-Q15+MAX(0,T.Nachtab-MAX(T.Nachtbis,Q16))-MAX(0,T.Nachtab-MAX(Q15,T.Nachtbis))+(Q15&gt;Q16)*(1+T.Nachtbis-T.Nachtab)+Q18-Q17+MAX(0,T.Nachtab-MAX(T.Nachtbis,Q18))-MAX(0,T.Nachtab-MAX(Q17,T.Nachtbis))+(Q17&gt;Q18)*(1+T.Nachtbis-T.Nachtab)+Q20-Q19+MAX(0,T.Nachtab-MAX(T.Nachtbis,Q20))-MAX(0,T.Nachtab-MAX(Q19,T.Nachtbis))+(Q19&gt;Q20)*(1+T.Nachtbis-T.Nachtab)+Q22-Q21+MAX(0,T.Nachtab-MAX(T.Nachtbis,Q22))-MAX(0,T.Nachtab-MAX(Q21,T.Nachtbis))+(Q21&gt;Q22)*(1+T.Nachtbis-T.Nachtab),9), IF(AND(WEEKDAY(Q$10,2)&lt;6,Q$11&lt;&gt;0),ROUND(Q36-Q35+MAX(0,T.Nachtab-MAX(T.Nachtbis,Q36))-MAX(0,T.Nachtab-MAX(Q35,T.Nachtbis))+(Q35&gt;Q36)*(1+T.Nachtbis-T.Nachtab)+Q38-Q37+MAX(0,T.Nachtab-MAX(T.Nachtbis,Q38))-MAX(0,T.Nachtab-MAX(Q37,T.Nachtbis))+(Q37&gt;Q38)*(1+T.Nachtbis-T.Nachtab)+Q40-Q39+MAX(0,T.Nachtab-MAX(T.Nachtbis,Q40))-MAX(0,T.Nachtab-MAX(Q39,T.Nachtbis))+(Q39&gt;Q40)*(1+T.Nachtbis-T.Nachtab)+Q42-Q41+MAX(0,T.Nachtab-MAX(T.Nachtbis,Q42))-MAX(0,T.Nachtab-MAX(Q41,T.Nachtbis))+(Q41&gt;Q42)*(1+T.Nachtbis-T.Nachtab)+Q44-Q43+MAX(0,T.Nachtab-MAX(T.Nachtbis,Q44))-MAX(0,T.Nachtab-MAX(Q43,T.Nachtbis))+(Q43&gt;Q44)*(1+T.Nachtbis-T.Nachtab),9),0)))</f>
        <v>0</v>
      </c>
      <c r="R73" s="256" t="n">
        <f aca="false">IF(R$12=0,0,IF(OR(T.50_Vetsuisse,T.ServiceCenterIrchel),ROUND(R14-R13+MAX(0,T.Nachtab-MAX(T.Nachtbis,R14))-MAX(0,T.Nachtab-MAX(R13,T.Nachtbis))+(R13&gt;R14)*(1+T.Nachtbis-T.Nachtab)+R16-R15+MAX(0,T.Nachtab-MAX(T.Nachtbis,R16))-MAX(0,T.Nachtab-MAX(R15,T.Nachtbis))+(R15&gt;R16)*(1+T.Nachtbis-T.Nachtab)+R18-R17+MAX(0,T.Nachtab-MAX(T.Nachtbis,R18))-MAX(0,T.Nachtab-MAX(R17,T.Nachtbis))+(R17&gt;R18)*(1+T.Nachtbis-T.Nachtab)+R20-R19+MAX(0,T.Nachtab-MAX(T.Nachtbis,R20))-MAX(0,T.Nachtab-MAX(R19,T.Nachtbis))+(R19&gt;R20)*(1+T.Nachtbis-T.Nachtab)+R22-R21+MAX(0,T.Nachtab-MAX(T.Nachtbis,R22))-MAX(0,T.Nachtab-MAX(R21,T.Nachtbis))+(R21&gt;R22)*(1+T.Nachtbis-T.Nachtab),9), IF(AND(WEEKDAY(R$10,2)&lt;6,R$11&lt;&gt;0),ROUND(R36-R35+MAX(0,T.Nachtab-MAX(T.Nachtbis,R36))-MAX(0,T.Nachtab-MAX(R35,T.Nachtbis))+(R35&gt;R36)*(1+T.Nachtbis-T.Nachtab)+R38-R37+MAX(0,T.Nachtab-MAX(T.Nachtbis,R38))-MAX(0,T.Nachtab-MAX(R37,T.Nachtbis))+(R37&gt;R38)*(1+T.Nachtbis-T.Nachtab)+R40-R39+MAX(0,T.Nachtab-MAX(T.Nachtbis,R40))-MAX(0,T.Nachtab-MAX(R39,T.Nachtbis))+(R39&gt;R40)*(1+T.Nachtbis-T.Nachtab)+R42-R41+MAX(0,T.Nachtab-MAX(T.Nachtbis,R42))-MAX(0,T.Nachtab-MAX(R41,T.Nachtbis))+(R41&gt;R42)*(1+T.Nachtbis-T.Nachtab)+R44-R43+MAX(0,T.Nachtab-MAX(T.Nachtbis,R44))-MAX(0,T.Nachtab-MAX(R43,T.Nachtbis))+(R43&gt;R44)*(1+T.Nachtbis-T.Nachtab),9),0)))</f>
        <v>0</v>
      </c>
      <c r="S73" s="256" t="n">
        <f aca="false">IF(S$12=0,0,IF(OR(T.50_Vetsuisse,T.ServiceCenterIrchel),ROUND(S14-S13+MAX(0,T.Nachtab-MAX(T.Nachtbis,S14))-MAX(0,T.Nachtab-MAX(S13,T.Nachtbis))+(S13&gt;S14)*(1+T.Nachtbis-T.Nachtab)+S16-S15+MAX(0,T.Nachtab-MAX(T.Nachtbis,S16))-MAX(0,T.Nachtab-MAX(S15,T.Nachtbis))+(S15&gt;S16)*(1+T.Nachtbis-T.Nachtab)+S18-S17+MAX(0,T.Nachtab-MAX(T.Nachtbis,S18))-MAX(0,T.Nachtab-MAX(S17,T.Nachtbis))+(S17&gt;S18)*(1+T.Nachtbis-T.Nachtab)+S20-S19+MAX(0,T.Nachtab-MAX(T.Nachtbis,S20))-MAX(0,T.Nachtab-MAX(S19,T.Nachtbis))+(S19&gt;S20)*(1+T.Nachtbis-T.Nachtab)+S22-S21+MAX(0,T.Nachtab-MAX(T.Nachtbis,S22))-MAX(0,T.Nachtab-MAX(S21,T.Nachtbis))+(S21&gt;S22)*(1+T.Nachtbis-T.Nachtab),9), IF(AND(WEEKDAY(S$10,2)&lt;6,S$11&lt;&gt;0),ROUND(S36-S35+MAX(0,T.Nachtab-MAX(T.Nachtbis,S36))-MAX(0,T.Nachtab-MAX(S35,T.Nachtbis))+(S35&gt;S36)*(1+T.Nachtbis-T.Nachtab)+S38-S37+MAX(0,T.Nachtab-MAX(T.Nachtbis,S38))-MAX(0,T.Nachtab-MAX(S37,T.Nachtbis))+(S37&gt;S38)*(1+T.Nachtbis-T.Nachtab)+S40-S39+MAX(0,T.Nachtab-MAX(T.Nachtbis,S40))-MAX(0,T.Nachtab-MAX(S39,T.Nachtbis))+(S39&gt;S40)*(1+T.Nachtbis-T.Nachtab)+S42-S41+MAX(0,T.Nachtab-MAX(T.Nachtbis,S42))-MAX(0,T.Nachtab-MAX(S41,T.Nachtbis))+(S41&gt;S42)*(1+T.Nachtbis-T.Nachtab)+S44-S43+MAX(0,T.Nachtab-MAX(T.Nachtbis,S44))-MAX(0,T.Nachtab-MAX(S43,T.Nachtbis))+(S43&gt;S44)*(1+T.Nachtbis-T.Nachtab),9),0)))</f>
        <v>0</v>
      </c>
      <c r="T73" s="256" t="n">
        <f aca="false">IF(T$12=0,0,IF(OR(T.50_Vetsuisse,T.ServiceCenterIrchel),ROUND(T14-T13+MAX(0,T.Nachtab-MAX(T.Nachtbis,T14))-MAX(0,T.Nachtab-MAX(T13,T.Nachtbis))+(T13&gt;T14)*(1+T.Nachtbis-T.Nachtab)+T16-T15+MAX(0,T.Nachtab-MAX(T.Nachtbis,T16))-MAX(0,T.Nachtab-MAX(T15,T.Nachtbis))+(T15&gt;T16)*(1+T.Nachtbis-T.Nachtab)+T18-T17+MAX(0,T.Nachtab-MAX(T.Nachtbis,T18))-MAX(0,T.Nachtab-MAX(T17,T.Nachtbis))+(T17&gt;T18)*(1+T.Nachtbis-T.Nachtab)+T20-T19+MAX(0,T.Nachtab-MAX(T.Nachtbis,T20))-MAX(0,T.Nachtab-MAX(T19,T.Nachtbis))+(T19&gt;T20)*(1+T.Nachtbis-T.Nachtab)+T22-T21+MAX(0,T.Nachtab-MAX(T.Nachtbis,T22))-MAX(0,T.Nachtab-MAX(T21,T.Nachtbis))+(T21&gt;T22)*(1+T.Nachtbis-T.Nachtab),9), IF(AND(WEEKDAY(T$10,2)&lt;6,T$11&lt;&gt;0),ROUND(T36-T35+MAX(0,T.Nachtab-MAX(T.Nachtbis,T36))-MAX(0,T.Nachtab-MAX(T35,T.Nachtbis))+(T35&gt;T36)*(1+T.Nachtbis-T.Nachtab)+T38-T37+MAX(0,T.Nachtab-MAX(T.Nachtbis,T38))-MAX(0,T.Nachtab-MAX(T37,T.Nachtbis))+(T37&gt;T38)*(1+T.Nachtbis-T.Nachtab)+T40-T39+MAX(0,T.Nachtab-MAX(T.Nachtbis,T40))-MAX(0,T.Nachtab-MAX(T39,T.Nachtbis))+(T39&gt;T40)*(1+T.Nachtbis-T.Nachtab)+T42-T41+MAX(0,T.Nachtab-MAX(T.Nachtbis,T42))-MAX(0,T.Nachtab-MAX(T41,T.Nachtbis))+(T41&gt;T42)*(1+T.Nachtbis-T.Nachtab)+T44-T43+MAX(0,T.Nachtab-MAX(T.Nachtbis,T44))-MAX(0,T.Nachtab-MAX(T43,T.Nachtbis))+(T43&gt;T44)*(1+T.Nachtbis-T.Nachtab),9),0)))</f>
        <v>0</v>
      </c>
      <c r="U73" s="256" t="n">
        <f aca="false">IF(U$12=0,0,IF(OR(T.50_Vetsuisse,T.ServiceCenterIrchel),ROUND(U14-U13+MAX(0,T.Nachtab-MAX(T.Nachtbis,U14))-MAX(0,T.Nachtab-MAX(U13,T.Nachtbis))+(U13&gt;U14)*(1+T.Nachtbis-T.Nachtab)+U16-U15+MAX(0,T.Nachtab-MAX(T.Nachtbis,U16))-MAX(0,T.Nachtab-MAX(U15,T.Nachtbis))+(U15&gt;U16)*(1+T.Nachtbis-T.Nachtab)+U18-U17+MAX(0,T.Nachtab-MAX(T.Nachtbis,U18))-MAX(0,T.Nachtab-MAX(U17,T.Nachtbis))+(U17&gt;U18)*(1+T.Nachtbis-T.Nachtab)+U20-U19+MAX(0,T.Nachtab-MAX(T.Nachtbis,U20))-MAX(0,T.Nachtab-MAX(U19,T.Nachtbis))+(U19&gt;U20)*(1+T.Nachtbis-T.Nachtab)+U22-U21+MAX(0,T.Nachtab-MAX(T.Nachtbis,U22))-MAX(0,T.Nachtab-MAX(U21,T.Nachtbis))+(U21&gt;U22)*(1+T.Nachtbis-T.Nachtab),9), IF(AND(WEEKDAY(U$10,2)&lt;6,U$11&lt;&gt;0),ROUND(U36-U35+MAX(0,T.Nachtab-MAX(T.Nachtbis,U36))-MAX(0,T.Nachtab-MAX(U35,T.Nachtbis))+(U35&gt;U36)*(1+T.Nachtbis-T.Nachtab)+U38-U37+MAX(0,T.Nachtab-MAX(T.Nachtbis,U38))-MAX(0,T.Nachtab-MAX(U37,T.Nachtbis))+(U37&gt;U38)*(1+T.Nachtbis-T.Nachtab)+U40-U39+MAX(0,T.Nachtab-MAX(T.Nachtbis,U40))-MAX(0,T.Nachtab-MAX(U39,T.Nachtbis))+(U39&gt;U40)*(1+T.Nachtbis-T.Nachtab)+U42-U41+MAX(0,T.Nachtab-MAX(T.Nachtbis,U42))-MAX(0,T.Nachtab-MAX(U41,T.Nachtbis))+(U41&gt;U42)*(1+T.Nachtbis-T.Nachtab)+U44-U43+MAX(0,T.Nachtab-MAX(T.Nachtbis,U44))-MAX(0,T.Nachtab-MAX(U43,T.Nachtbis))+(U43&gt;U44)*(1+T.Nachtbis-T.Nachtab),9),0)))</f>
        <v>0</v>
      </c>
      <c r="V73" s="256" t="n">
        <f aca="false">IF(V$12=0,0,IF(OR(T.50_Vetsuisse,T.ServiceCenterIrchel),ROUND(V14-V13+MAX(0,T.Nachtab-MAX(T.Nachtbis,V14))-MAX(0,T.Nachtab-MAX(V13,T.Nachtbis))+(V13&gt;V14)*(1+T.Nachtbis-T.Nachtab)+V16-V15+MAX(0,T.Nachtab-MAX(T.Nachtbis,V16))-MAX(0,T.Nachtab-MAX(V15,T.Nachtbis))+(V15&gt;V16)*(1+T.Nachtbis-T.Nachtab)+V18-V17+MAX(0,T.Nachtab-MAX(T.Nachtbis,V18))-MAX(0,T.Nachtab-MAX(V17,T.Nachtbis))+(V17&gt;V18)*(1+T.Nachtbis-T.Nachtab)+V20-V19+MAX(0,T.Nachtab-MAX(T.Nachtbis,V20))-MAX(0,T.Nachtab-MAX(V19,T.Nachtbis))+(V19&gt;V20)*(1+T.Nachtbis-T.Nachtab)+V22-V21+MAX(0,T.Nachtab-MAX(T.Nachtbis,V22))-MAX(0,T.Nachtab-MAX(V21,T.Nachtbis))+(V21&gt;V22)*(1+T.Nachtbis-T.Nachtab),9), IF(AND(WEEKDAY(V$10,2)&lt;6,V$11&lt;&gt;0),ROUND(V36-V35+MAX(0,T.Nachtab-MAX(T.Nachtbis,V36))-MAX(0,T.Nachtab-MAX(V35,T.Nachtbis))+(V35&gt;V36)*(1+T.Nachtbis-T.Nachtab)+V38-V37+MAX(0,T.Nachtab-MAX(T.Nachtbis,V38))-MAX(0,T.Nachtab-MAX(V37,T.Nachtbis))+(V37&gt;V38)*(1+T.Nachtbis-T.Nachtab)+V40-V39+MAX(0,T.Nachtab-MAX(T.Nachtbis,V40))-MAX(0,T.Nachtab-MAX(V39,T.Nachtbis))+(V39&gt;V40)*(1+T.Nachtbis-T.Nachtab)+V42-V41+MAX(0,T.Nachtab-MAX(T.Nachtbis,V42))-MAX(0,T.Nachtab-MAX(V41,T.Nachtbis))+(V41&gt;V42)*(1+T.Nachtbis-T.Nachtab)+V44-V43+MAX(0,T.Nachtab-MAX(T.Nachtbis,V44))-MAX(0,T.Nachtab-MAX(V43,T.Nachtbis))+(V43&gt;V44)*(1+T.Nachtbis-T.Nachtab),9),0)))</f>
        <v>0</v>
      </c>
      <c r="W73" s="256" t="n">
        <f aca="false">IF(W$12=0,0,IF(OR(T.50_Vetsuisse,T.ServiceCenterIrchel),ROUND(W14-W13+MAX(0,T.Nachtab-MAX(T.Nachtbis,W14))-MAX(0,T.Nachtab-MAX(W13,T.Nachtbis))+(W13&gt;W14)*(1+T.Nachtbis-T.Nachtab)+W16-W15+MAX(0,T.Nachtab-MAX(T.Nachtbis,W16))-MAX(0,T.Nachtab-MAX(W15,T.Nachtbis))+(W15&gt;W16)*(1+T.Nachtbis-T.Nachtab)+W18-W17+MAX(0,T.Nachtab-MAX(T.Nachtbis,W18))-MAX(0,T.Nachtab-MAX(W17,T.Nachtbis))+(W17&gt;W18)*(1+T.Nachtbis-T.Nachtab)+W20-W19+MAX(0,T.Nachtab-MAX(T.Nachtbis,W20))-MAX(0,T.Nachtab-MAX(W19,T.Nachtbis))+(W19&gt;W20)*(1+T.Nachtbis-T.Nachtab)+W22-W21+MAX(0,T.Nachtab-MAX(T.Nachtbis,W22))-MAX(0,T.Nachtab-MAX(W21,T.Nachtbis))+(W21&gt;W22)*(1+T.Nachtbis-T.Nachtab),9), IF(AND(WEEKDAY(W$10,2)&lt;6,W$11&lt;&gt;0),ROUND(W36-W35+MAX(0,T.Nachtab-MAX(T.Nachtbis,W36))-MAX(0,T.Nachtab-MAX(W35,T.Nachtbis))+(W35&gt;W36)*(1+T.Nachtbis-T.Nachtab)+W38-W37+MAX(0,T.Nachtab-MAX(T.Nachtbis,W38))-MAX(0,T.Nachtab-MAX(W37,T.Nachtbis))+(W37&gt;W38)*(1+T.Nachtbis-T.Nachtab)+W40-W39+MAX(0,T.Nachtab-MAX(T.Nachtbis,W40))-MAX(0,T.Nachtab-MAX(W39,T.Nachtbis))+(W39&gt;W40)*(1+T.Nachtbis-T.Nachtab)+W42-W41+MAX(0,T.Nachtab-MAX(T.Nachtbis,W42))-MAX(0,T.Nachtab-MAX(W41,T.Nachtbis))+(W41&gt;W42)*(1+T.Nachtbis-T.Nachtab)+W44-W43+MAX(0,T.Nachtab-MAX(T.Nachtbis,W44))-MAX(0,T.Nachtab-MAX(W43,T.Nachtbis))+(W43&gt;W44)*(1+T.Nachtbis-T.Nachtab),9),0)))</f>
        <v>0</v>
      </c>
      <c r="X73" s="256" t="n">
        <f aca="false">IF(X$12=0,0,IF(OR(T.50_Vetsuisse,T.ServiceCenterIrchel),ROUND(X14-X13+MAX(0,T.Nachtab-MAX(T.Nachtbis,X14))-MAX(0,T.Nachtab-MAX(X13,T.Nachtbis))+(X13&gt;X14)*(1+T.Nachtbis-T.Nachtab)+X16-X15+MAX(0,T.Nachtab-MAX(T.Nachtbis,X16))-MAX(0,T.Nachtab-MAX(X15,T.Nachtbis))+(X15&gt;X16)*(1+T.Nachtbis-T.Nachtab)+X18-X17+MAX(0,T.Nachtab-MAX(T.Nachtbis,X18))-MAX(0,T.Nachtab-MAX(X17,T.Nachtbis))+(X17&gt;X18)*(1+T.Nachtbis-T.Nachtab)+X20-X19+MAX(0,T.Nachtab-MAX(T.Nachtbis,X20))-MAX(0,T.Nachtab-MAX(X19,T.Nachtbis))+(X19&gt;X20)*(1+T.Nachtbis-T.Nachtab)+X22-X21+MAX(0,T.Nachtab-MAX(T.Nachtbis,X22))-MAX(0,T.Nachtab-MAX(X21,T.Nachtbis))+(X21&gt;X22)*(1+T.Nachtbis-T.Nachtab),9), IF(AND(WEEKDAY(X$10,2)&lt;6,X$11&lt;&gt;0),ROUND(X36-X35+MAX(0,T.Nachtab-MAX(T.Nachtbis,X36))-MAX(0,T.Nachtab-MAX(X35,T.Nachtbis))+(X35&gt;X36)*(1+T.Nachtbis-T.Nachtab)+X38-X37+MAX(0,T.Nachtab-MAX(T.Nachtbis,X38))-MAX(0,T.Nachtab-MAX(X37,T.Nachtbis))+(X37&gt;X38)*(1+T.Nachtbis-T.Nachtab)+X40-X39+MAX(0,T.Nachtab-MAX(T.Nachtbis,X40))-MAX(0,T.Nachtab-MAX(X39,T.Nachtbis))+(X39&gt;X40)*(1+T.Nachtbis-T.Nachtab)+X42-X41+MAX(0,T.Nachtab-MAX(T.Nachtbis,X42))-MAX(0,T.Nachtab-MAX(X41,T.Nachtbis))+(X41&gt;X42)*(1+T.Nachtbis-T.Nachtab)+X44-X43+MAX(0,T.Nachtab-MAX(T.Nachtbis,X44))-MAX(0,T.Nachtab-MAX(X43,T.Nachtbis))+(X43&gt;X44)*(1+T.Nachtbis-T.Nachtab),9),0)))</f>
        <v>0</v>
      </c>
      <c r="Y73" s="256" t="n">
        <f aca="false">IF(Y$12=0,0,IF(OR(T.50_Vetsuisse,T.ServiceCenterIrchel),ROUND(Y14-Y13+MAX(0,T.Nachtab-MAX(T.Nachtbis,Y14))-MAX(0,T.Nachtab-MAX(Y13,T.Nachtbis))+(Y13&gt;Y14)*(1+T.Nachtbis-T.Nachtab)+Y16-Y15+MAX(0,T.Nachtab-MAX(T.Nachtbis,Y16))-MAX(0,T.Nachtab-MAX(Y15,T.Nachtbis))+(Y15&gt;Y16)*(1+T.Nachtbis-T.Nachtab)+Y18-Y17+MAX(0,T.Nachtab-MAX(T.Nachtbis,Y18))-MAX(0,T.Nachtab-MAX(Y17,T.Nachtbis))+(Y17&gt;Y18)*(1+T.Nachtbis-T.Nachtab)+Y20-Y19+MAX(0,T.Nachtab-MAX(T.Nachtbis,Y20))-MAX(0,T.Nachtab-MAX(Y19,T.Nachtbis))+(Y19&gt;Y20)*(1+T.Nachtbis-T.Nachtab)+Y22-Y21+MAX(0,T.Nachtab-MAX(T.Nachtbis,Y22))-MAX(0,T.Nachtab-MAX(Y21,T.Nachtbis))+(Y21&gt;Y22)*(1+T.Nachtbis-T.Nachtab),9), IF(AND(WEEKDAY(Y$10,2)&lt;6,Y$11&lt;&gt;0),ROUND(Y36-Y35+MAX(0,T.Nachtab-MAX(T.Nachtbis,Y36))-MAX(0,T.Nachtab-MAX(Y35,T.Nachtbis))+(Y35&gt;Y36)*(1+T.Nachtbis-T.Nachtab)+Y38-Y37+MAX(0,T.Nachtab-MAX(T.Nachtbis,Y38))-MAX(0,T.Nachtab-MAX(Y37,T.Nachtbis))+(Y37&gt;Y38)*(1+T.Nachtbis-T.Nachtab)+Y40-Y39+MAX(0,T.Nachtab-MAX(T.Nachtbis,Y40))-MAX(0,T.Nachtab-MAX(Y39,T.Nachtbis))+(Y39&gt;Y40)*(1+T.Nachtbis-T.Nachtab)+Y42-Y41+MAX(0,T.Nachtab-MAX(T.Nachtbis,Y42))-MAX(0,T.Nachtab-MAX(Y41,T.Nachtbis))+(Y41&gt;Y42)*(1+T.Nachtbis-T.Nachtab)+Y44-Y43+MAX(0,T.Nachtab-MAX(T.Nachtbis,Y44))-MAX(0,T.Nachtab-MAX(Y43,T.Nachtbis))+(Y43&gt;Y44)*(1+T.Nachtbis-T.Nachtab),9),0)))</f>
        <v>0</v>
      </c>
      <c r="Z73" s="256" t="n">
        <f aca="false">IF(Z$12=0,0,IF(OR(T.50_Vetsuisse,T.ServiceCenterIrchel),ROUND(Z14-Z13+MAX(0,T.Nachtab-MAX(T.Nachtbis,Z14))-MAX(0,T.Nachtab-MAX(Z13,T.Nachtbis))+(Z13&gt;Z14)*(1+T.Nachtbis-T.Nachtab)+Z16-Z15+MAX(0,T.Nachtab-MAX(T.Nachtbis,Z16))-MAX(0,T.Nachtab-MAX(Z15,T.Nachtbis))+(Z15&gt;Z16)*(1+T.Nachtbis-T.Nachtab)+Z18-Z17+MAX(0,T.Nachtab-MAX(T.Nachtbis,Z18))-MAX(0,T.Nachtab-MAX(Z17,T.Nachtbis))+(Z17&gt;Z18)*(1+T.Nachtbis-T.Nachtab)+Z20-Z19+MAX(0,T.Nachtab-MAX(T.Nachtbis,Z20))-MAX(0,T.Nachtab-MAX(Z19,T.Nachtbis))+(Z19&gt;Z20)*(1+T.Nachtbis-T.Nachtab)+Z22-Z21+MAX(0,T.Nachtab-MAX(T.Nachtbis,Z22))-MAX(0,T.Nachtab-MAX(Z21,T.Nachtbis))+(Z21&gt;Z22)*(1+T.Nachtbis-T.Nachtab),9), IF(AND(WEEKDAY(Z$10,2)&lt;6,Z$11&lt;&gt;0),ROUND(Z36-Z35+MAX(0,T.Nachtab-MAX(T.Nachtbis,Z36))-MAX(0,T.Nachtab-MAX(Z35,T.Nachtbis))+(Z35&gt;Z36)*(1+T.Nachtbis-T.Nachtab)+Z38-Z37+MAX(0,T.Nachtab-MAX(T.Nachtbis,Z38))-MAX(0,T.Nachtab-MAX(Z37,T.Nachtbis))+(Z37&gt;Z38)*(1+T.Nachtbis-T.Nachtab)+Z40-Z39+MAX(0,T.Nachtab-MAX(T.Nachtbis,Z40))-MAX(0,T.Nachtab-MAX(Z39,T.Nachtbis))+(Z39&gt;Z40)*(1+T.Nachtbis-T.Nachtab)+Z42-Z41+MAX(0,T.Nachtab-MAX(T.Nachtbis,Z42))-MAX(0,T.Nachtab-MAX(Z41,T.Nachtbis))+(Z41&gt;Z42)*(1+T.Nachtbis-T.Nachtab)+Z44-Z43+MAX(0,T.Nachtab-MAX(T.Nachtbis,Z44))-MAX(0,T.Nachtab-MAX(Z43,T.Nachtbis))+(Z43&gt;Z44)*(1+T.Nachtbis-T.Nachtab),9),0)))</f>
        <v>0</v>
      </c>
      <c r="AA73" s="256" t="n">
        <f aca="false">IF(AA$12=0,0,IF(OR(T.50_Vetsuisse,T.ServiceCenterIrchel),ROUND(AA14-AA13+MAX(0,T.Nachtab-MAX(T.Nachtbis,AA14))-MAX(0,T.Nachtab-MAX(AA13,T.Nachtbis))+(AA13&gt;AA14)*(1+T.Nachtbis-T.Nachtab)+AA16-AA15+MAX(0,T.Nachtab-MAX(T.Nachtbis,AA16))-MAX(0,T.Nachtab-MAX(AA15,T.Nachtbis))+(AA15&gt;AA16)*(1+T.Nachtbis-T.Nachtab)+AA18-AA17+MAX(0,T.Nachtab-MAX(T.Nachtbis,AA18))-MAX(0,T.Nachtab-MAX(AA17,T.Nachtbis))+(AA17&gt;AA18)*(1+T.Nachtbis-T.Nachtab)+AA20-AA19+MAX(0,T.Nachtab-MAX(T.Nachtbis,AA20))-MAX(0,T.Nachtab-MAX(AA19,T.Nachtbis))+(AA19&gt;AA20)*(1+T.Nachtbis-T.Nachtab)+AA22-AA21+MAX(0,T.Nachtab-MAX(T.Nachtbis,AA22))-MAX(0,T.Nachtab-MAX(AA21,T.Nachtbis))+(AA21&gt;AA22)*(1+T.Nachtbis-T.Nachtab),9), IF(AND(WEEKDAY(AA$10,2)&lt;6,AA$11&lt;&gt;0),ROUND(AA36-AA35+MAX(0,T.Nachtab-MAX(T.Nachtbis,AA36))-MAX(0,T.Nachtab-MAX(AA35,T.Nachtbis))+(AA35&gt;AA36)*(1+T.Nachtbis-T.Nachtab)+AA38-AA37+MAX(0,T.Nachtab-MAX(T.Nachtbis,AA38))-MAX(0,T.Nachtab-MAX(AA37,T.Nachtbis))+(AA37&gt;AA38)*(1+T.Nachtbis-T.Nachtab)+AA40-AA39+MAX(0,T.Nachtab-MAX(T.Nachtbis,AA40))-MAX(0,T.Nachtab-MAX(AA39,T.Nachtbis))+(AA39&gt;AA40)*(1+T.Nachtbis-T.Nachtab)+AA42-AA41+MAX(0,T.Nachtab-MAX(T.Nachtbis,AA42))-MAX(0,T.Nachtab-MAX(AA41,T.Nachtbis))+(AA41&gt;AA42)*(1+T.Nachtbis-T.Nachtab)+AA44-AA43+MAX(0,T.Nachtab-MAX(T.Nachtbis,AA44))-MAX(0,T.Nachtab-MAX(AA43,T.Nachtbis))+(AA43&gt;AA44)*(1+T.Nachtbis-T.Nachtab),9),0)))</f>
        <v>0</v>
      </c>
      <c r="AB73" s="256" t="n">
        <f aca="false">IF(AB$12=0,0,IF(OR(T.50_Vetsuisse,T.ServiceCenterIrchel),ROUND(AB14-AB13+MAX(0,T.Nachtab-MAX(T.Nachtbis,AB14))-MAX(0,T.Nachtab-MAX(AB13,T.Nachtbis))+(AB13&gt;AB14)*(1+T.Nachtbis-T.Nachtab)+AB16-AB15+MAX(0,T.Nachtab-MAX(T.Nachtbis,AB16))-MAX(0,T.Nachtab-MAX(AB15,T.Nachtbis))+(AB15&gt;AB16)*(1+T.Nachtbis-T.Nachtab)+AB18-AB17+MAX(0,T.Nachtab-MAX(T.Nachtbis,AB18))-MAX(0,T.Nachtab-MAX(AB17,T.Nachtbis))+(AB17&gt;AB18)*(1+T.Nachtbis-T.Nachtab)+AB20-AB19+MAX(0,T.Nachtab-MAX(T.Nachtbis,AB20))-MAX(0,T.Nachtab-MAX(AB19,T.Nachtbis))+(AB19&gt;AB20)*(1+T.Nachtbis-T.Nachtab)+AB22-AB21+MAX(0,T.Nachtab-MAX(T.Nachtbis,AB22))-MAX(0,T.Nachtab-MAX(AB21,T.Nachtbis))+(AB21&gt;AB22)*(1+T.Nachtbis-T.Nachtab),9), IF(AND(WEEKDAY(AB$10,2)&lt;6,AB$11&lt;&gt;0),ROUND(AB36-AB35+MAX(0,T.Nachtab-MAX(T.Nachtbis,AB36))-MAX(0,T.Nachtab-MAX(AB35,T.Nachtbis))+(AB35&gt;AB36)*(1+T.Nachtbis-T.Nachtab)+AB38-AB37+MAX(0,T.Nachtab-MAX(T.Nachtbis,AB38))-MAX(0,T.Nachtab-MAX(AB37,T.Nachtbis))+(AB37&gt;AB38)*(1+T.Nachtbis-T.Nachtab)+AB40-AB39+MAX(0,T.Nachtab-MAX(T.Nachtbis,AB40))-MAX(0,T.Nachtab-MAX(AB39,T.Nachtbis))+(AB39&gt;AB40)*(1+T.Nachtbis-T.Nachtab)+AB42-AB41+MAX(0,T.Nachtab-MAX(T.Nachtbis,AB42))-MAX(0,T.Nachtab-MAX(AB41,T.Nachtbis))+(AB41&gt;AB42)*(1+T.Nachtbis-T.Nachtab)+AB44-AB43+MAX(0,T.Nachtab-MAX(T.Nachtbis,AB44))-MAX(0,T.Nachtab-MAX(AB43,T.Nachtbis))+(AB43&gt;AB44)*(1+T.Nachtbis-T.Nachtab),9),0)))</f>
        <v>0</v>
      </c>
      <c r="AC73" s="256" t="n">
        <f aca="false">IF(AC$12=0,0,IF(OR(T.50_Vetsuisse,T.ServiceCenterIrchel),ROUND(AC14-AC13+MAX(0,T.Nachtab-MAX(T.Nachtbis,AC14))-MAX(0,T.Nachtab-MAX(AC13,T.Nachtbis))+(AC13&gt;AC14)*(1+T.Nachtbis-T.Nachtab)+AC16-AC15+MAX(0,T.Nachtab-MAX(T.Nachtbis,AC16))-MAX(0,T.Nachtab-MAX(AC15,T.Nachtbis))+(AC15&gt;AC16)*(1+T.Nachtbis-T.Nachtab)+AC18-AC17+MAX(0,T.Nachtab-MAX(T.Nachtbis,AC18))-MAX(0,T.Nachtab-MAX(AC17,T.Nachtbis))+(AC17&gt;AC18)*(1+T.Nachtbis-T.Nachtab)+AC20-AC19+MAX(0,T.Nachtab-MAX(T.Nachtbis,AC20))-MAX(0,T.Nachtab-MAX(AC19,T.Nachtbis))+(AC19&gt;AC20)*(1+T.Nachtbis-T.Nachtab)+AC22-AC21+MAX(0,T.Nachtab-MAX(T.Nachtbis,AC22))-MAX(0,T.Nachtab-MAX(AC21,T.Nachtbis))+(AC21&gt;AC22)*(1+T.Nachtbis-T.Nachtab),9), IF(AND(WEEKDAY(AC$10,2)&lt;6,AC$11&lt;&gt;0),ROUND(AC36-AC35+MAX(0,T.Nachtab-MAX(T.Nachtbis,AC36))-MAX(0,T.Nachtab-MAX(AC35,T.Nachtbis))+(AC35&gt;AC36)*(1+T.Nachtbis-T.Nachtab)+AC38-AC37+MAX(0,T.Nachtab-MAX(T.Nachtbis,AC38))-MAX(0,T.Nachtab-MAX(AC37,T.Nachtbis))+(AC37&gt;AC38)*(1+T.Nachtbis-T.Nachtab)+AC40-AC39+MAX(0,T.Nachtab-MAX(T.Nachtbis,AC40))-MAX(0,T.Nachtab-MAX(AC39,T.Nachtbis))+(AC39&gt;AC40)*(1+T.Nachtbis-T.Nachtab)+AC42-AC41+MAX(0,T.Nachtab-MAX(T.Nachtbis,AC42))-MAX(0,T.Nachtab-MAX(AC41,T.Nachtbis))+(AC41&gt;AC42)*(1+T.Nachtbis-T.Nachtab)+AC44-AC43+MAX(0,T.Nachtab-MAX(T.Nachtbis,AC44))-MAX(0,T.Nachtab-MAX(AC43,T.Nachtbis))+(AC43&gt;AC44)*(1+T.Nachtbis-T.Nachtab),9),0)))</f>
        <v>0</v>
      </c>
      <c r="AD73" s="256" t="n">
        <f aca="false">IF(AD$12=0,0,IF(OR(T.50_Vetsuisse,T.ServiceCenterIrchel),ROUND(AD14-AD13+MAX(0,T.Nachtab-MAX(T.Nachtbis,AD14))-MAX(0,T.Nachtab-MAX(AD13,T.Nachtbis))+(AD13&gt;AD14)*(1+T.Nachtbis-T.Nachtab)+AD16-AD15+MAX(0,T.Nachtab-MAX(T.Nachtbis,AD16))-MAX(0,T.Nachtab-MAX(AD15,T.Nachtbis))+(AD15&gt;AD16)*(1+T.Nachtbis-T.Nachtab)+AD18-AD17+MAX(0,T.Nachtab-MAX(T.Nachtbis,AD18))-MAX(0,T.Nachtab-MAX(AD17,T.Nachtbis))+(AD17&gt;AD18)*(1+T.Nachtbis-T.Nachtab)+AD20-AD19+MAX(0,T.Nachtab-MAX(T.Nachtbis,AD20))-MAX(0,T.Nachtab-MAX(AD19,T.Nachtbis))+(AD19&gt;AD20)*(1+T.Nachtbis-T.Nachtab)+AD22-AD21+MAX(0,T.Nachtab-MAX(T.Nachtbis,AD22))-MAX(0,T.Nachtab-MAX(AD21,T.Nachtbis))+(AD21&gt;AD22)*(1+T.Nachtbis-T.Nachtab),9), IF(AND(WEEKDAY(AD$10,2)&lt;6,AD$11&lt;&gt;0),ROUND(AD36-AD35+MAX(0,T.Nachtab-MAX(T.Nachtbis,AD36))-MAX(0,T.Nachtab-MAX(AD35,T.Nachtbis))+(AD35&gt;AD36)*(1+T.Nachtbis-T.Nachtab)+AD38-AD37+MAX(0,T.Nachtab-MAX(T.Nachtbis,AD38))-MAX(0,T.Nachtab-MAX(AD37,T.Nachtbis))+(AD37&gt;AD38)*(1+T.Nachtbis-T.Nachtab)+AD40-AD39+MAX(0,T.Nachtab-MAX(T.Nachtbis,AD40))-MAX(0,T.Nachtab-MAX(AD39,T.Nachtbis))+(AD39&gt;AD40)*(1+T.Nachtbis-T.Nachtab)+AD42-AD41+MAX(0,T.Nachtab-MAX(T.Nachtbis,AD42))-MAX(0,T.Nachtab-MAX(AD41,T.Nachtbis))+(AD41&gt;AD42)*(1+T.Nachtbis-T.Nachtab)+AD44-AD43+MAX(0,T.Nachtab-MAX(T.Nachtbis,AD44))-MAX(0,T.Nachtab-MAX(AD43,T.Nachtbis))+(AD43&gt;AD44)*(1+T.Nachtbis-T.Nachtab),9),0)))</f>
        <v>0</v>
      </c>
      <c r="AE73" s="256" t="n">
        <f aca="false">IF(AE$12=0,0,IF(OR(T.50_Vetsuisse,T.ServiceCenterIrchel),ROUND(AE14-AE13+MAX(0,T.Nachtab-MAX(T.Nachtbis,AE14))-MAX(0,T.Nachtab-MAX(AE13,T.Nachtbis))+(AE13&gt;AE14)*(1+T.Nachtbis-T.Nachtab)+AE16-AE15+MAX(0,T.Nachtab-MAX(T.Nachtbis,AE16))-MAX(0,T.Nachtab-MAX(AE15,T.Nachtbis))+(AE15&gt;AE16)*(1+T.Nachtbis-T.Nachtab)+AE18-AE17+MAX(0,T.Nachtab-MAX(T.Nachtbis,AE18))-MAX(0,T.Nachtab-MAX(AE17,T.Nachtbis))+(AE17&gt;AE18)*(1+T.Nachtbis-T.Nachtab)+AE20-AE19+MAX(0,T.Nachtab-MAX(T.Nachtbis,AE20))-MAX(0,T.Nachtab-MAX(AE19,T.Nachtbis))+(AE19&gt;AE20)*(1+T.Nachtbis-T.Nachtab)+AE22-AE21+MAX(0,T.Nachtab-MAX(T.Nachtbis,AE22))-MAX(0,T.Nachtab-MAX(AE21,T.Nachtbis))+(AE21&gt;AE22)*(1+T.Nachtbis-T.Nachtab),9), IF(AND(WEEKDAY(AE$10,2)&lt;6,AE$11&lt;&gt;0),ROUND(AE36-AE35+MAX(0,T.Nachtab-MAX(T.Nachtbis,AE36))-MAX(0,T.Nachtab-MAX(AE35,T.Nachtbis))+(AE35&gt;AE36)*(1+T.Nachtbis-T.Nachtab)+AE38-AE37+MAX(0,T.Nachtab-MAX(T.Nachtbis,AE38))-MAX(0,T.Nachtab-MAX(AE37,T.Nachtbis))+(AE37&gt;AE38)*(1+T.Nachtbis-T.Nachtab)+AE40-AE39+MAX(0,T.Nachtab-MAX(T.Nachtbis,AE40))-MAX(0,T.Nachtab-MAX(AE39,T.Nachtbis))+(AE39&gt;AE40)*(1+T.Nachtbis-T.Nachtab)+AE42-AE41+MAX(0,T.Nachtab-MAX(T.Nachtbis,AE42))-MAX(0,T.Nachtab-MAX(AE41,T.Nachtbis))+(AE41&gt;AE42)*(1+T.Nachtbis-T.Nachtab)+AE44-AE43+MAX(0,T.Nachtab-MAX(T.Nachtbis,AE44))-MAX(0,T.Nachtab-MAX(AE43,T.Nachtbis))+(AE43&gt;AE44)*(1+T.Nachtbis-T.Nachtab),9),0)))</f>
        <v>0</v>
      </c>
      <c r="AF73" s="168" t="str">
        <f aca="false">A73</f>
        <v>Night shift</v>
      </c>
      <c r="AG73" s="197"/>
      <c r="AH73" s="207" t="n">
        <f aca="false">SUM(B73:AE73)</f>
        <v>0</v>
      </c>
      <c r="AI73" s="198" t="n">
        <f aca="false">IF(OR(T.50_Vetsuisse,T.ServiceCenterIrchel),AH69, IFERROR(SUMPRODUCT((B77:AE77&gt;0)*(B77:AE77&lt;&gt;"")),0))</f>
        <v>0</v>
      </c>
      <c r="AJ73" s="192"/>
      <c r="AK73" s="216" t="n">
        <f aca="false">IF(EB.Anwendung&lt;&gt;"",IF(MONTH(Monat.Tag1)=1,0,IF(MONTH(Monat.Tag1)=2,January!Monat.NDUeVM,IF(MONTH(Monat.Tag1)=3,February!Monat.NDUeVM,IF(MONTH(Monat.Tag1)=4,March!Monat.NDUeVM,IF(MONTH(Monat.Tag1)=5,April!Monat.NDUeVM,IF(MONTH(Monat.Tag1)=6,May!Monat.NDUeVM,IF(MONTH(Monat.Tag1)=7,Monat.NDUeVM,IF(MONTH(Monat.Tag1)=8,July!Monat.NDUeVM,IF(MONTH(Monat.Tag1)=9,August!Monat.NDUeVM,IF(MONTH(Monat.Tag1)=10,September!Monat.NDUeVM,IF(MONTH(Monat.Tag1)=11,October!Monat.NDUeVM,IF(MONTH(Monat.Tag1)=12,November!Monat.NDUeVM,"")))))))))))),"")</f>
        <v>0</v>
      </c>
      <c r="AL73" s="172"/>
      <c r="AM73" s="217" t="n">
        <f aca="false">AH73+AK73</f>
        <v>0</v>
      </c>
      <c r="AN73" s="171"/>
      <c r="AO73" s="171"/>
      <c r="AP73" s="39"/>
    </row>
    <row r="74" s="148" customFormat="true" ht="3.75" hidden="true" customHeight="true" outlineLevel="0" collapsed="false">
      <c r="A74" s="186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168"/>
      <c r="AG74" s="146"/>
      <c r="AH74" s="179"/>
      <c r="AI74" s="180"/>
      <c r="AJ74" s="172"/>
      <c r="AK74" s="172"/>
      <c r="AL74" s="172"/>
      <c r="AM74" s="171"/>
      <c r="AN74" s="172"/>
      <c r="AO74" s="172"/>
      <c r="AP74" s="39"/>
    </row>
    <row r="75" s="148" customFormat="true" ht="16.5" hidden="true" customHeight="true" outlineLevel="1" collapsed="false">
      <c r="A75" s="181" t="s">
        <v>160</v>
      </c>
      <c r="B75" s="182" t="n">
        <f aca="false">IF(B73&gt;0,ROUND(B73- IF(B13&lt;T.Nachtbis,MIN(T.Nachtbis-B13,B14-B13)+IF(B15&lt;T.Nachtbis,MIN(T.Nachtbis-B15,B16-B15)+IF(B17&lt;T.Nachtbis,MIN(T.Nachtbis-B17,B18-B17)+IF(B19&lt;T.Nachtbis,MIN(T.Nachtbis-B19,B20-B19)+IF(B21&lt;T.Nachtbis,MIN(T.Nachtbis-B21,B22-B21),0),0),0),0),0),9),0)</f>
        <v>0</v>
      </c>
      <c r="C75" s="182" t="n">
        <f aca="false">IF(C73&gt;0,ROUND(C73- IF(C13&lt;T.Nachtbis,MIN(T.Nachtbis-C13,C14-C13)+IF(C15&lt;T.Nachtbis,MIN(T.Nachtbis-C15,C16-C15)+IF(C17&lt;T.Nachtbis,MIN(T.Nachtbis-C17,C18-C17)+IF(C19&lt;T.Nachtbis,MIN(T.Nachtbis-C19,C20-C19)+IF(C21&lt;T.Nachtbis,MIN(T.Nachtbis-C21,C22-C21),0),0),0),0),0),9),0)</f>
        <v>0</v>
      </c>
      <c r="D75" s="182" t="n">
        <f aca="false">IF(D73&gt;0,ROUND(D73- IF(D13&lt;T.Nachtbis,MIN(T.Nachtbis-D13,D14-D13)+IF(D15&lt;T.Nachtbis,MIN(T.Nachtbis-D15,D16-D15)+IF(D17&lt;T.Nachtbis,MIN(T.Nachtbis-D17,D18-D17)+IF(D19&lt;T.Nachtbis,MIN(T.Nachtbis-D19,D20-D19)+IF(D21&lt;T.Nachtbis,MIN(T.Nachtbis-D21,D22-D21),0),0),0),0),0),9),0)</f>
        <v>0</v>
      </c>
      <c r="E75" s="182" t="n">
        <f aca="false">IF(E73&gt;0,ROUND(E73- IF(E13&lt;T.Nachtbis,MIN(T.Nachtbis-E13,E14-E13)+IF(E15&lt;T.Nachtbis,MIN(T.Nachtbis-E15,E16-E15)+IF(E17&lt;T.Nachtbis,MIN(T.Nachtbis-E17,E18-E17)+IF(E19&lt;T.Nachtbis,MIN(T.Nachtbis-E19,E20-E19)+IF(E21&lt;T.Nachtbis,MIN(T.Nachtbis-E21,E22-E21),0),0),0),0),0),9),0)</f>
        <v>0</v>
      </c>
      <c r="F75" s="182" t="n">
        <f aca="false">IF(F73&gt;0,ROUND(F73- IF(F13&lt;T.Nachtbis,MIN(T.Nachtbis-F13,F14-F13)+IF(F15&lt;T.Nachtbis,MIN(T.Nachtbis-F15,F16-F15)+IF(F17&lt;T.Nachtbis,MIN(T.Nachtbis-F17,F18-F17)+IF(F19&lt;T.Nachtbis,MIN(T.Nachtbis-F19,F20-F19)+IF(F21&lt;T.Nachtbis,MIN(T.Nachtbis-F21,F22-F21),0),0),0),0),0),9),0)</f>
        <v>0</v>
      </c>
      <c r="G75" s="182" t="n">
        <f aca="false">IF(G73&gt;0,ROUND(G73- IF(G13&lt;T.Nachtbis,MIN(T.Nachtbis-G13,G14-G13)+IF(G15&lt;T.Nachtbis,MIN(T.Nachtbis-G15,G16-G15)+IF(G17&lt;T.Nachtbis,MIN(T.Nachtbis-G17,G18-G17)+IF(G19&lt;T.Nachtbis,MIN(T.Nachtbis-G19,G20-G19)+IF(G21&lt;T.Nachtbis,MIN(T.Nachtbis-G21,G22-G21),0),0),0),0),0),9),0)</f>
        <v>0</v>
      </c>
      <c r="H75" s="182" t="n">
        <f aca="false">IF(H73&gt;0,ROUND(H73- IF(H13&lt;T.Nachtbis,MIN(T.Nachtbis-H13,H14-H13)+IF(H15&lt;T.Nachtbis,MIN(T.Nachtbis-H15,H16-H15)+IF(H17&lt;T.Nachtbis,MIN(T.Nachtbis-H17,H18-H17)+IF(H19&lt;T.Nachtbis,MIN(T.Nachtbis-H19,H20-H19)+IF(H21&lt;T.Nachtbis,MIN(T.Nachtbis-H21,H22-H21),0),0),0),0),0),9),0)</f>
        <v>0</v>
      </c>
      <c r="I75" s="182" t="n">
        <f aca="false">IF(I73&gt;0,ROUND(I73- IF(I13&lt;T.Nachtbis,MIN(T.Nachtbis-I13,I14-I13)+IF(I15&lt;T.Nachtbis,MIN(T.Nachtbis-I15,I16-I15)+IF(I17&lt;T.Nachtbis,MIN(T.Nachtbis-I17,I18-I17)+IF(I19&lt;T.Nachtbis,MIN(T.Nachtbis-I19,I20-I19)+IF(I21&lt;T.Nachtbis,MIN(T.Nachtbis-I21,I22-I21),0),0),0),0),0),9),0)</f>
        <v>0</v>
      </c>
      <c r="J75" s="182" t="n">
        <f aca="false">IF(J73&gt;0,ROUND(J73- IF(J13&lt;T.Nachtbis,MIN(T.Nachtbis-J13,J14-J13)+IF(J15&lt;T.Nachtbis,MIN(T.Nachtbis-J15,J16-J15)+IF(J17&lt;T.Nachtbis,MIN(T.Nachtbis-J17,J18-J17)+IF(J19&lt;T.Nachtbis,MIN(T.Nachtbis-J19,J20-J19)+IF(J21&lt;T.Nachtbis,MIN(T.Nachtbis-J21,J22-J21),0),0),0),0),0),9),0)</f>
        <v>0</v>
      </c>
      <c r="K75" s="182" t="n">
        <f aca="false">IF(K73&gt;0,ROUND(K73- IF(K13&lt;T.Nachtbis,MIN(T.Nachtbis-K13,K14-K13)+IF(K15&lt;T.Nachtbis,MIN(T.Nachtbis-K15,K16-K15)+IF(K17&lt;T.Nachtbis,MIN(T.Nachtbis-K17,K18-K17)+IF(K19&lt;T.Nachtbis,MIN(T.Nachtbis-K19,K20-K19)+IF(K21&lt;T.Nachtbis,MIN(T.Nachtbis-K21,K22-K21),0),0),0),0),0),9),0)</f>
        <v>0</v>
      </c>
      <c r="L75" s="182" t="n">
        <f aca="false">IF(L73&gt;0,ROUND(L73- IF(L13&lt;T.Nachtbis,MIN(T.Nachtbis-L13,L14-L13)+IF(L15&lt;T.Nachtbis,MIN(T.Nachtbis-L15,L16-L15)+IF(L17&lt;T.Nachtbis,MIN(T.Nachtbis-L17,L18-L17)+IF(L19&lt;T.Nachtbis,MIN(T.Nachtbis-L19,L20-L19)+IF(L21&lt;T.Nachtbis,MIN(T.Nachtbis-L21,L22-L21),0),0),0),0),0),9),0)</f>
        <v>0</v>
      </c>
      <c r="M75" s="182" t="n">
        <f aca="false">IF(M73&gt;0,ROUND(M73- IF(M13&lt;T.Nachtbis,MIN(T.Nachtbis-M13,M14-M13)+IF(M15&lt;T.Nachtbis,MIN(T.Nachtbis-M15,M16-M15)+IF(M17&lt;T.Nachtbis,MIN(T.Nachtbis-M17,M18-M17)+IF(M19&lt;T.Nachtbis,MIN(T.Nachtbis-M19,M20-M19)+IF(M21&lt;T.Nachtbis,MIN(T.Nachtbis-M21,M22-M21),0),0),0),0),0),9),0)</f>
        <v>0</v>
      </c>
      <c r="N75" s="182" t="n">
        <f aca="false">IF(N73&gt;0,ROUND(N73- IF(N13&lt;T.Nachtbis,MIN(T.Nachtbis-N13,N14-N13)+IF(N15&lt;T.Nachtbis,MIN(T.Nachtbis-N15,N16-N15)+IF(N17&lt;T.Nachtbis,MIN(T.Nachtbis-N17,N18-N17)+IF(N19&lt;T.Nachtbis,MIN(T.Nachtbis-N19,N20-N19)+IF(N21&lt;T.Nachtbis,MIN(T.Nachtbis-N21,N22-N21),0),0),0),0),0),9),0)</f>
        <v>0</v>
      </c>
      <c r="O75" s="182" t="n">
        <f aca="false">IF(O73&gt;0,ROUND(O73- IF(O13&lt;T.Nachtbis,MIN(T.Nachtbis-O13,O14-O13)+IF(O15&lt;T.Nachtbis,MIN(T.Nachtbis-O15,O16-O15)+IF(O17&lt;T.Nachtbis,MIN(T.Nachtbis-O17,O18-O17)+IF(O19&lt;T.Nachtbis,MIN(T.Nachtbis-O19,O20-O19)+IF(O21&lt;T.Nachtbis,MIN(T.Nachtbis-O21,O22-O21),0),0),0),0),0),9),0)</f>
        <v>0</v>
      </c>
      <c r="P75" s="182" t="n">
        <f aca="false">IF(P73&gt;0,ROUND(P73- IF(P13&lt;T.Nachtbis,MIN(T.Nachtbis-P13,P14-P13)+IF(P15&lt;T.Nachtbis,MIN(T.Nachtbis-P15,P16-P15)+IF(P17&lt;T.Nachtbis,MIN(T.Nachtbis-P17,P18-P17)+IF(P19&lt;T.Nachtbis,MIN(T.Nachtbis-P19,P20-P19)+IF(P21&lt;T.Nachtbis,MIN(T.Nachtbis-P21,P22-P21),0),0),0),0),0),9),0)</f>
        <v>0</v>
      </c>
      <c r="Q75" s="182" t="n">
        <f aca="false">IF(Q73&gt;0,ROUND(Q73- IF(Q13&lt;T.Nachtbis,MIN(T.Nachtbis-Q13,Q14-Q13)+IF(Q15&lt;T.Nachtbis,MIN(T.Nachtbis-Q15,Q16-Q15)+IF(Q17&lt;T.Nachtbis,MIN(T.Nachtbis-Q17,Q18-Q17)+IF(Q19&lt;T.Nachtbis,MIN(T.Nachtbis-Q19,Q20-Q19)+IF(Q21&lt;T.Nachtbis,MIN(T.Nachtbis-Q21,Q22-Q21),0),0),0),0),0),9),0)</f>
        <v>0</v>
      </c>
      <c r="R75" s="182" t="n">
        <f aca="false">IF(R73&gt;0,ROUND(R73- IF(R13&lt;T.Nachtbis,MIN(T.Nachtbis-R13,R14-R13)+IF(R15&lt;T.Nachtbis,MIN(T.Nachtbis-R15,R16-R15)+IF(R17&lt;T.Nachtbis,MIN(T.Nachtbis-R17,R18-R17)+IF(R19&lt;T.Nachtbis,MIN(T.Nachtbis-R19,R20-R19)+IF(R21&lt;T.Nachtbis,MIN(T.Nachtbis-R21,R22-R21),0),0),0),0),0),9),0)</f>
        <v>0</v>
      </c>
      <c r="S75" s="182" t="n">
        <f aca="false">IF(S73&gt;0,ROUND(S73- IF(S13&lt;T.Nachtbis,MIN(T.Nachtbis-S13,S14-S13)+IF(S15&lt;T.Nachtbis,MIN(T.Nachtbis-S15,S16-S15)+IF(S17&lt;T.Nachtbis,MIN(T.Nachtbis-S17,S18-S17)+IF(S19&lt;T.Nachtbis,MIN(T.Nachtbis-S19,S20-S19)+IF(S21&lt;T.Nachtbis,MIN(T.Nachtbis-S21,S22-S21),0),0),0),0),0),9),0)</f>
        <v>0</v>
      </c>
      <c r="T75" s="182" t="n">
        <f aca="false">IF(T73&gt;0,ROUND(T73- IF(T13&lt;T.Nachtbis,MIN(T.Nachtbis-T13,T14-T13)+IF(T15&lt;T.Nachtbis,MIN(T.Nachtbis-T15,T16-T15)+IF(T17&lt;T.Nachtbis,MIN(T.Nachtbis-T17,T18-T17)+IF(T19&lt;T.Nachtbis,MIN(T.Nachtbis-T19,T20-T19)+IF(T21&lt;T.Nachtbis,MIN(T.Nachtbis-T21,T22-T21),0),0),0),0),0),9),0)</f>
        <v>0</v>
      </c>
      <c r="U75" s="182" t="n">
        <f aca="false">IF(U73&gt;0,ROUND(U73- IF(U13&lt;T.Nachtbis,MIN(T.Nachtbis-U13,U14-U13)+IF(U15&lt;T.Nachtbis,MIN(T.Nachtbis-U15,U16-U15)+IF(U17&lt;T.Nachtbis,MIN(T.Nachtbis-U17,U18-U17)+IF(U19&lt;T.Nachtbis,MIN(T.Nachtbis-U19,U20-U19)+IF(U21&lt;T.Nachtbis,MIN(T.Nachtbis-U21,U22-U21),0),0),0),0),0),9),0)</f>
        <v>0</v>
      </c>
      <c r="V75" s="182" t="n">
        <f aca="false">IF(V73&gt;0,ROUND(V73- IF(V13&lt;T.Nachtbis,MIN(T.Nachtbis-V13,V14-V13)+IF(V15&lt;T.Nachtbis,MIN(T.Nachtbis-V15,V16-V15)+IF(V17&lt;T.Nachtbis,MIN(T.Nachtbis-V17,V18-V17)+IF(V19&lt;T.Nachtbis,MIN(T.Nachtbis-V19,V20-V19)+IF(V21&lt;T.Nachtbis,MIN(T.Nachtbis-V21,V22-V21),0),0),0),0),0),9),0)</f>
        <v>0</v>
      </c>
      <c r="W75" s="182" t="n">
        <f aca="false">IF(W73&gt;0,ROUND(W73- IF(W13&lt;T.Nachtbis,MIN(T.Nachtbis-W13,W14-W13)+IF(W15&lt;T.Nachtbis,MIN(T.Nachtbis-W15,W16-W15)+IF(W17&lt;T.Nachtbis,MIN(T.Nachtbis-W17,W18-W17)+IF(W19&lt;T.Nachtbis,MIN(T.Nachtbis-W19,W20-W19)+IF(W21&lt;T.Nachtbis,MIN(T.Nachtbis-W21,W22-W21),0),0),0),0),0),9),0)</f>
        <v>0</v>
      </c>
      <c r="X75" s="182" t="n">
        <f aca="false">IF(X73&gt;0,ROUND(X73- IF(X13&lt;T.Nachtbis,MIN(T.Nachtbis-X13,X14-X13)+IF(X15&lt;T.Nachtbis,MIN(T.Nachtbis-X15,X16-X15)+IF(X17&lt;T.Nachtbis,MIN(T.Nachtbis-X17,X18-X17)+IF(X19&lt;T.Nachtbis,MIN(T.Nachtbis-X19,X20-X19)+IF(X21&lt;T.Nachtbis,MIN(T.Nachtbis-X21,X22-X21),0),0),0),0),0),9),0)</f>
        <v>0</v>
      </c>
      <c r="Y75" s="182" t="n">
        <f aca="false">IF(Y73&gt;0,ROUND(Y73- IF(Y13&lt;T.Nachtbis,MIN(T.Nachtbis-Y13,Y14-Y13)+IF(Y15&lt;T.Nachtbis,MIN(T.Nachtbis-Y15,Y16-Y15)+IF(Y17&lt;T.Nachtbis,MIN(T.Nachtbis-Y17,Y18-Y17)+IF(Y19&lt;T.Nachtbis,MIN(T.Nachtbis-Y19,Y20-Y19)+IF(Y21&lt;T.Nachtbis,MIN(T.Nachtbis-Y21,Y22-Y21),0),0),0),0),0),9),0)</f>
        <v>0</v>
      </c>
      <c r="Z75" s="182" t="n">
        <f aca="false">IF(Z73&gt;0,ROUND(Z73- IF(Z13&lt;T.Nachtbis,MIN(T.Nachtbis-Z13,Z14-Z13)+IF(Z15&lt;T.Nachtbis,MIN(T.Nachtbis-Z15,Z16-Z15)+IF(Z17&lt;T.Nachtbis,MIN(T.Nachtbis-Z17,Z18-Z17)+IF(Z19&lt;T.Nachtbis,MIN(T.Nachtbis-Z19,Z20-Z19)+IF(Z21&lt;T.Nachtbis,MIN(T.Nachtbis-Z21,Z22-Z21),0),0),0),0),0),9),0)</f>
        <v>0</v>
      </c>
      <c r="AA75" s="182" t="n">
        <f aca="false">IF(AA73&gt;0,ROUND(AA73- IF(AA13&lt;T.Nachtbis,MIN(T.Nachtbis-AA13,AA14-AA13)+IF(AA15&lt;T.Nachtbis,MIN(T.Nachtbis-AA15,AA16-AA15)+IF(AA17&lt;T.Nachtbis,MIN(T.Nachtbis-AA17,AA18-AA17)+IF(AA19&lt;T.Nachtbis,MIN(T.Nachtbis-AA19,AA20-AA19)+IF(AA21&lt;T.Nachtbis,MIN(T.Nachtbis-AA21,AA22-AA21),0),0),0),0),0),9),0)</f>
        <v>0</v>
      </c>
      <c r="AB75" s="182" t="n">
        <f aca="false">IF(AB73&gt;0,ROUND(AB73- IF(AB13&lt;T.Nachtbis,MIN(T.Nachtbis-AB13,AB14-AB13)+IF(AB15&lt;T.Nachtbis,MIN(T.Nachtbis-AB15,AB16-AB15)+IF(AB17&lt;T.Nachtbis,MIN(T.Nachtbis-AB17,AB18-AB17)+IF(AB19&lt;T.Nachtbis,MIN(T.Nachtbis-AB19,AB20-AB19)+IF(AB21&lt;T.Nachtbis,MIN(T.Nachtbis-AB21,AB22-AB21),0),0),0),0),0),9),0)</f>
        <v>0</v>
      </c>
      <c r="AC75" s="182" t="n">
        <f aca="false">IF(AC73&gt;0,ROUND(AC73- IF(AC13&lt;T.Nachtbis,MIN(T.Nachtbis-AC13,AC14-AC13)+IF(AC15&lt;T.Nachtbis,MIN(T.Nachtbis-AC15,AC16-AC15)+IF(AC17&lt;T.Nachtbis,MIN(T.Nachtbis-AC17,AC18-AC17)+IF(AC19&lt;T.Nachtbis,MIN(T.Nachtbis-AC19,AC20-AC19)+IF(AC21&lt;T.Nachtbis,MIN(T.Nachtbis-AC21,AC22-AC21),0),0),0),0),0),9),0)</f>
        <v>0</v>
      </c>
      <c r="AD75" s="182" t="n">
        <f aca="false">IF(AD73&gt;0,ROUND(AD73- IF(AD13&lt;T.Nachtbis,MIN(T.Nachtbis-AD13,AD14-AD13)+IF(AD15&lt;T.Nachtbis,MIN(T.Nachtbis-AD15,AD16-AD15)+IF(AD17&lt;T.Nachtbis,MIN(T.Nachtbis-AD17,AD18-AD17)+IF(AD19&lt;T.Nachtbis,MIN(T.Nachtbis-AD19,AD20-AD19)+IF(AD21&lt;T.Nachtbis,MIN(T.Nachtbis-AD21,AD22-AD21),0),0),0),0),0),9),0)</f>
        <v>0</v>
      </c>
      <c r="AE75" s="182" t="n">
        <f aca="false">IF(AE73&gt;0,ROUND(AE73- IF(AE13&lt;T.Nachtbis,MIN(T.Nachtbis-AE13,AE14-AE13)+IF(AE15&lt;T.Nachtbis,MIN(T.Nachtbis-AE15,AE16-AE15)+IF(AE17&lt;T.Nachtbis,MIN(T.Nachtbis-AE17,AE18-AE17)+IF(AE19&lt;T.Nachtbis,MIN(T.Nachtbis-AE19,AE20-AE19)+IF(AE21&lt;T.Nachtbis,MIN(T.Nachtbis-AE21,AE22-AE21),0),0),0),0),0),9),0)</f>
        <v>0</v>
      </c>
      <c r="AF75" s="183" t="str">
        <f aca="false">A75</f>
        <v>Total NS hours today</v>
      </c>
      <c r="AG75" s="146"/>
      <c r="AH75" s="179"/>
      <c r="AI75" s="180"/>
      <c r="AJ75" s="172"/>
      <c r="AK75" s="172"/>
      <c r="AL75" s="172"/>
      <c r="AM75" s="171"/>
      <c r="AN75" s="172"/>
      <c r="AO75" s="172"/>
      <c r="AP75" s="39"/>
    </row>
    <row r="76" s="148" customFormat="true" ht="16.5" hidden="true" customHeight="true" outlineLevel="1" collapsed="false">
      <c r="A76" s="181" t="s">
        <v>161</v>
      </c>
      <c r="B76" s="193" t="n">
        <f aca="false">B73-B75</f>
        <v>0</v>
      </c>
      <c r="C76" s="193" t="n">
        <f aca="false">C73-C75</f>
        <v>0</v>
      </c>
      <c r="D76" s="193" t="n">
        <f aca="false">D73-D75</f>
        <v>0</v>
      </c>
      <c r="E76" s="193" t="n">
        <f aca="false">E73-E75</f>
        <v>0</v>
      </c>
      <c r="F76" s="193" t="n">
        <f aca="false">F73-F75</f>
        <v>0</v>
      </c>
      <c r="G76" s="193" t="n">
        <f aca="false">G73-G75</f>
        <v>0</v>
      </c>
      <c r="H76" s="193" t="n">
        <f aca="false">H73-H75</f>
        <v>0</v>
      </c>
      <c r="I76" s="193" t="n">
        <f aca="false">I73-I75</f>
        <v>0</v>
      </c>
      <c r="J76" s="193" t="n">
        <f aca="false">J73-J75</f>
        <v>0</v>
      </c>
      <c r="K76" s="193" t="n">
        <f aca="false">K73-K75</f>
        <v>0</v>
      </c>
      <c r="L76" s="193" t="n">
        <f aca="false">L73-L75</f>
        <v>0</v>
      </c>
      <c r="M76" s="193" t="n">
        <f aca="false">M73-M75</f>
        <v>0</v>
      </c>
      <c r="N76" s="193" t="n">
        <f aca="false">N73-N75</f>
        <v>0</v>
      </c>
      <c r="O76" s="193" t="n">
        <f aca="false">O73-O75</f>
        <v>0</v>
      </c>
      <c r="P76" s="193" t="n">
        <f aca="false">P73-P75</f>
        <v>0</v>
      </c>
      <c r="Q76" s="193" t="n">
        <f aca="false">Q73-Q75</f>
        <v>0</v>
      </c>
      <c r="R76" s="193" t="n">
        <f aca="false">R73-R75</f>
        <v>0</v>
      </c>
      <c r="S76" s="193" t="n">
        <f aca="false">S73-S75</f>
        <v>0</v>
      </c>
      <c r="T76" s="193" t="n">
        <f aca="false">T73-T75</f>
        <v>0</v>
      </c>
      <c r="U76" s="193" t="n">
        <f aca="false">U73-U75</f>
        <v>0</v>
      </c>
      <c r="V76" s="193" t="n">
        <f aca="false">V73-V75</f>
        <v>0</v>
      </c>
      <c r="W76" s="193" t="n">
        <f aca="false">W73-W75</f>
        <v>0</v>
      </c>
      <c r="X76" s="193" t="n">
        <f aca="false">X73-X75</f>
        <v>0</v>
      </c>
      <c r="Y76" s="193" t="n">
        <f aca="false">Y73-Y75</f>
        <v>0</v>
      </c>
      <c r="Z76" s="193" t="n">
        <f aca="false">Z73-Z75</f>
        <v>0</v>
      </c>
      <c r="AA76" s="193" t="n">
        <f aca="false">AA73-AA75</f>
        <v>0</v>
      </c>
      <c r="AB76" s="193" t="n">
        <f aca="false">AB73-AB75</f>
        <v>0</v>
      </c>
      <c r="AC76" s="193" t="n">
        <f aca="false">AC73-AC75</f>
        <v>0</v>
      </c>
      <c r="AD76" s="193" t="n">
        <f aca="false">AD73-AD75</f>
        <v>0</v>
      </c>
      <c r="AE76" s="193" t="n">
        <f aca="false">AE73-AE75</f>
        <v>0</v>
      </c>
      <c r="AF76" s="183" t="str">
        <f aca="false">A76</f>
        <v>Total NS hours yesterday</v>
      </c>
      <c r="AG76" s="146"/>
      <c r="AH76" s="179"/>
      <c r="AI76" s="180"/>
      <c r="AJ76" s="172"/>
      <c r="AK76" s="172"/>
      <c r="AL76" s="199" t="n">
        <f aca="false">IF(EB.Anwendung&lt;&gt;"",IF(MONTH(Monat.Tag1)=12,0,IF(MONTH(Monat.Tag1)=1,February!Monat.NDgesternTag1,IF(MONTH(Monat.Tag1)=2,March!Monat.NDgesternTag1,IF(MONTH(Monat.Tag1)=3,April!Monat.NDgesternTag1,IF(MONTH(Monat.Tag1)=4,May!Monat.NDgesternTag1,IF(MONTH(Monat.Tag1)=5,Monat.NDgesternTag1,IF(MONTH(Monat.Tag1)=6,July!Monat.NDgesternTag1,IF(MONTH(Monat.Tag1)=7,August!Monat.NDgesternTag1,IF(MONTH(Monat.Tag1)=8,September!Monat.NDgesternTag1,IF(MONTH(Monat.Tag1)=9,October!Monat.NDgesternTag1,IF(MONTH(Monat.Tag1)=10,November!Monat.NDgesternTag1,IF(MONTH(Monat.Tag1)=11,December!Monat.NDgesternTag1,"")))))))))))),"")</f>
        <v>0</v>
      </c>
      <c r="AM76" s="171"/>
      <c r="AN76" s="172"/>
      <c r="AO76" s="172"/>
      <c r="AP76" s="39"/>
    </row>
    <row r="77" s="148" customFormat="true" ht="16.5" hidden="true" customHeight="true" outlineLevel="1" collapsed="false">
      <c r="A77" s="181" t="s">
        <v>162</v>
      </c>
      <c r="B77" s="182" t="n">
        <f aca="false">B75+IF(B$10=EOMONTH(B$10,0),$AL76,C76)</f>
        <v>0</v>
      </c>
      <c r="C77" s="182" t="n">
        <f aca="false">C75+IF(C$10=EOMONTH(C$10,0),$AL76,D76)</f>
        <v>0</v>
      </c>
      <c r="D77" s="182" t="n">
        <f aca="false">D75+IF(D$10=EOMONTH(D$10,0),$AL76,E76)</f>
        <v>0</v>
      </c>
      <c r="E77" s="182" t="n">
        <f aca="false">E75+IF(E$10=EOMONTH(E$10,0),$AL76,F76)</f>
        <v>0</v>
      </c>
      <c r="F77" s="182" t="n">
        <f aca="false">F75+IF(F$10=EOMONTH(F$10,0),$AL76,G76)</f>
        <v>0</v>
      </c>
      <c r="G77" s="182" t="n">
        <f aca="false">G75+IF(G$10=EOMONTH(G$10,0),$AL76,H76)</f>
        <v>0</v>
      </c>
      <c r="H77" s="182" t="n">
        <f aca="false">H75+IF(H$10=EOMONTH(H$10,0),$AL76,I76)</f>
        <v>0</v>
      </c>
      <c r="I77" s="182" t="n">
        <f aca="false">I75+IF(I$10=EOMONTH(I$10,0),$AL76,J76)</f>
        <v>0</v>
      </c>
      <c r="J77" s="182" t="n">
        <f aca="false">J75+IF(J$10=EOMONTH(J$10,0),$AL76,K76)</f>
        <v>0</v>
      </c>
      <c r="K77" s="182" t="n">
        <f aca="false">K75+IF(K$10=EOMONTH(K$10,0),$AL76,L76)</f>
        <v>0</v>
      </c>
      <c r="L77" s="182" t="n">
        <f aca="false">L75+IF(L$10=EOMONTH(L$10,0),$AL76,M76)</f>
        <v>0</v>
      </c>
      <c r="M77" s="182" t="n">
        <f aca="false">M75+IF(M$10=EOMONTH(M$10,0),$AL76,N76)</f>
        <v>0</v>
      </c>
      <c r="N77" s="182" t="n">
        <f aca="false">N75+IF(N$10=EOMONTH(N$10,0),$AL76,O76)</f>
        <v>0</v>
      </c>
      <c r="O77" s="182" t="n">
        <f aca="false">O75+IF(O$10=EOMONTH(O$10,0),$AL76,P76)</f>
        <v>0</v>
      </c>
      <c r="P77" s="182" t="n">
        <f aca="false">P75+IF(P$10=EOMONTH(P$10,0),$AL76,Q76)</f>
        <v>0</v>
      </c>
      <c r="Q77" s="182" t="n">
        <f aca="false">Q75+IF(Q$10=EOMONTH(Q$10,0),$AL76,R76)</f>
        <v>0</v>
      </c>
      <c r="R77" s="182" t="n">
        <f aca="false">R75+IF(R$10=EOMONTH(R$10,0),$AL76,S76)</f>
        <v>0</v>
      </c>
      <c r="S77" s="182" t="n">
        <f aca="false">S75+IF(S$10=EOMONTH(S$10,0),$AL76,T76)</f>
        <v>0</v>
      </c>
      <c r="T77" s="182" t="n">
        <f aca="false">T75+IF(T$10=EOMONTH(T$10,0),$AL76,U76)</f>
        <v>0</v>
      </c>
      <c r="U77" s="182" t="n">
        <f aca="false">U75+IF(U$10=EOMONTH(U$10,0),$AL76,V76)</f>
        <v>0</v>
      </c>
      <c r="V77" s="182" t="n">
        <f aca="false">V75+IF(V$10=EOMONTH(V$10,0),$AL76,W76)</f>
        <v>0</v>
      </c>
      <c r="W77" s="182" t="n">
        <f aca="false">W75+IF(W$10=EOMONTH(W$10,0),$AL76,X76)</f>
        <v>0</v>
      </c>
      <c r="X77" s="182" t="n">
        <f aca="false">X75+IF(X$10=EOMONTH(X$10,0),$AL76,Y76)</f>
        <v>0</v>
      </c>
      <c r="Y77" s="182" t="n">
        <f aca="false">Y75+IF(Y$10=EOMONTH(Y$10,0),$AL76,Z76)</f>
        <v>0</v>
      </c>
      <c r="Z77" s="182" t="n">
        <f aca="false">Z75+IF(Z$10=EOMONTH(Z$10,0),$AL76,AA76)</f>
        <v>0</v>
      </c>
      <c r="AA77" s="182" t="n">
        <f aca="false">AA75+IF(AA$10=EOMONTH(AA$10,0),$AL76,AB76)</f>
        <v>0</v>
      </c>
      <c r="AB77" s="182" t="n">
        <f aca="false">AB75+IF(AB$10=EOMONTH(AB$10,0),$AL76,AC76)</f>
        <v>0</v>
      </c>
      <c r="AC77" s="182" t="n">
        <f aca="false">AC75+IF(AC$10=EOMONTH(AC$10,0),$AL76,AD76)</f>
        <v>0</v>
      </c>
      <c r="AD77" s="182" t="n">
        <f aca="false">AD75+IF(AD$10=EOMONTH(AD$10,0),$AL76,AE76)</f>
        <v>0</v>
      </c>
      <c r="AE77" s="182" t="n">
        <f aca="false">AE75+IF(AE$10=EOMONTH(AE$10,0),$AL76,#REF!)</f>
        <v>0</v>
      </c>
      <c r="AF77" s="183" t="str">
        <f aca="false">A77</f>
        <v>Total NS hours</v>
      </c>
      <c r="AG77" s="184"/>
      <c r="AH77" s="185" t="n">
        <f aca="false">SUM(B77:AE77)</f>
        <v>0</v>
      </c>
      <c r="AI77" s="180"/>
      <c r="AJ77" s="172"/>
      <c r="AK77" s="172"/>
      <c r="AL77" s="172"/>
      <c r="AM77" s="171"/>
      <c r="AN77" s="172"/>
      <c r="AO77" s="172"/>
      <c r="AP77" s="39"/>
    </row>
    <row r="78" s="148" customFormat="true" ht="3.75" hidden="true" customHeight="true" outlineLevel="0" collapsed="false">
      <c r="A78" s="186"/>
      <c r="B78" s="187"/>
      <c r="C78" s="187"/>
      <c r="D78" s="187"/>
      <c r="E78" s="187"/>
      <c r="F78" s="187"/>
      <c r="G78" s="187"/>
      <c r="H78" s="187"/>
      <c r="I78" s="187"/>
      <c r="J78" s="187"/>
      <c r="K78" s="187"/>
      <c r="L78" s="187"/>
      <c r="M78" s="187"/>
      <c r="N78" s="187"/>
      <c r="O78" s="187"/>
      <c r="P78" s="187"/>
      <c r="Q78" s="187"/>
      <c r="R78" s="187"/>
      <c r="S78" s="187"/>
      <c r="T78" s="187"/>
      <c r="U78" s="187"/>
      <c r="V78" s="187"/>
      <c r="W78" s="187"/>
      <c r="X78" s="187"/>
      <c r="Y78" s="187"/>
      <c r="Z78" s="187"/>
      <c r="AA78" s="187"/>
      <c r="AB78" s="187"/>
      <c r="AC78" s="187"/>
      <c r="AD78" s="187"/>
      <c r="AE78" s="187"/>
      <c r="AF78" s="168"/>
      <c r="AG78" s="202"/>
      <c r="AH78" s="188"/>
      <c r="AI78" s="180"/>
      <c r="AJ78" s="172"/>
      <c r="AK78" s="172"/>
      <c r="AL78" s="172"/>
      <c r="AM78" s="171"/>
      <c r="AN78" s="172"/>
      <c r="AO78" s="172"/>
      <c r="AP78" s="39"/>
    </row>
    <row r="79" s="148" customFormat="true" ht="15" hidden="true" customHeight="true" outlineLevel="1" collapsed="false">
      <c r="A79" s="175" t="s">
        <v>84</v>
      </c>
      <c r="B79" s="256" t="n">
        <f aca="false">IF(AND(T.50_Vetsuisse,B70&gt;24),ROUND(B73*T.50_VetsuisseZZSND,9), IF(AND(T.ServiceCenterIrchel,B69&gt;0,B77&gt;=ROUND(1/24*8,9)),ROUND(B77*T.ServiceCenterIrchelZZSND,9),))</f>
        <v>0</v>
      </c>
      <c r="C79" s="256" t="n">
        <f aca="false">IF(AND(T.50_Vetsuisse,C70&gt;24),ROUND(C73*T.50_VetsuisseZZSND,9), IF(AND(T.ServiceCenterIrchel,C69&gt;0,C77&gt;=ROUND(1/24*8,9)),ROUND(C77*T.ServiceCenterIrchelZZSND,9),))</f>
        <v>0</v>
      </c>
      <c r="D79" s="256" t="n">
        <f aca="false">IF(AND(T.50_Vetsuisse,D70&gt;24),ROUND(D73*T.50_VetsuisseZZSND,9), IF(AND(T.ServiceCenterIrchel,D69&gt;0,D77&gt;=ROUND(1/24*8,9)),ROUND(D77*T.ServiceCenterIrchelZZSND,9),))</f>
        <v>0</v>
      </c>
      <c r="E79" s="256" t="n">
        <f aca="false">IF(AND(T.50_Vetsuisse,E70&gt;24),ROUND(E73*T.50_VetsuisseZZSND,9), IF(AND(T.ServiceCenterIrchel,E69&gt;0,E77&gt;=ROUND(1/24*8,9)),ROUND(E77*T.ServiceCenterIrchelZZSND,9),))</f>
        <v>0</v>
      </c>
      <c r="F79" s="256" t="n">
        <f aca="false">IF(AND(T.50_Vetsuisse,F70&gt;24),ROUND(F73*T.50_VetsuisseZZSND,9), IF(AND(T.ServiceCenterIrchel,F69&gt;0,F77&gt;=ROUND(1/24*8,9)),ROUND(F77*T.ServiceCenterIrchelZZSND,9),))</f>
        <v>0</v>
      </c>
      <c r="G79" s="256" t="n">
        <f aca="false">IF(AND(T.50_Vetsuisse,G70&gt;24),ROUND(G73*T.50_VetsuisseZZSND,9), IF(AND(T.ServiceCenterIrchel,G69&gt;0,G77&gt;=ROUND(1/24*8,9)),ROUND(G77*T.ServiceCenterIrchelZZSND,9),))</f>
        <v>0</v>
      </c>
      <c r="H79" s="256" t="n">
        <f aca="false">IF(AND(T.50_Vetsuisse,H70&gt;24),ROUND(H73*T.50_VetsuisseZZSND,9), IF(AND(T.ServiceCenterIrchel,H69&gt;0,H77&gt;=ROUND(1/24*8,9)),ROUND(H77*T.ServiceCenterIrchelZZSND,9),))</f>
        <v>0</v>
      </c>
      <c r="I79" s="256" t="n">
        <f aca="false">IF(AND(T.50_Vetsuisse,I70&gt;24),ROUND(I73*T.50_VetsuisseZZSND,9), IF(AND(T.ServiceCenterIrchel,I69&gt;0,I77&gt;=ROUND(1/24*8,9)),ROUND(I77*T.ServiceCenterIrchelZZSND,9),))</f>
        <v>0</v>
      </c>
      <c r="J79" s="256" t="n">
        <f aca="false">IF(AND(T.50_Vetsuisse,J70&gt;24),ROUND(J73*T.50_VetsuisseZZSND,9), IF(AND(T.ServiceCenterIrchel,J69&gt;0,J77&gt;=ROUND(1/24*8,9)),ROUND(J77*T.ServiceCenterIrchelZZSND,9),))</f>
        <v>0</v>
      </c>
      <c r="K79" s="256" t="n">
        <f aca="false">IF(AND(T.50_Vetsuisse,K70&gt;24),ROUND(K73*T.50_VetsuisseZZSND,9), IF(AND(T.ServiceCenterIrchel,K69&gt;0,K77&gt;=ROUND(1/24*8,9)),ROUND(K77*T.ServiceCenterIrchelZZSND,9),))</f>
        <v>0</v>
      </c>
      <c r="L79" s="256" t="n">
        <f aca="false">IF(AND(T.50_Vetsuisse,L70&gt;24),ROUND(L73*T.50_VetsuisseZZSND,9), IF(AND(T.ServiceCenterIrchel,L69&gt;0,L77&gt;=ROUND(1/24*8,9)),ROUND(L77*T.ServiceCenterIrchelZZSND,9),))</f>
        <v>0</v>
      </c>
      <c r="M79" s="256" t="n">
        <f aca="false">IF(AND(T.50_Vetsuisse,M70&gt;24),ROUND(M73*T.50_VetsuisseZZSND,9), IF(AND(T.ServiceCenterIrchel,M69&gt;0,M77&gt;=ROUND(1/24*8,9)),ROUND(M77*T.ServiceCenterIrchelZZSND,9),))</f>
        <v>0</v>
      </c>
      <c r="N79" s="256" t="n">
        <f aca="false">IF(AND(T.50_Vetsuisse,N70&gt;24),ROUND(N73*T.50_VetsuisseZZSND,9), IF(AND(T.ServiceCenterIrchel,N69&gt;0,N77&gt;=ROUND(1/24*8,9)),ROUND(N77*T.ServiceCenterIrchelZZSND,9),))</f>
        <v>0</v>
      </c>
      <c r="O79" s="256" t="n">
        <f aca="false">IF(AND(T.50_Vetsuisse,O70&gt;24),ROUND(O73*T.50_VetsuisseZZSND,9), IF(AND(T.ServiceCenterIrchel,O69&gt;0,O77&gt;=ROUND(1/24*8,9)),ROUND(O77*T.ServiceCenterIrchelZZSND,9),))</f>
        <v>0</v>
      </c>
      <c r="P79" s="256" t="n">
        <f aca="false">IF(AND(T.50_Vetsuisse,P70&gt;24),ROUND(P73*T.50_VetsuisseZZSND,9), IF(AND(T.ServiceCenterIrchel,P69&gt;0,P77&gt;=ROUND(1/24*8,9)),ROUND(P77*T.ServiceCenterIrchelZZSND,9),))</f>
        <v>0</v>
      </c>
      <c r="Q79" s="256" t="n">
        <f aca="false">IF(AND(T.50_Vetsuisse,Q70&gt;24),ROUND(Q73*T.50_VetsuisseZZSND,9), IF(AND(T.ServiceCenterIrchel,Q69&gt;0,Q77&gt;=ROUND(1/24*8,9)),ROUND(Q77*T.ServiceCenterIrchelZZSND,9),))</f>
        <v>0</v>
      </c>
      <c r="R79" s="256" t="n">
        <f aca="false">IF(AND(T.50_Vetsuisse,R70&gt;24),ROUND(R73*T.50_VetsuisseZZSND,9), IF(AND(T.ServiceCenterIrchel,R69&gt;0,R77&gt;=ROUND(1/24*8,9)),ROUND(R77*T.ServiceCenterIrchelZZSND,9),))</f>
        <v>0</v>
      </c>
      <c r="S79" s="256" t="n">
        <f aca="false">IF(AND(T.50_Vetsuisse,S70&gt;24),ROUND(S73*T.50_VetsuisseZZSND,9), IF(AND(T.ServiceCenterIrchel,S69&gt;0,S77&gt;=ROUND(1/24*8,9)),ROUND(S77*T.ServiceCenterIrchelZZSND,9),))</f>
        <v>0</v>
      </c>
      <c r="T79" s="256" t="n">
        <f aca="false">IF(AND(T.50_Vetsuisse,T70&gt;24),ROUND(T73*T.50_VetsuisseZZSND,9), IF(AND(T.ServiceCenterIrchel,T69&gt;0,T77&gt;=ROUND(1/24*8,9)),ROUND(T77*T.ServiceCenterIrchelZZSND,9),))</f>
        <v>0</v>
      </c>
      <c r="U79" s="256" t="n">
        <f aca="false">IF(AND(T.50_Vetsuisse,U70&gt;24),ROUND(U73*T.50_VetsuisseZZSND,9), IF(AND(T.ServiceCenterIrchel,U69&gt;0,U77&gt;=ROUND(1/24*8,9)),ROUND(U77*T.ServiceCenterIrchelZZSND,9),))</f>
        <v>0</v>
      </c>
      <c r="V79" s="256" t="n">
        <f aca="false">IF(AND(T.50_Vetsuisse,V70&gt;24),ROUND(V73*T.50_VetsuisseZZSND,9), IF(AND(T.ServiceCenterIrchel,V69&gt;0,V77&gt;=ROUND(1/24*8,9)),ROUND(V77*T.ServiceCenterIrchelZZSND,9),))</f>
        <v>0</v>
      </c>
      <c r="W79" s="256" t="n">
        <f aca="false">IF(AND(T.50_Vetsuisse,W70&gt;24),ROUND(W73*T.50_VetsuisseZZSND,9), IF(AND(T.ServiceCenterIrchel,W69&gt;0,W77&gt;=ROUND(1/24*8,9)),ROUND(W77*T.ServiceCenterIrchelZZSND,9),))</f>
        <v>0</v>
      </c>
      <c r="X79" s="256" t="n">
        <f aca="false">IF(AND(T.50_Vetsuisse,X70&gt;24),ROUND(X73*T.50_VetsuisseZZSND,9), IF(AND(T.ServiceCenterIrchel,X69&gt;0,X77&gt;=ROUND(1/24*8,9)),ROUND(X77*T.ServiceCenterIrchelZZSND,9),))</f>
        <v>0</v>
      </c>
      <c r="Y79" s="256" t="n">
        <f aca="false">IF(AND(T.50_Vetsuisse,Y70&gt;24),ROUND(Y73*T.50_VetsuisseZZSND,9), IF(AND(T.ServiceCenterIrchel,Y69&gt;0,Y77&gt;=ROUND(1/24*8,9)),ROUND(Y77*T.ServiceCenterIrchelZZSND,9),))</f>
        <v>0</v>
      </c>
      <c r="Z79" s="256" t="n">
        <f aca="false">IF(AND(T.50_Vetsuisse,Z70&gt;24),ROUND(Z73*T.50_VetsuisseZZSND,9), IF(AND(T.ServiceCenterIrchel,Z69&gt;0,Z77&gt;=ROUND(1/24*8,9)),ROUND(Z77*T.ServiceCenterIrchelZZSND,9),))</f>
        <v>0</v>
      </c>
      <c r="AA79" s="256" t="n">
        <f aca="false">IF(AND(T.50_Vetsuisse,AA70&gt;24),ROUND(AA73*T.50_VetsuisseZZSND,9), IF(AND(T.ServiceCenterIrchel,AA69&gt;0,AA77&gt;=ROUND(1/24*8,9)),ROUND(AA77*T.ServiceCenterIrchelZZSND,9),))</f>
        <v>0</v>
      </c>
      <c r="AB79" s="256" t="n">
        <f aca="false">IF(AND(T.50_Vetsuisse,AB70&gt;24),ROUND(AB73*T.50_VetsuisseZZSND,9), IF(AND(T.ServiceCenterIrchel,AB69&gt;0,AB77&gt;=ROUND(1/24*8,9)),ROUND(AB77*T.ServiceCenterIrchelZZSND,9),))</f>
        <v>0</v>
      </c>
      <c r="AC79" s="256" t="n">
        <f aca="false">IF(AND(T.50_Vetsuisse,AC70&gt;24),ROUND(AC73*T.50_VetsuisseZZSND,9), IF(AND(T.ServiceCenterIrchel,AC69&gt;0,AC77&gt;=ROUND(1/24*8,9)),ROUND(AC77*T.ServiceCenterIrchelZZSND,9),))</f>
        <v>0</v>
      </c>
      <c r="AD79" s="256" t="n">
        <f aca="false">IF(AND(T.50_Vetsuisse,AD70&gt;24),ROUND(AD73*T.50_VetsuisseZZSND,9), IF(AND(T.ServiceCenterIrchel,AD69&gt;0,AD77&gt;=ROUND(1/24*8,9)),ROUND(AD77*T.ServiceCenterIrchelZZSND,9),))</f>
        <v>0</v>
      </c>
      <c r="AE79" s="256" t="n">
        <f aca="false">IF(AND(T.50_Vetsuisse,AE70&gt;24),ROUND(AE73*T.50_VetsuisseZZSND,9), IF(AND(T.ServiceCenterIrchel,AE69&gt;0,AE77&gt;=ROUND(1/24*8,9)),ROUND(AE77*T.ServiceCenterIrchelZZSND,9),))</f>
        <v>0</v>
      </c>
      <c r="AF79" s="168" t="str">
        <f aca="false">A79</f>
        <v>Time supplement night shift</v>
      </c>
      <c r="AG79" s="250"/>
      <c r="AH79" s="207" t="n">
        <f aca="false">SUM(B79:AE79)</f>
        <v>0</v>
      </c>
      <c r="AI79" s="33"/>
      <c r="AJ79" s="192"/>
      <c r="AK79" s="216" t="n">
        <f aca="false">IF(EB.Anwendung&lt;&gt;"",IF(MONTH(Monat.Tag1)=1,EB.ZZNd,IF(MONTH(Monat.Tag1)=2,January!Monat.ZZNdUe,IF(MONTH(Monat.Tag1)=3,February!Monat.ZZNdUe,IF(MONTH(Monat.Tag1)=4,March!Monat.ZZNdUe,IF(MONTH(Monat.Tag1)=5,April!Monat.ZZNdUe,IF(MONTH(Monat.Tag1)=6,May!Monat.ZZNdUe,IF(MONTH(Monat.Tag1)=7,Monat.ZZNdUe,IF(MONTH(Monat.Tag1)=8,July!Monat.ZZNdUe,IF(MONTH(Monat.Tag1)=9,August!Monat.ZZNdUe,IF(MONTH(Monat.Tag1)=10,September!Monat.ZZNdUe,IF(MONTH(Monat.Tag1)=11,October!Monat.ZZNdUe,IF(MONTH(Monat.Tag1)=12,November!Monat.ZZNdUe,"")))))))))))),"")</f>
        <v>0</v>
      </c>
      <c r="AL79" s="172"/>
      <c r="AM79" s="217" t="n">
        <f aca="false">AH79+AK79-AH71</f>
        <v>0</v>
      </c>
      <c r="AN79" s="217" t="n">
        <f aca="true">OFFSET(Jahr.ZZSNDSaldo,-13+MONTH(Monat.Tag1),0,1,1)</f>
        <v>0</v>
      </c>
      <c r="AO79" s="217" t="n">
        <f aca="false">Jahr.ZZSNDSaldo</f>
        <v>0</v>
      </c>
      <c r="AP79" s="39"/>
    </row>
    <row r="80" s="148" customFormat="true" ht="15" hidden="true" customHeight="true" outlineLevel="1" collapsed="false">
      <c r="A80" s="175" t="s">
        <v>163</v>
      </c>
      <c r="B80" s="256" t="str">
        <f aca="false">IF(T.50_Vetsuisse,IF(OR(B$12=0,B$11=0,WEEKDAY(B$10,2)&gt;5),0,ROUND(MAX(0,T.Abendbis-MAX(B13,T.Abendab))-MAX(0,T.Abendbis-MAX(T.Abendab,B14))+(B13&gt;B14)*(1+T.Abendab-T.Abendbis)+MAX(0,T.Abendbis-MAX(B15,T.Abendab))-MAX(0,T.Abendbis-MAX(T.Abendab,B16))+(B15&gt;B16)*(1+T.Abendab-T.Abendbis)+MAX(0,T.Abendbis-MAX(B17,T.Abendab))-MAX(0,T.Abendbis-MAX(T.Abendab,B18))+(B17&gt;B18)*(1+T.Abendab-T.Abendbis)+MAX(0,T.Abendbis-MAX(B19,T.Abendab))-MAX(0,T.Abendbis-MAX(T.Abendab,B20))+(B19&gt;B20)*(1+T.Abendab-T.Abendbis)+MAX(0,T.Abendbis-MAX(B21,T.Abendab))-MAX(0,T.Abendbis-MAX(T.Abendab,B22))+(B21&gt;B22)*(1+T.Abendab-T.Abendbis),9)),"")</f>
        <v/>
      </c>
      <c r="C80" s="256" t="str">
        <f aca="false">IF(T.50_Vetsuisse,IF(OR(C$12=0,C$11=0,WEEKDAY(C$10,2)&gt;5),0,ROUND(MAX(0,T.Abendbis-MAX(C13,T.Abendab))-MAX(0,T.Abendbis-MAX(T.Abendab,C14))+(C13&gt;C14)*(1+T.Abendab-T.Abendbis)+MAX(0,T.Abendbis-MAX(C15,T.Abendab))-MAX(0,T.Abendbis-MAX(T.Abendab,C16))+(C15&gt;C16)*(1+T.Abendab-T.Abendbis)+MAX(0,T.Abendbis-MAX(C17,T.Abendab))-MAX(0,T.Abendbis-MAX(T.Abendab,C18))+(C17&gt;C18)*(1+T.Abendab-T.Abendbis)+MAX(0,T.Abendbis-MAX(C19,T.Abendab))-MAX(0,T.Abendbis-MAX(T.Abendab,C20))+(C19&gt;C20)*(1+T.Abendab-T.Abendbis)+MAX(0,T.Abendbis-MAX(C21,T.Abendab))-MAX(0,T.Abendbis-MAX(T.Abendab,C22))+(C21&gt;C22)*(1+T.Abendab-T.Abendbis),9)),"")</f>
        <v/>
      </c>
      <c r="D80" s="256" t="str">
        <f aca="false">IF(T.50_Vetsuisse,IF(OR(D$12=0,D$11=0,WEEKDAY(D$10,2)&gt;5),0,ROUND(MAX(0,T.Abendbis-MAX(D13,T.Abendab))-MAX(0,T.Abendbis-MAX(T.Abendab,D14))+(D13&gt;D14)*(1+T.Abendab-T.Abendbis)+MAX(0,T.Abendbis-MAX(D15,T.Abendab))-MAX(0,T.Abendbis-MAX(T.Abendab,D16))+(D15&gt;D16)*(1+T.Abendab-T.Abendbis)+MAX(0,T.Abendbis-MAX(D17,T.Abendab))-MAX(0,T.Abendbis-MAX(T.Abendab,D18))+(D17&gt;D18)*(1+T.Abendab-T.Abendbis)+MAX(0,T.Abendbis-MAX(D19,T.Abendab))-MAX(0,T.Abendbis-MAX(T.Abendab,D20))+(D19&gt;D20)*(1+T.Abendab-T.Abendbis)+MAX(0,T.Abendbis-MAX(D21,T.Abendab))-MAX(0,T.Abendbis-MAX(T.Abendab,D22))+(D21&gt;D22)*(1+T.Abendab-T.Abendbis),9)),"")</f>
        <v/>
      </c>
      <c r="E80" s="256" t="str">
        <f aca="false">IF(T.50_Vetsuisse,IF(OR(E$12=0,E$11=0,WEEKDAY(E$10,2)&gt;5),0,ROUND(MAX(0,T.Abendbis-MAX(E13,T.Abendab))-MAX(0,T.Abendbis-MAX(T.Abendab,E14))+(E13&gt;E14)*(1+T.Abendab-T.Abendbis)+MAX(0,T.Abendbis-MAX(E15,T.Abendab))-MAX(0,T.Abendbis-MAX(T.Abendab,E16))+(E15&gt;E16)*(1+T.Abendab-T.Abendbis)+MAX(0,T.Abendbis-MAX(E17,T.Abendab))-MAX(0,T.Abendbis-MAX(T.Abendab,E18))+(E17&gt;E18)*(1+T.Abendab-T.Abendbis)+MAX(0,T.Abendbis-MAX(E19,T.Abendab))-MAX(0,T.Abendbis-MAX(T.Abendab,E20))+(E19&gt;E20)*(1+T.Abendab-T.Abendbis)+MAX(0,T.Abendbis-MAX(E21,T.Abendab))-MAX(0,T.Abendbis-MAX(T.Abendab,E22))+(E21&gt;E22)*(1+T.Abendab-T.Abendbis),9)),"")</f>
        <v/>
      </c>
      <c r="F80" s="256" t="str">
        <f aca="false">IF(T.50_Vetsuisse,IF(OR(F$12=0,F$11=0,WEEKDAY(F$10,2)&gt;5),0,ROUND(MAX(0,T.Abendbis-MAX(F13,T.Abendab))-MAX(0,T.Abendbis-MAX(T.Abendab,F14))+(F13&gt;F14)*(1+T.Abendab-T.Abendbis)+MAX(0,T.Abendbis-MAX(F15,T.Abendab))-MAX(0,T.Abendbis-MAX(T.Abendab,F16))+(F15&gt;F16)*(1+T.Abendab-T.Abendbis)+MAX(0,T.Abendbis-MAX(F17,T.Abendab))-MAX(0,T.Abendbis-MAX(T.Abendab,F18))+(F17&gt;F18)*(1+T.Abendab-T.Abendbis)+MAX(0,T.Abendbis-MAX(F19,T.Abendab))-MAX(0,T.Abendbis-MAX(T.Abendab,F20))+(F19&gt;F20)*(1+T.Abendab-T.Abendbis)+MAX(0,T.Abendbis-MAX(F21,T.Abendab))-MAX(0,T.Abendbis-MAX(T.Abendab,F22))+(F21&gt;F22)*(1+T.Abendab-T.Abendbis),9)),"")</f>
        <v/>
      </c>
      <c r="G80" s="256" t="str">
        <f aca="false">IF(T.50_Vetsuisse,IF(OR(G$12=0,G$11=0,WEEKDAY(G$10,2)&gt;5),0,ROUND(MAX(0,T.Abendbis-MAX(G13,T.Abendab))-MAX(0,T.Abendbis-MAX(T.Abendab,G14))+(G13&gt;G14)*(1+T.Abendab-T.Abendbis)+MAX(0,T.Abendbis-MAX(G15,T.Abendab))-MAX(0,T.Abendbis-MAX(T.Abendab,G16))+(G15&gt;G16)*(1+T.Abendab-T.Abendbis)+MAX(0,T.Abendbis-MAX(G17,T.Abendab))-MAX(0,T.Abendbis-MAX(T.Abendab,G18))+(G17&gt;G18)*(1+T.Abendab-T.Abendbis)+MAX(0,T.Abendbis-MAX(G19,T.Abendab))-MAX(0,T.Abendbis-MAX(T.Abendab,G20))+(G19&gt;G20)*(1+T.Abendab-T.Abendbis)+MAX(0,T.Abendbis-MAX(G21,T.Abendab))-MAX(0,T.Abendbis-MAX(T.Abendab,G22))+(G21&gt;G22)*(1+T.Abendab-T.Abendbis),9)),"")</f>
        <v/>
      </c>
      <c r="H80" s="256" t="str">
        <f aca="false">IF(T.50_Vetsuisse,IF(OR(H$12=0,H$11=0,WEEKDAY(H$10,2)&gt;5),0,ROUND(MAX(0,T.Abendbis-MAX(H13,T.Abendab))-MAX(0,T.Abendbis-MAX(T.Abendab,H14))+(H13&gt;H14)*(1+T.Abendab-T.Abendbis)+MAX(0,T.Abendbis-MAX(H15,T.Abendab))-MAX(0,T.Abendbis-MAX(T.Abendab,H16))+(H15&gt;H16)*(1+T.Abendab-T.Abendbis)+MAX(0,T.Abendbis-MAX(H17,T.Abendab))-MAX(0,T.Abendbis-MAX(T.Abendab,H18))+(H17&gt;H18)*(1+T.Abendab-T.Abendbis)+MAX(0,T.Abendbis-MAX(H19,T.Abendab))-MAX(0,T.Abendbis-MAX(T.Abendab,H20))+(H19&gt;H20)*(1+T.Abendab-T.Abendbis)+MAX(0,T.Abendbis-MAX(H21,T.Abendab))-MAX(0,T.Abendbis-MAX(T.Abendab,H22))+(H21&gt;H22)*(1+T.Abendab-T.Abendbis),9)),"")</f>
        <v/>
      </c>
      <c r="I80" s="256" t="str">
        <f aca="false">IF(T.50_Vetsuisse,IF(OR(I$12=0,I$11=0,WEEKDAY(I$10,2)&gt;5),0,ROUND(MAX(0,T.Abendbis-MAX(I13,T.Abendab))-MAX(0,T.Abendbis-MAX(T.Abendab,I14))+(I13&gt;I14)*(1+T.Abendab-T.Abendbis)+MAX(0,T.Abendbis-MAX(I15,T.Abendab))-MAX(0,T.Abendbis-MAX(T.Abendab,I16))+(I15&gt;I16)*(1+T.Abendab-T.Abendbis)+MAX(0,T.Abendbis-MAX(I17,T.Abendab))-MAX(0,T.Abendbis-MAX(T.Abendab,I18))+(I17&gt;I18)*(1+T.Abendab-T.Abendbis)+MAX(0,T.Abendbis-MAX(I19,T.Abendab))-MAX(0,T.Abendbis-MAX(T.Abendab,I20))+(I19&gt;I20)*(1+T.Abendab-T.Abendbis)+MAX(0,T.Abendbis-MAX(I21,T.Abendab))-MAX(0,T.Abendbis-MAX(T.Abendab,I22))+(I21&gt;I22)*(1+T.Abendab-T.Abendbis),9)),"")</f>
        <v/>
      </c>
      <c r="J80" s="256" t="str">
        <f aca="false">IF(T.50_Vetsuisse,IF(OR(J$12=0,J$11=0,WEEKDAY(J$10,2)&gt;5),0,ROUND(MAX(0,T.Abendbis-MAX(J13,T.Abendab))-MAX(0,T.Abendbis-MAX(T.Abendab,J14))+(J13&gt;J14)*(1+T.Abendab-T.Abendbis)+MAX(0,T.Abendbis-MAX(J15,T.Abendab))-MAX(0,T.Abendbis-MAX(T.Abendab,J16))+(J15&gt;J16)*(1+T.Abendab-T.Abendbis)+MAX(0,T.Abendbis-MAX(J17,T.Abendab))-MAX(0,T.Abendbis-MAX(T.Abendab,J18))+(J17&gt;J18)*(1+T.Abendab-T.Abendbis)+MAX(0,T.Abendbis-MAX(J19,T.Abendab))-MAX(0,T.Abendbis-MAX(T.Abendab,J20))+(J19&gt;J20)*(1+T.Abendab-T.Abendbis)+MAX(0,T.Abendbis-MAX(J21,T.Abendab))-MAX(0,T.Abendbis-MAX(T.Abendab,J22))+(J21&gt;J22)*(1+T.Abendab-T.Abendbis),9)),"")</f>
        <v/>
      </c>
      <c r="K80" s="256" t="str">
        <f aca="false">IF(T.50_Vetsuisse,IF(OR(K$12=0,K$11=0,WEEKDAY(K$10,2)&gt;5),0,ROUND(MAX(0,T.Abendbis-MAX(K13,T.Abendab))-MAX(0,T.Abendbis-MAX(T.Abendab,K14))+(K13&gt;K14)*(1+T.Abendab-T.Abendbis)+MAX(0,T.Abendbis-MAX(K15,T.Abendab))-MAX(0,T.Abendbis-MAX(T.Abendab,K16))+(K15&gt;K16)*(1+T.Abendab-T.Abendbis)+MAX(0,T.Abendbis-MAX(K17,T.Abendab))-MAX(0,T.Abendbis-MAX(T.Abendab,K18))+(K17&gt;K18)*(1+T.Abendab-T.Abendbis)+MAX(0,T.Abendbis-MAX(K19,T.Abendab))-MAX(0,T.Abendbis-MAX(T.Abendab,K20))+(K19&gt;K20)*(1+T.Abendab-T.Abendbis)+MAX(0,T.Abendbis-MAX(K21,T.Abendab))-MAX(0,T.Abendbis-MAX(T.Abendab,K22))+(K21&gt;K22)*(1+T.Abendab-T.Abendbis),9)),"")</f>
        <v/>
      </c>
      <c r="L80" s="256" t="str">
        <f aca="false">IF(T.50_Vetsuisse,IF(OR(L$12=0,L$11=0,WEEKDAY(L$10,2)&gt;5),0,ROUND(MAX(0,T.Abendbis-MAX(L13,T.Abendab))-MAX(0,T.Abendbis-MAX(T.Abendab,L14))+(L13&gt;L14)*(1+T.Abendab-T.Abendbis)+MAX(0,T.Abendbis-MAX(L15,T.Abendab))-MAX(0,T.Abendbis-MAX(T.Abendab,L16))+(L15&gt;L16)*(1+T.Abendab-T.Abendbis)+MAX(0,T.Abendbis-MAX(L17,T.Abendab))-MAX(0,T.Abendbis-MAX(T.Abendab,L18))+(L17&gt;L18)*(1+T.Abendab-T.Abendbis)+MAX(0,T.Abendbis-MAX(L19,T.Abendab))-MAX(0,T.Abendbis-MAX(T.Abendab,L20))+(L19&gt;L20)*(1+T.Abendab-T.Abendbis)+MAX(0,T.Abendbis-MAX(L21,T.Abendab))-MAX(0,T.Abendbis-MAX(T.Abendab,L22))+(L21&gt;L22)*(1+T.Abendab-T.Abendbis),9)),"")</f>
        <v/>
      </c>
      <c r="M80" s="256" t="str">
        <f aca="false">IF(T.50_Vetsuisse,IF(OR(M$12=0,M$11=0,WEEKDAY(M$10,2)&gt;5),0,ROUND(MAX(0,T.Abendbis-MAX(M13,T.Abendab))-MAX(0,T.Abendbis-MAX(T.Abendab,M14))+(M13&gt;M14)*(1+T.Abendab-T.Abendbis)+MAX(0,T.Abendbis-MAX(M15,T.Abendab))-MAX(0,T.Abendbis-MAX(T.Abendab,M16))+(M15&gt;M16)*(1+T.Abendab-T.Abendbis)+MAX(0,T.Abendbis-MAX(M17,T.Abendab))-MAX(0,T.Abendbis-MAX(T.Abendab,M18))+(M17&gt;M18)*(1+T.Abendab-T.Abendbis)+MAX(0,T.Abendbis-MAX(M19,T.Abendab))-MAX(0,T.Abendbis-MAX(T.Abendab,M20))+(M19&gt;M20)*(1+T.Abendab-T.Abendbis)+MAX(0,T.Abendbis-MAX(M21,T.Abendab))-MAX(0,T.Abendbis-MAX(T.Abendab,M22))+(M21&gt;M22)*(1+T.Abendab-T.Abendbis),9)),"")</f>
        <v/>
      </c>
      <c r="N80" s="256" t="str">
        <f aca="false">IF(T.50_Vetsuisse,IF(OR(N$12=0,N$11=0,WEEKDAY(N$10,2)&gt;5),0,ROUND(MAX(0,T.Abendbis-MAX(N13,T.Abendab))-MAX(0,T.Abendbis-MAX(T.Abendab,N14))+(N13&gt;N14)*(1+T.Abendab-T.Abendbis)+MAX(0,T.Abendbis-MAX(N15,T.Abendab))-MAX(0,T.Abendbis-MAX(T.Abendab,N16))+(N15&gt;N16)*(1+T.Abendab-T.Abendbis)+MAX(0,T.Abendbis-MAX(N17,T.Abendab))-MAX(0,T.Abendbis-MAX(T.Abendab,N18))+(N17&gt;N18)*(1+T.Abendab-T.Abendbis)+MAX(0,T.Abendbis-MAX(N19,T.Abendab))-MAX(0,T.Abendbis-MAX(T.Abendab,N20))+(N19&gt;N20)*(1+T.Abendab-T.Abendbis)+MAX(0,T.Abendbis-MAX(N21,T.Abendab))-MAX(0,T.Abendbis-MAX(T.Abendab,N22))+(N21&gt;N22)*(1+T.Abendab-T.Abendbis),9)),"")</f>
        <v/>
      </c>
      <c r="O80" s="256" t="str">
        <f aca="false">IF(T.50_Vetsuisse,IF(OR(O$12=0,O$11=0,WEEKDAY(O$10,2)&gt;5),0,ROUND(MAX(0,T.Abendbis-MAX(O13,T.Abendab))-MAX(0,T.Abendbis-MAX(T.Abendab,O14))+(O13&gt;O14)*(1+T.Abendab-T.Abendbis)+MAX(0,T.Abendbis-MAX(O15,T.Abendab))-MAX(0,T.Abendbis-MAX(T.Abendab,O16))+(O15&gt;O16)*(1+T.Abendab-T.Abendbis)+MAX(0,T.Abendbis-MAX(O17,T.Abendab))-MAX(0,T.Abendbis-MAX(T.Abendab,O18))+(O17&gt;O18)*(1+T.Abendab-T.Abendbis)+MAX(0,T.Abendbis-MAX(O19,T.Abendab))-MAX(0,T.Abendbis-MAX(T.Abendab,O20))+(O19&gt;O20)*(1+T.Abendab-T.Abendbis)+MAX(0,T.Abendbis-MAX(O21,T.Abendab))-MAX(0,T.Abendbis-MAX(T.Abendab,O22))+(O21&gt;O22)*(1+T.Abendab-T.Abendbis),9)),"")</f>
        <v/>
      </c>
      <c r="P80" s="256" t="str">
        <f aca="false">IF(T.50_Vetsuisse,IF(OR(P$12=0,P$11=0,WEEKDAY(P$10,2)&gt;5),0,ROUND(MAX(0,T.Abendbis-MAX(P13,T.Abendab))-MAX(0,T.Abendbis-MAX(T.Abendab,P14))+(P13&gt;P14)*(1+T.Abendab-T.Abendbis)+MAX(0,T.Abendbis-MAX(P15,T.Abendab))-MAX(0,T.Abendbis-MAX(T.Abendab,P16))+(P15&gt;P16)*(1+T.Abendab-T.Abendbis)+MAX(0,T.Abendbis-MAX(P17,T.Abendab))-MAX(0,T.Abendbis-MAX(T.Abendab,P18))+(P17&gt;P18)*(1+T.Abendab-T.Abendbis)+MAX(0,T.Abendbis-MAX(P19,T.Abendab))-MAX(0,T.Abendbis-MAX(T.Abendab,P20))+(P19&gt;P20)*(1+T.Abendab-T.Abendbis)+MAX(0,T.Abendbis-MAX(P21,T.Abendab))-MAX(0,T.Abendbis-MAX(T.Abendab,P22))+(P21&gt;P22)*(1+T.Abendab-T.Abendbis),9)),"")</f>
        <v/>
      </c>
      <c r="Q80" s="256" t="str">
        <f aca="false">IF(T.50_Vetsuisse,IF(OR(Q$12=0,Q$11=0,WEEKDAY(Q$10,2)&gt;5),0,ROUND(MAX(0,T.Abendbis-MAX(Q13,T.Abendab))-MAX(0,T.Abendbis-MAX(T.Abendab,Q14))+(Q13&gt;Q14)*(1+T.Abendab-T.Abendbis)+MAX(0,T.Abendbis-MAX(Q15,T.Abendab))-MAX(0,T.Abendbis-MAX(T.Abendab,Q16))+(Q15&gt;Q16)*(1+T.Abendab-T.Abendbis)+MAX(0,T.Abendbis-MAX(Q17,T.Abendab))-MAX(0,T.Abendbis-MAX(T.Abendab,Q18))+(Q17&gt;Q18)*(1+T.Abendab-T.Abendbis)+MAX(0,T.Abendbis-MAX(Q19,T.Abendab))-MAX(0,T.Abendbis-MAX(T.Abendab,Q20))+(Q19&gt;Q20)*(1+T.Abendab-T.Abendbis)+MAX(0,T.Abendbis-MAX(Q21,T.Abendab))-MAX(0,T.Abendbis-MAX(T.Abendab,Q22))+(Q21&gt;Q22)*(1+T.Abendab-T.Abendbis),9)),"")</f>
        <v/>
      </c>
      <c r="R80" s="256" t="str">
        <f aca="false">IF(T.50_Vetsuisse,IF(OR(R$12=0,R$11=0,WEEKDAY(R$10,2)&gt;5),0,ROUND(MAX(0,T.Abendbis-MAX(R13,T.Abendab))-MAX(0,T.Abendbis-MAX(T.Abendab,R14))+(R13&gt;R14)*(1+T.Abendab-T.Abendbis)+MAX(0,T.Abendbis-MAX(R15,T.Abendab))-MAX(0,T.Abendbis-MAX(T.Abendab,R16))+(R15&gt;R16)*(1+T.Abendab-T.Abendbis)+MAX(0,T.Abendbis-MAX(R17,T.Abendab))-MAX(0,T.Abendbis-MAX(T.Abendab,R18))+(R17&gt;R18)*(1+T.Abendab-T.Abendbis)+MAX(0,T.Abendbis-MAX(R19,T.Abendab))-MAX(0,T.Abendbis-MAX(T.Abendab,R20))+(R19&gt;R20)*(1+T.Abendab-T.Abendbis)+MAX(0,T.Abendbis-MAX(R21,T.Abendab))-MAX(0,T.Abendbis-MAX(T.Abendab,R22))+(R21&gt;R22)*(1+T.Abendab-T.Abendbis),9)),"")</f>
        <v/>
      </c>
      <c r="S80" s="256" t="str">
        <f aca="false">IF(T.50_Vetsuisse,IF(OR(S$12=0,S$11=0,WEEKDAY(S$10,2)&gt;5),0,ROUND(MAX(0,T.Abendbis-MAX(S13,T.Abendab))-MAX(0,T.Abendbis-MAX(T.Abendab,S14))+(S13&gt;S14)*(1+T.Abendab-T.Abendbis)+MAX(0,T.Abendbis-MAX(S15,T.Abendab))-MAX(0,T.Abendbis-MAX(T.Abendab,S16))+(S15&gt;S16)*(1+T.Abendab-T.Abendbis)+MAX(0,T.Abendbis-MAX(S17,T.Abendab))-MAX(0,T.Abendbis-MAX(T.Abendab,S18))+(S17&gt;S18)*(1+T.Abendab-T.Abendbis)+MAX(0,T.Abendbis-MAX(S19,T.Abendab))-MAX(0,T.Abendbis-MAX(T.Abendab,S20))+(S19&gt;S20)*(1+T.Abendab-T.Abendbis)+MAX(0,T.Abendbis-MAX(S21,T.Abendab))-MAX(0,T.Abendbis-MAX(T.Abendab,S22))+(S21&gt;S22)*(1+T.Abendab-T.Abendbis),9)),"")</f>
        <v/>
      </c>
      <c r="T80" s="256" t="str">
        <f aca="false">IF(T.50_Vetsuisse,IF(OR(T$12=0,T$11=0,WEEKDAY(T$10,2)&gt;5),0,ROUND(MAX(0,T.Abendbis-MAX(T13,T.Abendab))-MAX(0,T.Abendbis-MAX(T.Abendab,T14))+(T13&gt;T14)*(1+T.Abendab-T.Abendbis)+MAX(0,T.Abendbis-MAX(T15,T.Abendab))-MAX(0,T.Abendbis-MAX(T.Abendab,T16))+(T15&gt;T16)*(1+T.Abendab-T.Abendbis)+MAX(0,T.Abendbis-MAX(T17,T.Abendab))-MAX(0,T.Abendbis-MAX(T.Abendab,T18))+(T17&gt;T18)*(1+T.Abendab-T.Abendbis)+MAX(0,T.Abendbis-MAX(T19,T.Abendab))-MAX(0,T.Abendbis-MAX(T.Abendab,T20))+(T19&gt;T20)*(1+T.Abendab-T.Abendbis)+MAX(0,T.Abendbis-MAX(T21,T.Abendab))-MAX(0,T.Abendbis-MAX(T.Abendab,T22))+(T21&gt;T22)*(1+T.Abendab-T.Abendbis),9)),"")</f>
        <v/>
      </c>
      <c r="U80" s="256" t="str">
        <f aca="false">IF(T.50_Vetsuisse,IF(OR(U$12=0,U$11=0,WEEKDAY(U$10,2)&gt;5),0,ROUND(MAX(0,T.Abendbis-MAX(U13,T.Abendab))-MAX(0,T.Abendbis-MAX(T.Abendab,U14))+(U13&gt;U14)*(1+T.Abendab-T.Abendbis)+MAX(0,T.Abendbis-MAX(U15,T.Abendab))-MAX(0,T.Abendbis-MAX(T.Abendab,U16))+(U15&gt;U16)*(1+T.Abendab-T.Abendbis)+MAX(0,T.Abendbis-MAX(U17,T.Abendab))-MAX(0,T.Abendbis-MAX(T.Abendab,U18))+(U17&gt;U18)*(1+T.Abendab-T.Abendbis)+MAX(0,T.Abendbis-MAX(U19,T.Abendab))-MAX(0,T.Abendbis-MAX(T.Abendab,U20))+(U19&gt;U20)*(1+T.Abendab-T.Abendbis)+MAX(0,T.Abendbis-MAX(U21,T.Abendab))-MAX(0,T.Abendbis-MAX(T.Abendab,U22))+(U21&gt;U22)*(1+T.Abendab-T.Abendbis),9)),"")</f>
        <v/>
      </c>
      <c r="V80" s="256" t="str">
        <f aca="false">IF(T.50_Vetsuisse,IF(OR(V$12=0,V$11=0,WEEKDAY(V$10,2)&gt;5),0,ROUND(MAX(0,T.Abendbis-MAX(V13,T.Abendab))-MAX(0,T.Abendbis-MAX(T.Abendab,V14))+(V13&gt;V14)*(1+T.Abendab-T.Abendbis)+MAX(0,T.Abendbis-MAX(V15,T.Abendab))-MAX(0,T.Abendbis-MAX(T.Abendab,V16))+(V15&gt;V16)*(1+T.Abendab-T.Abendbis)+MAX(0,T.Abendbis-MAX(V17,T.Abendab))-MAX(0,T.Abendbis-MAX(T.Abendab,V18))+(V17&gt;V18)*(1+T.Abendab-T.Abendbis)+MAX(0,T.Abendbis-MAX(V19,T.Abendab))-MAX(0,T.Abendbis-MAX(T.Abendab,V20))+(V19&gt;V20)*(1+T.Abendab-T.Abendbis)+MAX(0,T.Abendbis-MAX(V21,T.Abendab))-MAX(0,T.Abendbis-MAX(T.Abendab,V22))+(V21&gt;V22)*(1+T.Abendab-T.Abendbis),9)),"")</f>
        <v/>
      </c>
      <c r="W80" s="256" t="str">
        <f aca="false">IF(T.50_Vetsuisse,IF(OR(W$12=0,W$11=0,WEEKDAY(W$10,2)&gt;5),0,ROUND(MAX(0,T.Abendbis-MAX(W13,T.Abendab))-MAX(0,T.Abendbis-MAX(T.Abendab,W14))+(W13&gt;W14)*(1+T.Abendab-T.Abendbis)+MAX(0,T.Abendbis-MAX(W15,T.Abendab))-MAX(0,T.Abendbis-MAX(T.Abendab,W16))+(W15&gt;W16)*(1+T.Abendab-T.Abendbis)+MAX(0,T.Abendbis-MAX(W17,T.Abendab))-MAX(0,T.Abendbis-MAX(T.Abendab,W18))+(W17&gt;W18)*(1+T.Abendab-T.Abendbis)+MAX(0,T.Abendbis-MAX(W19,T.Abendab))-MAX(0,T.Abendbis-MAX(T.Abendab,W20))+(W19&gt;W20)*(1+T.Abendab-T.Abendbis)+MAX(0,T.Abendbis-MAX(W21,T.Abendab))-MAX(0,T.Abendbis-MAX(T.Abendab,W22))+(W21&gt;W22)*(1+T.Abendab-T.Abendbis),9)),"")</f>
        <v/>
      </c>
      <c r="X80" s="256" t="str">
        <f aca="false">IF(T.50_Vetsuisse,IF(OR(X$12=0,X$11=0,WEEKDAY(X$10,2)&gt;5),0,ROUND(MAX(0,T.Abendbis-MAX(X13,T.Abendab))-MAX(0,T.Abendbis-MAX(T.Abendab,X14))+(X13&gt;X14)*(1+T.Abendab-T.Abendbis)+MAX(0,T.Abendbis-MAX(X15,T.Abendab))-MAX(0,T.Abendbis-MAX(T.Abendab,X16))+(X15&gt;X16)*(1+T.Abendab-T.Abendbis)+MAX(0,T.Abendbis-MAX(X17,T.Abendab))-MAX(0,T.Abendbis-MAX(T.Abendab,X18))+(X17&gt;X18)*(1+T.Abendab-T.Abendbis)+MAX(0,T.Abendbis-MAX(X19,T.Abendab))-MAX(0,T.Abendbis-MAX(T.Abendab,X20))+(X19&gt;X20)*(1+T.Abendab-T.Abendbis)+MAX(0,T.Abendbis-MAX(X21,T.Abendab))-MAX(0,T.Abendbis-MAX(T.Abendab,X22))+(X21&gt;X22)*(1+T.Abendab-T.Abendbis),9)),"")</f>
        <v/>
      </c>
      <c r="Y80" s="256" t="str">
        <f aca="false">IF(T.50_Vetsuisse,IF(OR(Y$12=0,Y$11=0,WEEKDAY(Y$10,2)&gt;5),0,ROUND(MAX(0,T.Abendbis-MAX(Y13,T.Abendab))-MAX(0,T.Abendbis-MAX(T.Abendab,Y14))+(Y13&gt;Y14)*(1+T.Abendab-T.Abendbis)+MAX(0,T.Abendbis-MAX(Y15,T.Abendab))-MAX(0,T.Abendbis-MAX(T.Abendab,Y16))+(Y15&gt;Y16)*(1+T.Abendab-T.Abendbis)+MAX(0,T.Abendbis-MAX(Y17,T.Abendab))-MAX(0,T.Abendbis-MAX(T.Abendab,Y18))+(Y17&gt;Y18)*(1+T.Abendab-T.Abendbis)+MAX(0,T.Abendbis-MAX(Y19,T.Abendab))-MAX(0,T.Abendbis-MAX(T.Abendab,Y20))+(Y19&gt;Y20)*(1+T.Abendab-T.Abendbis)+MAX(0,T.Abendbis-MAX(Y21,T.Abendab))-MAX(0,T.Abendbis-MAX(T.Abendab,Y22))+(Y21&gt;Y22)*(1+T.Abendab-T.Abendbis),9)),"")</f>
        <v/>
      </c>
      <c r="Z80" s="256" t="str">
        <f aca="false">IF(T.50_Vetsuisse,IF(OR(Z$12=0,Z$11=0,WEEKDAY(Z$10,2)&gt;5),0,ROUND(MAX(0,T.Abendbis-MAX(Z13,T.Abendab))-MAX(0,T.Abendbis-MAX(T.Abendab,Z14))+(Z13&gt;Z14)*(1+T.Abendab-T.Abendbis)+MAX(0,T.Abendbis-MAX(Z15,T.Abendab))-MAX(0,T.Abendbis-MAX(T.Abendab,Z16))+(Z15&gt;Z16)*(1+T.Abendab-T.Abendbis)+MAX(0,T.Abendbis-MAX(Z17,T.Abendab))-MAX(0,T.Abendbis-MAX(T.Abendab,Z18))+(Z17&gt;Z18)*(1+T.Abendab-T.Abendbis)+MAX(0,T.Abendbis-MAX(Z19,T.Abendab))-MAX(0,T.Abendbis-MAX(T.Abendab,Z20))+(Z19&gt;Z20)*(1+T.Abendab-T.Abendbis)+MAX(0,T.Abendbis-MAX(Z21,T.Abendab))-MAX(0,T.Abendbis-MAX(T.Abendab,Z22))+(Z21&gt;Z22)*(1+T.Abendab-T.Abendbis),9)),"")</f>
        <v/>
      </c>
      <c r="AA80" s="256" t="str">
        <f aca="false">IF(T.50_Vetsuisse,IF(OR(AA$12=0,AA$11=0,WEEKDAY(AA$10,2)&gt;5),0,ROUND(MAX(0,T.Abendbis-MAX(AA13,T.Abendab))-MAX(0,T.Abendbis-MAX(T.Abendab,AA14))+(AA13&gt;AA14)*(1+T.Abendab-T.Abendbis)+MAX(0,T.Abendbis-MAX(AA15,T.Abendab))-MAX(0,T.Abendbis-MAX(T.Abendab,AA16))+(AA15&gt;AA16)*(1+T.Abendab-T.Abendbis)+MAX(0,T.Abendbis-MAX(AA17,T.Abendab))-MAX(0,T.Abendbis-MAX(T.Abendab,AA18))+(AA17&gt;AA18)*(1+T.Abendab-T.Abendbis)+MAX(0,T.Abendbis-MAX(AA19,T.Abendab))-MAX(0,T.Abendbis-MAX(T.Abendab,AA20))+(AA19&gt;AA20)*(1+T.Abendab-T.Abendbis)+MAX(0,T.Abendbis-MAX(AA21,T.Abendab))-MAX(0,T.Abendbis-MAX(T.Abendab,AA22))+(AA21&gt;AA22)*(1+T.Abendab-T.Abendbis),9)),"")</f>
        <v/>
      </c>
      <c r="AB80" s="256" t="str">
        <f aca="false">IF(T.50_Vetsuisse,IF(OR(AB$12=0,AB$11=0,WEEKDAY(AB$10,2)&gt;5),0,ROUND(MAX(0,T.Abendbis-MAX(AB13,T.Abendab))-MAX(0,T.Abendbis-MAX(T.Abendab,AB14))+(AB13&gt;AB14)*(1+T.Abendab-T.Abendbis)+MAX(0,T.Abendbis-MAX(AB15,T.Abendab))-MAX(0,T.Abendbis-MAX(T.Abendab,AB16))+(AB15&gt;AB16)*(1+T.Abendab-T.Abendbis)+MAX(0,T.Abendbis-MAX(AB17,T.Abendab))-MAX(0,T.Abendbis-MAX(T.Abendab,AB18))+(AB17&gt;AB18)*(1+T.Abendab-T.Abendbis)+MAX(0,T.Abendbis-MAX(AB19,T.Abendab))-MAX(0,T.Abendbis-MAX(T.Abendab,AB20))+(AB19&gt;AB20)*(1+T.Abendab-T.Abendbis)+MAX(0,T.Abendbis-MAX(AB21,T.Abendab))-MAX(0,T.Abendbis-MAX(T.Abendab,AB22))+(AB21&gt;AB22)*(1+T.Abendab-T.Abendbis),9)),"")</f>
        <v/>
      </c>
      <c r="AC80" s="256" t="str">
        <f aca="false">IF(T.50_Vetsuisse,IF(OR(AC$12=0,AC$11=0,WEEKDAY(AC$10,2)&gt;5),0,ROUND(MAX(0,T.Abendbis-MAX(AC13,T.Abendab))-MAX(0,T.Abendbis-MAX(T.Abendab,AC14))+(AC13&gt;AC14)*(1+T.Abendab-T.Abendbis)+MAX(0,T.Abendbis-MAX(AC15,T.Abendab))-MAX(0,T.Abendbis-MAX(T.Abendab,AC16))+(AC15&gt;AC16)*(1+T.Abendab-T.Abendbis)+MAX(0,T.Abendbis-MAX(AC17,T.Abendab))-MAX(0,T.Abendbis-MAX(T.Abendab,AC18))+(AC17&gt;AC18)*(1+T.Abendab-T.Abendbis)+MAX(0,T.Abendbis-MAX(AC19,T.Abendab))-MAX(0,T.Abendbis-MAX(T.Abendab,AC20))+(AC19&gt;AC20)*(1+T.Abendab-T.Abendbis)+MAX(0,T.Abendbis-MAX(AC21,T.Abendab))-MAX(0,T.Abendbis-MAX(T.Abendab,AC22))+(AC21&gt;AC22)*(1+T.Abendab-T.Abendbis),9)),"")</f>
        <v/>
      </c>
      <c r="AD80" s="256" t="str">
        <f aca="false">IF(T.50_Vetsuisse,IF(OR(AD$12=0,AD$11=0,WEEKDAY(AD$10,2)&gt;5),0,ROUND(MAX(0,T.Abendbis-MAX(AD13,T.Abendab))-MAX(0,T.Abendbis-MAX(T.Abendab,AD14))+(AD13&gt;AD14)*(1+T.Abendab-T.Abendbis)+MAX(0,T.Abendbis-MAX(AD15,T.Abendab))-MAX(0,T.Abendbis-MAX(T.Abendab,AD16))+(AD15&gt;AD16)*(1+T.Abendab-T.Abendbis)+MAX(0,T.Abendbis-MAX(AD17,T.Abendab))-MAX(0,T.Abendbis-MAX(T.Abendab,AD18))+(AD17&gt;AD18)*(1+T.Abendab-T.Abendbis)+MAX(0,T.Abendbis-MAX(AD19,T.Abendab))-MAX(0,T.Abendbis-MAX(T.Abendab,AD20))+(AD19&gt;AD20)*(1+T.Abendab-T.Abendbis)+MAX(0,T.Abendbis-MAX(AD21,T.Abendab))-MAX(0,T.Abendbis-MAX(T.Abendab,AD22))+(AD21&gt;AD22)*(1+T.Abendab-T.Abendbis),9)),"")</f>
        <v/>
      </c>
      <c r="AE80" s="256" t="str">
        <f aca="false">IF(T.50_Vetsuisse,IF(OR(AE$12=0,AE$11=0,WEEKDAY(AE$10,2)&gt;5),0,ROUND(MAX(0,T.Abendbis-MAX(AE13,T.Abendab))-MAX(0,T.Abendbis-MAX(T.Abendab,AE14))+(AE13&gt;AE14)*(1+T.Abendab-T.Abendbis)+MAX(0,T.Abendbis-MAX(AE15,T.Abendab))-MAX(0,T.Abendbis-MAX(T.Abendab,AE16))+(AE15&gt;AE16)*(1+T.Abendab-T.Abendbis)+MAX(0,T.Abendbis-MAX(AE17,T.Abendab))-MAX(0,T.Abendbis-MAX(T.Abendab,AE18))+(AE17&gt;AE18)*(1+T.Abendab-T.Abendbis)+MAX(0,T.Abendbis-MAX(AE19,T.Abendab))-MAX(0,T.Abendbis-MAX(T.Abendab,AE20))+(AE19&gt;AE20)*(1+T.Abendab-T.Abendbis)+MAX(0,T.Abendbis-MAX(AE21,T.Abendab))-MAX(0,T.Abendbis-MAX(T.Abendab,AE22))+(AE21&gt;AE22)*(1+T.Abendab-T.Abendbis),9)),"")</f>
        <v/>
      </c>
      <c r="AF80" s="168" t="str">
        <f aca="false">A80</f>
        <v>Evening work</v>
      </c>
      <c r="AG80" s="250"/>
      <c r="AH80" s="207" t="n">
        <f aca="false">SUM(B80:AE80)</f>
        <v>0</v>
      </c>
      <c r="AI80" s="33"/>
      <c r="AJ80" s="192"/>
      <c r="AK80" s="216" t="n">
        <f aca="false">IF(EB.Anwendung&lt;&gt;"",IF(MONTH(Monat.Tag1)=1,0,IF(MONTH(Monat.Tag1)=2,January!Monat.AAUeVM,IF(MONTH(Monat.Tag1)=3,February!Monat.AAUeVM,IF(MONTH(Monat.Tag1)=4,March!Monat.AAUeVM,IF(MONTH(Monat.Tag1)=5,April!Monat.AAUeVM,IF(MONTH(Monat.Tag1)=6,May!Monat.AAUeVM,IF(MONTH(Monat.Tag1)=7,Monat.AAUeVM,IF(MONTH(Monat.Tag1)=8,July!Monat.AAUeVM,IF(MONTH(Monat.Tag1)=9,August!Monat.AAUeVM,IF(MONTH(Monat.Tag1)=10,September!Monat.AAUeVM,IF(MONTH(Monat.Tag1)=11,October!Monat.AAUeVM,IF(MONTH(Monat.Tag1)=12,November!Monat.AAUeVM,"")))))))))))),"")</f>
        <v>0</v>
      </c>
      <c r="AL80" s="172"/>
      <c r="AM80" s="217" t="n">
        <f aca="false">AH80+AK80</f>
        <v>0</v>
      </c>
      <c r="AN80" s="171"/>
      <c r="AO80" s="171"/>
      <c r="AP80" s="39"/>
    </row>
    <row r="81" s="148" customFormat="true" ht="15" hidden="false" customHeight="true" outlineLevel="1" collapsed="false">
      <c r="A81" s="175" t="s">
        <v>164</v>
      </c>
      <c r="B81" s="256" t="n">
        <f aca="true">IF(EB.Wochenarbeitszeit=50/24,"",IF(B$12=0,0,IF(OR(WEEKDAY(B$10,2)&gt;5,B$11=0),IF(NOT(B$34=INDEX(T.Pikett.Bereich,1)),1,0),IF(WEEKDAY(B$10,2)&lt;6,IF(AND(OR(B$34=INDEX(T.Pikett.Bereich,2),B$34=INDEX(T.Pikett.Bereich,3)),B$11=1),8/24,0))+IF(WEEKDAY(B$10,2)&lt;6,IF(AND(OR(B$34=INDEX(T.Pikett.Bereich,2),B$34=INDEX(T.Pikett.Bereich,3)),B$11=6/8.4),10/24,0)) +IF(WEEKDAY(B$10,2)&lt;6,IF(AND(OR(B$34=INDEX(T.Pikett.Bereich,2),B$34=INDEX(T.Pikett.Bereich,3)),B$11=0.5),0.5,0)) +IF(AND(B$34=INDEX(T.Pikett.Bereich,4),B$11=6/8.4),0.75,0)+IF(AND(B$34=INDEX(T.Pikett.Bereich,4),B$11=1),16/24,0) +IF(AND(B$34=INDEX(T.Pikett.Bereich,4),B$11=0.5),20/24,0))))</f>
        <v>0</v>
      </c>
      <c r="C81" s="256" t="n">
        <f aca="true">IF(EB.Wochenarbeitszeit=50/24,"",IF(C$12=0,0,IF(OR(WEEKDAY(C$10,2)&gt;5,C$11=0),IF(NOT(C$34=INDEX(T.Pikett.Bereich,1)),1,0),IF(WEEKDAY(C$10,2)&lt;6,IF(AND(OR(C$34=INDEX(T.Pikett.Bereich,2),C$34=INDEX(T.Pikett.Bereich,3)),C$11=1),8/24,0))+IF(WEEKDAY(C$10,2)&lt;6,IF(AND(OR(C$34=INDEX(T.Pikett.Bereich,2),C$34=INDEX(T.Pikett.Bereich,3)),C$11=6/8.4),10/24,0)) +IF(WEEKDAY(C$10,2)&lt;6,IF(AND(OR(C$34=INDEX(T.Pikett.Bereich,2),C$34=INDEX(T.Pikett.Bereich,3)),C$11=0.5),0.5,0)) +IF(AND(C$34=INDEX(T.Pikett.Bereich,4),C$11=6/8.4),0.75,0)+IF(AND(C$34=INDEX(T.Pikett.Bereich,4),C$11=1),16/24,0) +IF(AND(C$34=INDEX(T.Pikett.Bereich,4),C$11=0.5),20/24,0))))</f>
        <v>0</v>
      </c>
      <c r="D81" s="256" t="n">
        <f aca="true">IF(EB.Wochenarbeitszeit=50/24,"",IF(D$12=0,0,IF(OR(WEEKDAY(D$10,2)&gt;5,D$11=0),IF(NOT(D$34=INDEX(T.Pikett.Bereich,1)),1,0),IF(WEEKDAY(D$10,2)&lt;6,IF(AND(OR(D$34=INDEX(T.Pikett.Bereich,2),D$34=INDEX(T.Pikett.Bereich,3)),D$11=1),8/24,0))+IF(WEEKDAY(D$10,2)&lt;6,IF(AND(OR(D$34=INDEX(T.Pikett.Bereich,2),D$34=INDEX(T.Pikett.Bereich,3)),D$11=6/8.4),10/24,0)) +IF(WEEKDAY(D$10,2)&lt;6,IF(AND(OR(D$34=INDEX(T.Pikett.Bereich,2),D$34=INDEX(T.Pikett.Bereich,3)),D$11=0.5),0.5,0)) +IF(AND(D$34=INDEX(T.Pikett.Bereich,4),D$11=6/8.4),0.75,0)+IF(AND(D$34=INDEX(T.Pikett.Bereich,4),D$11=1),16/24,0) +IF(AND(D$34=INDEX(T.Pikett.Bereich,4),D$11=0.5),20/24,0))))</f>
        <v>0</v>
      </c>
      <c r="E81" s="256" t="n">
        <f aca="true">IF(EB.Wochenarbeitszeit=50/24,"",IF(E$12=0,0,IF(OR(WEEKDAY(E$10,2)&gt;5,E$11=0),IF(NOT(E$34=INDEX(T.Pikett.Bereich,1)),1,0),IF(WEEKDAY(E$10,2)&lt;6,IF(AND(OR(E$34=INDEX(T.Pikett.Bereich,2),E$34=INDEX(T.Pikett.Bereich,3)),E$11=1),8/24,0))+IF(WEEKDAY(E$10,2)&lt;6,IF(AND(OR(E$34=INDEX(T.Pikett.Bereich,2),E$34=INDEX(T.Pikett.Bereich,3)),E$11=6/8.4),10/24,0)) +IF(WEEKDAY(E$10,2)&lt;6,IF(AND(OR(E$34=INDEX(T.Pikett.Bereich,2),E$34=INDEX(T.Pikett.Bereich,3)),E$11=0.5),0.5,0)) +IF(AND(E$34=INDEX(T.Pikett.Bereich,4),E$11=6/8.4),0.75,0)+IF(AND(E$34=INDEX(T.Pikett.Bereich,4),E$11=1),16/24,0) +IF(AND(E$34=INDEX(T.Pikett.Bereich,4),E$11=0.5),20/24,0))))</f>
        <v>0</v>
      </c>
      <c r="F81" s="256" t="n">
        <f aca="true">IF(EB.Wochenarbeitszeit=50/24,"",IF(F$12=0,0,IF(OR(WEEKDAY(F$10,2)&gt;5,F$11=0),IF(NOT(F$34=INDEX(T.Pikett.Bereich,1)),1,0),IF(WEEKDAY(F$10,2)&lt;6,IF(AND(OR(F$34=INDEX(T.Pikett.Bereich,2),F$34=INDEX(T.Pikett.Bereich,3)),F$11=1),8/24,0))+IF(WEEKDAY(F$10,2)&lt;6,IF(AND(OR(F$34=INDEX(T.Pikett.Bereich,2),F$34=INDEX(T.Pikett.Bereich,3)),F$11=6/8.4),10/24,0)) +IF(WEEKDAY(F$10,2)&lt;6,IF(AND(OR(F$34=INDEX(T.Pikett.Bereich,2),F$34=INDEX(T.Pikett.Bereich,3)),F$11=0.5),0.5,0)) +IF(AND(F$34=INDEX(T.Pikett.Bereich,4),F$11=6/8.4),0.75,0)+IF(AND(F$34=INDEX(T.Pikett.Bereich,4),F$11=1),16/24,0) +IF(AND(F$34=INDEX(T.Pikett.Bereich,4),F$11=0.5),20/24,0))))</f>
        <v>0</v>
      </c>
      <c r="G81" s="256" t="n">
        <f aca="true">IF(EB.Wochenarbeitszeit=50/24,"",IF(G$12=0,0,IF(OR(WEEKDAY(G$10,2)&gt;5,G$11=0),IF(NOT(G$34=INDEX(T.Pikett.Bereich,1)),1,0),IF(WEEKDAY(G$10,2)&lt;6,IF(AND(OR(G$34=INDEX(T.Pikett.Bereich,2),G$34=INDEX(T.Pikett.Bereich,3)),G$11=1),8/24,0))+IF(WEEKDAY(G$10,2)&lt;6,IF(AND(OR(G$34=INDEX(T.Pikett.Bereich,2),G$34=INDEX(T.Pikett.Bereich,3)),G$11=6/8.4),10/24,0)) +IF(WEEKDAY(G$10,2)&lt;6,IF(AND(OR(G$34=INDEX(T.Pikett.Bereich,2),G$34=INDEX(T.Pikett.Bereich,3)),G$11=0.5),0.5,0)) +IF(AND(G$34=INDEX(T.Pikett.Bereich,4),G$11=6/8.4),0.75,0)+IF(AND(G$34=INDEX(T.Pikett.Bereich,4),G$11=1),16/24,0) +IF(AND(G$34=INDEX(T.Pikett.Bereich,4),G$11=0.5),20/24,0))))</f>
        <v>0</v>
      </c>
      <c r="H81" s="256" t="n">
        <f aca="true">IF(EB.Wochenarbeitszeit=50/24,"",IF(H$12=0,0,IF(OR(WEEKDAY(H$10,2)&gt;5,H$11=0),IF(NOT(H$34=INDEX(T.Pikett.Bereich,1)),1,0),IF(WEEKDAY(H$10,2)&lt;6,IF(AND(OR(H$34=INDEX(T.Pikett.Bereich,2),H$34=INDEX(T.Pikett.Bereich,3)),H$11=1),8/24,0))+IF(WEEKDAY(H$10,2)&lt;6,IF(AND(OR(H$34=INDEX(T.Pikett.Bereich,2),H$34=INDEX(T.Pikett.Bereich,3)),H$11=6/8.4),10/24,0)) +IF(WEEKDAY(H$10,2)&lt;6,IF(AND(OR(H$34=INDEX(T.Pikett.Bereich,2),H$34=INDEX(T.Pikett.Bereich,3)),H$11=0.5),0.5,0)) +IF(AND(H$34=INDEX(T.Pikett.Bereich,4),H$11=6/8.4),0.75,0)+IF(AND(H$34=INDEX(T.Pikett.Bereich,4),H$11=1),16/24,0) +IF(AND(H$34=INDEX(T.Pikett.Bereich,4),H$11=0.5),20/24,0))))</f>
        <v>0</v>
      </c>
      <c r="I81" s="256" t="n">
        <f aca="true">IF(EB.Wochenarbeitszeit=50/24,"",IF(I$12=0,0,IF(OR(WEEKDAY(I$10,2)&gt;5,I$11=0),IF(NOT(I$34=INDEX(T.Pikett.Bereich,1)),1,0),IF(WEEKDAY(I$10,2)&lt;6,IF(AND(OR(I$34=INDEX(T.Pikett.Bereich,2),I$34=INDEX(T.Pikett.Bereich,3)),I$11=1),8/24,0))+IF(WEEKDAY(I$10,2)&lt;6,IF(AND(OR(I$34=INDEX(T.Pikett.Bereich,2),I$34=INDEX(T.Pikett.Bereich,3)),I$11=6/8.4),10/24,0)) +IF(WEEKDAY(I$10,2)&lt;6,IF(AND(OR(I$34=INDEX(T.Pikett.Bereich,2),I$34=INDEX(T.Pikett.Bereich,3)),I$11=0.5),0.5,0)) +IF(AND(I$34=INDEX(T.Pikett.Bereich,4),I$11=6/8.4),0.75,0)+IF(AND(I$34=INDEX(T.Pikett.Bereich,4),I$11=1),16/24,0) +IF(AND(I$34=INDEX(T.Pikett.Bereich,4),I$11=0.5),20/24,0))))</f>
        <v>0</v>
      </c>
      <c r="J81" s="256" t="n">
        <f aca="true">IF(EB.Wochenarbeitszeit=50/24,"",IF(J$12=0,0,IF(OR(WEEKDAY(J$10,2)&gt;5,J$11=0),IF(NOT(J$34=INDEX(T.Pikett.Bereich,1)),1,0),IF(WEEKDAY(J$10,2)&lt;6,IF(AND(OR(J$34=INDEX(T.Pikett.Bereich,2),J$34=INDEX(T.Pikett.Bereich,3)),J$11=1),8/24,0))+IF(WEEKDAY(J$10,2)&lt;6,IF(AND(OR(J$34=INDEX(T.Pikett.Bereich,2),J$34=INDEX(T.Pikett.Bereich,3)),J$11=6/8.4),10/24,0)) +IF(WEEKDAY(J$10,2)&lt;6,IF(AND(OR(J$34=INDEX(T.Pikett.Bereich,2),J$34=INDEX(T.Pikett.Bereich,3)),J$11=0.5),0.5,0)) +IF(AND(J$34=INDEX(T.Pikett.Bereich,4),J$11=6/8.4),0.75,0)+IF(AND(J$34=INDEX(T.Pikett.Bereich,4),J$11=1),16/24,0) +IF(AND(J$34=INDEX(T.Pikett.Bereich,4),J$11=0.5),20/24,0))))</f>
        <v>0</v>
      </c>
      <c r="K81" s="256" t="n">
        <f aca="true">IF(EB.Wochenarbeitszeit=50/24,"",IF(K$12=0,0,IF(OR(WEEKDAY(K$10,2)&gt;5,K$11=0),IF(NOT(K$34=INDEX(T.Pikett.Bereich,1)),1,0),IF(WEEKDAY(K$10,2)&lt;6,IF(AND(OR(K$34=INDEX(T.Pikett.Bereich,2),K$34=INDEX(T.Pikett.Bereich,3)),K$11=1),8/24,0))+IF(WEEKDAY(K$10,2)&lt;6,IF(AND(OR(K$34=INDEX(T.Pikett.Bereich,2),K$34=INDEX(T.Pikett.Bereich,3)),K$11=6/8.4),10/24,0)) +IF(WEEKDAY(K$10,2)&lt;6,IF(AND(OR(K$34=INDEX(T.Pikett.Bereich,2),K$34=INDEX(T.Pikett.Bereich,3)),K$11=0.5),0.5,0)) +IF(AND(K$34=INDEX(T.Pikett.Bereich,4),K$11=6/8.4),0.75,0)+IF(AND(K$34=INDEX(T.Pikett.Bereich,4),K$11=1),16/24,0) +IF(AND(K$34=INDEX(T.Pikett.Bereich,4),K$11=0.5),20/24,0))))</f>
        <v>0</v>
      </c>
      <c r="L81" s="256" t="n">
        <f aca="true">IF(EB.Wochenarbeitszeit=50/24,"",IF(L$12=0,0,IF(OR(WEEKDAY(L$10,2)&gt;5,L$11=0),IF(NOT(L$34=INDEX(T.Pikett.Bereich,1)),1,0),IF(WEEKDAY(L$10,2)&lt;6,IF(AND(OR(L$34=INDEX(T.Pikett.Bereich,2),L$34=INDEX(T.Pikett.Bereich,3)),L$11=1),8/24,0))+IF(WEEKDAY(L$10,2)&lt;6,IF(AND(OR(L$34=INDEX(T.Pikett.Bereich,2),L$34=INDEX(T.Pikett.Bereich,3)),L$11=6/8.4),10/24,0)) +IF(WEEKDAY(L$10,2)&lt;6,IF(AND(OR(L$34=INDEX(T.Pikett.Bereich,2),L$34=INDEX(T.Pikett.Bereich,3)),L$11=0.5),0.5,0)) +IF(AND(L$34=INDEX(T.Pikett.Bereich,4),L$11=6/8.4),0.75,0)+IF(AND(L$34=INDEX(T.Pikett.Bereich,4),L$11=1),16/24,0) +IF(AND(L$34=INDEX(T.Pikett.Bereich,4),L$11=0.5),20/24,0))))</f>
        <v>0</v>
      </c>
      <c r="M81" s="256" t="n">
        <f aca="true">IF(EB.Wochenarbeitszeit=50/24,"",IF(M$12=0,0,IF(OR(WEEKDAY(M$10,2)&gt;5,M$11=0),IF(NOT(M$34=INDEX(T.Pikett.Bereich,1)),1,0),IF(WEEKDAY(M$10,2)&lt;6,IF(AND(OR(M$34=INDEX(T.Pikett.Bereich,2),M$34=INDEX(T.Pikett.Bereich,3)),M$11=1),8/24,0))+IF(WEEKDAY(M$10,2)&lt;6,IF(AND(OR(M$34=INDEX(T.Pikett.Bereich,2),M$34=INDEX(T.Pikett.Bereich,3)),M$11=6/8.4),10/24,0)) +IF(WEEKDAY(M$10,2)&lt;6,IF(AND(OR(M$34=INDEX(T.Pikett.Bereich,2),M$34=INDEX(T.Pikett.Bereich,3)),M$11=0.5),0.5,0)) +IF(AND(M$34=INDEX(T.Pikett.Bereich,4),M$11=6/8.4),0.75,0)+IF(AND(M$34=INDEX(T.Pikett.Bereich,4),M$11=1),16/24,0) +IF(AND(M$34=INDEX(T.Pikett.Bereich,4),M$11=0.5),20/24,0))))</f>
        <v>0</v>
      </c>
      <c r="N81" s="256" t="n">
        <f aca="true">IF(EB.Wochenarbeitszeit=50/24,"",IF(N$12=0,0,IF(OR(WEEKDAY(N$10,2)&gt;5,N$11=0),IF(NOT(N$34=INDEX(T.Pikett.Bereich,1)),1,0),IF(WEEKDAY(N$10,2)&lt;6,IF(AND(OR(N$34=INDEX(T.Pikett.Bereich,2),N$34=INDEX(T.Pikett.Bereich,3)),N$11=1),8/24,0))+IF(WEEKDAY(N$10,2)&lt;6,IF(AND(OR(N$34=INDEX(T.Pikett.Bereich,2),N$34=INDEX(T.Pikett.Bereich,3)),N$11=6/8.4),10/24,0)) +IF(WEEKDAY(N$10,2)&lt;6,IF(AND(OR(N$34=INDEX(T.Pikett.Bereich,2),N$34=INDEX(T.Pikett.Bereich,3)),N$11=0.5),0.5,0)) +IF(AND(N$34=INDEX(T.Pikett.Bereich,4),N$11=6/8.4),0.75,0)+IF(AND(N$34=INDEX(T.Pikett.Bereich,4),N$11=1),16/24,0) +IF(AND(N$34=INDEX(T.Pikett.Bereich,4),N$11=0.5),20/24,0))))</f>
        <v>0</v>
      </c>
      <c r="O81" s="256" t="n">
        <f aca="true">IF(EB.Wochenarbeitszeit=50/24,"",IF(O$12=0,0,IF(OR(WEEKDAY(O$10,2)&gt;5,O$11=0),IF(NOT(O$34=INDEX(T.Pikett.Bereich,1)),1,0),IF(WEEKDAY(O$10,2)&lt;6,IF(AND(OR(O$34=INDEX(T.Pikett.Bereich,2),O$34=INDEX(T.Pikett.Bereich,3)),O$11=1),8/24,0))+IF(WEEKDAY(O$10,2)&lt;6,IF(AND(OR(O$34=INDEX(T.Pikett.Bereich,2),O$34=INDEX(T.Pikett.Bereich,3)),O$11=6/8.4),10/24,0)) +IF(WEEKDAY(O$10,2)&lt;6,IF(AND(OR(O$34=INDEX(T.Pikett.Bereich,2),O$34=INDEX(T.Pikett.Bereich,3)),O$11=0.5),0.5,0)) +IF(AND(O$34=INDEX(T.Pikett.Bereich,4),O$11=6/8.4),0.75,0)+IF(AND(O$34=INDEX(T.Pikett.Bereich,4),O$11=1),16/24,0) +IF(AND(O$34=INDEX(T.Pikett.Bereich,4),O$11=0.5),20/24,0))))</f>
        <v>0</v>
      </c>
      <c r="P81" s="256" t="n">
        <f aca="true">IF(EB.Wochenarbeitszeit=50/24,"",IF(P$12=0,0,IF(OR(WEEKDAY(P$10,2)&gt;5,P$11=0),IF(NOT(P$34=INDEX(T.Pikett.Bereich,1)),1,0),IF(WEEKDAY(P$10,2)&lt;6,IF(AND(OR(P$34=INDEX(T.Pikett.Bereich,2),P$34=INDEX(T.Pikett.Bereich,3)),P$11=1),8/24,0))+IF(WEEKDAY(P$10,2)&lt;6,IF(AND(OR(P$34=INDEX(T.Pikett.Bereich,2),P$34=INDEX(T.Pikett.Bereich,3)),P$11=6/8.4),10/24,0)) +IF(WEEKDAY(P$10,2)&lt;6,IF(AND(OR(P$34=INDEX(T.Pikett.Bereich,2),P$34=INDEX(T.Pikett.Bereich,3)),P$11=0.5),0.5,0)) +IF(AND(P$34=INDEX(T.Pikett.Bereich,4),P$11=6/8.4),0.75,0)+IF(AND(P$34=INDEX(T.Pikett.Bereich,4),P$11=1),16/24,0) +IF(AND(P$34=INDEX(T.Pikett.Bereich,4),P$11=0.5),20/24,0))))</f>
        <v>0</v>
      </c>
      <c r="Q81" s="256" t="n">
        <f aca="true">IF(EB.Wochenarbeitszeit=50/24,"",IF(Q$12=0,0,IF(OR(WEEKDAY(Q$10,2)&gt;5,Q$11=0),IF(NOT(Q$34=INDEX(T.Pikett.Bereich,1)),1,0),IF(WEEKDAY(Q$10,2)&lt;6,IF(AND(OR(Q$34=INDEX(T.Pikett.Bereich,2),Q$34=INDEX(T.Pikett.Bereich,3)),Q$11=1),8/24,0))+IF(WEEKDAY(Q$10,2)&lt;6,IF(AND(OR(Q$34=INDEX(T.Pikett.Bereich,2),Q$34=INDEX(T.Pikett.Bereich,3)),Q$11=6/8.4),10/24,0)) +IF(WEEKDAY(Q$10,2)&lt;6,IF(AND(OR(Q$34=INDEX(T.Pikett.Bereich,2),Q$34=INDEX(T.Pikett.Bereich,3)),Q$11=0.5),0.5,0)) +IF(AND(Q$34=INDEX(T.Pikett.Bereich,4),Q$11=6/8.4),0.75,0)+IF(AND(Q$34=INDEX(T.Pikett.Bereich,4),Q$11=1),16/24,0) +IF(AND(Q$34=INDEX(T.Pikett.Bereich,4),Q$11=0.5),20/24,0))))</f>
        <v>0</v>
      </c>
      <c r="R81" s="256" t="n">
        <f aca="true">IF(EB.Wochenarbeitszeit=50/24,"",IF(R$12=0,0,IF(OR(WEEKDAY(R$10,2)&gt;5,R$11=0),IF(NOT(R$34=INDEX(T.Pikett.Bereich,1)),1,0),IF(WEEKDAY(R$10,2)&lt;6,IF(AND(OR(R$34=INDEX(T.Pikett.Bereich,2),R$34=INDEX(T.Pikett.Bereich,3)),R$11=1),8/24,0))+IF(WEEKDAY(R$10,2)&lt;6,IF(AND(OR(R$34=INDEX(T.Pikett.Bereich,2),R$34=INDEX(T.Pikett.Bereich,3)),R$11=6/8.4),10/24,0)) +IF(WEEKDAY(R$10,2)&lt;6,IF(AND(OR(R$34=INDEX(T.Pikett.Bereich,2),R$34=INDEX(T.Pikett.Bereich,3)),R$11=0.5),0.5,0)) +IF(AND(R$34=INDEX(T.Pikett.Bereich,4),R$11=6/8.4),0.75,0)+IF(AND(R$34=INDEX(T.Pikett.Bereich,4),R$11=1),16/24,0) +IF(AND(R$34=INDEX(T.Pikett.Bereich,4),R$11=0.5),20/24,0))))</f>
        <v>0</v>
      </c>
      <c r="S81" s="256" t="n">
        <f aca="true">IF(EB.Wochenarbeitszeit=50/24,"",IF(S$12=0,0,IF(OR(WEEKDAY(S$10,2)&gt;5,S$11=0),IF(NOT(S$34=INDEX(T.Pikett.Bereich,1)),1,0),IF(WEEKDAY(S$10,2)&lt;6,IF(AND(OR(S$34=INDEX(T.Pikett.Bereich,2),S$34=INDEX(T.Pikett.Bereich,3)),S$11=1),8/24,0))+IF(WEEKDAY(S$10,2)&lt;6,IF(AND(OR(S$34=INDEX(T.Pikett.Bereich,2),S$34=INDEX(T.Pikett.Bereich,3)),S$11=6/8.4),10/24,0)) +IF(WEEKDAY(S$10,2)&lt;6,IF(AND(OR(S$34=INDEX(T.Pikett.Bereich,2),S$34=INDEX(T.Pikett.Bereich,3)),S$11=0.5),0.5,0)) +IF(AND(S$34=INDEX(T.Pikett.Bereich,4),S$11=6/8.4),0.75,0)+IF(AND(S$34=INDEX(T.Pikett.Bereich,4),S$11=1),16/24,0) +IF(AND(S$34=INDEX(T.Pikett.Bereich,4),S$11=0.5),20/24,0))))</f>
        <v>0</v>
      </c>
      <c r="T81" s="256" t="n">
        <f aca="true">IF(EB.Wochenarbeitszeit=50/24,"",IF(T$12=0,0,IF(OR(WEEKDAY(T$10,2)&gt;5,T$11=0),IF(NOT(T$34=INDEX(T.Pikett.Bereich,1)),1,0),IF(WEEKDAY(T$10,2)&lt;6,IF(AND(OR(T$34=INDEX(T.Pikett.Bereich,2),T$34=INDEX(T.Pikett.Bereich,3)),T$11=1),8/24,0))+IF(WEEKDAY(T$10,2)&lt;6,IF(AND(OR(T$34=INDEX(T.Pikett.Bereich,2),T$34=INDEX(T.Pikett.Bereich,3)),T$11=6/8.4),10/24,0)) +IF(WEEKDAY(T$10,2)&lt;6,IF(AND(OR(T$34=INDEX(T.Pikett.Bereich,2),T$34=INDEX(T.Pikett.Bereich,3)),T$11=0.5),0.5,0)) +IF(AND(T$34=INDEX(T.Pikett.Bereich,4),T$11=6/8.4),0.75,0)+IF(AND(T$34=INDEX(T.Pikett.Bereich,4),T$11=1),16/24,0) +IF(AND(T$34=INDEX(T.Pikett.Bereich,4),T$11=0.5),20/24,0))))</f>
        <v>0</v>
      </c>
      <c r="U81" s="256" t="n">
        <f aca="true">IF(EB.Wochenarbeitszeit=50/24,"",IF(U$12=0,0,IF(OR(WEEKDAY(U$10,2)&gt;5,U$11=0),IF(NOT(U$34=INDEX(T.Pikett.Bereich,1)),1,0),IF(WEEKDAY(U$10,2)&lt;6,IF(AND(OR(U$34=INDEX(T.Pikett.Bereich,2),U$34=INDEX(T.Pikett.Bereich,3)),U$11=1),8/24,0))+IF(WEEKDAY(U$10,2)&lt;6,IF(AND(OR(U$34=INDEX(T.Pikett.Bereich,2),U$34=INDEX(T.Pikett.Bereich,3)),U$11=6/8.4),10/24,0)) +IF(WEEKDAY(U$10,2)&lt;6,IF(AND(OR(U$34=INDEX(T.Pikett.Bereich,2),U$34=INDEX(T.Pikett.Bereich,3)),U$11=0.5),0.5,0)) +IF(AND(U$34=INDEX(T.Pikett.Bereich,4),U$11=6/8.4),0.75,0)+IF(AND(U$34=INDEX(T.Pikett.Bereich,4),U$11=1),16/24,0) +IF(AND(U$34=INDEX(T.Pikett.Bereich,4),U$11=0.5),20/24,0))))</f>
        <v>0</v>
      </c>
      <c r="V81" s="256" t="n">
        <f aca="true">IF(EB.Wochenarbeitszeit=50/24,"",IF(V$12=0,0,IF(OR(WEEKDAY(V$10,2)&gt;5,V$11=0),IF(NOT(V$34=INDEX(T.Pikett.Bereich,1)),1,0),IF(WEEKDAY(V$10,2)&lt;6,IF(AND(OR(V$34=INDEX(T.Pikett.Bereich,2),V$34=INDEX(T.Pikett.Bereich,3)),V$11=1),8/24,0))+IF(WEEKDAY(V$10,2)&lt;6,IF(AND(OR(V$34=INDEX(T.Pikett.Bereich,2),V$34=INDEX(T.Pikett.Bereich,3)),V$11=6/8.4),10/24,0)) +IF(WEEKDAY(V$10,2)&lt;6,IF(AND(OR(V$34=INDEX(T.Pikett.Bereich,2),V$34=INDEX(T.Pikett.Bereich,3)),V$11=0.5),0.5,0)) +IF(AND(V$34=INDEX(T.Pikett.Bereich,4),V$11=6/8.4),0.75,0)+IF(AND(V$34=INDEX(T.Pikett.Bereich,4),V$11=1),16/24,0) +IF(AND(V$34=INDEX(T.Pikett.Bereich,4),V$11=0.5),20/24,0))))</f>
        <v>0</v>
      </c>
      <c r="W81" s="256" t="n">
        <f aca="true">IF(EB.Wochenarbeitszeit=50/24,"",IF(W$12=0,0,IF(OR(WEEKDAY(W$10,2)&gt;5,W$11=0),IF(NOT(W$34=INDEX(T.Pikett.Bereich,1)),1,0),IF(WEEKDAY(W$10,2)&lt;6,IF(AND(OR(W$34=INDEX(T.Pikett.Bereich,2),W$34=INDEX(T.Pikett.Bereich,3)),W$11=1),8/24,0))+IF(WEEKDAY(W$10,2)&lt;6,IF(AND(OR(W$34=INDEX(T.Pikett.Bereich,2),W$34=INDEX(T.Pikett.Bereich,3)),W$11=6/8.4),10/24,0)) +IF(WEEKDAY(W$10,2)&lt;6,IF(AND(OR(W$34=INDEX(T.Pikett.Bereich,2),W$34=INDEX(T.Pikett.Bereich,3)),W$11=0.5),0.5,0)) +IF(AND(W$34=INDEX(T.Pikett.Bereich,4),W$11=6/8.4),0.75,0)+IF(AND(W$34=INDEX(T.Pikett.Bereich,4),W$11=1),16/24,0) +IF(AND(W$34=INDEX(T.Pikett.Bereich,4),W$11=0.5),20/24,0))))</f>
        <v>0</v>
      </c>
      <c r="X81" s="256" t="n">
        <f aca="true">IF(EB.Wochenarbeitszeit=50/24,"",IF(X$12=0,0,IF(OR(WEEKDAY(X$10,2)&gt;5,X$11=0),IF(NOT(X$34=INDEX(T.Pikett.Bereich,1)),1,0),IF(WEEKDAY(X$10,2)&lt;6,IF(AND(OR(X$34=INDEX(T.Pikett.Bereich,2),X$34=INDEX(T.Pikett.Bereich,3)),X$11=1),8/24,0))+IF(WEEKDAY(X$10,2)&lt;6,IF(AND(OR(X$34=INDEX(T.Pikett.Bereich,2),X$34=INDEX(T.Pikett.Bereich,3)),X$11=6/8.4),10/24,0)) +IF(WEEKDAY(X$10,2)&lt;6,IF(AND(OR(X$34=INDEX(T.Pikett.Bereich,2),X$34=INDEX(T.Pikett.Bereich,3)),X$11=0.5),0.5,0)) +IF(AND(X$34=INDEX(T.Pikett.Bereich,4),X$11=6/8.4),0.75,0)+IF(AND(X$34=INDEX(T.Pikett.Bereich,4),X$11=1),16/24,0) +IF(AND(X$34=INDEX(T.Pikett.Bereich,4),X$11=0.5),20/24,0))))</f>
        <v>0</v>
      </c>
      <c r="Y81" s="256" t="n">
        <f aca="true">IF(EB.Wochenarbeitszeit=50/24,"",IF(Y$12=0,0,IF(OR(WEEKDAY(Y$10,2)&gt;5,Y$11=0),IF(NOT(Y$34=INDEX(T.Pikett.Bereich,1)),1,0),IF(WEEKDAY(Y$10,2)&lt;6,IF(AND(OR(Y$34=INDEX(T.Pikett.Bereich,2),Y$34=INDEX(T.Pikett.Bereich,3)),Y$11=1),8/24,0))+IF(WEEKDAY(Y$10,2)&lt;6,IF(AND(OR(Y$34=INDEX(T.Pikett.Bereich,2),Y$34=INDEX(T.Pikett.Bereich,3)),Y$11=6/8.4),10/24,0)) +IF(WEEKDAY(Y$10,2)&lt;6,IF(AND(OR(Y$34=INDEX(T.Pikett.Bereich,2),Y$34=INDEX(T.Pikett.Bereich,3)),Y$11=0.5),0.5,0)) +IF(AND(Y$34=INDEX(T.Pikett.Bereich,4),Y$11=6/8.4),0.75,0)+IF(AND(Y$34=INDEX(T.Pikett.Bereich,4),Y$11=1),16/24,0) +IF(AND(Y$34=INDEX(T.Pikett.Bereich,4),Y$11=0.5),20/24,0))))</f>
        <v>0</v>
      </c>
      <c r="Z81" s="256" t="n">
        <f aca="true">IF(EB.Wochenarbeitszeit=50/24,"",IF(Z$12=0,0,IF(OR(WEEKDAY(Z$10,2)&gt;5,Z$11=0),IF(NOT(Z$34=INDEX(T.Pikett.Bereich,1)),1,0),IF(WEEKDAY(Z$10,2)&lt;6,IF(AND(OR(Z$34=INDEX(T.Pikett.Bereich,2),Z$34=INDEX(T.Pikett.Bereich,3)),Z$11=1),8/24,0))+IF(WEEKDAY(Z$10,2)&lt;6,IF(AND(OR(Z$34=INDEX(T.Pikett.Bereich,2),Z$34=INDEX(T.Pikett.Bereich,3)),Z$11=6/8.4),10/24,0)) +IF(WEEKDAY(Z$10,2)&lt;6,IF(AND(OR(Z$34=INDEX(T.Pikett.Bereich,2),Z$34=INDEX(T.Pikett.Bereich,3)),Z$11=0.5),0.5,0)) +IF(AND(Z$34=INDEX(T.Pikett.Bereich,4),Z$11=6/8.4),0.75,0)+IF(AND(Z$34=INDEX(T.Pikett.Bereich,4),Z$11=1),16/24,0) +IF(AND(Z$34=INDEX(T.Pikett.Bereich,4),Z$11=0.5),20/24,0))))</f>
        <v>0</v>
      </c>
      <c r="AA81" s="256" t="n">
        <f aca="true">IF(EB.Wochenarbeitszeit=50/24,"",IF(AA$12=0,0,IF(OR(WEEKDAY(AA$10,2)&gt;5,AA$11=0),IF(NOT(AA$34=INDEX(T.Pikett.Bereich,1)),1,0),IF(WEEKDAY(AA$10,2)&lt;6,IF(AND(OR(AA$34=INDEX(T.Pikett.Bereich,2),AA$34=INDEX(T.Pikett.Bereich,3)),AA$11=1),8/24,0))+IF(WEEKDAY(AA$10,2)&lt;6,IF(AND(OR(AA$34=INDEX(T.Pikett.Bereich,2),AA$34=INDEX(T.Pikett.Bereich,3)),AA$11=6/8.4),10/24,0)) +IF(WEEKDAY(AA$10,2)&lt;6,IF(AND(OR(AA$34=INDEX(T.Pikett.Bereich,2),AA$34=INDEX(T.Pikett.Bereich,3)),AA$11=0.5),0.5,0)) +IF(AND(AA$34=INDEX(T.Pikett.Bereich,4),AA$11=6/8.4),0.75,0)+IF(AND(AA$34=INDEX(T.Pikett.Bereich,4),AA$11=1),16/24,0) +IF(AND(AA$34=INDEX(T.Pikett.Bereich,4),AA$11=0.5),20/24,0))))</f>
        <v>0</v>
      </c>
      <c r="AB81" s="256" t="n">
        <f aca="true">IF(EB.Wochenarbeitszeit=50/24,"",IF(AB$12=0,0,IF(OR(WEEKDAY(AB$10,2)&gt;5,AB$11=0),IF(NOT(AB$34=INDEX(T.Pikett.Bereich,1)),1,0),IF(WEEKDAY(AB$10,2)&lt;6,IF(AND(OR(AB$34=INDEX(T.Pikett.Bereich,2),AB$34=INDEX(T.Pikett.Bereich,3)),AB$11=1),8/24,0))+IF(WEEKDAY(AB$10,2)&lt;6,IF(AND(OR(AB$34=INDEX(T.Pikett.Bereich,2),AB$34=INDEX(T.Pikett.Bereich,3)),AB$11=6/8.4),10/24,0)) +IF(WEEKDAY(AB$10,2)&lt;6,IF(AND(OR(AB$34=INDEX(T.Pikett.Bereich,2),AB$34=INDEX(T.Pikett.Bereich,3)),AB$11=0.5),0.5,0)) +IF(AND(AB$34=INDEX(T.Pikett.Bereich,4),AB$11=6/8.4),0.75,0)+IF(AND(AB$34=INDEX(T.Pikett.Bereich,4),AB$11=1),16/24,0) +IF(AND(AB$34=INDEX(T.Pikett.Bereich,4),AB$11=0.5),20/24,0))))</f>
        <v>0</v>
      </c>
      <c r="AC81" s="256" t="n">
        <f aca="true">IF(EB.Wochenarbeitszeit=50/24,"",IF(AC$12=0,0,IF(OR(WEEKDAY(AC$10,2)&gt;5,AC$11=0),IF(NOT(AC$34=INDEX(T.Pikett.Bereich,1)),1,0),IF(WEEKDAY(AC$10,2)&lt;6,IF(AND(OR(AC$34=INDEX(T.Pikett.Bereich,2),AC$34=INDEX(T.Pikett.Bereich,3)),AC$11=1),8/24,0))+IF(WEEKDAY(AC$10,2)&lt;6,IF(AND(OR(AC$34=INDEX(T.Pikett.Bereich,2),AC$34=INDEX(T.Pikett.Bereich,3)),AC$11=6/8.4),10/24,0)) +IF(WEEKDAY(AC$10,2)&lt;6,IF(AND(OR(AC$34=INDEX(T.Pikett.Bereich,2),AC$34=INDEX(T.Pikett.Bereich,3)),AC$11=0.5),0.5,0)) +IF(AND(AC$34=INDEX(T.Pikett.Bereich,4),AC$11=6/8.4),0.75,0)+IF(AND(AC$34=INDEX(T.Pikett.Bereich,4),AC$11=1),16/24,0) +IF(AND(AC$34=INDEX(T.Pikett.Bereich,4),AC$11=0.5),20/24,0))))</f>
        <v>0</v>
      </c>
      <c r="AD81" s="256" t="n">
        <f aca="true">IF(EB.Wochenarbeitszeit=50/24,"",IF(AD$12=0,0,IF(OR(WEEKDAY(AD$10,2)&gt;5,AD$11=0),IF(NOT(AD$34=INDEX(T.Pikett.Bereich,1)),1,0),IF(WEEKDAY(AD$10,2)&lt;6,IF(AND(OR(AD$34=INDEX(T.Pikett.Bereich,2),AD$34=INDEX(T.Pikett.Bereich,3)),AD$11=1),8/24,0))+IF(WEEKDAY(AD$10,2)&lt;6,IF(AND(OR(AD$34=INDEX(T.Pikett.Bereich,2),AD$34=INDEX(T.Pikett.Bereich,3)),AD$11=6/8.4),10/24,0)) +IF(WEEKDAY(AD$10,2)&lt;6,IF(AND(OR(AD$34=INDEX(T.Pikett.Bereich,2),AD$34=INDEX(T.Pikett.Bereich,3)),AD$11=0.5),0.5,0)) +IF(AND(AD$34=INDEX(T.Pikett.Bereich,4),AD$11=6/8.4),0.75,0)+IF(AND(AD$34=INDEX(T.Pikett.Bereich,4),AD$11=1),16/24,0) +IF(AND(AD$34=INDEX(T.Pikett.Bereich,4),AD$11=0.5),20/24,0))))</f>
        <v>0</v>
      </c>
      <c r="AE81" s="256" t="n">
        <f aca="true">IF(EB.Wochenarbeitszeit=50/24,"",IF(AE$12=0,0,IF(OR(WEEKDAY(AE$10,2)&gt;5,AE$11=0),IF(NOT(AE$34=INDEX(T.Pikett.Bereich,1)),1,0),IF(WEEKDAY(AE$10,2)&lt;6,IF(AND(OR(AE$34=INDEX(T.Pikett.Bereich,2),AE$34=INDEX(T.Pikett.Bereich,3)),AE$11=1),8/24,0))+IF(WEEKDAY(AE$10,2)&lt;6,IF(AND(OR(AE$34=INDEX(T.Pikett.Bereich,2),AE$34=INDEX(T.Pikett.Bereich,3)),AE$11=6/8.4),10/24,0)) +IF(WEEKDAY(AE$10,2)&lt;6,IF(AND(OR(AE$34=INDEX(T.Pikett.Bereich,2),AE$34=INDEX(T.Pikett.Bereich,3)),AE$11=0.5),0.5,0)) +IF(AND(AE$34=INDEX(T.Pikett.Bereich,4),AE$11=6/8.4),0.75,0)+IF(AND(AE$34=INDEX(T.Pikett.Bereich,4),AE$11=1),16/24,0) +IF(AND(AE$34=INDEX(T.Pikett.Bereich,4),AE$11=0.5),20/24,0))))</f>
        <v>0</v>
      </c>
      <c r="AF81" s="168" t="str">
        <f aca="false">A81</f>
        <v>On-call duty</v>
      </c>
      <c r="AG81" s="250"/>
      <c r="AH81" s="207" t="n">
        <f aca="false">SUM(B81:AE81)</f>
        <v>0</v>
      </c>
      <c r="AI81" s="33"/>
      <c r="AJ81" s="192"/>
      <c r="AK81" s="216" t="n">
        <f aca="false">IF(EB.Anwendung&lt;&gt;"",IF(MONTH(Monat.Tag1)=1,0,IF(MONTH(Monat.Tag1)=2,January!Monat.BDUeVM,IF(MONTH(Monat.Tag1)=3,February!Monat.BDUeVM,IF(MONTH(Monat.Tag1)=4,March!Monat.BDUeVM,IF(MONTH(Monat.Tag1)=5,April!Monat.BDUeVM,IF(MONTH(Monat.Tag1)=6,May!Monat.BDUeVM,IF(MONTH(Monat.Tag1)=7,Monat.BDUeVM,IF(MONTH(Monat.Tag1)=8,July!Monat.BDUeVM,IF(MONTH(Monat.Tag1)=9,August!Monat.BDUeVM,IF(MONTH(Monat.Tag1)=10,September!Monat.BDUeVM,IF(MONTH(Monat.Tag1)=11,October!Monat.BDUeVM,IF(MONTH(Monat.Tag1)=12,November!Monat.BDUeVM,"")))))))))))),"")</f>
        <v>0</v>
      </c>
      <c r="AL81" s="172"/>
      <c r="AM81" s="217" t="n">
        <f aca="false">AH81+AK81</f>
        <v>0</v>
      </c>
      <c r="AN81" s="171"/>
      <c r="AO81" s="171"/>
      <c r="AP81" s="39"/>
    </row>
    <row r="82" s="148" customFormat="true" ht="15" hidden="false" customHeight="true" outlineLevel="1" collapsed="false">
      <c r="A82" s="175" t="s">
        <v>165</v>
      </c>
      <c r="B82" s="256" t="n">
        <f aca="false">IF(B$12=0,"",IF(OR(WEEKDAY(B$10,2)&gt;5,B$11=0), IF(T.50_NoVetsuisse,B45, IF(T.50_Vetsuisse,IF(B23-B73=0,"",B23-B73), IF(T.ServiceCenterIrchel,B23, B60))),))</f>
        <v>0</v>
      </c>
      <c r="C82" s="256" t="str">
        <f aca="false">IF(C$12=0,"",IF(OR(WEEKDAY(C$10,2)&gt;5,C$11=0), IF(T.50_NoVetsuisse,C45, IF(T.50_Vetsuisse,IF(C23-C73=0,"",C23-C73), IF(T.ServiceCenterIrchel,C23, C60))),))</f>
        <v/>
      </c>
      <c r="D82" s="257" t="str">
        <f aca="false">IF(D$12=0,"",IF(OR(WEEKDAY(D$10,2)&gt;5,D$11=0), IF(T.50_NoVetsuisse,D45, IF(T.50_Vetsuisse,IF(D23-D73=0,"",D23-D73), IF(T.ServiceCenterIrchel,D23, D60))),))</f>
        <v/>
      </c>
      <c r="E82" s="256" t="n">
        <f aca="false">IF(E$12=0,"",IF(OR(WEEKDAY(E$10,2)&gt;5,E$11=0), IF(T.50_NoVetsuisse,E45, IF(T.50_Vetsuisse,IF(E23-E73=0,"",E23-E73), IF(T.ServiceCenterIrchel,E23, E60))),))</f>
        <v>0</v>
      </c>
      <c r="F82" s="257" t="n">
        <f aca="false">IF(F$12=0,"",IF(OR(WEEKDAY(F$10,2)&gt;5,F$11=0), IF(T.50_NoVetsuisse,F45, IF(T.50_Vetsuisse,IF(F23-F73=0,"",F23-F73), IF(T.ServiceCenterIrchel,F23, F60))),))</f>
        <v>0</v>
      </c>
      <c r="G82" s="257" t="n">
        <f aca="false">IF(G$12=0,"",IF(OR(WEEKDAY(G$10,2)&gt;5,G$11=0), IF(T.50_NoVetsuisse,G45, IF(T.50_Vetsuisse,IF(G23-G73=0,"",G23-G73), IF(T.ServiceCenterIrchel,G23, G60))),))</f>
        <v>0</v>
      </c>
      <c r="H82" s="257" t="n">
        <f aca="false">IF(H$12=0,"",IF(OR(WEEKDAY(H$10,2)&gt;5,H$11=0), IF(T.50_NoVetsuisse,H45, IF(T.50_Vetsuisse,IF(H23-H73=0,"",H23-H73), IF(T.ServiceCenterIrchel,H23, H60))),))</f>
        <v>0</v>
      </c>
      <c r="I82" s="257" t="n">
        <f aca="false">IF(I$12=0,"",IF(OR(WEEKDAY(I$10,2)&gt;5,I$11=0), IF(T.50_NoVetsuisse,I45, IF(T.50_Vetsuisse,IF(I23-I73=0,"",I23-I73), IF(T.ServiceCenterIrchel,I23, I60))),))</f>
        <v>0</v>
      </c>
      <c r="J82" s="256" t="str">
        <f aca="false">IF(J$12=0,"",IF(OR(WEEKDAY(J$10,2)&gt;5,J$11=0), IF(T.50_NoVetsuisse,J45, IF(T.50_Vetsuisse,IF(J23-J73=0,"",J23-J73), IF(T.ServiceCenterIrchel,J23, J60))),))</f>
        <v/>
      </c>
      <c r="K82" s="257" t="str">
        <f aca="false">IF(K$12=0,"",IF(OR(WEEKDAY(K$10,2)&gt;5,K$11=0), IF(T.50_NoVetsuisse,K45, IF(T.50_Vetsuisse,IF(K23-K73=0,"",K23-K73), IF(T.ServiceCenterIrchel,K23, K60))),))</f>
        <v/>
      </c>
      <c r="L82" s="256" t="n">
        <f aca="false">IF(L$12=0,"",IF(OR(WEEKDAY(L$10,2)&gt;5,L$11=0), IF(T.50_NoVetsuisse,L45, IF(T.50_Vetsuisse,IF(L23-L73=0,"",L23-L73), IF(T.ServiceCenterIrchel,L23, L60))),))</f>
        <v>0</v>
      </c>
      <c r="M82" s="257" t="n">
        <f aca="false">IF(M$12=0,"",IF(OR(WEEKDAY(M$10,2)&gt;5,M$11=0), IF(T.50_NoVetsuisse,M45, IF(T.50_Vetsuisse,IF(M23-M73=0,"",M23-M73), IF(T.ServiceCenterIrchel,M23, M60))),))</f>
        <v>0</v>
      </c>
      <c r="N82" s="257" t="n">
        <f aca="false">IF(N$12=0,"",IF(OR(WEEKDAY(N$10,2)&gt;5,N$11=0), IF(T.50_NoVetsuisse,N45, IF(T.50_Vetsuisse,IF(N23-N73=0,"",N23-N73), IF(T.ServiceCenterIrchel,N23, N60))),))</f>
        <v>0</v>
      </c>
      <c r="O82" s="257" t="n">
        <f aca="false">IF(O$12=0,"",IF(OR(WEEKDAY(O$10,2)&gt;5,O$11=0), IF(T.50_NoVetsuisse,O45, IF(T.50_Vetsuisse,IF(O23-O73=0,"",O23-O73), IF(T.ServiceCenterIrchel,O23, O60))),))</f>
        <v>0</v>
      </c>
      <c r="P82" s="257" t="n">
        <f aca="false">IF(P$12=0,"",IF(OR(WEEKDAY(P$10,2)&gt;5,P$11=0), IF(T.50_NoVetsuisse,P45, IF(T.50_Vetsuisse,IF(P23-P73=0,"",P23-P73), IF(T.ServiceCenterIrchel,P23, P60))),))</f>
        <v>0</v>
      </c>
      <c r="Q82" s="256" t="str">
        <f aca="false">IF(Q$12=0,"",IF(OR(WEEKDAY(Q$10,2)&gt;5,Q$11=0), IF(T.50_NoVetsuisse,Q45, IF(T.50_Vetsuisse,IF(Q23-Q73=0,"",Q23-Q73), IF(T.ServiceCenterIrchel,Q23, Q60))),))</f>
        <v/>
      </c>
      <c r="R82" s="257" t="str">
        <f aca="false">IF(R$12=0,"",IF(OR(WEEKDAY(R$10,2)&gt;5,R$11=0), IF(T.50_NoVetsuisse,R45, IF(T.50_Vetsuisse,IF(R23-R73=0,"",R23-R73), IF(T.ServiceCenterIrchel,R23, R60))),))</f>
        <v/>
      </c>
      <c r="S82" s="256" t="n">
        <f aca="false">IF(S$12=0,"",IF(OR(WEEKDAY(S$10,2)&gt;5,S$11=0), IF(T.50_NoVetsuisse,S45, IF(T.50_Vetsuisse,IF(S23-S73=0,"",S23-S73), IF(T.ServiceCenterIrchel,S23, S60))),))</f>
        <v>0</v>
      </c>
      <c r="T82" s="256" t="n">
        <f aca="false">IF(T$12=0,"",IF(OR(WEEKDAY(T$10,2)&gt;5,T$11=0), IF(T.50_NoVetsuisse,T45, IF(T.50_Vetsuisse,IF(T23-T73=0,"",T23-T73), IF(T.ServiceCenterIrchel,T23, T60))),))</f>
        <v>0</v>
      </c>
      <c r="U82" s="257" t="n">
        <f aca="false">IF(U$12=0,"",IF(OR(WEEKDAY(U$10,2)&gt;5,U$11=0), IF(T.50_NoVetsuisse,U45, IF(T.50_Vetsuisse,IF(U23-U73=0,"",U23-U73), IF(T.ServiceCenterIrchel,U23, U60))),))</f>
        <v>0</v>
      </c>
      <c r="V82" s="257" t="n">
        <f aca="false">IF(V$12=0,"",IF(OR(WEEKDAY(V$10,2)&gt;5,V$11=0), IF(T.50_NoVetsuisse,V45, IF(T.50_Vetsuisse,IF(V23-V73=0,"",V23-V73), IF(T.ServiceCenterIrchel,V23, V60))),))</f>
        <v>0</v>
      </c>
      <c r="W82" s="257" t="n">
        <f aca="false">IF(W$12=0,"",IF(OR(WEEKDAY(W$10,2)&gt;5,W$11=0), IF(T.50_NoVetsuisse,W45, IF(T.50_Vetsuisse,IF(W23-W73=0,"",W23-W73), IF(T.ServiceCenterIrchel,W23, W60))),))</f>
        <v>0</v>
      </c>
      <c r="X82" s="256" t="str">
        <f aca="false">IF(X$12=0,"",IF(OR(WEEKDAY(X$10,2)&gt;5,X$11=0), IF(T.50_NoVetsuisse,X45, IF(T.50_Vetsuisse,IF(X23-X73=0,"",X23-X73), IF(T.ServiceCenterIrchel,X23, X60))),))</f>
        <v/>
      </c>
      <c r="Y82" s="257" t="str">
        <f aca="false">IF(Y$12=0,"",IF(OR(WEEKDAY(Y$10,2)&gt;5,Y$11=0), IF(T.50_NoVetsuisse,Y45, IF(T.50_Vetsuisse,IF(Y23-Y73=0,"",Y23-Y73), IF(T.ServiceCenterIrchel,Y23, Y60))),))</f>
        <v/>
      </c>
      <c r="Z82" s="258" t="n">
        <f aca="false">IF(Z$12=0,"",IF(OR(WEEKDAY(Z$10,2)&gt;5,Z$11=0), IF(T.50_NoVetsuisse,Z45, IF(T.50_Vetsuisse,IF(Z23-Z73=0,"",Z23-Z73), IF(T.ServiceCenterIrchel,Z23, Z60))),))</f>
        <v>0</v>
      </c>
      <c r="AA82" s="257" t="n">
        <f aca="false">IF(AA$12=0,"",IF(OR(WEEKDAY(AA$10,2)&gt;5,AA$11=0), IF(T.50_NoVetsuisse,AA45, IF(T.50_Vetsuisse,IF(AA23-AA73=0,"",AA23-AA73), IF(T.ServiceCenterIrchel,AA23, AA60))),))</f>
        <v>0</v>
      </c>
      <c r="AB82" s="257" t="n">
        <f aca="false">IF(AB$12=0,"",IF(OR(WEEKDAY(AB$10,2)&gt;5,AB$11=0), IF(T.50_NoVetsuisse,AB45, IF(T.50_Vetsuisse,IF(AB23-AB73=0,"",AB23-AB73), IF(T.ServiceCenterIrchel,AB23, AB60))),))</f>
        <v>0</v>
      </c>
      <c r="AC82" s="257" t="n">
        <f aca="false">IF(AC$12=0,"",IF(OR(WEEKDAY(AC$10,2)&gt;5,AC$11=0), IF(T.50_NoVetsuisse,AC45, IF(T.50_Vetsuisse,IF(AC23-AC73=0,"",AC23-AC73), IF(T.ServiceCenterIrchel,AC23, AC60))),))</f>
        <v>0</v>
      </c>
      <c r="AD82" s="257" t="n">
        <f aca="false">IF(AD$12=0,"",IF(OR(WEEKDAY(AD$10,2)&gt;5,AD$11=0), IF(T.50_NoVetsuisse,AD45, IF(T.50_Vetsuisse,IF(AD23-AD73=0,"",AD23-AD73), IF(T.ServiceCenterIrchel,AD23, AD60))),))</f>
        <v>0</v>
      </c>
      <c r="AE82" s="256" t="str">
        <f aca="false">IF(AE$12=0,"",IF(OR(WEEKDAY(AE$10,2)&gt;5,AE$11=0), IF(T.50_NoVetsuisse,AE45, IF(T.50_Vetsuisse,IF(AE23-AE73=0,"",AE23-AE73), IF(T.ServiceCenterIrchel,AE23, AE60))),))</f>
        <v/>
      </c>
      <c r="AF82" s="168" t="str">
        <f aca="false">A82</f>
        <v>Saturday/Sunday shift</v>
      </c>
      <c r="AG82" s="197"/>
      <c r="AH82" s="207" t="n">
        <f aca="false">SUM(B82:AE82)</f>
        <v>0</v>
      </c>
      <c r="AI82" s="198" t="n">
        <f aca="false">IFERROR(SUMPRODUCT((B82:AE82&gt;0)*(B82:AE82&lt;&gt;"")),0)</f>
        <v>0</v>
      </c>
      <c r="AJ82" s="192"/>
      <c r="AK82" s="216" t="n">
        <f aca="false">IF(EB.Anwendung&lt;&gt;"",IF(MONTH(Monat.Tag1)=1,0,IF(MONTH(Monat.Tag1)=2,January!Monat.SDUeVM,IF(MONTH(Monat.Tag1)=3,February!Monat.SDUeVM,IF(MONTH(Monat.Tag1)=4,March!Monat.SDUeVM,IF(MONTH(Monat.Tag1)=5,April!Monat.SDUeVM,IF(MONTH(Monat.Tag1)=6,May!Monat.SDUeVM,IF(MONTH(Monat.Tag1)=7,Monat.SDUeVM,IF(MONTH(Monat.Tag1)=8,July!Monat.SDUeVM,IF(MONTH(Monat.Tag1)=9,August!Monat.SDUeVM,IF(MONTH(Monat.Tag1)=10,September!Monat.SDUeVM,IF(MONTH(Monat.Tag1)=11,October!Monat.SDUeVM,IF(MONTH(Monat.Tag1)=12,November!Monat.SDUeVM,"")))))))))))),"")</f>
        <v>0</v>
      </c>
      <c r="AL82" s="172"/>
      <c r="AM82" s="217" t="n">
        <f aca="false">AH82+AK82</f>
        <v>0</v>
      </c>
      <c r="AN82" s="171"/>
      <c r="AO82" s="171"/>
      <c r="AP82" s="39"/>
    </row>
    <row r="83" s="148" customFormat="true" ht="11.25" hidden="false" customHeight="true" outlineLevel="1" collapsed="false">
      <c r="A83" s="186"/>
      <c r="B83" s="194"/>
      <c r="C83" s="194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4"/>
      <c r="O83" s="194"/>
      <c r="P83" s="194"/>
      <c r="Q83" s="194"/>
      <c r="R83" s="194"/>
      <c r="S83" s="194"/>
      <c r="T83" s="194"/>
      <c r="U83" s="194"/>
      <c r="V83" s="194"/>
      <c r="W83" s="194"/>
      <c r="X83" s="194"/>
      <c r="Y83" s="194"/>
      <c r="Z83" s="194"/>
      <c r="AA83" s="194"/>
      <c r="AB83" s="194"/>
      <c r="AC83" s="194"/>
      <c r="AD83" s="194"/>
      <c r="AE83" s="194"/>
      <c r="AF83" s="168"/>
      <c r="AG83" s="197"/>
      <c r="AH83" s="192"/>
      <c r="AI83" s="27"/>
      <c r="AJ83" s="235"/>
      <c r="AK83" s="235"/>
      <c r="AL83" s="172"/>
      <c r="AM83" s="254"/>
      <c r="AN83" s="259"/>
      <c r="AO83" s="259"/>
      <c r="AP83" s="39"/>
    </row>
    <row r="84" s="148" customFormat="true" ht="15" hidden="false" customHeight="true" outlineLevel="0" collapsed="false">
      <c r="A84" s="175" t="s">
        <v>166</v>
      </c>
      <c r="B84" s="176"/>
      <c r="C84" s="176"/>
      <c r="D84" s="176"/>
      <c r="E84" s="176"/>
      <c r="F84" s="176"/>
      <c r="G84" s="176"/>
      <c r="H84" s="176"/>
      <c r="I84" s="176"/>
      <c r="J84" s="176"/>
      <c r="K84" s="176"/>
      <c r="L84" s="176"/>
      <c r="M84" s="176"/>
      <c r="N84" s="176"/>
      <c r="O84" s="176"/>
      <c r="P84" s="176"/>
      <c r="Q84" s="176"/>
      <c r="R84" s="176"/>
      <c r="S84" s="176"/>
      <c r="T84" s="176"/>
      <c r="U84" s="176"/>
      <c r="V84" s="176"/>
      <c r="W84" s="176"/>
      <c r="X84" s="176"/>
      <c r="Y84" s="176"/>
      <c r="Z84" s="190"/>
      <c r="AA84" s="176"/>
      <c r="AB84" s="176"/>
      <c r="AC84" s="176"/>
      <c r="AD84" s="176"/>
      <c r="AE84" s="176"/>
      <c r="AF84" s="168" t="str">
        <f aca="false">A84</f>
        <v>Vacation</v>
      </c>
      <c r="AG84" s="184"/>
      <c r="AH84" s="207" t="n">
        <f aca="false">SUM(B84:AE84)</f>
        <v>0</v>
      </c>
      <c r="AI84" s="33"/>
      <c r="AJ84" s="216" t="n">
        <f aca="true">OFFSET(EB.MFAStd.Knoten,MONTH(Monat.Tag1),0,1,1)</f>
        <v>0.583333333333333</v>
      </c>
      <c r="AK84" s="216" t="n">
        <f aca="false">IF(EB.Anwendung&lt;&gt;"",IF(MONTH(Monat.Tag1)=1,EB.FerienBer,IF(MONTH(Monat.Tag1)=2,January!Monat.FerienUeVM,IF(MONTH(Monat.Tag1)=3,February!Monat.FerienUeVM,IF(MONTH(Monat.Tag1)=4,March!Monat.FerienUeVM,IF(MONTH(Monat.Tag1)=5,April!Monat.FerienUeVM,IF(MONTH(Monat.Tag1)=6,May!Monat.FerienUeVM,IF(MONTH(Monat.Tag1)=7,Monat.FerienUeVM,IF(MONTH(Monat.Tag1)=8,July!Monat.FerienUeVM,IF(MONTH(Monat.Tag1)=9,August!Monat.FerienUeVM,IF(MONTH(Monat.Tag1)=10,September!Monat.FerienUeVM,IF(MONTH(Monat.Tag1)=11,October!Monat.FerienUeVM,IF(MONTH(Monat.Tag1)=12,November!Monat.FerienUeVM,"")))))))))))),"")</f>
        <v>1.16666666666667</v>
      </c>
      <c r="AL84" s="172"/>
      <c r="AM84" s="217" t="n">
        <f aca="false">IF(AG85="+",(AJ84+AK84-Monat.Ferien.Total+AH85),(AJ84+AK84-Monat.Ferien.Total-AH85))</f>
        <v>1.75</v>
      </c>
      <c r="AN84" s="217" t="n">
        <f aca="true">SUM(Jahresabrechnung!AC12:AC13)-SUM(OFFSET(Jahresabrechnung!AC15,0,0,MONTH(Monat.Tag1),1))</f>
        <v>5.25</v>
      </c>
      <c r="AO84" s="217" t="n">
        <f aca="false">J.FerienUE.Total</f>
        <v>5.25</v>
      </c>
      <c r="AP84" s="39"/>
    </row>
    <row r="85" s="148" customFormat="true" ht="15" hidden="false" customHeight="true" outlineLevel="0" collapsed="false">
      <c r="A85" s="186"/>
      <c r="B85" s="191"/>
      <c r="C85" s="191"/>
      <c r="D85" s="191"/>
      <c r="E85" s="191"/>
      <c r="F85" s="191"/>
      <c r="G85" s="191"/>
      <c r="H85" s="191"/>
      <c r="I85" s="191"/>
      <c r="J85" s="191"/>
      <c r="K85" s="191"/>
      <c r="L85" s="191"/>
      <c r="M85" s="191"/>
      <c r="N85" s="191"/>
      <c r="O85" s="191"/>
      <c r="P85" s="191"/>
      <c r="Q85" s="191"/>
      <c r="R85" s="191"/>
      <c r="S85" s="191"/>
      <c r="T85" s="191"/>
      <c r="U85" s="191"/>
      <c r="V85" s="191"/>
      <c r="W85" s="191"/>
      <c r="X85" s="191"/>
      <c r="Y85" s="191"/>
      <c r="Z85" s="191"/>
      <c r="AA85" s="191"/>
      <c r="AB85" s="191"/>
      <c r="AC85" s="191"/>
      <c r="AD85" s="191"/>
      <c r="AE85" s="191"/>
      <c r="AF85" s="175" t="s">
        <v>167</v>
      </c>
      <c r="AG85" s="244" t="s">
        <v>146</v>
      </c>
      <c r="AH85" s="260"/>
      <c r="AI85" s="246"/>
      <c r="AJ85" s="172"/>
      <c r="AK85" s="172"/>
      <c r="AL85" s="172"/>
      <c r="AM85" s="171"/>
      <c r="AN85" s="261"/>
      <c r="AO85" s="261"/>
      <c r="AP85" s="39"/>
    </row>
    <row r="86" s="148" customFormat="true" ht="15" hidden="false" customHeight="true" outlineLevel="0" collapsed="false">
      <c r="A86" s="175" t="s">
        <v>168</v>
      </c>
      <c r="B86" s="176"/>
      <c r="C86" s="176"/>
      <c r="D86" s="176"/>
      <c r="E86" s="177"/>
      <c r="F86" s="176"/>
      <c r="G86" s="176"/>
      <c r="H86" s="176"/>
      <c r="I86" s="176"/>
      <c r="J86" s="177"/>
      <c r="K86" s="176"/>
      <c r="L86" s="177"/>
      <c r="M86" s="176"/>
      <c r="N86" s="176"/>
      <c r="O86" s="176"/>
      <c r="P86" s="176"/>
      <c r="Q86" s="177"/>
      <c r="R86" s="176"/>
      <c r="S86" s="177"/>
      <c r="T86" s="177"/>
      <c r="U86" s="176"/>
      <c r="V86" s="176"/>
      <c r="W86" s="176"/>
      <c r="X86" s="177"/>
      <c r="Y86" s="176"/>
      <c r="Z86" s="178"/>
      <c r="AA86" s="176"/>
      <c r="AB86" s="176"/>
      <c r="AC86" s="176"/>
      <c r="AD86" s="176"/>
      <c r="AE86" s="177"/>
      <c r="AF86" s="168" t="str">
        <f aca="false">A86</f>
        <v>Consultation</v>
      </c>
      <c r="AG86" s="184"/>
      <c r="AH86" s="207" t="n">
        <f aca="false">SUM(B86:AE86)</f>
        <v>0</v>
      </c>
      <c r="AI86" s="33"/>
      <c r="AJ86" s="235"/>
      <c r="AK86" s="216" t="n">
        <f aca="false">IF(EB.Anwendung&lt;&gt;"",IF(MONTH(Monat.Tag1)=1,0,IF(MONTH(Monat.Tag1)=2,January!Monat.ArztUeVM,IF(MONTH(Monat.Tag1)=3,February!Monat.ArztUeVM,IF(MONTH(Monat.Tag1)=4,March!Monat.ArztUeVM,IF(MONTH(Monat.Tag1)=5,April!Monat.ArztUeVM,IF(MONTH(Monat.Tag1)=6,May!Monat.ArztUeVM,IF(MONTH(Monat.Tag1)=7,Monat.ArztUeVM,IF(MONTH(Monat.Tag1)=8,July!Monat.ArztUeVM,IF(MONTH(Monat.Tag1)=9,August!Monat.ArztUeVM,IF(MONTH(Monat.Tag1)=10,September!Monat.ArztUeVM,IF(MONTH(Monat.Tag1)=11,October!Monat.ArztUeVM,IF(MONTH(Monat.Tag1)=12,November!Monat.ArztUeVM,"")))))))))))),"")</f>
        <v>0</v>
      </c>
      <c r="AL86" s="172"/>
      <c r="AM86" s="217" t="n">
        <f aca="false">AH86+AK86</f>
        <v>0</v>
      </c>
      <c r="AN86" s="171"/>
      <c r="AO86" s="171"/>
      <c r="AP86" s="39"/>
    </row>
    <row r="87" s="148" customFormat="true" ht="15" hidden="false" customHeight="true" outlineLevel="0" collapsed="false">
      <c r="A87" s="175" t="s">
        <v>169</v>
      </c>
      <c r="B87" s="176"/>
      <c r="C87" s="176"/>
      <c r="D87" s="176"/>
      <c r="E87" s="177"/>
      <c r="F87" s="176"/>
      <c r="G87" s="176"/>
      <c r="H87" s="176"/>
      <c r="I87" s="176"/>
      <c r="J87" s="177"/>
      <c r="K87" s="176"/>
      <c r="L87" s="177"/>
      <c r="M87" s="176"/>
      <c r="N87" s="176"/>
      <c r="O87" s="176"/>
      <c r="P87" s="176"/>
      <c r="Q87" s="177"/>
      <c r="R87" s="176"/>
      <c r="S87" s="177"/>
      <c r="T87" s="177"/>
      <c r="U87" s="176"/>
      <c r="V87" s="176"/>
      <c r="W87" s="176"/>
      <c r="X87" s="177"/>
      <c r="Y87" s="176"/>
      <c r="Z87" s="178"/>
      <c r="AA87" s="176"/>
      <c r="AB87" s="176"/>
      <c r="AC87" s="176"/>
      <c r="AD87" s="176"/>
      <c r="AE87" s="177"/>
      <c r="AF87" s="168" t="str">
        <f aca="false">A87</f>
        <v>Illness</v>
      </c>
      <c r="AG87" s="184"/>
      <c r="AH87" s="207" t="n">
        <f aca="false">SUM(B87:AE87)</f>
        <v>0</v>
      </c>
      <c r="AI87" s="33"/>
      <c r="AJ87" s="235"/>
      <c r="AK87" s="216" t="n">
        <f aca="false">IF(EB.Anwendung&lt;&gt;"",IF(MONTH(Monat.Tag1)=1,0,IF(MONTH(Monat.Tag1)=2,January!Monat.KrankUeVM,IF(MONTH(Monat.Tag1)=3,February!Monat.KrankUeVM,IF(MONTH(Monat.Tag1)=4,March!Monat.KrankUeVM,IF(MONTH(Monat.Tag1)=5,April!Monat.KrankUeVM,IF(MONTH(Monat.Tag1)=6,May!Monat.KrankUeVM,IF(MONTH(Monat.Tag1)=7,Monat.KrankUeVM,IF(MONTH(Monat.Tag1)=8,July!Monat.KrankUeVM,IF(MONTH(Monat.Tag1)=9,August!Monat.KrankUeVM,IF(MONTH(Monat.Tag1)=10,September!Monat.KrankUeVM,IF(MONTH(Monat.Tag1)=11,October!Monat.KrankUeVM,IF(MONTH(Monat.Tag1)=12,November!Monat.KrankUeVM,"")))))))))))),"")</f>
        <v>0</v>
      </c>
      <c r="AL87" s="172"/>
      <c r="AM87" s="217" t="n">
        <f aca="false">AH87+AK87</f>
        <v>0</v>
      </c>
      <c r="AN87" s="171"/>
      <c r="AO87" s="171"/>
      <c r="AP87" s="39"/>
    </row>
    <row r="88" s="148" customFormat="true" ht="15" hidden="false" customHeight="true" outlineLevel="0" collapsed="false">
      <c r="A88" s="175" t="s">
        <v>170</v>
      </c>
      <c r="B88" s="176"/>
      <c r="C88" s="176"/>
      <c r="D88" s="176"/>
      <c r="E88" s="177"/>
      <c r="F88" s="176"/>
      <c r="G88" s="176"/>
      <c r="H88" s="176"/>
      <c r="I88" s="176"/>
      <c r="J88" s="177"/>
      <c r="K88" s="176"/>
      <c r="L88" s="177"/>
      <c r="M88" s="176"/>
      <c r="N88" s="176"/>
      <c r="O88" s="176"/>
      <c r="P88" s="176"/>
      <c r="Q88" s="177"/>
      <c r="R88" s="176"/>
      <c r="S88" s="177"/>
      <c r="T88" s="177"/>
      <c r="U88" s="176"/>
      <c r="V88" s="176"/>
      <c r="W88" s="176"/>
      <c r="X88" s="177"/>
      <c r="Y88" s="176"/>
      <c r="Z88" s="178"/>
      <c r="AA88" s="176"/>
      <c r="AB88" s="176"/>
      <c r="AC88" s="176"/>
      <c r="AD88" s="176"/>
      <c r="AE88" s="177"/>
      <c r="AF88" s="168" t="str">
        <f aca="false">A88</f>
        <v>Work-related accident</v>
      </c>
      <c r="AG88" s="184"/>
      <c r="AH88" s="207" t="n">
        <f aca="false">SUM(B88:AE88)</f>
        <v>0</v>
      </c>
      <c r="AI88" s="33"/>
      <c r="AJ88" s="235"/>
      <c r="AK88" s="216" t="n">
        <f aca="false">IF(EB.Anwendung&lt;&gt;"",IF(MONTH(Monat.Tag1)=1,0,IF(MONTH(Monat.Tag1)=2,January!Monat.BUUeVM,IF(MONTH(Monat.Tag1)=3,February!Monat.BUUeVM,IF(MONTH(Monat.Tag1)=4,March!Monat.BUUeVM,IF(MONTH(Monat.Tag1)=5,April!Monat.BUUeVM,IF(MONTH(Monat.Tag1)=6,May!Monat.BUUeVM,IF(MONTH(Monat.Tag1)=7,Monat.BUUeVM,IF(MONTH(Monat.Tag1)=8,July!Monat.BUUeVM,IF(MONTH(Monat.Tag1)=9,August!Monat.BUUeVM,IF(MONTH(Monat.Tag1)=10,September!Monat.BUUeVM,IF(MONTH(Monat.Tag1)=11,October!Monat.BUUeVM,IF(MONTH(Monat.Tag1)=12,November!Monat.BUUeVM,"")))))))))))),"")</f>
        <v>0</v>
      </c>
      <c r="AL88" s="172"/>
      <c r="AM88" s="217" t="n">
        <f aca="false">AH88+AK88</f>
        <v>0</v>
      </c>
      <c r="AN88" s="171"/>
      <c r="AO88" s="171"/>
      <c r="AP88" s="39"/>
    </row>
    <row r="89" s="148" customFormat="true" ht="15" hidden="false" customHeight="true" outlineLevel="0" collapsed="false">
      <c r="A89" s="175" t="s">
        <v>171</v>
      </c>
      <c r="B89" s="176"/>
      <c r="C89" s="176"/>
      <c r="D89" s="176"/>
      <c r="E89" s="177"/>
      <c r="F89" s="176"/>
      <c r="G89" s="176"/>
      <c r="H89" s="176"/>
      <c r="I89" s="176"/>
      <c r="J89" s="177"/>
      <c r="K89" s="176"/>
      <c r="L89" s="177"/>
      <c r="M89" s="176"/>
      <c r="N89" s="176"/>
      <c r="O89" s="176"/>
      <c r="P89" s="176"/>
      <c r="Q89" s="177"/>
      <c r="R89" s="176"/>
      <c r="S89" s="177"/>
      <c r="T89" s="177"/>
      <c r="U89" s="176"/>
      <c r="V89" s="176"/>
      <c r="W89" s="176"/>
      <c r="X89" s="177"/>
      <c r="Y89" s="176"/>
      <c r="Z89" s="178"/>
      <c r="AA89" s="176"/>
      <c r="AB89" s="176"/>
      <c r="AC89" s="176"/>
      <c r="AD89" s="176"/>
      <c r="AE89" s="177"/>
      <c r="AF89" s="168" t="str">
        <f aca="false">A89</f>
        <v>Non-work-related accident</v>
      </c>
      <c r="AG89" s="184"/>
      <c r="AH89" s="207" t="n">
        <f aca="false">SUM(B89:AE89)</f>
        <v>0</v>
      </c>
      <c r="AI89" s="33"/>
      <c r="AJ89" s="235"/>
      <c r="AK89" s="216" t="n">
        <f aca="false">IF(EB.Anwendung&lt;&gt;"",IF(MONTH(Monat.Tag1)=1,0,IF(MONTH(Monat.Tag1)=2,January!Monat.NBUUeVM,IF(MONTH(Monat.Tag1)=3,February!Monat.NBUUeVM,IF(MONTH(Monat.Tag1)=4,March!Monat.NBUUeVM,IF(MONTH(Monat.Tag1)=5,April!Monat.NBUUeVM,IF(MONTH(Monat.Tag1)=6,May!Monat.NBUUeVM,IF(MONTH(Monat.Tag1)=7,Monat.NBUUeVM,IF(MONTH(Monat.Tag1)=8,July!Monat.NBUUeVM,IF(MONTH(Monat.Tag1)=9,August!Monat.NBUUeVM,IF(MONTH(Monat.Tag1)=10,September!Monat.NBUUeVM,IF(MONTH(Monat.Tag1)=11,October!Monat.NBUUeVM,IF(MONTH(Monat.Tag1)=12,November!Monat.NBUUeVM,"")))))))))))),"")</f>
        <v>0</v>
      </c>
      <c r="AL89" s="172"/>
      <c r="AM89" s="217" t="n">
        <f aca="false">AH89+AK89</f>
        <v>0</v>
      </c>
      <c r="AN89" s="171"/>
      <c r="AO89" s="171"/>
      <c r="AP89" s="39"/>
    </row>
    <row r="90" s="148" customFormat="true" ht="15" hidden="false" customHeight="true" outlineLevel="0" collapsed="false">
      <c r="A90" s="175" t="s">
        <v>172</v>
      </c>
      <c r="B90" s="176"/>
      <c r="C90" s="176"/>
      <c r="D90" s="176"/>
      <c r="E90" s="177"/>
      <c r="F90" s="176"/>
      <c r="G90" s="176"/>
      <c r="H90" s="176"/>
      <c r="I90" s="176"/>
      <c r="J90" s="177"/>
      <c r="K90" s="176"/>
      <c r="L90" s="177"/>
      <c r="M90" s="176"/>
      <c r="N90" s="176"/>
      <c r="O90" s="176"/>
      <c r="P90" s="176"/>
      <c r="Q90" s="177"/>
      <c r="R90" s="176"/>
      <c r="S90" s="177"/>
      <c r="T90" s="177"/>
      <c r="U90" s="176"/>
      <c r="V90" s="176"/>
      <c r="W90" s="176"/>
      <c r="X90" s="177"/>
      <c r="Y90" s="176"/>
      <c r="Z90" s="178"/>
      <c r="AA90" s="176"/>
      <c r="AB90" s="176"/>
      <c r="AC90" s="176"/>
      <c r="AD90" s="176"/>
      <c r="AE90" s="177"/>
      <c r="AF90" s="168" t="str">
        <f aca="false">A90</f>
        <v>Military/civilian service</v>
      </c>
      <c r="AG90" s="184"/>
      <c r="AH90" s="207" t="n">
        <f aca="false">SUM(B90:AE90)</f>
        <v>0</v>
      </c>
      <c r="AI90" s="33"/>
      <c r="AJ90" s="235"/>
      <c r="AK90" s="216" t="n">
        <f aca="false">IF(EB.Anwendung&lt;&gt;"",IF(MONTH(Monat.Tag1)=1,0,IF(MONTH(Monat.Tag1)=2,January!Monat.MZSUeVM,IF(MONTH(Monat.Tag1)=3,February!Monat.MZSUeVM,IF(MONTH(Monat.Tag1)=4,March!Monat.MZSUeVM,IF(MONTH(Monat.Tag1)=5,April!Monat.MZSUeVM,IF(MONTH(Monat.Tag1)=6,May!Monat.MZSUeVM,IF(MONTH(Monat.Tag1)=7,Monat.MZSUeVM,IF(MONTH(Monat.Tag1)=8,July!Monat.MZSUeVM,IF(MONTH(Monat.Tag1)=9,August!Monat.MZSUeVM,IF(MONTH(Monat.Tag1)=10,September!Monat.MZSUeVM,IF(MONTH(Monat.Tag1)=11,October!Monat.MZSUeVM,IF(MONTH(Monat.Tag1)=12,November!Monat.MZSUeVM,"")))))))))))),"")</f>
        <v>0</v>
      </c>
      <c r="AL90" s="172"/>
      <c r="AM90" s="217" t="n">
        <f aca="false">AH90+AK90</f>
        <v>0</v>
      </c>
      <c r="AN90" s="171"/>
      <c r="AO90" s="171"/>
      <c r="AP90" s="39"/>
    </row>
    <row r="91" s="148" customFormat="true" ht="15" hidden="false" customHeight="true" outlineLevel="0" collapsed="false">
      <c r="A91" s="175" t="s">
        <v>173</v>
      </c>
      <c r="B91" s="176"/>
      <c r="C91" s="176"/>
      <c r="D91" s="176"/>
      <c r="E91" s="177"/>
      <c r="F91" s="176"/>
      <c r="G91" s="176"/>
      <c r="H91" s="176"/>
      <c r="I91" s="176"/>
      <c r="J91" s="177"/>
      <c r="K91" s="176"/>
      <c r="L91" s="177"/>
      <c r="M91" s="176"/>
      <c r="N91" s="176"/>
      <c r="O91" s="176"/>
      <c r="P91" s="176"/>
      <c r="Q91" s="177"/>
      <c r="R91" s="176"/>
      <c r="S91" s="177"/>
      <c r="T91" s="177"/>
      <c r="U91" s="176"/>
      <c r="V91" s="176"/>
      <c r="W91" s="176"/>
      <c r="X91" s="177"/>
      <c r="Y91" s="176"/>
      <c r="Z91" s="178"/>
      <c r="AA91" s="176"/>
      <c r="AB91" s="176"/>
      <c r="AC91" s="176"/>
      <c r="AD91" s="176"/>
      <c r="AE91" s="177"/>
      <c r="AF91" s="168" t="str">
        <f aca="false">A91</f>
        <v>Continuing education</v>
      </c>
      <c r="AG91" s="184"/>
      <c r="AH91" s="207" t="n">
        <f aca="false">SUM(B91:AE91)</f>
        <v>0</v>
      </c>
      <c r="AI91" s="33"/>
      <c r="AJ91" s="235"/>
      <c r="AK91" s="216" t="n">
        <f aca="false">IF(EB.Anwendung&lt;&gt;"",IF(MONTH(Monat.Tag1)=1,0,IF(MONTH(Monat.Tag1)=2,January!Monat.WBUeVM,IF(MONTH(Monat.Tag1)=3,February!Monat.WBUeVM,IF(MONTH(Monat.Tag1)=4,March!Monat.WBUeVM,IF(MONTH(Monat.Tag1)=5,April!Monat.WBUeVM,IF(MONTH(Monat.Tag1)=6,May!Monat.WBUeVM,IF(MONTH(Monat.Tag1)=7,Monat.WBUeVM,IF(MONTH(Monat.Tag1)=8,July!Monat.WBUeVM,IF(MONTH(Monat.Tag1)=9,August!Monat.WBUeVM,IF(MONTH(Monat.Tag1)=10,September!Monat.WBUeVM,IF(MONTH(Monat.Tag1)=11,October!Monat.WBUeVM,IF(MONTH(Monat.Tag1)=12,November!Monat.WBUeVM,"")))))))))))),"")</f>
        <v>0</v>
      </c>
      <c r="AL91" s="172"/>
      <c r="AM91" s="217" t="n">
        <f aca="false">AH91+AK91</f>
        <v>0</v>
      </c>
      <c r="AN91" s="171"/>
      <c r="AO91" s="171"/>
      <c r="AP91" s="39"/>
    </row>
    <row r="92" s="148" customFormat="true" ht="15" hidden="false" customHeight="true" outlineLevel="0" collapsed="false">
      <c r="A92" s="175" t="s">
        <v>174</v>
      </c>
      <c r="B92" s="176"/>
      <c r="C92" s="176"/>
      <c r="D92" s="176"/>
      <c r="E92" s="177"/>
      <c r="F92" s="176"/>
      <c r="G92" s="176"/>
      <c r="H92" s="176"/>
      <c r="I92" s="176"/>
      <c r="J92" s="177"/>
      <c r="K92" s="176"/>
      <c r="L92" s="177"/>
      <c r="M92" s="176"/>
      <c r="N92" s="176"/>
      <c r="O92" s="176"/>
      <c r="P92" s="176"/>
      <c r="Q92" s="177"/>
      <c r="R92" s="176"/>
      <c r="S92" s="177"/>
      <c r="T92" s="177"/>
      <c r="U92" s="176"/>
      <c r="V92" s="176"/>
      <c r="W92" s="176"/>
      <c r="X92" s="177"/>
      <c r="Y92" s="176"/>
      <c r="Z92" s="178"/>
      <c r="AA92" s="176"/>
      <c r="AB92" s="176"/>
      <c r="AC92" s="176"/>
      <c r="AD92" s="176"/>
      <c r="AE92" s="177"/>
      <c r="AF92" s="168" t="str">
        <f aca="false">A92</f>
        <v>Paid leave</v>
      </c>
      <c r="AG92" s="184"/>
      <c r="AH92" s="207" t="n">
        <f aca="false">SUM(B92:AE92)</f>
        <v>0</v>
      </c>
      <c r="AI92" s="33"/>
      <c r="AJ92" s="235"/>
      <c r="AK92" s="216" t="n">
        <f aca="false">IF(EB.Anwendung&lt;&gt;"",IF(MONTH(Monat.Tag1)=1,0,IF(MONTH(Monat.Tag1)=2,January!Monat.BesUrlaubUeVM,IF(MONTH(Monat.Tag1)=3,February!Monat.BesUrlaubUeVM,IF(MONTH(Monat.Tag1)=4,March!Monat.BesUrlaubUeVM,IF(MONTH(Monat.Tag1)=5,April!Monat.BesUrlaubUeVM,IF(MONTH(Monat.Tag1)=6,May!Monat.BesUrlaubUeVM,IF(MONTH(Monat.Tag1)=7,Monat.BesUrlaubUeVM,IF(MONTH(Monat.Tag1)=8,July!Monat.BesUrlaubUeVM,IF(MONTH(Monat.Tag1)=9,August!Monat.BesUrlaubUeVM,IF(MONTH(Monat.Tag1)=10,September!Monat.BesUrlaubUeVM,IF(MONTH(Monat.Tag1)=11,October!Monat.BesUrlaubUeVM,IF(MONTH(Monat.Tag1)=12,November!Monat.BesUrlaubUeVM,"")))))))))))),"")</f>
        <v>0</v>
      </c>
      <c r="AL92" s="172"/>
      <c r="AM92" s="217" t="n">
        <f aca="false">AH92+AK92</f>
        <v>0</v>
      </c>
      <c r="AN92" s="171"/>
      <c r="AO92" s="171"/>
      <c r="AP92" s="39"/>
    </row>
    <row r="93" s="148" customFormat="true" ht="15" hidden="false" customHeight="true" outlineLevel="0" collapsed="false">
      <c r="A93" s="175" t="s">
        <v>175</v>
      </c>
      <c r="B93" s="176"/>
      <c r="C93" s="176"/>
      <c r="D93" s="176"/>
      <c r="E93" s="177"/>
      <c r="F93" s="176"/>
      <c r="G93" s="176"/>
      <c r="H93" s="176"/>
      <c r="I93" s="176"/>
      <c r="J93" s="177"/>
      <c r="K93" s="176"/>
      <c r="L93" s="177"/>
      <c r="M93" s="176"/>
      <c r="N93" s="176"/>
      <c r="O93" s="176"/>
      <c r="P93" s="176"/>
      <c r="Q93" s="177"/>
      <c r="R93" s="176"/>
      <c r="S93" s="177"/>
      <c r="T93" s="177"/>
      <c r="U93" s="176"/>
      <c r="V93" s="176"/>
      <c r="W93" s="176"/>
      <c r="X93" s="177"/>
      <c r="Y93" s="176"/>
      <c r="Z93" s="178"/>
      <c r="AA93" s="176"/>
      <c r="AB93" s="176"/>
      <c r="AC93" s="176"/>
      <c r="AD93" s="176"/>
      <c r="AE93" s="177"/>
      <c r="AF93" s="168" t="str">
        <f aca="false">A93</f>
        <v>Unpaid leave</v>
      </c>
      <c r="AG93" s="184"/>
      <c r="AH93" s="207" t="n">
        <f aca="false">SUM(B93:AE93)</f>
        <v>0</v>
      </c>
      <c r="AI93" s="33"/>
      <c r="AJ93" s="235"/>
      <c r="AK93" s="216" t="n">
        <f aca="false">IF(EB.Anwendung&lt;&gt;"",IF(MONTH(Monat.Tag1)=1,0,IF(MONTH(Monat.Tag1)=2,January!Monat.UnbesUrlaubUeVM,IF(MONTH(Monat.Tag1)=3,February!Monat.UnbesUrlaubUeVM,IF(MONTH(Monat.Tag1)=4,March!Monat.UnbesUrlaubUeVM,IF(MONTH(Monat.Tag1)=5,April!Monat.UnbesUrlaubUeVM,IF(MONTH(Monat.Tag1)=6,May!Monat.UnbesUrlaubUeVM,IF(MONTH(Monat.Tag1)=7,Monat.UnbesUrlaubUeVM,IF(MONTH(Monat.Tag1)=8,July!Monat.UnbesUrlaubUeVM,IF(MONTH(Monat.Tag1)=9,August!Monat.UnbesUrlaubUeVM,IF(MONTH(Monat.Tag1)=10,September!Monat.UnbesUrlaubUeVM,IF(MONTH(Monat.Tag1)=11,October!Monat.UnbesUrlaubUeVM,IF(MONTH(Monat.Tag1)=12,November!Monat.UnbesUrlaubUeVM,"")))))))))))),"")</f>
        <v>0</v>
      </c>
      <c r="AL93" s="172"/>
      <c r="AM93" s="217" t="n">
        <f aca="false">AH93+AK93</f>
        <v>0</v>
      </c>
      <c r="AN93" s="171"/>
      <c r="AO93" s="171"/>
      <c r="AP93" s="39"/>
    </row>
    <row r="94" s="148" customFormat="true" ht="15" hidden="true" customHeight="true" outlineLevel="1" collapsed="false">
      <c r="A94" s="175" t="s">
        <v>176</v>
      </c>
      <c r="B94" s="176"/>
      <c r="C94" s="176"/>
      <c r="D94" s="176"/>
      <c r="E94" s="177"/>
      <c r="F94" s="176"/>
      <c r="G94" s="176"/>
      <c r="H94" s="176"/>
      <c r="I94" s="176"/>
      <c r="J94" s="177"/>
      <c r="K94" s="176"/>
      <c r="L94" s="177"/>
      <c r="M94" s="176"/>
      <c r="N94" s="176"/>
      <c r="O94" s="176"/>
      <c r="P94" s="176"/>
      <c r="Q94" s="177"/>
      <c r="R94" s="176"/>
      <c r="S94" s="177"/>
      <c r="T94" s="177"/>
      <c r="U94" s="176"/>
      <c r="V94" s="176"/>
      <c r="W94" s="176"/>
      <c r="X94" s="177"/>
      <c r="Y94" s="176"/>
      <c r="Z94" s="178"/>
      <c r="AA94" s="176"/>
      <c r="AB94" s="176"/>
      <c r="AC94" s="176"/>
      <c r="AD94" s="176"/>
      <c r="AE94" s="177"/>
      <c r="AF94" s="168" t="str">
        <f aca="false">A94</f>
        <v>Secondary employment</v>
      </c>
      <c r="AG94" s="184"/>
      <c r="AH94" s="207" t="n">
        <f aca="false">SUM(B94:AE94)</f>
        <v>0</v>
      </c>
      <c r="AI94" s="33"/>
      <c r="AJ94" s="235"/>
      <c r="AK94" s="216" t="n">
        <f aca="false">IF(EB.Anwendung&lt;&gt;"",IF(MONTH(Monat.Tag1)=1,0,IF(MONTH(Monat.Tag1)=2,January!Monat.NBUeVM,IF(MONTH(Monat.Tag1)=3,February!Monat.NBUeVM,IF(MONTH(Monat.Tag1)=4,March!Monat.NBUeVM,IF(MONTH(Monat.Tag1)=5,April!Monat.NBUeVM,IF(MONTH(Monat.Tag1)=6,May!Monat.NBUeVM,IF(MONTH(Monat.Tag1)=7,Monat.NBUeVM,IF(MONTH(Monat.Tag1)=8,July!Monat.NBUeVM,IF(MONTH(Monat.Tag1)=9,August!Monat.NBUeVM,IF(MONTH(Monat.Tag1)=10,September!Monat.NBUeVM,IF(MONTH(Monat.Tag1)=11,October!Monat.NBUeVM,IF(MONTH(Monat.Tag1)=12,November!Monat.NBUeVM,"")))))))))))),"")</f>
        <v>0</v>
      </c>
      <c r="AL94" s="172"/>
      <c r="AM94" s="217" t="n">
        <f aca="false">AH94+AK94</f>
        <v>0</v>
      </c>
      <c r="AN94" s="171"/>
      <c r="AO94" s="171"/>
      <c r="AP94" s="39"/>
    </row>
    <row r="95" s="148" customFormat="true" ht="15" hidden="false" customHeight="true" outlineLevel="0" collapsed="false">
      <c r="A95" s="175" t="s">
        <v>86</v>
      </c>
      <c r="B95" s="176"/>
      <c r="C95" s="176"/>
      <c r="D95" s="176"/>
      <c r="E95" s="177"/>
      <c r="F95" s="176"/>
      <c r="G95" s="176"/>
      <c r="H95" s="176"/>
      <c r="I95" s="176"/>
      <c r="J95" s="177"/>
      <c r="K95" s="176"/>
      <c r="L95" s="177"/>
      <c r="M95" s="176"/>
      <c r="N95" s="176"/>
      <c r="O95" s="176"/>
      <c r="P95" s="176"/>
      <c r="Q95" s="177"/>
      <c r="R95" s="176"/>
      <c r="S95" s="177"/>
      <c r="T95" s="177"/>
      <c r="U95" s="176"/>
      <c r="V95" s="176"/>
      <c r="W95" s="176"/>
      <c r="X95" s="177"/>
      <c r="Y95" s="176"/>
      <c r="Z95" s="178"/>
      <c r="AA95" s="176"/>
      <c r="AB95" s="176"/>
      <c r="AC95" s="176"/>
      <c r="AD95" s="176"/>
      <c r="AE95" s="177"/>
      <c r="AF95" s="168" t="str">
        <f aca="false">A95</f>
        <v>Seniority allowance</v>
      </c>
      <c r="AG95" s="184"/>
      <c r="AH95" s="207" t="n">
        <f aca="false">SUM(B95:AE95)</f>
        <v>0</v>
      </c>
      <c r="AI95" s="33"/>
      <c r="AJ95" s="235"/>
      <c r="AK95" s="216" t="n">
        <f aca="false">IF(EB.Anwendung&lt;&gt;"",IF(MONTH(Monat.Tag1)=1,EB.DAG,IF(MONTH(Monat.Tag1)=2,January!Monat.DAGUeVM,IF(MONTH(Monat.Tag1)=3,February!Monat.DAGUeVM,IF(MONTH(Monat.Tag1)=4,March!Monat.DAGUeVM,IF(MONTH(Monat.Tag1)=5,April!Monat.DAGUeVM,IF(MONTH(Monat.Tag1)=6,May!Monat.DAGUeVM,IF(MONTH(Monat.Tag1)=7,Monat.DAGUeVM,IF(MONTH(Monat.Tag1)=8,July!Monat.DAGUeVM,IF(MONTH(Monat.Tag1)=9,August!Monat.DAGUeVM,IF(MONTH(Monat.Tag1)=10,September!Monat.DAGUeVM,IF(MONTH(Monat.Tag1)=11,October!Monat.DAGUeVM,IF(MONTH(Monat.Tag1)=12,November!Monat.DAGUeVM,"")))))))))))),"")</f>
        <v>0</v>
      </c>
      <c r="AL95" s="172"/>
      <c r="AM95" s="217" t="n">
        <f aca="false">AK95-AH95</f>
        <v>0</v>
      </c>
      <c r="AN95" s="171"/>
      <c r="AO95" s="171"/>
      <c r="AP95" s="39"/>
    </row>
    <row r="96" s="148" customFormat="true" ht="11.25" hidden="false" customHeight="true" outlineLevel="0" collapsed="false">
      <c r="A96" s="186"/>
      <c r="B96" s="191"/>
      <c r="C96" s="191"/>
      <c r="D96" s="191"/>
      <c r="E96" s="191"/>
      <c r="F96" s="191"/>
      <c r="G96" s="191"/>
      <c r="H96" s="191"/>
      <c r="I96" s="191"/>
      <c r="J96" s="191"/>
      <c r="K96" s="191"/>
      <c r="L96" s="191"/>
      <c r="M96" s="191"/>
      <c r="N96" s="191"/>
      <c r="O96" s="191"/>
      <c r="P96" s="191"/>
      <c r="Q96" s="191"/>
      <c r="R96" s="191"/>
      <c r="S96" s="191"/>
      <c r="T96" s="191"/>
      <c r="U96" s="191"/>
      <c r="V96" s="191"/>
      <c r="W96" s="191"/>
      <c r="X96" s="191"/>
      <c r="Y96" s="191"/>
      <c r="Z96" s="191"/>
      <c r="AA96" s="191"/>
      <c r="AB96" s="191"/>
      <c r="AC96" s="191"/>
      <c r="AD96" s="191"/>
      <c r="AE96" s="191"/>
      <c r="AF96" s="168"/>
      <c r="AG96" s="197"/>
      <c r="AH96" s="192"/>
      <c r="AI96" s="27"/>
      <c r="AJ96" s="235"/>
      <c r="AK96" s="235"/>
      <c r="AL96" s="172"/>
      <c r="AM96" s="254"/>
      <c r="AN96" s="179"/>
      <c r="AO96" s="179"/>
      <c r="AP96" s="39"/>
    </row>
    <row r="97" s="148" customFormat="true" ht="15" hidden="false" customHeight="true" outlineLevel="0" collapsed="false">
      <c r="A97" s="181" t="str">
        <f aca="true">IF(ROW(A97)-ROW(INDEX(Monat.Projekte.Zeilen,1))+1&gt;EB.AnzProjekte,"",OFFSET(EB.Projekte.Knoten,ROW(A97)-ROW(INDEX(Monat.Projekte.Zeilen,1))+1,0,1,1))</f>
        <v/>
      </c>
      <c r="B97" s="176"/>
      <c r="C97" s="176"/>
      <c r="D97" s="176"/>
      <c r="E97" s="177"/>
      <c r="F97" s="176"/>
      <c r="G97" s="176"/>
      <c r="H97" s="176"/>
      <c r="I97" s="176"/>
      <c r="J97" s="177"/>
      <c r="K97" s="176"/>
      <c r="L97" s="177"/>
      <c r="M97" s="176"/>
      <c r="N97" s="176"/>
      <c r="O97" s="176"/>
      <c r="P97" s="176"/>
      <c r="Q97" s="177"/>
      <c r="R97" s="176"/>
      <c r="S97" s="177"/>
      <c r="T97" s="177"/>
      <c r="U97" s="176"/>
      <c r="V97" s="176"/>
      <c r="W97" s="176"/>
      <c r="X97" s="177"/>
      <c r="Y97" s="176"/>
      <c r="Z97" s="178"/>
      <c r="AA97" s="176"/>
      <c r="AB97" s="176"/>
      <c r="AC97" s="176"/>
      <c r="AD97" s="176"/>
      <c r="AE97" s="177"/>
      <c r="AF97" s="168" t="str">
        <f aca="false">A97</f>
        <v/>
      </c>
      <c r="AG97" s="202"/>
      <c r="AH97" s="262" t="n">
        <f aca="false">SUM(B97:AE97)</f>
        <v>0</v>
      </c>
      <c r="AI97" s="33"/>
      <c r="AJ97" s="192"/>
      <c r="AK97" s="216" t="n">
        <f aca="false">IF(EB.Anwendung&lt;&gt;"",IF(MONTH(Monat.Tag1)=1,0,IF(MONTH(Monat.Tag1)=2,January!Monat.P1UeVM,IF(MONTH(Monat.Tag1)=3,February!Monat.P1UeVM,IF(MONTH(Monat.Tag1)=4,March!Monat.P1UeVM,IF(MONTH(Monat.Tag1)=5,April!Monat.P1UeVM,IF(MONTH(Monat.Tag1)=6,May!Monat.P1UeVM,IF(MONTH(Monat.Tag1)=7,Monat.P1UeVM,IF(MONTH(Monat.Tag1)=8,July!Monat.P1UeVM,IF(MONTH(Monat.Tag1)=9,August!Monat.P1UeVM,IF(MONTH(Monat.Tag1)=10,September!Monat.P1UeVM,IF(MONTH(Monat.Tag1)=11,October!Monat.P1UeVM,IF(MONTH(Monat.Tag1)=12,November!Monat.P1UeVM,"")))))))))))),"")</f>
        <v>0</v>
      </c>
      <c r="AL97" s="172"/>
      <c r="AM97" s="217" t="n">
        <f aca="false">AH97+AK97</f>
        <v>0</v>
      </c>
      <c r="AN97" s="171"/>
      <c r="AO97" s="171"/>
      <c r="AP97" s="39"/>
    </row>
    <row r="98" s="148" customFormat="true" ht="15" hidden="false" customHeight="true" outlineLevel="0" collapsed="false">
      <c r="A98" s="181" t="str">
        <f aca="true">IF(ROW(A98)-ROW(INDEX(Monat.Projekte.Zeilen,1))+1&gt;EB.AnzProjekte,"",OFFSET(EB.Projekte.Knoten,ROW(A98)-ROW(INDEX(Monat.Projekte.Zeilen,1))+1,0,1,1))</f>
        <v/>
      </c>
      <c r="B98" s="176"/>
      <c r="C98" s="176"/>
      <c r="D98" s="176"/>
      <c r="E98" s="177"/>
      <c r="F98" s="176"/>
      <c r="G98" s="176"/>
      <c r="H98" s="176"/>
      <c r="I98" s="176"/>
      <c r="J98" s="177"/>
      <c r="K98" s="176"/>
      <c r="L98" s="177"/>
      <c r="M98" s="176"/>
      <c r="N98" s="176"/>
      <c r="O98" s="176"/>
      <c r="P98" s="176"/>
      <c r="Q98" s="177"/>
      <c r="R98" s="176"/>
      <c r="S98" s="177"/>
      <c r="T98" s="177"/>
      <c r="U98" s="176"/>
      <c r="V98" s="176"/>
      <c r="W98" s="176"/>
      <c r="X98" s="177"/>
      <c r="Y98" s="176"/>
      <c r="Z98" s="178"/>
      <c r="AA98" s="176"/>
      <c r="AB98" s="176"/>
      <c r="AC98" s="176"/>
      <c r="AD98" s="176"/>
      <c r="AE98" s="177"/>
      <c r="AF98" s="168" t="str">
        <f aca="false">A98</f>
        <v/>
      </c>
      <c r="AG98" s="184"/>
      <c r="AH98" s="207" t="n">
        <f aca="false">SUM(B98:AE98)</f>
        <v>0</v>
      </c>
      <c r="AI98" s="33"/>
      <c r="AJ98" s="192"/>
      <c r="AK98" s="216" t="n">
        <f aca="false">IF(EB.Anwendung&lt;&gt;"",IF(MONTH(Monat.Tag1)=1,0,IF(MONTH(Monat.Tag1)=2,January!Monat.P2UeVM,IF(MONTH(Monat.Tag1)=3,February!Monat.P2UeVM,IF(MONTH(Monat.Tag1)=4,March!Monat.P2UeVM,IF(MONTH(Monat.Tag1)=5,April!Monat.P2UeVM,IF(MONTH(Monat.Tag1)=6,May!Monat.P2UeVM,IF(MONTH(Monat.Tag1)=7,Monat.P2UeVM,IF(MONTH(Monat.Tag1)=8,July!Monat.P2UeVM,IF(MONTH(Monat.Tag1)=9,August!Monat.P2UeVM,IF(MONTH(Monat.Tag1)=10,September!Monat.P2UeVM,IF(MONTH(Monat.Tag1)=11,October!Monat.P2UeVM,IF(MONTH(Monat.Tag1)=12,November!Monat.P2UeVM,"")))))))))))),"")</f>
        <v>0</v>
      </c>
      <c r="AL98" s="172"/>
      <c r="AM98" s="217" t="n">
        <f aca="false">AH98+AK98</f>
        <v>0</v>
      </c>
      <c r="AN98" s="171"/>
      <c r="AO98" s="171"/>
      <c r="AP98" s="39"/>
    </row>
    <row r="99" s="148" customFormat="true" ht="15" hidden="false" customHeight="true" outlineLevel="0" collapsed="false">
      <c r="A99" s="181" t="str">
        <f aca="true">IF(ROW(A99)-ROW(INDEX(Monat.Projekte.Zeilen,1))+1&gt;EB.AnzProjekte,"",OFFSET(EB.Projekte.Knoten,ROW(A99)-ROW(INDEX(Monat.Projekte.Zeilen,1))+1,0,1,1))</f>
        <v/>
      </c>
      <c r="B99" s="176"/>
      <c r="C99" s="176"/>
      <c r="D99" s="176"/>
      <c r="E99" s="177"/>
      <c r="F99" s="176"/>
      <c r="G99" s="176"/>
      <c r="H99" s="176"/>
      <c r="I99" s="176"/>
      <c r="J99" s="177"/>
      <c r="K99" s="176"/>
      <c r="L99" s="177"/>
      <c r="M99" s="176"/>
      <c r="N99" s="176"/>
      <c r="O99" s="176"/>
      <c r="P99" s="176"/>
      <c r="Q99" s="177"/>
      <c r="R99" s="176"/>
      <c r="S99" s="177"/>
      <c r="T99" s="177"/>
      <c r="U99" s="176"/>
      <c r="V99" s="176"/>
      <c r="W99" s="176"/>
      <c r="X99" s="177"/>
      <c r="Y99" s="176"/>
      <c r="Z99" s="178"/>
      <c r="AA99" s="176"/>
      <c r="AB99" s="176"/>
      <c r="AC99" s="176"/>
      <c r="AD99" s="176"/>
      <c r="AE99" s="177"/>
      <c r="AF99" s="168" t="str">
        <f aca="false">A99</f>
        <v/>
      </c>
      <c r="AG99" s="263"/>
      <c r="AH99" s="207" t="n">
        <f aca="false">SUM(B99:AE99)</f>
        <v>0</v>
      </c>
      <c r="AI99" s="33"/>
      <c r="AJ99" s="192"/>
      <c r="AK99" s="216" t="n">
        <f aca="false">IF(EB.Anwendung&lt;&gt;"",IF(MONTH(Monat.Tag1)=1,0,IF(MONTH(Monat.Tag1)=2,January!Monat.P3UeVM,IF(MONTH(Monat.Tag1)=3,February!Monat.P3UeVM,IF(MONTH(Monat.Tag1)=4,March!Monat.P3UeVM,IF(MONTH(Monat.Tag1)=5,April!Monat.P3UeVM,IF(MONTH(Monat.Tag1)=6,May!Monat.P3UeVM,IF(MONTH(Monat.Tag1)=7,Monat.P3UeVM,IF(MONTH(Monat.Tag1)=8,July!Monat.P3UeVM,IF(MONTH(Monat.Tag1)=9,August!Monat.P3UeVM,IF(MONTH(Monat.Tag1)=10,September!Monat.P3UeVM,IF(MONTH(Monat.Tag1)=11,October!Monat.P3UeVM,IF(MONTH(Monat.Tag1)=12,November!Monat.P3UeVM,"")))))))))))),"")</f>
        <v>0</v>
      </c>
      <c r="AL99" s="172"/>
      <c r="AM99" s="217" t="n">
        <f aca="false">AH99+AK99</f>
        <v>0</v>
      </c>
      <c r="AN99" s="171"/>
      <c r="AO99" s="171"/>
      <c r="AP99" s="39"/>
    </row>
    <row r="100" s="148" customFormat="true" ht="15" hidden="false" customHeight="true" outlineLevel="0" collapsed="false">
      <c r="A100" s="181" t="str">
        <f aca="true">IF(ROW(A100)-ROW(INDEX(Monat.Projekte.Zeilen,1))+1&gt;EB.AnzProjekte,"",OFFSET(EB.Projekte.Knoten,ROW(A100)-ROW(INDEX(Monat.Projekte.Zeilen,1))+1,0,1,1))</f>
        <v/>
      </c>
      <c r="B100" s="176"/>
      <c r="C100" s="176"/>
      <c r="D100" s="176"/>
      <c r="E100" s="177"/>
      <c r="F100" s="176"/>
      <c r="G100" s="176"/>
      <c r="H100" s="176"/>
      <c r="I100" s="176"/>
      <c r="J100" s="177"/>
      <c r="K100" s="176"/>
      <c r="L100" s="177"/>
      <c r="M100" s="176"/>
      <c r="N100" s="176"/>
      <c r="O100" s="176"/>
      <c r="P100" s="176"/>
      <c r="Q100" s="177"/>
      <c r="R100" s="176"/>
      <c r="S100" s="177"/>
      <c r="T100" s="177"/>
      <c r="U100" s="176"/>
      <c r="V100" s="176"/>
      <c r="W100" s="176"/>
      <c r="X100" s="177"/>
      <c r="Y100" s="176"/>
      <c r="Z100" s="178"/>
      <c r="AA100" s="176"/>
      <c r="AB100" s="176"/>
      <c r="AC100" s="176"/>
      <c r="AD100" s="176"/>
      <c r="AE100" s="177"/>
      <c r="AF100" s="168" t="str">
        <f aca="false">A100</f>
        <v/>
      </c>
      <c r="AG100" s="197"/>
      <c r="AH100" s="207" t="n">
        <f aca="false">SUM(B100:AE100)</f>
        <v>0</v>
      </c>
      <c r="AI100" s="33"/>
      <c r="AJ100" s="192"/>
      <c r="AK100" s="216" t="n">
        <f aca="false">IF(EB.Anwendung&lt;&gt;"",IF(MONTH(Monat.Tag1)=1,0,IF(MONTH(Monat.Tag1)=2,January!Monat.P4UeVM,IF(MONTH(Monat.Tag1)=3,February!Monat.P4UeVM,IF(MONTH(Monat.Tag1)=4,March!Monat.P4UeVM,IF(MONTH(Monat.Tag1)=5,April!Monat.P4UeVM,IF(MONTH(Monat.Tag1)=6,May!Monat.P4UeVM,IF(MONTH(Monat.Tag1)=7,Monat.P4UeVM,IF(MONTH(Monat.Tag1)=8,July!Monat.P4UeVM,IF(MONTH(Monat.Tag1)=9,August!Monat.P4UeVM,IF(MONTH(Monat.Tag1)=10,September!Monat.P4UeVM,IF(MONTH(Monat.Tag1)=11,October!Monat.P4UeVM,IF(MONTH(Monat.Tag1)=12,November!Monat.P4UeVM,"")))))))))))),"")</f>
        <v>0</v>
      </c>
      <c r="AL100" s="172"/>
      <c r="AM100" s="217" t="n">
        <f aca="false">AH100+AK100</f>
        <v>0</v>
      </c>
      <c r="AN100" s="171"/>
      <c r="AO100" s="171"/>
      <c r="AP100" s="39"/>
    </row>
    <row r="101" s="148" customFormat="true" ht="15" hidden="false" customHeight="true" outlineLevel="0" collapsed="false">
      <c r="A101" s="181" t="str">
        <f aca="true">IF(ROW(A101)-ROW(INDEX(Monat.Projekte.Zeilen,1))+1&gt;EB.AnzProjekte,"",OFFSET(EB.Projekte.Knoten,ROW(A101)-ROW(INDEX(Monat.Projekte.Zeilen,1))+1,0,1,1))</f>
        <v/>
      </c>
      <c r="B101" s="176"/>
      <c r="C101" s="176"/>
      <c r="D101" s="176"/>
      <c r="E101" s="177"/>
      <c r="F101" s="176"/>
      <c r="G101" s="176"/>
      <c r="H101" s="176"/>
      <c r="I101" s="176"/>
      <c r="J101" s="177"/>
      <c r="K101" s="176"/>
      <c r="L101" s="177"/>
      <c r="M101" s="176"/>
      <c r="N101" s="176"/>
      <c r="O101" s="176"/>
      <c r="P101" s="176"/>
      <c r="Q101" s="177"/>
      <c r="R101" s="176"/>
      <c r="S101" s="177"/>
      <c r="T101" s="177"/>
      <c r="U101" s="176"/>
      <c r="V101" s="176"/>
      <c r="W101" s="176"/>
      <c r="X101" s="177"/>
      <c r="Y101" s="176"/>
      <c r="Z101" s="178"/>
      <c r="AA101" s="176"/>
      <c r="AB101" s="176"/>
      <c r="AC101" s="176"/>
      <c r="AD101" s="176"/>
      <c r="AE101" s="177"/>
      <c r="AF101" s="168" t="str">
        <f aca="false">A101</f>
        <v/>
      </c>
      <c r="AG101" s="184"/>
      <c r="AH101" s="207" t="n">
        <f aca="false">SUM(B101:AE101)</f>
        <v>0</v>
      </c>
      <c r="AI101" s="33"/>
      <c r="AJ101" s="192"/>
      <c r="AK101" s="216" t="n">
        <f aca="false">IF(EB.Anwendung&lt;&gt;"",IF(MONTH(Monat.Tag1)=1,0,IF(MONTH(Monat.Tag1)=2,January!Monat.P5UeVM,IF(MONTH(Monat.Tag1)=3,February!Monat.P5UeVM,IF(MONTH(Monat.Tag1)=4,March!Monat.P5UeVM,IF(MONTH(Monat.Tag1)=5,April!Monat.P5UeVM,IF(MONTH(Monat.Tag1)=6,May!Monat.P5UeVM,IF(MONTH(Monat.Tag1)=7,Monat.P5UeVM,IF(MONTH(Monat.Tag1)=8,July!Monat.P5UeVM,IF(MONTH(Monat.Tag1)=9,August!Monat.P5UeVM,IF(MONTH(Monat.Tag1)=10,September!Monat.P5UeVM,IF(MONTH(Monat.Tag1)=11,October!Monat.P5UeVM,IF(MONTH(Monat.Tag1)=12,November!Monat.P5UeVM,"")))))))))))),"")</f>
        <v>0</v>
      </c>
      <c r="AL101" s="172"/>
      <c r="AM101" s="217" t="n">
        <f aca="false">AH101+AK101</f>
        <v>0</v>
      </c>
      <c r="AN101" s="171"/>
      <c r="AO101" s="171"/>
      <c r="AP101" s="39"/>
    </row>
    <row r="102" s="148" customFormat="true" ht="15" hidden="true" customHeight="true" outlineLevel="1" collapsed="false">
      <c r="A102" s="181" t="str">
        <f aca="true">IF(ROW(A102)-ROW(INDEX(Monat.Projekte.Zeilen,1))+1&gt;EB.AnzProjekte,"",OFFSET(EB.Projekte.Knoten,ROW(A102)-ROW(INDEX(Monat.Projekte.Zeilen,1))+1,0,1,1))</f>
        <v/>
      </c>
      <c r="B102" s="176"/>
      <c r="C102" s="176"/>
      <c r="D102" s="176"/>
      <c r="E102" s="177"/>
      <c r="F102" s="176"/>
      <c r="G102" s="176"/>
      <c r="H102" s="176"/>
      <c r="I102" s="176"/>
      <c r="J102" s="177"/>
      <c r="K102" s="176"/>
      <c r="L102" s="177"/>
      <c r="M102" s="176"/>
      <c r="N102" s="176"/>
      <c r="O102" s="176"/>
      <c r="P102" s="176"/>
      <c r="Q102" s="177"/>
      <c r="R102" s="176"/>
      <c r="S102" s="177"/>
      <c r="T102" s="177"/>
      <c r="U102" s="176"/>
      <c r="V102" s="176"/>
      <c r="W102" s="176"/>
      <c r="X102" s="177"/>
      <c r="Y102" s="176"/>
      <c r="Z102" s="178"/>
      <c r="AA102" s="176"/>
      <c r="AB102" s="176"/>
      <c r="AC102" s="176"/>
      <c r="AD102" s="176"/>
      <c r="AE102" s="177"/>
      <c r="AF102" s="168" t="str">
        <f aca="false">A102</f>
        <v/>
      </c>
      <c r="AG102" s="263"/>
      <c r="AH102" s="207" t="n">
        <f aca="false">SUM(B102:AE102)</f>
        <v>0</v>
      </c>
      <c r="AI102" s="33"/>
      <c r="AJ102" s="192"/>
      <c r="AK102" s="216" t="n">
        <f aca="false">IF(EB.Anwendung&lt;&gt;"",IF(MONTH(Monat.Tag1)=1,0,IF(MONTH(Monat.Tag1)=2,January!Monat.P6UeVM,IF(MONTH(Monat.Tag1)=3,February!Monat.P6UeVM,IF(MONTH(Monat.Tag1)=4,March!Monat.P6UeVM,IF(MONTH(Monat.Tag1)=5,April!Monat.P6UeVM,IF(MONTH(Monat.Tag1)=6,May!Monat.P6UeVM,IF(MONTH(Monat.Tag1)=7,Monat.P6UeVM,IF(MONTH(Monat.Tag1)=8,July!Monat.P6UeVM,IF(MONTH(Monat.Tag1)=9,August!Monat.P6UeVM,IF(MONTH(Monat.Tag1)=10,September!Monat.P6UeVM,IF(MONTH(Monat.Tag1)=11,October!Monat.P6UeVM,IF(MONTH(Monat.Tag1)=12,November!Monat.P6UeVM,"")))))))))))),"")</f>
        <v>0</v>
      </c>
      <c r="AL102" s="172"/>
      <c r="AM102" s="217" t="n">
        <f aca="false">AH102+AK102</f>
        <v>0</v>
      </c>
      <c r="AN102" s="171"/>
      <c r="AO102" s="171"/>
      <c r="AP102" s="39"/>
    </row>
    <row r="103" s="148" customFormat="true" ht="15" hidden="true" customHeight="true" outlineLevel="1" collapsed="false">
      <c r="A103" s="181" t="str">
        <f aca="true">IF(ROW(A103)-ROW(INDEX(Monat.Projekte.Zeilen,1))+1&gt;EB.AnzProjekte,"",OFFSET(EB.Projekte.Knoten,ROW(A103)-ROW(INDEX(Monat.Projekte.Zeilen,1))+1,0,1,1))</f>
        <v/>
      </c>
      <c r="B103" s="176"/>
      <c r="C103" s="176"/>
      <c r="D103" s="176"/>
      <c r="E103" s="177"/>
      <c r="F103" s="176"/>
      <c r="G103" s="176"/>
      <c r="H103" s="176"/>
      <c r="I103" s="176"/>
      <c r="J103" s="177"/>
      <c r="K103" s="176"/>
      <c r="L103" s="177"/>
      <c r="M103" s="176"/>
      <c r="N103" s="176"/>
      <c r="O103" s="176"/>
      <c r="P103" s="176"/>
      <c r="Q103" s="177"/>
      <c r="R103" s="176"/>
      <c r="S103" s="177"/>
      <c r="T103" s="177"/>
      <c r="U103" s="176"/>
      <c r="V103" s="176"/>
      <c r="W103" s="176"/>
      <c r="X103" s="177"/>
      <c r="Y103" s="176"/>
      <c r="Z103" s="178"/>
      <c r="AA103" s="176"/>
      <c r="AB103" s="176"/>
      <c r="AC103" s="176"/>
      <c r="AD103" s="176"/>
      <c r="AE103" s="177"/>
      <c r="AF103" s="168" t="str">
        <f aca="false">A103</f>
        <v/>
      </c>
      <c r="AG103" s="197"/>
      <c r="AH103" s="207" t="n">
        <f aca="false">SUM(B103:AE103)</f>
        <v>0</v>
      </c>
      <c r="AI103" s="33"/>
      <c r="AJ103" s="192"/>
      <c r="AK103" s="216" t="n">
        <f aca="false">IF(EB.Anwendung&lt;&gt;"",IF(MONTH(Monat.Tag1)=1,0,IF(MONTH(Monat.Tag1)=2,January!Monat.P7UeVM,IF(MONTH(Monat.Tag1)=3,February!Monat.P7UeVM,IF(MONTH(Monat.Tag1)=4,March!Monat.P7UeVM,IF(MONTH(Monat.Tag1)=5,April!Monat.P7UeVM,IF(MONTH(Monat.Tag1)=6,May!Monat.P7UeVM,IF(MONTH(Monat.Tag1)=7,Monat.P7UeVM,IF(MONTH(Monat.Tag1)=8,July!Monat.P7UeVM,IF(MONTH(Monat.Tag1)=9,August!Monat.P7UeVM,IF(MONTH(Monat.Tag1)=10,September!Monat.P7UeVM,IF(MONTH(Monat.Tag1)=11,October!Monat.P7UeVM,IF(MONTH(Monat.Tag1)=12,November!Monat.P7UeVM,"")))))))))))),"")</f>
        <v>0</v>
      </c>
      <c r="AL103" s="172"/>
      <c r="AM103" s="217" t="n">
        <f aca="false">AH103+AK103</f>
        <v>0</v>
      </c>
      <c r="AN103" s="171"/>
      <c r="AO103" s="171"/>
      <c r="AP103" s="39"/>
    </row>
    <row r="104" s="148" customFormat="true" ht="15" hidden="true" customHeight="true" outlineLevel="1" collapsed="false">
      <c r="A104" s="181" t="str">
        <f aca="true">IF(ROW(A104)-ROW(INDEX(Monat.Projekte.Zeilen,1))+1&gt;EB.AnzProjekte,"",OFFSET(EB.Projekte.Knoten,ROW(A104)-ROW(INDEX(Monat.Projekte.Zeilen,1))+1,0,1,1))</f>
        <v/>
      </c>
      <c r="B104" s="176"/>
      <c r="C104" s="176"/>
      <c r="D104" s="176"/>
      <c r="E104" s="177"/>
      <c r="F104" s="176"/>
      <c r="G104" s="176"/>
      <c r="H104" s="176"/>
      <c r="I104" s="176"/>
      <c r="J104" s="177"/>
      <c r="K104" s="176"/>
      <c r="L104" s="177"/>
      <c r="M104" s="176"/>
      <c r="N104" s="176"/>
      <c r="O104" s="176"/>
      <c r="P104" s="176"/>
      <c r="Q104" s="177"/>
      <c r="R104" s="176"/>
      <c r="S104" s="177"/>
      <c r="T104" s="177"/>
      <c r="U104" s="176"/>
      <c r="V104" s="176"/>
      <c r="W104" s="176"/>
      <c r="X104" s="177"/>
      <c r="Y104" s="176"/>
      <c r="Z104" s="178"/>
      <c r="AA104" s="176"/>
      <c r="AB104" s="176"/>
      <c r="AC104" s="176"/>
      <c r="AD104" s="176"/>
      <c r="AE104" s="177"/>
      <c r="AF104" s="168" t="str">
        <f aca="false">A104</f>
        <v/>
      </c>
      <c r="AG104" s="202"/>
      <c r="AH104" s="207" t="n">
        <f aca="false">SUM(B104:AE104)</f>
        <v>0</v>
      </c>
      <c r="AI104" s="33"/>
      <c r="AJ104" s="192"/>
      <c r="AK104" s="216" t="n">
        <f aca="false">IF(EB.Anwendung&lt;&gt;"",IF(MONTH(Monat.Tag1)=1,0,IF(MONTH(Monat.Tag1)=2,January!Monat.P8UeVM,IF(MONTH(Monat.Tag1)=3,February!Monat.P8UeVM,IF(MONTH(Monat.Tag1)=4,March!Monat.P8UeVM,IF(MONTH(Monat.Tag1)=5,April!Monat.P8UeVM,IF(MONTH(Monat.Tag1)=6,May!Monat.P8UeVM,IF(MONTH(Monat.Tag1)=7,Monat.P8UeVM,IF(MONTH(Monat.Tag1)=8,July!Monat.P8UeVM,IF(MONTH(Monat.Tag1)=9,August!Monat.P8UeVM,IF(MONTH(Monat.Tag1)=10,September!Monat.P8UeVM,IF(MONTH(Monat.Tag1)=11,October!Monat.P8UeVM,IF(MONTH(Monat.Tag1)=12,November!Monat.P8UeVM,"")))))))))))),"")</f>
        <v>0</v>
      </c>
      <c r="AL104" s="172"/>
      <c r="AM104" s="217" t="n">
        <f aca="false">AH104+AK104</f>
        <v>0</v>
      </c>
      <c r="AN104" s="171"/>
      <c r="AO104" s="171"/>
      <c r="AP104" s="39"/>
    </row>
    <row r="105" s="148" customFormat="true" ht="15" hidden="true" customHeight="true" outlineLevel="1" collapsed="false">
      <c r="A105" s="181" t="str">
        <f aca="true">IF(ROW(A105)-ROW(INDEX(Monat.Projekte.Zeilen,1))+1&gt;EB.AnzProjekte,"",OFFSET(EB.Projekte.Knoten,ROW(A105)-ROW(INDEX(Monat.Projekte.Zeilen,1))+1,0,1,1))</f>
        <v/>
      </c>
      <c r="B105" s="176"/>
      <c r="C105" s="176"/>
      <c r="D105" s="176"/>
      <c r="E105" s="177"/>
      <c r="F105" s="176"/>
      <c r="G105" s="176"/>
      <c r="H105" s="176"/>
      <c r="I105" s="176"/>
      <c r="J105" s="177"/>
      <c r="K105" s="176"/>
      <c r="L105" s="177"/>
      <c r="M105" s="176"/>
      <c r="N105" s="176"/>
      <c r="O105" s="176"/>
      <c r="P105" s="176"/>
      <c r="Q105" s="177"/>
      <c r="R105" s="176"/>
      <c r="S105" s="177"/>
      <c r="T105" s="177"/>
      <c r="U105" s="176"/>
      <c r="V105" s="176"/>
      <c r="W105" s="176"/>
      <c r="X105" s="177"/>
      <c r="Y105" s="176"/>
      <c r="Z105" s="178"/>
      <c r="AA105" s="176"/>
      <c r="AB105" s="176"/>
      <c r="AC105" s="176"/>
      <c r="AD105" s="176"/>
      <c r="AE105" s="177"/>
      <c r="AF105" s="168" t="str">
        <f aca="false">A105</f>
        <v/>
      </c>
      <c r="AG105" s="184"/>
      <c r="AH105" s="207" t="n">
        <f aca="false">SUM(B105:AE105)</f>
        <v>0</v>
      </c>
      <c r="AI105" s="33"/>
      <c r="AJ105" s="192"/>
      <c r="AK105" s="216" t="n">
        <f aca="false">IF(EB.Anwendung&lt;&gt;"",IF(MONTH(Monat.Tag1)=1,0,IF(MONTH(Monat.Tag1)=2,January!Monat.P9UeVM,IF(MONTH(Monat.Tag1)=3,February!Monat.P9UeVM,IF(MONTH(Monat.Tag1)=4,March!Monat.P9UeVM,IF(MONTH(Monat.Tag1)=5,April!Monat.P9UeVM,IF(MONTH(Monat.Tag1)=6,May!Monat.P9UeVM,IF(MONTH(Monat.Tag1)=7,Monat.P9UeVM,IF(MONTH(Monat.Tag1)=8,July!Monat.P9UeVM,IF(MONTH(Monat.Tag1)=9,August!Monat.P9UeVM,IF(MONTH(Monat.Tag1)=10,September!Monat.P9UeVM,IF(MONTH(Monat.Tag1)=11,October!Monat.P9UeVM,IF(MONTH(Monat.Tag1)=12,November!Monat.P9UeVM,"")))))))))))),"")</f>
        <v>0</v>
      </c>
      <c r="AL105" s="172"/>
      <c r="AM105" s="217" t="n">
        <f aca="false">AH105+AK105</f>
        <v>0</v>
      </c>
      <c r="AN105" s="171"/>
      <c r="AO105" s="171"/>
      <c r="AP105" s="39"/>
    </row>
    <row r="106" s="148" customFormat="true" ht="15" hidden="true" customHeight="true" outlineLevel="1" collapsed="false">
      <c r="A106" s="181" t="str">
        <f aca="true">IF(ROW(A106)-ROW(INDEX(Monat.Projekte.Zeilen,1))+1&gt;EB.AnzProjekte,"",OFFSET(EB.Projekte.Knoten,ROW(A106)-ROW(INDEX(Monat.Projekte.Zeilen,1))+1,0,1,1))</f>
        <v/>
      </c>
      <c r="B106" s="176"/>
      <c r="C106" s="176"/>
      <c r="D106" s="176"/>
      <c r="E106" s="177"/>
      <c r="F106" s="176"/>
      <c r="G106" s="176"/>
      <c r="H106" s="176"/>
      <c r="I106" s="176"/>
      <c r="J106" s="177"/>
      <c r="K106" s="176"/>
      <c r="L106" s="177"/>
      <c r="M106" s="176"/>
      <c r="N106" s="176"/>
      <c r="O106" s="176"/>
      <c r="P106" s="176"/>
      <c r="Q106" s="177"/>
      <c r="R106" s="176"/>
      <c r="S106" s="177"/>
      <c r="T106" s="177"/>
      <c r="U106" s="176"/>
      <c r="V106" s="176"/>
      <c r="W106" s="176"/>
      <c r="X106" s="177"/>
      <c r="Y106" s="176"/>
      <c r="Z106" s="178"/>
      <c r="AA106" s="176"/>
      <c r="AB106" s="176"/>
      <c r="AC106" s="176"/>
      <c r="AD106" s="176"/>
      <c r="AE106" s="177"/>
      <c r="AF106" s="168" t="str">
        <f aca="false">A106</f>
        <v/>
      </c>
      <c r="AG106" s="184"/>
      <c r="AH106" s="207" t="n">
        <f aca="false">SUM(B106:AE106)</f>
        <v>0</v>
      </c>
      <c r="AI106" s="33"/>
      <c r="AJ106" s="192"/>
      <c r="AK106" s="216" t="n">
        <f aca="false">IF(EB.Anwendung&lt;&gt;"",IF(MONTH(Monat.Tag1)=1,0,IF(MONTH(Monat.Tag1)=2,January!Monat.P10UeVM,IF(MONTH(Monat.Tag1)=3,February!Monat.P10UeVM,IF(MONTH(Monat.Tag1)=4,March!Monat.P10UeVM,IF(MONTH(Monat.Tag1)=5,April!Monat.P10UeVM,IF(MONTH(Monat.Tag1)=6,May!Monat.P10UeVM,IF(MONTH(Monat.Tag1)=7,Monat.P10UeVM,IF(MONTH(Monat.Tag1)=8,July!Monat.P10UeVM,IF(MONTH(Monat.Tag1)=9,August!Monat.P10UeVM,IF(MONTH(Monat.Tag1)=10,September!Monat.P10UeVM,IF(MONTH(Monat.Tag1)=11,October!Monat.P10UeVM,IF(MONTH(Monat.Tag1)=12,November!Monat.P10UeVM,"")))))))))))),"")</f>
        <v>0</v>
      </c>
      <c r="AL106" s="172"/>
      <c r="AM106" s="217" t="n">
        <f aca="false">AH106+AK106</f>
        <v>0</v>
      </c>
      <c r="AN106" s="171"/>
      <c r="AO106" s="171"/>
      <c r="AP106" s="39"/>
    </row>
    <row r="107" s="148" customFormat="true" ht="15" hidden="true" customHeight="true" outlineLevel="1" collapsed="false">
      <c r="A107" s="181" t="str">
        <f aca="true">IF(ROW(A107)-ROW(INDEX(Monat.Projekte.Zeilen,1))+1&gt;EB.AnzProjekte,"",OFFSET(EB.Projekte.Knoten,ROW(A107)-ROW(INDEX(Monat.Projekte.Zeilen,1))+1,0,1,1))</f>
        <v/>
      </c>
      <c r="B107" s="176"/>
      <c r="C107" s="176"/>
      <c r="D107" s="176"/>
      <c r="E107" s="177"/>
      <c r="F107" s="176"/>
      <c r="G107" s="176"/>
      <c r="H107" s="176"/>
      <c r="I107" s="176"/>
      <c r="J107" s="177"/>
      <c r="K107" s="176"/>
      <c r="L107" s="177"/>
      <c r="M107" s="176"/>
      <c r="N107" s="176"/>
      <c r="O107" s="176"/>
      <c r="P107" s="176"/>
      <c r="Q107" s="177"/>
      <c r="R107" s="176"/>
      <c r="S107" s="177"/>
      <c r="T107" s="177"/>
      <c r="U107" s="176"/>
      <c r="V107" s="176"/>
      <c r="W107" s="176"/>
      <c r="X107" s="177"/>
      <c r="Y107" s="176"/>
      <c r="Z107" s="178"/>
      <c r="AA107" s="176"/>
      <c r="AB107" s="176"/>
      <c r="AC107" s="176"/>
      <c r="AD107" s="176"/>
      <c r="AE107" s="177"/>
      <c r="AF107" s="168" t="str">
        <f aca="false">A107</f>
        <v/>
      </c>
      <c r="AG107" s="202"/>
      <c r="AH107" s="207" t="n">
        <f aca="false">SUM(B107:AE107)</f>
        <v>0</v>
      </c>
      <c r="AI107" s="33"/>
      <c r="AJ107" s="192"/>
      <c r="AK107" s="216" t="n">
        <f aca="false">IF(EB.Anwendung&lt;&gt;"",IF(MONTH(Monat.Tag1)=1,0,IF(MONTH(Monat.Tag1)=2,January!Monat.P11UeVM,IF(MONTH(Monat.Tag1)=3,February!Monat.P11UeVM,IF(MONTH(Monat.Tag1)=4,March!Monat.P11UeVM,IF(MONTH(Monat.Tag1)=5,April!Monat.P11UeVM,IF(MONTH(Monat.Tag1)=6,May!Monat.P11UeVM,IF(MONTH(Monat.Tag1)=7,Monat.P11UeVM,IF(MONTH(Monat.Tag1)=8,July!Monat.P11UeVM,IF(MONTH(Monat.Tag1)=9,August!Monat.P11UeVM,IF(MONTH(Monat.Tag1)=10,September!Monat.P11UeVM,IF(MONTH(Monat.Tag1)=11,October!Monat.P11UeVM,IF(MONTH(Monat.Tag1)=12,November!Monat.P11UeVM,"")))))))))))),"")</f>
        <v>0</v>
      </c>
      <c r="AL107" s="172"/>
      <c r="AM107" s="217" t="n">
        <f aca="false">AH107+AK107</f>
        <v>0</v>
      </c>
      <c r="AN107" s="264"/>
      <c r="AO107" s="264"/>
      <c r="AP107" s="39"/>
    </row>
    <row r="108" s="266" customFormat="true" ht="15" hidden="true" customHeight="true" outlineLevel="1" collapsed="false">
      <c r="A108" s="181" t="str">
        <f aca="true">IF(ROW(A108)-ROW(INDEX(Monat.Projekte.Zeilen,1))+1&gt;EB.AnzProjekte,"",OFFSET(EB.Projekte.Knoten,ROW(A108)-ROW(INDEX(Monat.Projekte.Zeilen,1))+1,0,1,1))</f>
        <v/>
      </c>
      <c r="B108" s="176"/>
      <c r="C108" s="176"/>
      <c r="D108" s="176"/>
      <c r="E108" s="177"/>
      <c r="F108" s="176"/>
      <c r="G108" s="176"/>
      <c r="H108" s="176"/>
      <c r="I108" s="176"/>
      <c r="J108" s="177"/>
      <c r="K108" s="176"/>
      <c r="L108" s="177"/>
      <c r="M108" s="176"/>
      <c r="N108" s="176"/>
      <c r="O108" s="176"/>
      <c r="P108" s="176"/>
      <c r="Q108" s="177"/>
      <c r="R108" s="176"/>
      <c r="S108" s="177"/>
      <c r="T108" s="177"/>
      <c r="U108" s="176"/>
      <c r="V108" s="176"/>
      <c r="W108" s="176"/>
      <c r="X108" s="177"/>
      <c r="Y108" s="176"/>
      <c r="Z108" s="178"/>
      <c r="AA108" s="176"/>
      <c r="AB108" s="176"/>
      <c r="AC108" s="176"/>
      <c r="AD108" s="176"/>
      <c r="AE108" s="177"/>
      <c r="AF108" s="168" t="str">
        <f aca="false">A108</f>
        <v/>
      </c>
      <c r="AG108" s="202"/>
      <c r="AH108" s="207" t="n">
        <f aca="false">SUM(B108:AE108)</f>
        <v>0</v>
      </c>
      <c r="AI108" s="33"/>
      <c r="AJ108" s="192"/>
      <c r="AK108" s="216" t="n">
        <f aca="false">IF(EB.Anwendung&lt;&gt;"",IF(MONTH(Monat.Tag1)=1,0,IF(MONTH(Monat.Tag1)=2,January!Monat.P12UeVM,IF(MONTH(Monat.Tag1)=3,February!Monat.P12UeVM,IF(MONTH(Monat.Tag1)=4,March!Monat.P12UeVM,IF(MONTH(Monat.Tag1)=5,April!Monat.P12UeVM,IF(MONTH(Monat.Tag1)=6,May!Monat.P12UeVM,IF(MONTH(Monat.Tag1)=7,Monat.P12UeVM,IF(MONTH(Monat.Tag1)=8,July!Monat.P12UeVM,IF(MONTH(Monat.Tag1)=9,August!Monat.P12UeVM,IF(MONTH(Monat.Tag1)=10,September!Monat.P12UeVM,IF(MONTH(Monat.Tag1)=11,October!Monat.P12UeVM,IF(MONTH(Monat.Tag1)=12,November!Monat.P12UeVM,"")))))))))))),"")</f>
        <v>0</v>
      </c>
      <c r="AL108" s="172"/>
      <c r="AM108" s="217" t="n">
        <f aca="false">AH108+AK108</f>
        <v>0</v>
      </c>
      <c r="AN108" s="264"/>
      <c r="AO108" s="264"/>
      <c r="AP108" s="265"/>
    </row>
    <row r="109" s="266" customFormat="true" ht="15" hidden="true" customHeight="true" outlineLevel="1" collapsed="false">
      <c r="A109" s="181" t="str">
        <f aca="true">IF(ROW(A109)-ROW(INDEX(Monat.Projekte.Zeilen,1))+1&gt;EB.AnzProjekte,"",OFFSET(EB.Projekte.Knoten,ROW(A109)-ROW(INDEX(Monat.Projekte.Zeilen,1))+1,0,1,1))</f>
        <v/>
      </c>
      <c r="B109" s="176"/>
      <c r="C109" s="176"/>
      <c r="D109" s="176"/>
      <c r="E109" s="177"/>
      <c r="F109" s="176"/>
      <c r="G109" s="176"/>
      <c r="H109" s="176"/>
      <c r="I109" s="176"/>
      <c r="J109" s="177"/>
      <c r="K109" s="176"/>
      <c r="L109" s="177"/>
      <c r="M109" s="176"/>
      <c r="N109" s="176"/>
      <c r="O109" s="176"/>
      <c r="P109" s="176"/>
      <c r="Q109" s="177"/>
      <c r="R109" s="176"/>
      <c r="S109" s="177"/>
      <c r="T109" s="177"/>
      <c r="U109" s="176"/>
      <c r="V109" s="176"/>
      <c r="W109" s="176"/>
      <c r="X109" s="177"/>
      <c r="Y109" s="176"/>
      <c r="Z109" s="178"/>
      <c r="AA109" s="176"/>
      <c r="AB109" s="176"/>
      <c r="AC109" s="176"/>
      <c r="AD109" s="176"/>
      <c r="AE109" s="177"/>
      <c r="AF109" s="168" t="str">
        <f aca="false">A109</f>
        <v/>
      </c>
      <c r="AG109" s="184"/>
      <c r="AH109" s="207" t="n">
        <f aca="false">SUM(B109:AE109)</f>
        <v>0</v>
      </c>
      <c r="AI109" s="33"/>
      <c r="AJ109" s="192"/>
      <c r="AK109" s="216" t="n">
        <f aca="false">IF(EB.Anwendung&lt;&gt;"",IF(MONTH(Monat.Tag1)=1,0,IF(MONTH(Monat.Tag1)=2,January!Monat.P13UeVM,IF(MONTH(Monat.Tag1)=3,February!Monat.P13UeVM,IF(MONTH(Monat.Tag1)=4,March!Monat.P13UeVM,IF(MONTH(Monat.Tag1)=5,April!Monat.P13UeVM,IF(MONTH(Monat.Tag1)=6,May!Monat.P13UeVM,IF(MONTH(Monat.Tag1)=7,Monat.P13UeVM,IF(MONTH(Monat.Tag1)=8,July!Monat.P13UeVM,IF(MONTH(Monat.Tag1)=9,August!Monat.P13UeVM,IF(MONTH(Monat.Tag1)=10,September!Monat.P13UeVM,IF(MONTH(Monat.Tag1)=11,October!Monat.P13UeVM,IF(MONTH(Monat.Tag1)=12,November!Monat.P13UeVM,"")))))))))))),"")</f>
        <v>0</v>
      </c>
      <c r="AL109" s="172"/>
      <c r="AM109" s="217" t="n">
        <f aca="false">AH109+AK109</f>
        <v>0</v>
      </c>
      <c r="AN109" s="264"/>
      <c r="AO109" s="264"/>
      <c r="AP109" s="265"/>
    </row>
    <row r="110" customFormat="false" ht="15" hidden="true" customHeight="true" outlineLevel="1" collapsed="false">
      <c r="A110" s="181" t="str">
        <f aca="true">IF(ROW(A110)-ROW(INDEX(Monat.Projekte.Zeilen,1))+1&gt;EB.AnzProjekte,"",OFFSET(EB.Projekte.Knoten,ROW(A110)-ROW(INDEX(Monat.Projekte.Zeilen,1))+1,0,1,1))</f>
        <v/>
      </c>
      <c r="B110" s="176"/>
      <c r="C110" s="176"/>
      <c r="D110" s="176"/>
      <c r="E110" s="177"/>
      <c r="F110" s="176"/>
      <c r="G110" s="176"/>
      <c r="H110" s="176"/>
      <c r="I110" s="176"/>
      <c r="J110" s="177"/>
      <c r="K110" s="176"/>
      <c r="L110" s="177"/>
      <c r="M110" s="176"/>
      <c r="N110" s="176"/>
      <c r="O110" s="176"/>
      <c r="P110" s="176"/>
      <c r="Q110" s="177"/>
      <c r="R110" s="176"/>
      <c r="S110" s="177"/>
      <c r="T110" s="177"/>
      <c r="U110" s="176"/>
      <c r="V110" s="176"/>
      <c r="W110" s="176"/>
      <c r="X110" s="177"/>
      <c r="Y110" s="176"/>
      <c r="Z110" s="178"/>
      <c r="AA110" s="176"/>
      <c r="AB110" s="176"/>
      <c r="AC110" s="176"/>
      <c r="AD110" s="176"/>
      <c r="AE110" s="177"/>
      <c r="AF110" s="168" t="str">
        <f aca="false">A110</f>
        <v/>
      </c>
      <c r="AG110" s="184"/>
      <c r="AH110" s="207" t="n">
        <f aca="false">SUM(B110:AE110)</f>
        <v>0</v>
      </c>
      <c r="AI110" s="33"/>
      <c r="AJ110" s="192"/>
      <c r="AK110" s="216" t="n">
        <f aca="false">IF(EB.Anwendung&lt;&gt;"",IF(MONTH(Monat.Tag1)=1,0,IF(MONTH(Monat.Tag1)=2,January!Monat.P14UeVM,IF(MONTH(Monat.Tag1)=3,February!Monat.P14UeVM,IF(MONTH(Monat.Tag1)=4,March!Monat.P14UeVM,IF(MONTH(Monat.Tag1)=5,April!Monat.P14UeVM,IF(MONTH(Monat.Tag1)=6,May!Monat.P14UeVM,IF(MONTH(Monat.Tag1)=7,Monat.P14UeVM,IF(MONTH(Monat.Tag1)=8,July!Monat.P14UeVM,IF(MONTH(Monat.Tag1)=9,August!Monat.P14UeVM,IF(MONTH(Monat.Tag1)=10,September!Monat.P14UeVM,IF(MONTH(Monat.Tag1)=11,October!Monat.P14UeVM,IF(MONTH(Monat.Tag1)=12,November!Monat.P14UeVM,"")))))))))))),"")</f>
        <v>0</v>
      </c>
      <c r="AL110" s="172"/>
      <c r="AM110" s="217" t="n">
        <f aca="false">AH110+AK110</f>
        <v>0</v>
      </c>
      <c r="AN110" s="264"/>
      <c r="AO110" s="264"/>
      <c r="AP110" s="43"/>
    </row>
    <row r="111" customFormat="false" ht="15" hidden="true" customHeight="true" outlineLevel="1" collapsed="false">
      <c r="A111" s="181" t="str">
        <f aca="true">IF(ROW(A111)-ROW(INDEX(Monat.Projekte.Zeilen,1))+1&gt;EB.AnzProjekte,"",OFFSET(EB.Projekte.Knoten,ROW(A111)-ROW(INDEX(Monat.Projekte.Zeilen,1))+1,0,1,1))</f>
        <v/>
      </c>
      <c r="B111" s="176"/>
      <c r="C111" s="176"/>
      <c r="D111" s="176"/>
      <c r="E111" s="176"/>
      <c r="F111" s="176"/>
      <c r="G111" s="176"/>
      <c r="H111" s="176"/>
      <c r="I111" s="176"/>
      <c r="J111" s="176"/>
      <c r="K111" s="176"/>
      <c r="L111" s="176"/>
      <c r="M111" s="176"/>
      <c r="N111" s="176"/>
      <c r="O111" s="176"/>
      <c r="P111" s="176"/>
      <c r="Q111" s="176"/>
      <c r="R111" s="176"/>
      <c r="S111" s="176"/>
      <c r="T111" s="176"/>
      <c r="U111" s="176"/>
      <c r="V111" s="176"/>
      <c r="W111" s="176"/>
      <c r="X111" s="176"/>
      <c r="Y111" s="176"/>
      <c r="Z111" s="190"/>
      <c r="AA111" s="176"/>
      <c r="AB111" s="176"/>
      <c r="AC111" s="176"/>
      <c r="AD111" s="176"/>
      <c r="AE111" s="176"/>
      <c r="AF111" s="168" t="str">
        <f aca="false">A111</f>
        <v/>
      </c>
      <c r="AG111" s="184"/>
      <c r="AH111" s="207" t="n">
        <f aca="false">SUM(B111:AE111)</f>
        <v>0</v>
      </c>
      <c r="AI111" s="33"/>
      <c r="AJ111" s="192"/>
      <c r="AK111" s="216" t="n">
        <f aca="false">IF(EB.Anwendung&lt;&gt;"",IF(MONTH(Monat.Tag1)=1,0,IF(MONTH(Monat.Tag1)=2,January!Monat.P15UeVM,IF(MONTH(Monat.Tag1)=3,February!Monat.P15UeVM,IF(MONTH(Monat.Tag1)=4,March!Monat.P15UeVM,IF(MONTH(Monat.Tag1)=5,April!Monat.P15UeVM,IF(MONTH(Monat.Tag1)=6,May!Monat.P15UeVM,IF(MONTH(Monat.Tag1)=7,Monat.P15UeVM,IF(MONTH(Monat.Tag1)=8,July!Monat.P15UeVM,IF(MONTH(Monat.Tag1)=9,August!Monat.P15UeVM,IF(MONTH(Monat.Tag1)=10,September!Monat.P15UeVM,IF(MONTH(Monat.Tag1)=11,October!Monat.P15UeVM,IF(MONTH(Monat.Tag1)=12,November!Monat.P15UeVM,"")))))))))))),"")</f>
        <v>0</v>
      </c>
      <c r="AL111" s="172"/>
      <c r="AM111" s="217" t="n">
        <f aca="false">AH111+AK111</f>
        <v>0</v>
      </c>
      <c r="AN111" s="264"/>
      <c r="AO111" s="264"/>
      <c r="AP111" s="43"/>
    </row>
    <row r="112" customFormat="false" ht="15" hidden="false" customHeight="true" outlineLevel="0" collapsed="false">
      <c r="A112" s="181" t="s">
        <v>177</v>
      </c>
      <c r="B112" s="205" t="n">
        <f aca="false">SUM(B97:B111)</f>
        <v>0</v>
      </c>
      <c r="C112" s="205" t="n">
        <f aca="false">SUM(C97:C111)</f>
        <v>0</v>
      </c>
      <c r="D112" s="205" t="n">
        <f aca="false">SUM(D97:D111)</f>
        <v>0</v>
      </c>
      <c r="E112" s="205" t="n">
        <f aca="false">SUM(E97:E111)</f>
        <v>0</v>
      </c>
      <c r="F112" s="205" t="n">
        <f aca="false">SUM(F97:F111)</f>
        <v>0</v>
      </c>
      <c r="G112" s="205" t="n">
        <f aca="false">SUM(G97:G111)</f>
        <v>0</v>
      </c>
      <c r="H112" s="205" t="n">
        <f aca="false">SUM(H97:H111)</f>
        <v>0</v>
      </c>
      <c r="I112" s="205" t="n">
        <f aca="false">SUM(I97:I111)</f>
        <v>0</v>
      </c>
      <c r="J112" s="205" t="n">
        <f aca="false">SUM(J97:J111)</f>
        <v>0</v>
      </c>
      <c r="K112" s="205" t="n">
        <f aca="false">SUM(K97:K111)</f>
        <v>0</v>
      </c>
      <c r="L112" s="205" t="n">
        <f aca="false">SUM(L97:L111)</f>
        <v>0</v>
      </c>
      <c r="M112" s="205" t="n">
        <f aca="false">SUM(M97:M111)</f>
        <v>0</v>
      </c>
      <c r="N112" s="205" t="n">
        <f aca="false">SUM(N97:N111)</f>
        <v>0</v>
      </c>
      <c r="O112" s="205" t="n">
        <f aca="false">SUM(O97:O111)</f>
        <v>0</v>
      </c>
      <c r="P112" s="205" t="n">
        <f aca="false">SUM(P97:P111)</f>
        <v>0</v>
      </c>
      <c r="Q112" s="205" t="n">
        <f aca="false">SUM(Q97:Q111)</f>
        <v>0</v>
      </c>
      <c r="R112" s="205" t="n">
        <f aca="false">SUM(R97:R111)</f>
        <v>0</v>
      </c>
      <c r="S112" s="205" t="n">
        <f aca="false">SUM(S97:S111)</f>
        <v>0</v>
      </c>
      <c r="T112" s="205" t="n">
        <f aca="false">SUM(T97:T111)</f>
        <v>0</v>
      </c>
      <c r="U112" s="205" t="n">
        <f aca="false">SUM(U97:U111)</f>
        <v>0</v>
      </c>
      <c r="V112" s="205" t="n">
        <f aca="false">SUM(V97:V111)</f>
        <v>0</v>
      </c>
      <c r="W112" s="205" t="n">
        <f aca="false">SUM(W97:W111)</f>
        <v>0</v>
      </c>
      <c r="X112" s="205" t="n">
        <f aca="false">SUM(X97:X111)</f>
        <v>0</v>
      </c>
      <c r="Y112" s="205" t="n">
        <f aca="false">SUM(Y97:Y111)</f>
        <v>0</v>
      </c>
      <c r="Z112" s="205" t="n">
        <f aca="false">SUM(Z97:Z111)</f>
        <v>0</v>
      </c>
      <c r="AA112" s="205" t="n">
        <f aca="false">SUM(AA97:AA111)</f>
        <v>0</v>
      </c>
      <c r="AB112" s="205" t="n">
        <f aca="false">SUM(AB97:AB111)</f>
        <v>0</v>
      </c>
      <c r="AC112" s="205" t="n">
        <f aca="false">SUM(AC97:AC111)</f>
        <v>0</v>
      </c>
      <c r="AD112" s="205" t="n">
        <f aca="false">SUM(AD97:AD111)</f>
        <v>0</v>
      </c>
      <c r="AE112" s="205" t="n">
        <f aca="false">SUM(AE97:AE111)</f>
        <v>0</v>
      </c>
      <c r="AF112" s="183" t="str">
        <f aca="false">A112</f>
        <v>Hours worked for projects</v>
      </c>
      <c r="AG112" s="184"/>
      <c r="AH112" s="207" t="n">
        <f aca="false">SUM(B112:AE112)</f>
        <v>0</v>
      </c>
      <c r="AI112" s="33"/>
      <c r="AJ112" s="192"/>
      <c r="AK112" s="216" t="n">
        <f aca="false">IF(EB.Anwendung&lt;&gt;"",IF(MONTH(Monat.Tag1)=1,0,IF(MONTH(Monat.Tag1)=2,January!Monat.PTotalUeVM,IF(MONTH(Monat.Tag1)=3,February!Monat.PTotalUeVM,IF(MONTH(Monat.Tag1)=4,March!Monat.PTotalUeVM,IF(MONTH(Monat.Tag1)=5,April!Monat.PTotalUeVM,IF(MONTH(Monat.Tag1)=6,May!Monat.PTotalUeVM,IF(MONTH(Monat.Tag1)=7,Monat.PTotalUeVM,IF(MONTH(Monat.Tag1)=8,July!Monat.PTotalUeVM,IF(MONTH(Monat.Tag1)=9,August!Monat.PTotalUeVM,IF(MONTH(Monat.Tag1)=10,September!Monat.PTotalUeVM,IF(MONTH(Monat.Tag1)=11,October!Monat.PTotalUeVM,IF(MONTH(Monat.Tag1)=12,November!Monat.PTotalUeVM,"")))))))))))),"")</f>
        <v>0</v>
      </c>
      <c r="AL112" s="172"/>
      <c r="AM112" s="217" t="n">
        <f aca="false">AH112+AK112</f>
        <v>0</v>
      </c>
      <c r="AN112" s="267"/>
      <c r="AO112" s="267"/>
      <c r="AP112" s="43"/>
    </row>
    <row r="113" s="148" customFormat="true" ht="11.25" hidden="false" customHeight="true" outlineLevel="0" collapsed="false">
      <c r="A113" s="268"/>
      <c r="B113" s="194"/>
      <c r="C113" s="194"/>
      <c r="D113" s="194"/>
      <c r="E113" s="194"/>
      <c r="F113" s="194"/>
      <c r="G113" s="194"/>
      <c r="H113" s="194"/>
      <c r="I113" s="194"/>
      <c r="J113" s="194"/>
      <c r="K113" s="194"/>
      <c r="L113" s="194"/>
      <c r="M113" s="194"/>
      <c r="N113" s="194"/>
      <c r="O113" s="194"/>
      <c r="P113" s="194"/>
      <c r="Q113" s="194"/>
      <c r="R113" s="194"/>
      <c r="S113" s="194"/>
      <c r="T113" s="194"/>
      <c r="U113" s="194"/>
      <c r="V113" s="194"/>
      <c r="W113" s="194"/>
      <c r="X113" s="194"/>
      <c r="Y113" s="194"/>
      <c r="Z113" s="194"/>
      <c r="AA113" s="194"/>
      <c r="AB113" s="194"/>
      <c r="AC113" s="194"/>
      <c r="AD113" s="194"/>
      <c r="AE113" s="194"/>
      <c r="AF113" s="269"/>
      <c r="AG113" s="263"/>
      <c r="AH113" s="194"/>
      <c r="AI113" s="16"/>
      <c r="AJ113" s="194"/>
      <c r="AK113" s="194"/>
      <c r="AL113" s="194"/>
      <c r="AM113" s="50"/>
      <c r="AN113" s="194"/>
      <c r="AO113" s="194"/>
      <c r="AP113" s="39"/>
    </row>
    <row r="114" s="148" customFormat="true" ht="15" hidden="true" customHeight="true" outlineLevel="1" collapsed="false">
      <c r="A114" s="181" t="s">
        <v>178</v>
      </c>
      <c r="B114" s="213" t="n">
        <f aca="false">ROUND((B23+B45+B91)-SUMPRODUCT((B97:B111)*(EB.Projektart.Bereich=6)),9)</f>
        <v>0</v>
      </c>
      <c r="C114" s="213" t="n">
        <f aca="false">ROUND((C23+C45+C91)-SUMPRODUCT((C97:C111)*(EB.Projektart.Bereich=6)),9)</f>
        <v>0</v>
      </c>
      <c r="D114" s="213" t="n">
        <f aca="false">ROUND((D23+D45+D91)-SUMPRODUCT((D97:D111)*(EB.Projektart.Bereich=6)),9)</f>
        <v>0</v>
      </c>
      <c r="E114" s="213" t="n">
        <f aca="false">ROUND((E23+E45+E91)-SUMPRODUCT((E97:E111)*(EB.Projektart.Bereich=6)),9)</f>
        <v>0</v>
      </c>
      <c r="F114" s="213" t="n">
        <f aca="false">ROUND((F23+F45+F91)-SUMPRODUCT((F97:F111)*(EB.Projektart.Bereich=6)),9)</f>
        <v>0</v>
      </c>
      <c r="G114" s="213" t="n">
        <f aca="false">ROUND((G23+G45+G91)-SUMPRODUCT((G97:G111)*(EB.Projektart.Bereich=6)),9)</f>
        <v>0</v>
      </c>
      <c r="H114" s="213" t="n">
        <f aca="false">ROUND((H23+H45+H91)-SUMPRODUCT((H97:H111)*(EB.Projektart.Bereich=6)),9)</f>
        <v>0</v>
      </c>
      <c r="I114" s="213" t="n">
        <f aca="false">ROUND((I23+I45+I91)-SUMPRODUCT((I97:I111)*(EB.Projektart.Bereich=6)),9)</f>
        <v>0</v>
      </c>
      <c r="J114" s="213" t="n">
        <f aca="false">ROUND((J23+J45+J91)-SUMPRODUCT((J97:J111)*(EB.Projektart.Bereich=6)),9)</f>
        <v>0</v>
      </c>
      <c r="K114" s="213" t="n">
        <f aca="false">ROUND((K23+K45+K91)-SUMPRODUCT((K97:K111)*(EB.Projektart.Bereich=6)),9)</f>
        <v>0</v>
      </c>
      <c r="L114" s="213" t="n">
        <f aca="false">ROUND((L23+L45+L91)-SUMPRODUCT((L97:L111)*(EB.Projektart.Bereich=6)),9)</f>
        <v>0</v>
      </c>
      <c r="M114" s="213" t="n">
        <f aca="false">ROUND((M23+M45+M91)-SUMPRODUCT((M97:M111)*(EB.Projektart.Bereich=6)),9)</f>
        <v>0</v>
      </c>
      <c r="N114" s="213" t="n">
        <f aca="false">ROUND((N23+N45+N91)-SUMPRODUCT((N97:N111)*(EB.Projektart.Bereich=6)),9)</f>
        <v>0</v>
      </c>
      <c r="O114" s="213" t="n">
        <f aca="false">ROUND((O23+O45+O91)-SUMPRODUCT((O97:O111)*(EB.Projektart.Bereich=6)),9)</f>
        <v>0</v>
      </c>
      <c r="P114" s="213" t="n">
        <f aca="false">ROUND((P23+P45+P91)-SUMPRODUCT((P97:P111)*(EB.Projektart.Bereich=6)),9)</f>
        <v>0</v>
      </c>
      <c r="Q114" s="213" t="n">
        <f aca="false">ROUND((Q23+Q45+Q91)-SUMPRODUCT((Q97:Q111)*(EB.Projektart.Bereich=6)),9)</f>
        <v>0</v>
      </c>
      <c r="R114" s="213" t="n">
        <f aca="false">ROUND((R23+R45+R91)-SUMPRODUCT((R97:R111)*(EB.Projektart.Bereich=6)),9)</f>
        <v>0</v>
      </c>
      <c r="S114" s="213" t="n">
        <f aca="false">ROUND((S23+S45+S91)-SUMPRODUCT((S97:S111)*(EB.Projektart.Bereich=6)),9)</f>
        <v>0</v>
      </c>
      <c r="T114" s="213" t="n">
        <f aca="false">ROUND((T23+T45+T91)-SUMPRODUCT((T97:T111)*(EB.Projektart.Bereich=6)),9)</f>
        <v>0</v>
      </c>
      <c r="U114" s="213" t="n">
        <f aca="false">ROUND((U23+U45+U91)-SUMPRODUCT((U97:U111)*(EB.Projektart.Bereich=6)),9)</f>
        <v>0</v>
      </c>
      <c r="V114" s="213" t="n">
        <f aca="false">ROUND((V23+V45+V91)-SUMPRODUCT((V97:V111)*(EB.Projektart.Bereich=6)),9)</f>
        <v>0</v>
      </c>
      <c r="W114" s="213" t="n">
        <f aca="false">ROUND((W23+W45+W91)-SUMPRODUCT((W97:W111)*(EB.Projektart.Bereich=6)),9)</f>
        <v>0</v>
      </c>
      <c r="X114" s="213" t="n">
        <f aca="false">ROUND((X23+X45+X91)-SUMPRODUCT((X97:X111)*(EB.Projektart.Bereich=6)),9)</f>
        <v>0</v>
      </c>
      <c r="Y114" s="213" t="n">
        <f aca="false">ROUND((Y23+Y45+Y91)-SUMPRODUCT((Y97:Y111)*(EB.Projektart.Bereich=6)),9)</f>
        <v>0</v>
      </c>
      <c r="Z114" s="213" t="n">
        <f aca="false">ROUND((Z23+Z45+Z91)-SUMPRODUCT((Z97:Z111)*(EB.Projektart.Bereich=6)),9)</f>
        <v>0</v>
      </c>
      <c r="AA114" s="213" t="n">
        <f aca="false">ROUND((AA23+AA45+AA91)-SUMPRODUCT((AA97:AA111)*(EB.Projektart.Bereich=6)),9)</f>
        <v>0</v>
      </c>
      <c r="AB114" s="213" t="n">
        <f aca="false">ROUND((AB23+AB45+AB91)-SUMPRODUCT((AB97:AB111)*(EB.Projektart.Bereich=6)),9)</f>
        <v>0</v>
      </c>
      <c r="AC114" s="213" t="n">
        <f aca="false">ROUND((AC23+AC45+AC91)-SUMPRODUCT((AC97:AC111)*(EB.Projektart.Bereich=6)),9)</f>
        <v>0</v>
      </c>
      <c r="AD114" s="213" t="n">
        <f aca="false">ROUND((AD23+AD45+AD91)-SUMPRODUCT((AD97:AD111)*(EB.Projektart.Bereich=6)),9)</f>
        <v>0</v>
      </c>
      <c r="AE114" s="213" t="n">
        <f aca="false">ROUND((AE23+AE45+AE91)-SUMPRODUCT((AE97:AE111)*(EB.Projektart.Bereich=6)),9)</f>
        <v>0</v>
      </c>
      <c r="AF114" s="183" t="str">
        <f aca="false">A114</f>
        <v>Difference WH-Project type 6</v>
      </c>
      <c r="AG114" s="197"/>
      <c r="AH114" s="207" t="n">
        <f aca="false">SUM(B114:AE114)</f>
        <v>0</v>
      </c>
      <c r="AI114" s="33"/>
      <c r="AJ114" s="235"/>
      <c r="AK114" s="216" t="n">
        <f aca="false">IF(EB.Anwendung&lt;&gt;"",IF(MONTH(Monat.Tag1)=1,0,IF(MONTH(Monat.Tag1)=2,January!Monat.PDiffUeVM,IF(MONTH(Monat.Tag1)=3,February!Monat.PDiffUeVM,IF(MONTH(Monat.Tag1)=4,March!Monat.PDiffUeVM,IF(MONTH(Monat.Tag1)=5,April!Monat.PDiffUeVM,IF(MONTH(Monat.Tag1)=6,May!Monat.PDiffUeVM,IF(MONTH(Monat.Tag1)=7,Monat.PDiffUeVM,IF(MONTH(Monat.Tag1)=8,July!Monat.PDiffUeVM,IF(MONTH(Monat.Tag1)=9,August!Monat.PDiffUeVM,IF(MONTH(Monat.Tag1)=10,September!Monat.PDiffUeVM,IF(MONTH(Monat.Tag1)=11,October!Monat.PDiffUeVM,IF(MONTH(Monat.Tag1)=12,November!Monat.PDiffUeVM,"")))))))))))),"")</f>
        <v>10.506944445</v>
      </c>
      <c r="AL114" s="235"/>
      <c r="AM114" s="217" t="n">
        <f aca="false">AH114+AK114</f>
        <v>10.506944445</v>
      </c>
      <c r="AN114" s="235"/>
      <c r="AO114" s="235"/>
      <c r="AP114" s="39"/>
    </row>
    <row r="115" customFormat="false" ht="11.25" hidden="true" customHeight="true" outlineLevel="1" collapsed="false">
      <c r="A115" s="43"/>
      <c r="B115" s="270"/>
      <c r="C115" s="270"/>
      <c r="D115" s="270"/>
      <c r="E115" s="270"/>
      <c r="F115" s="270"/>
      <c r="G115" s="270"/>
      <c r="H115" s="270"/>
      <c r="I115" s="270"/>
      <c r="J115" s="271"/>
      <c r="K115" s="270"/>
      <c r="L115" s="270"/>
      <c r="M115" s="270"/>
      <c r="N115" s="270"/>
      <c r="O115" s="270"/>
      <c r="P115" s="270"/>
      <c r="Q115" s="270"/>
      <c r="R115" s="270"/>
      <c r="S115" s="270"/>
      <c r="T115" s="270"/>
      <c r="U115" s="270"/>
      <c r="V115" s="270"/>
      <c r="W115" s="270"/>
      <c r="X115" s="270"/>
      <c r="Y115" s="270"/>
      <c r="Z115" s="270"/>
      <c r="AA115" s="270"/>
      <c r="AB115" s="270"/>
      <c r="AC115" s="270"/>
      <c r="AD115" s="270"/>
      <c r="AE115" s="270"/>
      <c r="AF115" s="272"/>
      <c r="AG115" s="273"/>
      <c r="AH115" s="43"/>
      <c r="AI115" s="43"/>
      <c r="AJ115" s="43"/>
      <c r="AK115" s="43"/>
      <c r="AL115" s="43"/>
      <c r="AM115" s="274"/>
      <c r="AN115" s="43"/>
      <c r="AO115" s="43"/>
      <c r="AP115" s="43"/>
    </row>
    <row r="116" customFormat="false" ht="11.25" hidden="false" customHeight="true" outlineLevel="0" collapsed="false">
      <c r="A116" s="43"/>
      <c r="B116" s="270"/>
      <c r="C116" s="270"/>
      <c r="D116" s="270"/>
      <c r="E116" s="270"/>
      <c r="F116" s="270"/>
      <c r="G116" s="270"/>
      <c r="H116" s="270"/>
      <c r="I116" s="270"/>
      <c r="J116" s="270"/>
      <c r="K116" s="270"/>
      <c r="L116" s="270"/>
      <c r="M116" s="270"/>
      <c r="N116" s="270"/>
      <c r="O116" s="270"/>
      <c r="P116" s="270"/>
      <c r="Q116" s="270"/>
      <c r="R116" s="270"/>
      <c r="S116" s="270"/>
      <c r="T116" s="270"/>
      <c r="U116" s="270"/>
      <c r="V116" s="270"/>
      <c r="W116" s="270"/>
      <c r="X116" s="270"/>
      <c r="Y116" s="270"/>
      <c r="Z116" s="270"/>
      <c r="AA116" s="270"/>
      <c r="AB116" s="270"/>
      <c r="AC116" s="270"/>
      <c r="AD116" s="270"/>
      <c r="AE116" s="270"/>
      <c r="AF116" s="272"/>
      <c r="AG116" s="273"/>
      <c r="AH116" s="43"/>
      <c r="AI116" s="43"/>
      <c r="AJ116" s="43"/>
      <c r="AK116" s="43"/>
      <c r="AL116" s="43"/>
      <c r="AM116" s="274"/>
      <c r="AN116" s="43"/>
      <c r="AO116" s="43"/>
      <c r="AP116" s="43"/>
    </row>
    <row r="117" customFormat="false" ht="12" hidden="false" customHeight="true" outlineLevel="0" collapsed="false">
      <c r="A117" s="43"/>
      <c r="B117" s="275" t="s">
        <v>179</v>
      </c>
      <c r="C117" s="275"/>
      <c r="D117" s="275"/>
      <c r="E117" s="275"/>
      <c r="F117" s="275"/>
      <c r="G117" s="275"/>
      <c r="H117" s="275"/>
      <c r="I117" s="275"/>
      <c r="J117" s="275"/>
      <c r="K117" s="275"/>
      <c r="L117" s="275"/>
      <c r="M117" s="275"/>
      <c r="N117" s="275"/>
      <c r="O117" s="275"/>
      <c r="P117" s="275"/>
      <c r="Q117" s="275"/>
      <c r="R117" s="276"/>
      <c r="S117" s="276"/>
      <c r="T117" s="276"/>
      <c r="U117" s="276"/>
      <c r="V117" s="276"/>
      <c r="W117" s="276"/>
      <c r="X117" s="276"/>
      <c r="Y117" s="276"/>
      <c r="Z117" s="276"/>
      <c r="AA117" s="276"/>
      <c r="AB117" s="276"/>
      <c r="AC117" s="276"/>
      <c r="AD117" s="276"/>
      <c r="AE117" s="276"/>
      <c r="AF117" s="277"/>
      <c r="AG117" s="278"/>
      <c r="AH117" s="276"/>
      <c r="AI117" s="276"/>
      <c r="AJ117" s="276"/>
      <c r="AK117" s="276"/>
      <c r="AL117" s="276"/>
      <c r="AM117" s="279"/>
      <c r="AN117" s="265"/>
      <c r="AO117" s="265"/>
      <c r="AP117" s="43"/>
    </row>
    <row r="118" customFormat="false" ht="11.25" hidden="false" customHeight="true" outlineLevel="0" collapsed="false">
      <c r="A118" s="280"/>
      <c r="B118" s="280"/>
      <c r="C118" s="280"/>
      <c r="D118" s="280"/>
      <c r="E118" s="280"/>
      <c r="F118" s="280"/>
      <c r="G118" s="280"/>
      <c r="H118" s="280"/>
      <c r="I118" s="280"/>
      <c r="J118" s="280"/>
      <c r="K118" s="280"/>
      <c r="L118" s="280"/>
      <c r="M118" s="276"/>
      <c r="N118" s="276"/>
      <c r="O118" s="276"/>
      <c r="P118" s="276"/>
      <c r="Q118" s="276"/>
      <c r="R118" s="276"/>
      <c r="S118" s="276"/>
      <c r="T118" s="276"/>
      <c r="U118" s="276"/>
      <c r="V118" s="276"/>
      <c r="W118" s="276"/>
      <c r="X118" s="276"/>
      <c r="Y118" s="276"/>
      <c r="Z118" s="276"/>
      <c r="AA118" s="276"/>
      <c r="AB118" s="276"/>
      <c r="AC118" s="276"/>
      <c r="AD118" s="276"/>
      <c r="AE118" s="276"/>
      <c r="AF118" s="276"/>
      <c r="AG118" s="276"/>
      <c r="AH118" s="276"/>
      <c r="AI118" s="276"/>
      <c r="AJ118" s="276"/>
      <c r="AK118" s="276"/>
      <c r="AL118" s="276"/>
      <c r="AM118" s="276"/>
      <c r="AN118" s="276"/>
      <c r="AO118" s="276"/>
      <c r="AP118" s="43"/>
    </row>
    <row r="119" customFormat="false" ht="39" hidden="false" customHeight="true" outlineLevel="0" collapsed="false">
      <c r="A119" s="55" t="s">
        <v>180</v>
      </c>
      <c r="B119" s="281"/>
      <c r="C119" s="281"/>
      <c r="D119" s="281"/>
      <c r="E119" s="281"/>
      <c r="F119" s="281"/>
      <c r="G119" s="281"/>
      <c r="H119" s="281"/>
      <c r="I119" s="281"/>
      <c r="J119" s="281"/>
      <c r="K119" s="281"/>
      <c r="L119" s="281"/>
      <c r="M119" s="281"/>
      <c r="N119" s="281"/>
      <c r="O119" s="281"/>
      <c r="P119" s="281"/>
      <c r="Q119" s="281"/>
      <c r="R119" s="276"/>
      <c r="S119" s="276"/>
      <c r="T119" s="276"/>
      <c r="U119" s="276"/>
      <c r="V119" s="276"/>
      <c r="W119" s="276"/>
      <c r="X119" s="276"/>
      <c r="Y119" s="282"/>
      <c r="Z119" s="282"/>
      <c r="AA119" s="282"/>
      <c r="AB119" s="282"/>
      <c r="AC119" s="282"/>
      <c r="AD119" s="282"/>
      <c r="AE119" s="282"/>
      <c r="AF119" s="283"/>
      <c r="AG119" s="283"/>
      <c r="AH119" s="283"/>
      <c r="AI119" s="283"/>
      <c r="AJ119" s="265"/>
      <c r="AK119" s="265"/>
      <c r="AL119" s="265"/>
      <c r="AM119" s="284"/>
      <c r="AN119" s="265"/>
      <c r="AO119" s="265"/>
      <c r="AP119" s="43"/>
    </row>
    <row r="120" customFormat="false" ht="12" hidden="false" customHeight="true" outlineLevel="0" collapsed="false">
      <c r="A120" s="285" t="s">
        <v>181</v>
      </c>
      <c r="B120" s="286"/>
      <c r="C120" s="286"/>
      <c r="D120" s="286"/>
      <c r="E120" s="286"/>
      <c r="F120" s="286"/>
      <c r="G120" s="286"/>
      <c r="H120" s="286"/>
      <c r="I120" s="286"/>
      <c r="J120" s="286"/>
      <c r="K120" s="286"/>
      <c r="L120" s="286"/>
      <c r="M120" s="286"/>
      <c r="N120" s="286"/>
      <c r="O120" s="286"/>
      <c r="P120" s="286"/>
      <c r="Q120" s="286"/>
      <c r="R120" s="276"/>
      <c r="S120" s="276"/>
      <c r="T120" s="287" t="s">
        <v>182</v>
      </c>
      <c r="U120" s="287"/>
      <c r="V120" s="287"/>
      <c r="W120" s="287"/>
      <c r="X120" s="287"/>
      <c r="Y120" s="282"/>
      <c r="Z120" s="282"/>
      <c r="AA120" s="282"/>
      <c r="AB120" s="282"/>
      <c r="AC120" s="282"/>
      <c r="AD120" s="282"/>
      <c r="AE120" s="282"/>
      <c r="AF120" s="283"/>
      <c r="AG120" s="283"/>
      <c r="AH120" s="283"/>
      <c r="AI120" s="283"/>
      <c r="AJ120" s="43"/>
      <c r="AK120" s="43"/>
      <c r="AL120" s="43"/>
      <c r="AM120" s="274"/>
      <c r="AN120" s="43"/>
      <c r="AO120" s="43"/>
      <c r="AP120" s="43"/>
    </row>
    <row r="121" customFormat="false" ht="11.25" hidden="false" customHeight="true" outlineLevel="0" collapsed="false">
      <c r="A121" s="288"/>
      <c r="B121" s="289"/>
      <c r="C121" s="289"/>
      <c r="D121" s="289"/>
      <c r="E121" s="289"/>
      <c r="F121" s="289"/>
      <c r="G121" s="289"/>
      <c r="H121" s="289"/>
      <c r="I121" s="289"/>
      <c r="J121" s="289"/>
      <c r="K121" s="289"/>
      <c r="L121" s="289"/>
      <c r="M121" s="270"/>
      <c r="N121" s="270"/>
      <c r="O121" s="270"/>
      <c r="P121" s="270"/>
      <c r="Q121" s="270"/>
      <c r="R121" s="270"/>
      <c r="S121" s="276"/>
      <c r="T121" s="270"/>
      <c r="U121" s="270"/>
      <c r="V121" s="270"/>
      <c r="W121" s="270"/>
      <c r="X121" s="270"/>
      <c r="Y121" s="270"/>
      <c r="Z121" s="270"/>
      <c r="AA121" s="270"/>
      <c r="AB121" s="270"/>
      <c r="AC121" s="270"/>
      <c r="AD121" s="270"/>
      <c r="AE121" s="270"/>
      <c r="AF121" s="272"/>
      <c r="AG121" s="273"/>
      <c r="AH121" s="43"/>
      <c r="AI121" s="43"/>
      <c r="AJ121" s="43"/>
      <c r="AK121" s="43"/>
      <c r="AL121" s="43"/>
      <c r="AM121" s="274"/>
      <c r="AN121" s="43"/>
      <c r="AO121" s="43"/>
      <c r="AP121" s="43"/>
    </row>
    <row r="122" customFormat="false" ht="12" hidden="false" customHeight="true" outlineLevel="0" collapsed="false">
      <c r="A122" s="43"/>
      <c r="B122" s="290" t="s">
        <v>183</v>
      </c>
      <c r="C122" s="290"/>
      <c r="D122" s="290"/>
      <c r="E122" s="290"/>
      <c r="F122" s="290"/>
      <c r="G122" s="290"/>
      <c r="H122" s="290"/>
      <c r="I122" s="290"/>
      <c r="J122" s="290"/>
      <c r="K122" s="290"/>
      <c r="L122" s="290"/>
      <c r="M122" s="290"/>
      <c r="N122" s="290"/>
      <c r="O122" s="290"/>
      <c r="P122" s="290"/>
      <c r="Q122" s="290"/>
      <c r="R122" s="270"/>
      <c r="S122" s="270"/>
      <c r="T122" s="270"/>
      <c r="U122" s="270"/>
      <c r="V122" s="270"/>
      <c r="W122" s="270"/>
      <c r="X122" s="270"/>
      <c r="Y122" s="270"/>
      <c r="Z122" s="270"/>
      <c r="AA122" s="270"/>
      <c r="AB122" s="270"/>
      <c r="AC122" s="270"/>
      <c r="AD122" s="270"/>
      <c r="AE122" s="270"/>
      <c r="AF122" s="272"/>
      <c r="AG122" s="273"/>
      <c r="AH122" s="43"/>
      <c r="AI122" s="43"/>
      <c r="AJ122" s="43"/>
      <c r="AK122" s="43"/>
      <c r="AL122" s="43"/>
      <c r="AM122" s="274"/>
      <c r="AN122" s="43"/>
      <c r="AO122" s="43"/>
      <c r="AP122" s="43"/>
    </row>
    <row r="123" customFormat="false" ht="11.25" hidden="false" customHeight="true" outlineLevel="0" collapsed="false">
      <c r="A123" s="43"/>
      <c r="B123" s="270"/>
      <c r="C123" s="270"/>
      <c r="D123" s="270"/>
      <c r="E123" s="270"/>
      <c r="F123" s="270"/>
      <c r="G123" s="270"/>
      <c r="H123" s="270"/>
      <c r="I123" s="270"/>
      <c r="J123" s="270"/>
      <c r="K123" s="270"/>
      <c r="L123" s="270"/>
      <c r="M123" s="270"/>
      <c r="N123" s="270"/>
      <c r="O123" s="270"/>
      <c r="P123" s="270"/>
      <c r="Q123" s="270"/>
      <c r="R123" s="270"/>
      <c r="S123" s="270"/>
      <c r="T123" s="270"/>
      <c r="U123" s="270"/>
      <c r="V123" s="270"/>
      <c r="W123" s="270"/>
      <c r="X123" s="270"/>
      <c r="Y123" s="270"/>
      <c r="Z123" s="270"/>
      <c r="AA123" s="270"/>
      <c r="AB123" s="270"/>
      <c r="AC123" s="270"/>
      <c r="AD123" s="270"/>
      <c r="AE123" s="270"/>
      <c r="AF123" s="272"/>
      <c r="AG123" s="273"/>
      <c r="AH123" s="43"/>
      <c r="AI123" s="43"/>
      <c r="AJ123" s="43"/>
      <c r="AK123" s="43"/>
      <c r="AL123" s="43"/>
      <c r="AM123" s="274"/>
      <c r="AN123" s="43"/>
      <c r="AO123" s="43"/>
      <c r="AP123" s="43"/>
    </row>
    <row r="124" customFormat="false" ht="11.25" hidden="false" customHeight="true" outlineLevel="0" collapsed="false">
      <c r="A124" s="276"/>
      <c r="B124" s="276"/>
      <c r="C124" s="276"/>
      <c r="D124" s="276"/>
      <c r="E124" s="276"/>
      <c r="F124" s="276"/>
      <c r="G124" s="276"/>
      <c r="H124" s="276"/>
      <c r="I124" s="276"/>
      <c r="J124" s="276"/>
      <c r="K124" s="276"/>
      <c r="L124" s="276"/>
      <c r="M124" s="276"/>
      <c r="N124" s="276"/>
      <c r="O124" s="276"/>
      <c r="P124" s="276"/>
      <c r="Q124" s="276"/>
      <c r="R124" s="276"/>
      <c r="S124" s="276"/>
      <c r="T124" s="276"/>
      <c r="U124" s="276"/>
      <c r="V124" s="276"/>
      <c r="W124" s="276"/>
      <c r="X124" s="276"/>
      <c r="Y124" s="276"/>
      <c r="Z124" s="276"/>
      <c r="AA124" s="276"/>
      <c r="AB124" s="276"/>
      <c r="AC124" s="276"/>
      <c r="AD124" s="276"/>
      <c r="AE124" s="276"/>
      <c r="AF124" s="276"/>
      <c r="AG124" s="276"/>
      <c r="AH124" s="276"/>
      <c r="AI124" s="276"/>
      <c r="AJ124" s="276"/>
      <c r="AK124" s="276"/>
      <c r="AL124" s="276"/>
      <c r="AM124" s="276"/>
      <c r="AN124" s="276"/>
      <c r="AO124" s="276"/>
      <c r="AP124" s="43"/>
    </row>
  </sheetData>
  <sheetProtection sheet="true" objects="true" scenarios="true"/>
  <mergeCells count="25">
    <mergeCell ref="B1:L1"/>
    <mergeCell ref="AN1:AO1"/>
    <mergeCell ref="B2:E2"/>
    <mergeCell ref="F2:N2"/>
    <mergeCell ref="P2:U2"/>
    <mergeCell ref="B3:E3"/>
    <mergeCell ref="F3:N3"/>
    <mergeCell ref="P3:U3"/>
    <mergeCell ref="B4:E4"/>
    <mergeCell ref="F4:N4"/>
    <mergeCell ref="P4:U4"/>
    <mergeCell ref="B5:E5"/>
    <mergeCell ref="F5:N5"/>
    <mergeCell ref="B6:E6"/>
    <mergeCell ref="F6:N6"/>
    <mergeCell ref="B7:E7"/>
    <mergeCell ref="F7:N7"/>
    <mergeCell ref="AG10:AH10"/>
    <mergeCell ref="AN10:AO10"/>
    <mergeCell ref="B117:Q117"/>
    <mergeCell ref="B119:Q119"/>
    <mergeCell ref="Y119:AE120"/>
    <mergeCell ref="B120:Q120"/>
    <mergeCell ref="T120:X120"/>
    <mergeCell ref="B122:Q122"/>
  </mergeCells>
  <conditionalFormatting sqref="AH114 B114:AE114">
    <cfRule type="expression" priority="2" aboveAverage="0" equalAverage="0" bottom="0" percent="0" rank="0" text="" dxfId="0">
      <formula>ABS(B$114)&gt;=ROUND(1/24/60,9)</formula>
    </cfRule>
  </conditionalFormatting>
  <conditionalFormatting sqref="B13:AE22 B34:AE44 B25:AE30 B60:AE61 B67:AE67 B71:AE72 B84:AE84 B86:AE95 B97:AE111">
    <cfRule type="expression" priority="3" aboveAverage="0" equalAverage="0" bottom="0" percent="0" rank="0" text="" dxfId="1">
      <formula>WEEKDAY(B$10,2)&gt;5</formula>
    </cfRule>
    <cfRule type="expression" priority="4" aboveAverage="0" equalAverage="0" bottom="0" percent="0" rank="0" text="" dxfId="2">
      <formula>AND(NOT(ISERROR(MATCH(B$10,T.Feiertage.Bereich,0))),OFFSET(T.Feiertage.Bereich,MATCH(B$10,T.Feiertage.Bereich,0)-1,1,1,1)&gt;0)</formula>
    </cfRule>
    <cfRule type="expression" priority="5" aboveAverage="0" equalAverage="0" bottom="0" percent="0" rank="0" text="" dxfId="3">
      <formula>B$11=0</formula>
    </cfRule>
  </conditionalFormatting>
  <conditionalFormatting sqref="AM60:AN60">
    <cfRule type="expression" priority="6" aboveAverage="0" equalAverage="0" bottom="0" percent="0" rank="0" text="" dxfId="4">
      <formula>AND(T.50_Vetsuisse,AM60&gt;=T.GrenzeAngÜZ50_Vetsuisse)</formula>
    </cfRule>
    <cfRule type="expression" priority="7" aboveAverage="0" equalAverage="0" bottom="0" percent="0" rank="0" text="" dxfId="5">
      <formula>AND(T.50_Vetsuisse,AM60&gt;T.GrenzeAngÜZ50_Vetsuisse*T.AngÜZ50_Vetsuisse_orange)</formula>
    </cfRule>
  </conditionalFormatting>
  <conditionalFormatting sqref="B56:AE56">
    <cfRule type="expression" priority="8" aboveAverage="0" equalAverage="0" bottom="0" percent="0" rank="0" text="" dxfId="6">
      <formula>B$10&gt;TODAY()</formula>
    </cfRule>
    <cfRule type="expression" priority="9" aboveAverage="0" equalAverage="0" bottom="0" percent="0" rank="0" text="" dxfId="7">
      <formula>B$56&gt;99.99/24</formula>
    </cfRule>
    <cfRule type="expression" priority="10" aboveAverage="0" equalAverage="0" bottom="0" percent="0" rank="0" text="" dxfId="0">
      <formula>B$56&lt;99.99/24*-1</formula>
    </cfRule>
  </conditionalFormatting>
  <conditionalFormatting sqref="AN55:AO55">
    <cfRule type="cellIs" priority="11" operator="greaterThan" aboveAverage="0" equalAverage="0" bottom="0" percent="0" rank="0" text="" dxfId="1">
      <formula>1/24/60</formula>
    </cfRule>
    <cfRule type="expression" priority="12" aboveAverage="0" equalAverage="0" bottom="0" percent="0" rank="0" text="" dxfId="2">
      <formula>AND(AN55&lt;=1/24/60*-1,TODAY()&gt;=DATE(EB.Jahr,MONTH(12),DAY(31)))</formula>
    </cfRule>
  </conditionalFormatting>
  <conditionalFormatting sqref="AH58 B56:AE56">
    <cfRule type="expression" priority="13" aboveAverage="0" equalAverage="0" bottom="0" percent="0" rank="0" text="" dxfId="3">
      <formula>B$56&gt;1/24/60</formula>
    </cfRule>
    <cfRule type="expression" priority="14" aboveAverage="0" equalAverage="0" bottom="0" percent="0" rank="0" text="" dxfId="4">
      <formula>AND(B$56&lt;=1/24/60*-1,B$56)</formula>
    </cfRule>
  </conditionalFormatting>
  <conditionalFormatting sqref="B14:AE22 B36:AE44 B26:AE30">
    <cfRule type="expression" priority="15" aboveAverage="0" equalAverage="0" bottom="0" percent="0" rank="0" text="" dxfId="5">
      <formula>AND(B14&lt;B13,B14&lt;&gt;"")</formula>
    </cfRule>
  </conditionalFormatting>
  <conditionalFormatting sqref="B72:AE73">
    <cfRule type="expression" priority="16" aboveAverage="0" equalAverage="0" bottom="0" percent="0" rank="0" text="" dxfId="6">
      <formula>AND(T.50_Vetsuisse,OR(AND(B$72&lt;&gt;INDEX(T.JaNein.Bereich,1,1),B$72&lt;&gt;INDEX(T.JaNein.Bereich,2,1),B$73&lt;&gt;0,MOD(IFERROR(MATCH(1,B$13:B$22,0),1),2)=0),AND(B$72=INDEX(T.JaNein.Bereich,1,1),OR(B$73=0,MOD(IFERROR(MATCH(1,B$13:B$22,0),1),2)&lt;&gt;0))))</formula>
    </cfRule>
  </conditionalFormatting>
  <conditionalFormatting sqref="P4:U4">
    <cfRule type="expression" priority="17" aboveAverage="0" equalAverage="0" bottom="0" percent="0" rank="0" text="" dxfId="7">
      <formula>$P$4&lt;&gt;""</formula>
    </cfRule>
  </conditionalFormatting>
  <conditionalFormatting sqref="V4">
    <cfRule type="expression" priority="18" aboveAverage="0" equalAverage="0" bottom="0" percent="0" rank="0" text="" dxfId="8">
      <formula>$V$4&lt;&gt;""</formula>
    </cfRule>
  </conditionalFormatting>
  <conditionalFormatting sqref="AO60">
    <cfRule type="expression" priority="19" aboveAverage="0" equalAverage="0" bottom="0" percent="0" rank="0" text="" dxfId="9">
      <formula>AND(T.50_Vetsuisse,AO60&gt;=T.GrenzeAngÜZ50_Vetsuisse)</formula>
    </cfRule>
    <cfRule type="expression" priority="20" aboveAverage="0" equalAverage="0" bottom="0" percent="0" rank="0" text="" dxfId="10">
      <formula>AND(T.50_Vetsuisse,AO60&gt;T.GrenzeAngÜZ50_Vetsuisse*T.AngÜZ50_Vetsuisse_orange)</formula>
    </cfRule>
  </conditionalFormatting>
  <conditionalFormatting sqref="AI72:AI73">
    <cfRule type="expression" priority="21" aboveAverage="0" equalAverage="0" bottom="0" percent="0" rank="0" text="" dxfId="11">
      <formula>AND(T.50_Vetsuisse,$AI$72&lt;&gt;$AI$73)</formula>
    </cfRule>
    <cfRule type="expression" priority="22" aboveAverage="0" equalAverage="0" bottom="0" percent="0" rank="0" text="" dxfId="12">
      <formula>$AI$72&gt;$AI$73</formula>
    </cfRule>
  </conditionalFormatting>
  <dataValidations count="2">
    <dataValidation allowBlank="true" error="Please choose a value from the drop-down list." errorTitle="Start pl. night shift" operator="between" showDropDown="false" showErrorMessage="true" showInputMessage="true" sqref="B72:AE72" type="list">
      <formula1>T.JaNein.Bereich</formula1>
      <formula2>0</formula2>
    </dataValidation>
    <dataValidation allowBlank="true" error="Bitte wählen Sie einen Wert aus der Liste." errorTitle="Pikett Bereitschaft" operator="between" showDropDown="false" showErrorMessage="true" showInputMessage="true" sqref="B34:AE34" type="list">
      <formula1>T.Pikett.Bereich</formula1>
      <formula2>0</formula2>
    </dataValidation>
  </dataValidations>
  <printOptions headings="false" gridLines="false" gridLinesSet="true" horizontalCentered="true" verticalCentered="false"/>
  <pageMargins left="0.196527777777778" right="0.196527777777778" top="0.39375" bottom="0.393055555555556" header="0.511805555555555" footer="0.196527777777778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&amp;L&amp;"Arial,Regular"&amp;11Monatsabrechnung &amp;A&amp;C&amp;"Arial,Regular"&amp;11&amp;D&amp;R&amp;"Arial,Regular"&amp;11&amp;P / &amp;N</oddFoot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Q124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" ySplit="10" topLeftCell="B11" activePane="bottomRight" state="frozen"/>
      <selection pane="topLeft" activeCell="A1" activeCellId="0" sqref="A1"/>
      <selection pane="topRight" activeCell="B1" activeCellId="0" sqref="B1"/>
      <selection pane="bottomLeft" activeCell="A11" activeCellId="0" sqref="A11"/>
      <selection pane="bottomRight" activeCell="B13" activeCellId="0" sqref="B13"/>
    </sheetView>
  </sheetViews>
  <sheetFormatPr defaultRowHeight="13" zeroHeight="false" outlineLevelRow="1" outlineLevelCol="1"/>
  <cols>
    <col collapsed="false" customWidth="true" hidden="false" outlineLevel="0" max="1" min="1" style="132" width="24.5"/>
    <col collapsed="false" customWidth="true" hidden="false" outlineLevel="0" max="32" min="2" style="132" width="5.66"/>
    <col collapsed="false" customWidth="true" hidden="false" outlineLevel="0" max="33" min="33" style="133" width="24.5"/>
    <col collapsed="false" customWidth="true" hidden="false" outlineLevel="0" max="34" min="34" style="134" width="2.17"/>
    <col collapsed="false" customWidth="true" hidden="false" outlineLevel="0" max="36" min="35" style="132" width="8.17"/>
    <col collapsed="false" customWidth="true" hidden="true" outlineLevel="1" max="37" min="37" style="132" width="15.83"/>
    <col collapsed="false" customWidth="true" hidden="true" outlineLevel="1" max="39" min="38" style="132" width="14.33"/>
    <col collapsed="false" customWidth="true" hidden="false" outlineLevel="0" max="40" min="40" style="135" width="9.5"/>
    <col collapsed="false" customWidth="true" hidden="false" outlineLevel="0" max="42" min="41" style="132" width="8.17"/>
    <col collapsed="false" customWidth="true" hidden="false" outlineLevel="0" max="43" min="43" style="132" width="3.66"/>
    <col collapsed="false" customWidth="true" hidden="false" outlineLevel="0" max="1025" min="44" style="0" width="10.66"/>
  </cols>
  <sheetData>
    <row r="1" s="142" customFormat="true" ht="22.5" hidden="false" customHeight="true" outlineLevel="0" collapsed="false">
      <c r="A1" s="136" t="str">
        <f aca="false">INDEX(EB.Monate.Bereich,MONTH(Monat.Tag1)) &amp; " " &amp; EB.Jahr</f>
        <v>July 2018</v>
      </c>
      <c r="B1" s="137" t="str">
        <f aca="false">Eingabeblatt!B1</f>
        <v>Employee Time Sheet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6"/>
      <c r="N1" s="6"/>
      <c r="O1" s="6"/>
      <c r="P1" s="6"/>
      <c r="Q1" s="6"/>
      <c r="R1" s="138"/>
      <c r="S1" s="6"/>
      <c r="T1" s="6"/>
      <c r="U1" s="6"/>
      <c r="V1" s="139"/>
      <c r="W1" s="139"/>
      <c r="X1" s="6"/>
      <c r="Y1" s="138"/>
      <c r="Z1" s="6"/>
      <c r="AA1" s="6"/>
      <c r="AB1" s="6"/>
      <c r="AC1" s="6"/>
      <c r="AD1" s="6"/>
      <c r="AE1" s="6"/>
      <c r="AF1" s="6"/>
      <c r="AG1" s="140"/>
      <c r="AH1" s="141"/>
      <c r="AI1" s="6"/>
      <c r="AJ1" s="6"/>
      <c r="AK1" s="6"/>
      <c r="AL1" s="6"/>
      <c r="AM1" s="6"/>
      <c r="AN1" s="7"/>
      <c r="AO1" s="7" t="str">
        <f aca="false">EB.Version</f>
        <v>Version 01.18</v>
      </c>
      <c r="AP1" s="7"/>
      <c r="AQ1" s="8" t="str">
        <f aca="false">EB.Sprache</f>
        <v>EN</v>
      </c>
    </row>
    <row r="2" s="148" customFormat="true" ht="15" hidden="false" customHeight="true" outlineLevel="0" collapsed="false">
      <c r="A2" s="55"/>
      <c r="B2" s="11" t="str">
        <f aca="false">Eingabeblatt!A3</f>
        <v>Name</v>
      </c>
      <c r="C2" s="11"/>
      <c r="D2" s="11"/>
      <c r="E2" s="11"/>
      <c r="F2" s="143" t="str">
        <f aca="false">IF(EB.Name="","?",EB.Name)</f>
        <v>Christopher Gwilliams</v>
      </c>
      <c r="G2" s="143"/>
      <c r="H2" s="143"/>
      <c r="I2" s="143"/>
      <c r="J2" s="143"/>
      <c r="K2" s="143"/>
      <c r="L2" s="143"/>
      <c r="M2" s="143"/>
      <c r="N2" s="143"/>
      <c r="O2" s="144"/>
      <c r="P2" s="11" t="str">
        <f aca="false">Eingabeblatt!J7</f>
        <v>Employment Level (FTE) in %</v>
      </c>
      <c r="Q2" s="11"/>
      <c r="R2" s="11"/>
      <c r="S2" s="11"/>
      <c r="T2" s="11"/>
      <c r="U2" s="11"/>
      <c r="V2" s="58" t="n">
        <f aca="false">IF(INDEX(EB.EffBG.Bereich,MONTH(Monat.Tag1))="","-     ",INDEX(EB.EffBG.Bereich,MONTH(Monat.Tag1)))</f>
        <v>100</v>
      </c>
      <c r="W2" s="145"/>
      <c r="X2" s="145"/>
      <c r="Y2" s="16"/>
      <c r="Z2" s="39"/>
      <c r="AA2" s="39"/>
      <c r="AB2" s="39"/>
      <c r="AC2" s="39"/>
      <c r="AD2" s="39"/>
      <c r="AE2" s="39"/>
      <c r="AF2" s="39"/>
      <c r="AG2" s="13"/>
      <c r="AH2" s="146"/>
      <c r="AI2" s="39"/>
      <c r="AJ2" s="39"/>
      <c r="AK2" s="39"/>
      <c r="AL2" s="39"/>
      <c r="AM2" s="39"/>
      <c r="AN2" s="147"/>
      <c r="AO2" s="39"/>
      <c r="AP2" s="39"/>
      <c r="AQ2" s="39"/>
    </row>
    <row r="3" s="148" customFormat="true" ht="15" hidden="false" customHeight="true" outlineLevel="0" collapsed="false">
      <c r="A3" s="149"/>
      <c r="B3" s="11" t="str">
        <f aca="false">Eingabeblatt!H2</f>
        <v>Function</v>
      </c>
      <c r="C3" s="11"/>
      <c r="D3" s="11"/>
      <c r="E3" s="11"/>
      <c r="F3" s="150" t="str">
        <f aca="false">EB.Funktion</f>
        <v>Description of Function</v>
      </c>
      <c r="G3" s="150"/>
      <c r="H3" s="150"/>
      <c r="I3" s="150"/>
      <c r="J3" s="150"/>
      <c r="K3" s="150"/>
      <c r="L3" s="150"/>
      <c r="M3" s="150"/>
      <c r="N3" s="150"/>
      <c r="O3" s="13"/>
      <c r="P3" s="11" t="str">
        <f aca="false">Eingabeblatt!J12</f>
        <v>ø Hours per day at FTE</v>
      </c>
      <c r="Q3" s="11"/>
      <c r="R3" s="11"/>
      <c r="S3" s="11"/>
      <c r="T3" s="11"/>
      <c r="U3" s="11"/>
      <c r="V3" s="151" t="n">
        <f aca="false">IF(INDEX(EB.DurchSollTAZStd.Bereich,MONTH(Monat.Tag1))="","-     ",INDEX(EB.DurchSollTAZStd.Bereich,MONTH(Monat.Tag1)))</f>
        <v>0.35</v>
      </c>
      <c r="W3" s="152"/>
      <c r="X3" s="152"/>
      <c r="Y3" s="39"/>
      <c r="Z3" s="39"/>
      <c r="AA3" s="39"/>
      <c r="AB3" s="39"/>
      <c r="AC3" s="39"/>
      <c r="AD3" s="39"/>
      <c r="AE3" s="39"/>
      <c r="AF3" s="39"/>
      <c r="AG3" s="13"/>
      <c r="AH3" s="146"/>
      <c r="AI3" s="39"/>
      <c r="AJ3" s="39"/>
      <c r="AK3" s="39"/>
      <c r="AL3" s="39"/>
      <c r="AM3" s="39"/>
      <c r="AN3" s="147"/>
      <c r="AO3" s="39"/>
      <c r="AP3" s="39"/>
      <c r="AQ3" s="39"/>
    </row>
    <row r="4" s="148" customFormat="true" ht="15" hidden="false" customHeight="true" outlineLevel="0" collapsed="false">
      <c r="A4" s="149"/>
      <c r="B4" s="11" t="str">
        <f aca="false">Eingabeblatt!H3</f>
        <v>Institute/Department</v>
      </c>
      <c r="C4" s="11"/>
      <c r="D4" s="11"/>
      <c r="E4" s="11"/>
      <c r="F4" s="150" t="str">
        <f aca="false">EB.Institut</f>
        <v>Institute/Department Name</v>
      </c>
      <c r="G4" s="150"/>
      <c r="H4" s="150"/>
      <c r="I4" s="150"/>
      <c r="J4" s="150"/>
      <c r="K4" s="150"/>
      <c r="L4" s="150"/>
      <c r="M4" s="150"/>
      <c r="N4" s="150"/>
      <c r="O4" s="13"/>
      <c r="P4" s="47" t="str">
        <f aca="true">IF(EB.ÜZZSBerechtigt=INDEX(T.JaNein.Bereich,1,1),IF(AND(OR(AND(EB.LKgr16=INDEX(T.JaNein.Bereich,1,1),EB.LKgr16ab&gt;EOMONTH(Monat.Tag1,0)),EB.LKgr16&lt;&gt;INDEX(T.JaNein.Bereich,1,1)),Monat.AZSoll.Total&gt;0),Eingabeblatt!J6,""),"")</f>
        <v/>
      </c>
      <c r="Q4" s="47"/>
      <c r="R4" s="47"/>
      <c r="S4" s="47"/>
      <c r="T4" s="47"/>
      <c r="U4" s="47"/>
      <c r="V4" s="153" t="str">
        <f aca="false">IF(P4&lt;&gt;"",EB.ÜZZSBerechtigt,"")</f>
        <v/>
      </c>
      <c r="W4" s="39"/>
      <c r="X4" s="39"/>
      <c r="Y4" s="39"/>
      <c r="Z4" s="39"/>
      <c r="AA4" s="39"/>
      <c r="AB4" s="39"/>
      <c r="AC4" s="39"/>
      <c r="AD4" s="39"/>
      <c r="AE4" s="39"/>
      <c r="AF4" s="39"/>
      <c r="AG4" s="13"/>
      <c r="AH4" s="146"/>
      <c r="AI4" s="39"/>
      <c r="AJ4" s="39"/>
      <c r="AK4" s="39"/>
      <c r="AL4" s="39"/>
      <c r="AM4" s="39"/>
      <c r="AN4" s="147"/>
      <c r="AO4" s="39"/>
      <c r="AP4" s="39"/>
      <c r="AQ4" s="39"/>
    </row>
    <row r="5" s="148" customFormat="true" ht="15" hidden="false" customHeight="true" outlineLevel="0" collapsed="false">
      <c r="A5" s="149"/>
      <c r="B5" s="11" t="str">
        <f aca="false">Eingabeblatt!A5</f>
        <v>Employee Number</v>
      </c>
      <c r="C5" s="11"/>
      <c r="D5" s="11"/>
      <c r="E5" s="11"/>
      <c r="F5" s="150" t="str">
        <f aca="false">IF(EB.Personalnummer="","?",EB.Personalnummer)</f>
        <v>?</v>
      </c>
      <c r="G5" s="150"/>
      <c r="H5" s="150"/>
      <c r="I5" s="150"/>
      <c r="J5" s="150"/>
      <c r="K5" s="150"/>
      <c r="L5" s="150"/>
      <c r="M5" s="150"/>
      <c r="N5" s="150"/>
      <c r="O5" s="13"/>
      <c r="P5" s="19" t="str">
        <f aca="false">Eingabeblatt!A38</f>
        <v>Standard working hours</v>
      </c>
      <c r="Q5" s="13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 t="s">
        <v>120</v>
      </c>
      <c r="AG5" s="13"/>
      <c r="AH5" s="146"/>
      <c r="AI5" s="39"/>
      <c r="AJ5" s="39"/>
      <c r="AK5" s="39"/>
      <c r="AL5" s="39"/>
      <c r="AM5" s="39"/>
      <c r="AN5" s="147"/>
      <c r="AO5" s="39"/>
      <c r="AP5" s="39"/>
      <c r="AQ5" s="39"/>
    </row>
    <row r="6" s="148" customFormat="true" ht="15" hidden="false" customHeight="true" outlineLevel="0" collapsed="false">
      <c r="A6" s="149"/>
      <c r="B6" s="11" t="str">
        <f aca="false">Eingabeblatt!H4</f>
        <v>Faculty</v>
      </c>
      <c r="C6" s="11"/>
      <c r="D6" s="11"/>
      <c r="E6" s="11"/>
      <c r="F6" s="150" t="str">
        <f aca="false">EB.Fakultaet</f>
        <v>Select Faculty</v>
      </c>
      <c r="G6" s="150"/>
      <c r="H6" s="150"/>
      <c r="I6" s="150"/>
      <c r="J6" s="150"/>
      <c r="K6" s="150"/>
      <c r="L6" s="150"/>
      <c r="M6" s="150"/>
      <c r="N6" s="150"/>
      <c r="O6" s="13"/>
      <c r="P6" s="154" t="str">
        <f aca="false">LEFT(INDEX(EB.RAZ_Wochentage.Bereich,1),2)</f>
        <v>Mo</v>
      </c>
      <c r="Q6" s="154" t="str">
        <f aca="false">LEFT(INDEX(EB.RAZ_Wochentage.Bereich,2),2)</f>
        <v>Tu</v>
      </c>
      <c r="R6" s="154" t="str">
        <f aca="false">LEFT(INDEX(EB.RAZ_Wochentage.Bereich,3),2)</f>
        <v>We</v>
      </c>
      <c r="S6" s="154" t="str">
        <f aca="false">LEFT(INDEX(EB.RAZ_Wochentage.Bereich,4),2)</f>
        <v>Th</v>
      </c>
      <c r="T6" s="154" t="str">
        <f aca="false">LEFT(INDEX(EB.RAZ_Wochentage.Bereich,5),2)</f>
        <v>Fr</v>
      </c>
      <c r="U6" s="154" t="str">
        <f aca="false">LEFT(INDEX(EB.RAZ_Wochentage.Bereich,6),2)</f>
        <v>Sa</v>
      </c>
      <c r="V6" s="154" t="str">
        <f aca="false">LEFT(INDEX(EB.RAZ_Wochentage.Bereich,7),2)</f>
        <v>Su</v>
      </c>
      <c r="W6" s="39"/>
      <c r="X6" s="39"/>
      <c r="Y6" s="39"/>
      <c r="Z6" s="39"/>
      <c r="AA6" s="39"/>
      <c r="AB6" s="39"/>
      <c r="AC6" s="39"/>
      <c r="AD6" s="39"/>
      <c r="AE6" s="39"/>
      <c r="AF6" s="39"/>
      <c r="AG6" s="13"/>
      <c r="AH6" s="146"/>
      <c r="AI6" s="39"/>
      <c r="AJ6" s="39"/>
      <c r="AK6" s="39"/>
      <c r="AL6" s="39"/>
      <c r="AM6" s="39"/>
      <c r="AN6" s="147"/>
      <c r="AO6" s="39"/>
      <c r="AP6" s="39"/>
      <c r="AQ6" s="39"/>
    </row>
    <row r="7" s="148" customFormat="true" ht="15" hidden="false" customHeight="true" outlineLevel="0" collapsed="false">
      <c r="A7" s="149"/>
      <c r="B7" s="11" t="str">
        <f aca="false">Eingabeblatt!H5</f>
        <v>Employee Category</v>
      </c>
      <c r="C7" s="11"/>
      <c r="D7" s="11"/>
      <c r="E7" s="11"/>
      <c r="F7" s="150" t="str">
        <f aca="false">EB.Personalkategorie</f>
        <v>Select Employee Category</v>
      </c>
      <c r="G7" s="150"/>
      <c r="H7" s="150"/>
      <c r="I7" s="150"/>
      <c r="J7" s="150"/>
      <c r="K7" s="150"/>
      <c r="L7" s="150"/>
      <c r="M7" s="150"/>
      <c r="N7" s="150"/>
      <c r="O7" s="13"/>
      <c r="P7" s="155" t="n">
        <f aca="false">IF(EB.Anwendung&lt;&gt;"",IF(MONTH(Monat.Tag1)=1,INDEX(EB.RAZ1_7.Bereich,1),INDEX(IF(MONTH(Monat.Tag1)=2,January!Monat.RAZ1_7.Bereich,IF(MONTH(Monat.Tag1)=3,February!Monat.RAZ1_7.Bereich,IF(MONTH(Monat.Tag1)=4,March!Monat.RAZ1_7.Bereich,IF(MONTH(Monat.Tag1)=5,April!Monat.RAZ1_7.Bereich,IF(MONTH(Monat.Tag1)=6,May!Monat.RAZ1_7.Bereich,IF(MONTH(Monat.Tag1)=7,June!Monat.RAZ1_7.Bereich,IF(MONTH(Monat.Tag1)=8,Monat.RAZ1_7.Bereich,IF(MONTH(Monat.Tag1)=9,August!Monat.RAZ1_7.Bereich,IF(MONTH(Monat.Tag1)=10,September!Monat.RAZ1_7.Bereich,IF(MONTH(Monat.Tag1)=11,October!Monat.RAZ1_7.Bereich,IF(MONTH(Monat.Tag1)=12,November!Monat.RAZ1_7.Bereich,""))))))))))),1)),"")</f>
        <v>0.35</v>
      </c>
      <c r="Q7" s="155" t="n">
        <f aca="false">IF(EB.Anwendung&lt;&gt;"",IF(MONTH(Monat.Tag1)=1,INDEX(EB.RAZ1_7.Bereich,2),INDEX(IF(MONTH(Monat.Tag1)=2,January!Monat.RAZ1_7.Bereich,IF(MONTH(Monat.Tag1)=3,February!Monat.RAZ1_7.Bereich,IF(MONTH(Monat.Tag1)=4,March!Monat.RAZ1_7.Bereich,IF(MONTH(Monat.Tag1)=5,April!Monat.RAZ1_7.Bereich,IF(MONTH(Monat.Tag1)=6,May!Monat.RAZ1_7.Bereich,IF(MONTH(Monat.Tag1)=7,June!Monat.RAZ1_7.Bereich,IF(MONTH(Monat.Tag1)=8,Monat.RAZ1_7.Bereich,IF(MONTH(Monat.Tag1)=9,August!Monat.RAZ1_7.Bereich,IF(MONTH(Monat.Tag1)=10,September!Monat.RAZ1_7.Bereich,IF(MONTH(Monat.Tag1)=11,October!Monat.RAZ1_7.Bereich,IF(MONTH(Monat.Tag1)=12,November!Monat.RAZ1_7.Bereich,""))))))))))),2)),"")</f>
        <v>0.35</v>
      </c>
      <c r="R7" s="155" t="n">
        <f aca="false">IF(EB.Anwendung&lt;&gt;"",IF(MONTH(Monat.Tag1)=1,INDEX(EB.RAZ1_7.Bereich,3),INDEX(IF(MONTH(Monat.Tag1)=2,January!Monat.RAZ1_7.Bereich,IF(MONTH(Monat.Tag1)=3,February!Monat.RAZ1_7.Bereich,IF(MONTH(Monat.Tag1)=4,March!Monat.RAZ1_7.Bereich,IF(MONTH(Monat.Tag1)=5,April!Monat.RAZ1_7.Bereich,IF(MONTH(Monat.Tag1)=6,May!Monat.RAZ1_7.Bereich,IF(MONTH(Monat.Tag1)=7,June!Monat.RAZ1_7.Bereich,IF(MONTH(Monat.Tag1)=8,Monat.RAZ1_7.Bereich,IF(MONTH(Monat.Tag1)=9,August!Monat.RAZ1_7.Bereich,IF(MONTH(Monat.Tag1)=10,September!Monat.RAZ1_7.Bereich,IF(MONTH(Monat.Tag1)=11,October!Monat.RAZ1_7.Bereich,IF(MONTH(Monat.Tag1)=12,November!Monat.RAZ1_7.Bereich,""))))))))))),3)),"")</f>
        <v>0.35</v>
      </c>
      <c r="S7" s="155" t="n">
        <f aca="false">IF(EB.Anwendung&lt;&gt;"",IF(MONTH(Monat.Tag1)=1,INDEX(EB.RAZ1_7.Bereich,4),INDEX(IF(MONTH(Monat.Tag1)=2,January!Monat.RAZ1_7.Bereich,IF(MONTH(Monat.Tag1)=3,February!Monat.RAZ1_7.Bereich,IF(MONTH(Monat.Tag1)=4,March!Monat.RAZ1_7.Bereich,IF(MONTH(Monat.Tag1)=5,April!Monat.RAZ1_7.Bereich,IF(MONTH(Monat.Tag1)=6,May!Monat.RAZ1_7.Bereich,IF(MONTH(Monat.Tag1)=7,June!Monat.RAZ1_7.Bereich,IF(MONTH(Monat.Tag1)=8,Monat.RAZ1_7.Bereich,IF(MONTH(Monat.Tag1)=9,August!Monat.RAZ1_7.Bereich,IF(MONTH(Monat.Tag1)=10,September!Monat.RAZ1_7.Bereich,IF(MONTH(Monat.Tag1)=11,October!Monat.RAZ1_7.Bereich,IF(MONTH(Monat.Tag1)=12,November!Monat.RAZ1_7.Bereich,""))))))))))),4)),"")</f>
        <v>0.35</v>
      </c>
      <c r="T7" s="155" t="n">
        <f aca="false">IF(EB.Anwendung&lt;&gt;"",IF(MONTH(Monat.Tag1)=1,INDEX(EB.RAZ1_7.Bereich,5),INDEX(IF(MONTH(Monat.Tag1)=2,January!Monat.RAZ1_7.Bereich,IF(MONTH(Monat.Tag1)=3,February!Monat.RAZ1_7.Bereich,IF(MONTH(Monat.Tag1)=4,March!Monat.RAZ1_7.Bereich,IF(MONTH(Monat.Tag1)=5,April!Monat.RAZ1_7.Bereich,IF(MONTH(Monat.Tag1)=6,May!Monat.RAZ1_7.Bereich,IF(MONTH(Monat.Tag1)=7,June!Monat.RAZ1_7.Bereich,IF(MONTH(Monat.Tag1)=8,Monat.RAZ1_7.Bereich,IF(MONTH(Monat.Tag1)=9,August!Monat.RAZ1_7.Bereich,IF(MONTH(Monat.Tag1)=10,September!Monat.RAZ1_7.Bereich,IF(MONTH(Monat.Tag1)=11,October!Monat.RAZ1_7.Bereich,IF(MONTH(Monat.Tag1)=12,November!Monat.RAZ1_7.Bereich,""))))))))))),5)),"")</f>
        <v>0.35</v>
      </c>
      <c r="U7" s="155" t="n">
        <f aca="false">IF(EB.Anwendung&lt;&gt;"",IF(MONTH(Monat.Tag1)=1,INDEX(EB.RAZ1_7.Bereich,6),INDEX(IF(MONTH(Monat.Tag1)=2,January!Monat.RAZ1_7.Bereich,IF(MONTH(Monat.Tag1)=3,February!Monat.RAZ1_7.Bereich,IF(MONTH(Monat.Tag1)=4,March!Monat.RAZ1_7.Bereich,IF(MONTH(Monat.Tag1)=5,April!Monat.RAZ1_7.Bereich,IF(MONTH(Monat.Tag1)=6,May!Monat.RAZ1_7.Bereich,IF(MONTH(Monat.Tag1)=7,June!Monat.RAZ1_7.Bereich,IF(MONTH(Monat.Tag1)=8,Monat.RAZ1_7.Bereich,IF(MONTH(Monat.Tag1)=9,August!Monat.RAZ1_7.Bereich,IF(MONTH(Monat.Tag1)=10,September!Monat.RAZ1_7.Bereich,IF(MONTH(Monat.Tag1)=11,October!Monat.RAZ1_7.Bereich,IF(MONTH(Monat.Tag1)=12,November!Monat.RAZ1_7.Bereich,""))))))))))),6)),"")</f>
        <v>0</v>
      </c>
      <c r="V7" s="155" t="n">
        <f aca="false">IF(EB.Anwendung&lt;&gt;"",IF(MONTH(Monat.Tag1)=1,INDEX(EB.RAZ1_7.Bereich,7),INDEX(IF(MONTH(Monat.Tag1)=2,January!Monat.RAZ1_7.Bereich,IF(MONTH(Monat.Tag1)=3,February!Monat.RAZ1_7.Bereich,IF(MONTH(Monat.Tag1)=4,March!Monat.RAZ1_7.Bereich,IF(MONTH(Monat.Tag1)=5,April!Monat.RAZ1_7.Bereich,IF(MONTH(Monat.Tag1)=6,May!Monat.RAZ1_7.Bereich,IF(MONTH(Monat.Tag1)=7,June!Monat.RAZ1_7.Bereich,IF(MONTH(Monat.Tag1)=8,Monat.RAZ1_7.Bereich,IF(MONTH(Monat.Tag1)=9,August!Monat.RAZ1_7.Bereich,IF(MONTH(Monat.Tag1)=10,September!Monat.RAZ1_7.Bereich,IF(MONTH(Monat.Tag1)=11,October!Monat.RAZ1_7.Bereich,IF(MONTH(Monat.Tag1)=12,November!Monat.RAZ1_7.Bereich,""))))))))))),7)),"")</f>
        <v>0</v>
      </c>
      <c r="W7" s="39"/>
      <c r="X7" s="39"/>
      <c r="Y7" s="39"/>
      <c r="Z7" s="39"/>
      <c r="AA7" s="39"/>
      <c r="AB7" s="39"/>
      <c r="AC7" s="39"/>
      <c r="AD7" s="39"/>
      <c r="AE7" s="39"/>
      <c r="AF7" s="39"/>
      <c r="AG7" s="13"/>
      <c r="AH7" s="146"/>
      <c r="AI7" s="39"/>
      <c r="AJ7" s="39"/>
      <c r="AK7" s="39"/>
      <c r="AL7" s="39"/>
      <c r="AM7" s="39"/>
      <c r="AN7" s="147"/>
      <c r="AO7" s="39"/>
      <c r="AP7" s="39"/>
      <c r="AQ7" s="39"/>
    </row>
    <row r="8" s="148" customFormat="true" ht="11.25" hidden="false" customHeight="true" outlineLevel="0" collapsed="false">
      <c r="A8" s="55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13"/>
      <c r="AH8" s="146"/>
      <c r="AI8" s="39"/>
      <c r="AJ8" s="39"/>
      <c r="AK8" s="39"/>
      <c r="AL8" s="39"/>
      <c r="AM8" s="39"/>
      <c r="AN8" s="147"/>
      <c r="AO8" s="39"/>
      <c r="AP8" s="39"/>
      <c r="AQ8" s="39"/>
    </row>
    <row r="9" s="148" customFormat="true" ht="15" hidden="false" customHeight="true" outlineLevel="0" collapsed="false">
      <c r="A9" s="55"/>
      <c r="B9" s="156" t="str">
        <f aca="false">INDEX(Monat.Wochentage.Bereich,1,WEEKDAY(B10,2))</f>
        <v>Su</v>
      </c>
      <c r="C9" s="156" t="str">
        <f aca="false">INDEX(Monat.Wochentage.Bereich,1,WEEKDAY(C10,2))</f>
        <v>Mo</v>
      </c>
      <c r="D9" s="156" t="str">
        <f aca="false">INDEX(Monat.Wochentage.Bereich,1,WEEKDAY(D10,2))</f>
        <v>Tu</v>
      </c>
      <c r="E9" s="156" t="str">
        <f aca="false">INDEX(Monat.Wochentage.Bereich,1,WEEKDAY(E10,2))</f>
        <v>We</v>
      </c>
      <c r="F9" s="156" t="str">
        <f aca="false">INDEX(Monat.Wochentage.Bereich,1,WEEKDAY(F10,2))</f>
        <v>Th</v>
      </c>
      <c r="G9" s="156" t="str">
        <f aca="false">INDEX(Monat.Wochentage.Bereich,1,WEEKDAY(G10,2))</f>
        <v>Fr</v>
      </c>
      <c r="H9" s="156" t="str">
        <f aca="false">INDEX(Monat.Wochentage.Bereich,1,WEEKDAY(H10,2))</f>
        <v>Sa</v>
      </c>
      <c r="I9" s="156" t="str">
        <f aca="false">INDEX(Monat.Wochentage.Bereich,1,WEEKDAY(I10,2))</f>
        <v>Su</v>
      </c>
      <c r="J9" s="156" t="str">
        <f aca="false">INDEX(Monat.Wochentage.Bereich,1,WEEKDAY(J10,2))</f>
        <v>Mo</v>
      </c>
      <c r="K9" s="156" t="str">
        <f aca="false">INDEX(Monat.Wochentage.Bereich,1,WEEKDAY(K10,2))</f>
        <v>Tu</v>
      </c>
      <c r="L9" s="156" t="str">
        <f aca="false">INDEX(Monat.Wochentage.Bereich,1,WEEKDAY(L10,2))</f>
        <v>We</v>
      </c>
      <c r="M9" s="156" t="str">
        <f aca="false">INDEX(Monat.Wochentage.Bereich,1,WEEKDAY(M10,2))</f>
        <v>Th</v>
      </c>
      <c r="N9" s="156" t="str">
        <f aca="false">INDEX(Monat.Wochentage.Bereich,1,WEEKDAY(N10,2))</f>
        <v>Fr</v>
      </c>
      <c r="O9" s="156" t="str">
        <f aca="false">INDEX(Monat.Wochentage.Bereich,1,WEEKDAY(O10,2))</f>
        <v>Sa</v>
      </c>
      <c r="P9" s="156" t="str">
        <f aca="false">INDEX(Monat.Wochentage.Bereich,1,WEEKDAY(P10,2))</f>
        <v>Su</v>
      </c>
      <c r="Q9" s="156" t="str">
        <f aca="false">INDEX(Monat.Wochentage.Bereich,1,WEEKDAY(Q10,2))</f>
        <v>Mo</v>
      </c>
      <c r="R9" s="156" t="str">
        <f aca="false">INDEX(Monat.Wochentage.Bereich,1,WEEKDAY(R10,2))</f>
        <v>Tu</v>
      </c>
      <c r="S9" s="156" t="str">
        <f aca="false">INDEX(Monat.Wochentage.Bereich,1,WEEKDAY(S10,2))</f>
        <v>We</v>
      </c>
      <c r="T9" s="156" t="str">
        <f aca="false">INDEX(Monat.Wochentage.Bereich,1,WEEKDAY(T10,2))</f>
        <v>Th</v>
      </c>
      <c r="U9" s="156" t="str">
        <f aca="false">INDEX(Monat.Wochentage.Bereich,1,WEEKDAY(U10,2))</f>
        <v>Fr</v>
      </c>
      <c r="V9" s="156" t="str">
        <f aca="false">INDEX(Monat.Wochentage.Bereich,1,WEEKDAY(V10,2))</f>
        <v>Sa</v>
      </c>
      <c r="W9" s="156" t="str">
        <f aca="false">INDEX(Monat.Wochentage.Bereich,1,WEEKDAY(W10,2))</f>
        <v>Su</v>
      </c>
      <c r="X9" s="156" t="str">
        <f aca="false">INDEX(Monat.Wochentage.Bereich,1,WEEKDAY(X10,2))</f>
        <v>Mo</v>
      </c>
      <c r="Y9" s="156" t="str">
        <f aca="false">INDEX(Monat.Wochentage.Bereich,1,WEEKDAY(Y10,2))</f>
        <v>Tu</v>
      </c>
      <c r="Z9" s="156" t="str">
        <f aca="false">INDEX(Monat.Wochentage.Bereich,1,WEEKDAY(Z10,2))</f>
        <v>We</v>
      </c>
      <c r="AA9" s="156" t="str">
        <f aca="false">INDEX(Monat.Wochentage.Bereich,1,WEEKDAY(AA10,2))</f>
        <v>Th</v>
      </c>
      <c r="AB9" s="156" t="str">
        <f aca="false">INDEX(Monat.Wochentage.Bereich,1,WEEKDAY(AB10,2))</f>
        <v>Fr</v>
      </c>
      <c r="AC9" s="156" t="str">
        <f aca="false">INDEX(Monat.Wochentage.Bereich,1,WEEKDAY(AC10,2))</f>
        <v>Sa</v>
      </c>
      <c r="AD9" s="156" t="str">
        <f aca="false">INDEX(Monat.Wochentage.Bereich,1,WEEKDAY(AD10,2))</f>
        <v>Su</v>
      </c>
      <c r="AE9" s="156" t="str">
        <f aca="false">INDEX(Monat.Wochentage.Bereich,1,WEEKDAY(AE10,2))</f>
        <v>Mo</v>
      </c>
      <c r="AF9" s="156" t="str">
        <f aca="false">INDEX(Monat.Wochentage.Bereich,1,WEEKDAY(AF10,2))</f>
        <v>Tu</v>
      </c>
      <c r="AG9" s="13"/>
      <c r="AH9" s="146"/>
      <c r="AI9" s="39"/>
      <c r="AJ9" s="39"/>
      <c r="AK9" s="39"/>
      <c r="AL9" s="39"/>
      <c r="AM9" s="39"/>
      <c r="AN9" s="147"/>
      <c r="AO9" s="39"/>
      <c r="AP9" s="39"/>
      <c r="AQ9" s="39"/>
    </row>
    <row r="10" s="164" customFormat="true" ht="39" hidden="false" customHeight="false" outlineLevel="0" collapsed="false">
      <c r="A10" s="157" t="s">
        <v>121</v>
      </c>
      <c r="B10" s="158" t="n">
        <v>41820</v>
      </c>
      <c r="C10" s="158" t="n">
        <f aca="false">B10+1</f>
        <v>41821</v>
      </c>
      <c r="D10" s="158" t="n">
        <f aca="false">C10+1</f>
        <v>41822</v>
      </c>
      <c r="E10" s="158" t="n">
        <f aca="false">D10+1</f>
        <v>41823</v>
      </c>
      <c r="F10" s="158" t="n">
        <f aca="false">E10+1</f>
        <v>41824</v>
      </c>
      <c r="G10" s="158" t="n">
        <f aca="false">F10+1</f>
        <v>41825</v>
      </c>
      <c r="H10" s="158" t="n">
        <f aca="false">G10+1</f>
        <v>41826</v>
      </c>
      <c r="I10" s="158" t="n">
        <f aca="false">H10+1</f>
        <v>41827</v>
      </c>
      <c r="J10" s="158" t="n">
        <f aca="false">I10+1</f>
        <v>41828</v>
      </c>
      <c r="K10" s="158" t="n">
        <f aca="false">J10+1</f>
        <v>41829</v>
      </c>
      <c r="L10" s="158" t="n">
        <f aca="false">K10+1</f>
        <v>41830</v>
      </c>
      <c r="M10" s="158" t="n">
        <f aca="false">L10+1</f>
        <v>41831</v>
      </c>
      <c r="N10" s="158" t="n">
        <f aca="false">M10+1</f>
        <v>41832</v>
      </c>
      <c r="O10" s="158" t="n">
        <f aca="false">N10+1</f>
        <v>41833</v>
      </c>
      <c r="P10" s="158" t="n">
        <f aca="false">O10+1</f>
        <v>41834</v>
      </c>
      <c r="Q10" s="158" t="n">
        <f aca="false">P10+1</f>
        <v>41835</v>
      </c>
      <c r="R10" s="158" t="n">
        <f aca="false">Q10+1</f>
        <v>41836</v>
      </c>
      <c r="S10" s="158" t="n">
        <f aca="false">R10+1</f>
        <v>41837</v>
      </c>
      <c r="T10" s="158" t="n">
        <f aca="false">S10+1</f>
        <v>41838</v>
      </c>
      <c r="U10" s="158" t="n">
        <f aca="false">T10+1</f>
        <v>41839</v>
      </c>
      <c r="V10" s="158" t="n">
        <f aca="false">U10+1</f>
        <v>41840</v>
      </c>
      <c r="W10" s="158" t="n">
        <f aca="false">V10+1</f>
        <v>41841</v>
      </c>
      <c r="X10" s="158" t="n">
        <f aca="false">W10+1</f>
        <v>41842</v>
      </c>
      <c r="Y10" s="158" t="n">
        <f aca="false">X10+1</f>
        <v>41843</v>
      </c>
      <c r="Z10" s="158" t="n">
        <f aca="false">Y10+1</f>
        <v>41844</v>
      </c>
      <c r="AA10" s="158" t="n">
        <f aca="false">Z10+1</f>
        <v>41845</v>
      </c>
      <c r="AB10" s="158" t="n">
        <f aca="false">AA10+1</f>
        <v>41846</v>
      </c>
      <c r="AC10" s="158" t="n">
        <f aca="false">AB10+1</f>
        <v>41847</v>
      </c>
      <c r="AD10" s="158" t="n">
        <f aca="false">AC10+1</f>
        <v>41848</v>
      </c>
      <c r="AE10" s="158" t="n">
        <f aca="false">AD10+1</f>
        <v>41849</v>
      </c>
      <c r="AF10" s="158" t="n">
        <f aca="false">AE10+1</f>
        <v>41850</v>
      </c>
      <c r="AG10" s="159" t="str">
        <f aca="false">A10</f>
        <v>Day</v>
      </c>
      <c r="AH10" s="160" t="str">
        <f aca="false">"Total " &amp; INDEX(EB.Monate.Bereich,MONTH(Monat.Tag1))</f>
        <v>Total July</v>
      </c>
      <c r="AI10" s="160"/>
      <c r="AJ10" s="160" t="s">
        <v>122</v>
      </c>
      <c r="AK10" s="161" t="s">
        <v>123</v>
      </c>
      <c r="AL10" s="161" t="s">
        <v>124</v>
      </c>
      <c r="AM10" s="161" t="s">
        <v>125</v>
      </c>
      <c r="AN10" s="162" t="s">
        <v>68</v>
      </c>
      <c r="AO10" s="156" t="str">
        <f aca="true">IF(EB.Sprache="DE","Jahressaldo per" &amp; CHAR(10) &amp; "    ME       " &amp; IFERROR(TEXT(TODAY(),"[$-0007]"&amp;"TT.MM.JJ"),TEXT(TODAY(),"[$-0007]"&amp;"DD.MM.YY")), "Yearly balance by" &amp; CHAR(10) &amp; "   eom      " &amp; IFERROR(TEXT(TODAY(),"[$-0809]"&amp;"DD.MM.YY"),TEXT(TODAY(),"[$-0809]"&amp;"TT.MM.JJ")))</f>
        <v>Yearly balance by
   eom      22.05.18</v>
      </c>
      <c r="AP10" s="156"/>
      <c r="AQ10" s="163"/>
    </row>
    <row r="11" s="164" customFormat="true" ht="12" hidden="true" customHeight="true" outlineLevel="0" collapsed="false">
      <c r="A11" s="157" t="s">
        <v>126</v>
      </c>
      <c r="B11" s="165" t="n">
        <f aca="true">IFERROR(OFFSET(T.Feiertage.Bereich,MATCH(B$10,T.Feiertage.Bereich,0)-1,1,1,1),1)</f>
        <v>1</v>
      </c>
      <c r="C11" s="165" t="n">
        <f aca="true">IFERROR(OFFSET(T.Feiertage.Bereich,MATCH(C$10,T.Feiertage.Bereich,0)-1,1,1,1),1)</f>
        <v>1</v>
      </c>
      <c r="D11" s="165" t="n">
        <f aca="true">IFERROR(OFFSET(T.Feiertage.Bereich,MATCH(D$10,T.Feiertage.Bereich,0)-1,1,1,1),1)</f>
        <v>1</v>
      </c>
      <c r="E11" s="166" t="n">
        <f aca="true">IFERROR(OFFSET(T.Feiertage.Bereich,MATCH(E$10,T.Feiertage.Bereich,0)-1,1,1,1),1)</f>
        <v>1</v>
      </c>
      <c r="F11" s="165" t="n">
        <f aca="true">IFERROR(OFFSET(T.Feiertage.Bereich,MATCH(F$10,T.Feiertage.Bereich,0)-1,1,1,1),1)</f>
        <v>1</v>
      </c>
      <c r="G11" s="165" t="n">
        <f aca="true">IFERROR(OFFSET(T.Feiertage.Bereich,MATCH(G$10,T.Feiertage.Bereich,0)-1,1,1,1),1)</f>
        <v>1</v>
      </c>
      <c r="H11" s="165" t="n">
        <f aca="true">IFERROR(OFFSET(T.Feiertage.Bereich,MATCH(H$10,T.Feiertage.Bereich,0)-1,1,1,1),1)</f>
        <v>1</v>
      </c>
      <c r="I11" s="165" t="n">
        <f aca="true">IFERROR(OFFSET(T.Feiertage.Bereich,MATCH(I$10,T.Feiertage.Bereich,0)-1,1,1,1),1)</f>
        <v>1</v>
      </c>
      <c r="J11" s="166" t="n">
        <f aca="true">IFERROR(OFFSET(T.Feiertage.Bereich,MATCH(J$10,T.Feiertage.Bereich,0)-1,1,1,1),1)</f>
        <v>1</v>
      </c>
      <c r="K11" s="165" t="n">
        <f aca="true">IFERROR(OFFSET(T.Feiertage.Bereich,MATCH(K$10,T.Feiertage.Bereich,0)-1,1,1,1),1)</f>
        <v>1</v>
      </c>
      <c r="L11" s="166" t="n">
        <f aca="true">IFERROR(OFFSET(T.Feiertage.Bereich,MATCH(L$10,T.Feiertage.Bereich,0)-1,1,1,1),1)</f>
        <v>1</v>
      </c>
      <c r="M11" s="165" t="n">
        <f aca="true">IFERROR(OFFSET(T.Feiertage.Bereich,MATCH(M$10,T.Feiertage.Bereich,0)-1,1,1,1),1)</f>
        <v>1</v>
      </c>
      <c r="N11" s="165" t="n">
        <f aca="true">IFERROR(OFFSET(T.Feiertage.Bereich,MATCH(N$10,T.Feiertage.Bereich,0)-1,1,1,1),1)</f>
        <v>1</v>
      </c>
      <c r="O11" s="165" t="n">
        <f aca="true">IFERROR(OFFSET(T.Feiertage.Bereich,MATCH(O$10,T.Feiertage.Bereich,0)-1,1,1,1),1)</f>
        <v>1</v>
      </c>
      <c r="P11" s="165" t="n">
        <f aca="true">IFERROR(OFFSET(T.Feiertage.Bereich,MATCH(P$10,T.Feiertage.Bereich,0)-1,1,1,1),1)</f>
        <v>1</v>
      </c>
      <c r="Q11" s="166" t="n">
        <f aca="true">IFERROR(OFFSET(T.Feiertage.Bereich,MATCH(Q$10,T.Feiertage.Bereich,0)-1,1,1,1),1)</f>
        <v>1</v>
      </c>
      <c r="R11" s="165" t="n">
        <f aca="true">IFERROR(OFFSET(T.Feiertage.Bereich,MATCH(R$10,T.Feiertage.Bereich,0)-1,1,1,1),1)</f>
        <v>1</v>
      </c>
      <c r="S11" s="166" t="n">
        <f aca="true">IFERROR(OFFSET(T.Feiertage.Bereich,MATCH(S$10,T.Feiertage.Bereich,0)-1,1,1,1),1)</f>
        <v>1</v>
      </c>
      <c r="T11" s="166" t="n">
        <f aca="true">IFERROR(OFFSET(T.Feiertage.Bereich,MATCH(T$10,T.Feiertage.Bereich,0)-1,1,1,1),1)</f>
        <v>1</v>
      </c>
      <c r="U11" s="165" t="n">
        <f aca="true">IFERROR(OFFSET(T.Feiertage.Bereich,MATCH(U$10,T.Feiertage.Bereich,0)-1,1,1,1),1)</f>
        <v>1</v>
      </c>
      <c r="V11" s="165" t="n">
        <f aca="true">IFERROR(OFFSET(T.Feiertage.Bereich,MATCH(V$10,T.Feiertage.Bereich,0)-1,1,1,1),1)</f>
        <v>1</v>
      </c>
      <c r="W11" s="165" t="n">
        <f aca="true">IFERROR(OFFSET(T.Feiertage.Bereich,MATCH(W$10,T.Feiertage.Bereich,0)-1,1,1,1),1)</f>
        <v>1</v>
      </c>
      <c r="X11" s="166" t="n">
        <f aca="true">IFERROR(OFFSET(T.Feiertage.Bereich,MATCH(X$10,T.Feiertage.Bereich,0)-1,1,1,1),1)</f>
        <v>1</v>
      </c>
      <c r="Y11" s="165" t="n">
        <f aca="true">IFERROR(OFFSET(T.Feiertage.Bereich,MATCH(Y$10,T.Feiertage.Bereich,0)-1,1,1,1),1)</f>
        <v>1</v>
      </c>
      <c r="Z11" s="167" t="n">
        <f aca="true">IFERROR(OFFSET(T.Feiertage.Bereich,MATCH(Z$10,T.Feiertage.Bereich,0)-1,1,1,1),1)</f>
        <v>1</v>
      </c>
      <c r="AA11" s="165" t="n">
        <f aca="true">IFERROR(OFFSET(T.Feiertage.Bereich,MATCH(AA$10,T.Feiertage.Bereich,0)-1,1,1,1),1)</f>
        <v>1</v>
      </c>
      <c r="AB11" s="165" t="n">
        <f aca="true">IFERROR(OFFSET(T.Feiertage.Bereich,MATCH(AB$10,T.Feiertage.Bereich,0)-1,1,1,1),1)</f>
        <v>1</v>
      </c>
      <c r="AC11" s="165" t="n">
        <f aca="true">IFERROR(OFFSET(T.Feiertage.Bereich,MATCH(AC$10,T.Feiertage.Bereich,0)-1,1,1,1),1)</f>
        <v>1</v>
      </c>
      <c r="AD11" s="165" t="n">
        <f aca="true">IFERROR(OFFSET(T.Feiertage.Bereich,MATCH(AD$10,T.Feiertage.Bereich,0)-1,1,1,1),1)</f>
        <v>1</v>
      </c>
      <c r="AE11" s="166" t="n">
        <f aca="true">IFERROR(OFFSET(T.Feiertage.Bereich,MATCH(AE$10,T.Feiertage.Bereich,0)-1,1,1,1),1)</f>
        <v>1</v>
      </c>
      <c r="AF11" s="165" t="n">
        <f aca="true">IFERROR(OFFSET(T.Feiertage.Bereich,MATCH(AF$10,T.Feiertage.Bereich,0)-1,1,1,1),1)</f>
        <v>1</v>
      </c>
      <c r="AG11" s="168"/>
      <c r="AH11" s="146"/>
      <c r="AI11" s="169"/>
      <c r="AJ11" s="170"/>
      <c r="AK11" s="171"/>
      <c r="AL11" s="172"/>
      <c r="AM11" s="172"/>
      <c r="AN11" s="171"/>
      <c r="AO11" s="172"/>
      <c r="AP11" s="172"/>
      <c r="AQ11" s="163"/>
    </row>
    <row r="12" s="164" customFormat="true" ht="12" hidden="true" customHeight="true" outlineLevel="0" collapsed="false">
      <c r="A12" s="157" t="s">
        <v>127</v>
      </c>
      <c r="B12" s="173" t="n">
        <f aca="false">IF(OR(AND(ISNUMBER(EB.UJEintritt),EB.UJEintritt&gt;=B$10+1),AND(ISNUMBER(EB.UJAustritt),EB.UJAustritt&lt;=B$10-1)),0,1)</f>
        <v>1</v>
      </c>
      <c r="C12" s="173" t="n">
        <f aca="false">IF(OR(AND(ISNUMBER(EB.UJEintritt),EB.UJEintritt&gt;=C$10+1),AND(ISNUMBER(EB.UJAustritt),EB.UJAustritt&lt;=C$10-1)),0,1)</f>
        <v>1</v>
      </c>
      <c r="D12" s="173" t="n">
        <f aca="false">IF(OR(AND(ISNUMBER(EB.UJEintritt),EB.UJEintritt&gt;=D$10+1),AND(ISNUMBER(EB.UJAustritt),EB.UJAustritt&lt;=D$10-1)),0,1)</f>
        <v>1</v>
      </c>
      <c r="E12" s="156" t="n">
        <f aca="false">IF(OR(AND(ISNUMBER(EB.UJEintritt),EB.UJEintritt&gt;=E$10+1),AND(ISNUMBER(EB.UJAustritt),EB.UJAustritt&lt;=E$10-1)),0,1)</f>
        <v>1</v>
      </c>
      <c r="F12" s="173" t="n">
        <f aca="false">IF(OR(AND(ISNUMBER(EB.UJEintritt),EB.UJEintritt&gt;=F$10+1),AND(ISNUMBER(EB.UJAustritt),EB.UJAustritt&lt;=F$10-1)),0,1)</f>
        <v>1</v>
      </c>
      <c r="G12" s="173" t="n">
        <f aca="false">IF(OR(AND(ISNUMBER(EB.UJEintritt),EB.UJEintritt&gt;=G$10+1),AND(ISNUMBER(EB.UJAustritt),EB.UJAustritt&lt;=G$10-1)),0,1)</f>
        <v>1</v>
      </c>
      <c r="H12" s="173" t="n">
        <f aca="false">IF(OR(AND(ISNUMBER(EB.UJEintritt),EB.UJEintritt&gt;=H$10+1),AND(ISNUMBER(EB.UJAustritt),EB.UJAustritt&lt;=H$10-1)),0,1)</f>
        <v>1</v>
      </c>
      <c r="I12" s="173" t="n">
        <f aca="false">IF(OR(AND(ISNUMBER(EB.UJEintritt),EB.UJEintritt&gt;=I$10+1),AND(ISNUMBER(EB.UJAustritt),EB.UJAustritt&lt;=I$10-1)),0,1)</f>
        <v>1</v>
      </c>
      <c r="J12" s="156" t="n">
        <f aca="false">IF(OR(AND(ISNUMBER(EB.UJEintritt),EB.UJEintritt&gt;=J$10+1),AND(ISNUMBER(EB.UJAustritt),EB.UJAustritt&lt;=J$10-1)),0,1)</f>
        <v>1</v>
      </c>
      <c r="K12" s="173" t="n">
        <f aca="false">IF(OR(AND(ISNUMBER(EB.UJEintritt),EB.UJEintritt&gt;=K$10+1),AND(ISNUMBER(EB.UJAustritt),EB.UJAustritt&lt;=K$10-1)),0,1)</f>
        <v>1</v>
      </c>
      <c r="L12" s="156" t="n">
        <f aca="false">IF(OR(AND(ISNUMBER(EB.UJEintritt),EB.UJEintritt&gt;=L$10+1),AND(ISNUMBER(EB.UJAustritt),EB.UJAustritt&lt;=L$10-1)),0,1)</f>
        <v>1</v>
      </c>
      <c r="M12" s="173" t="n">
        <f aca="false">IF(OR(AND(ISNUMBER(EB.UJEintritt),EB.UJEintritt&gt;=M$10+1),AND(ISNUMBER(EB.UJAustritt),EB.UJAustritt&lt;=M$10-1)),0,1)</f>
        <v>1</v>
      </c>
      <c r="N12" s="173" t="n">
        <f aca="false">IF(OR(AND(ISNUMBER(EB.UJEintritt),EB.UJEintritt&gt;=N$10+1),AND(ISNUMBER(EB.UJAustritt),EB.UJAustritt&lt;=N$10-1)),0,1)</f>
        <v>1</v>
      </c>
      <c r="O12" s="173" t="n">
        <f aca="false">IF(OR(AND(ISNUMBER(EB.UJEintritt),EB.UJEintritt&gt;=O$10+1),AND(ISNUMBER(EB.UJAustritt),EB.UJAustritt&lt;=O$10-1)),0,1)</f>
        <v>1</v>
      </c>
      <c r="P12" s="173" t="n">
        <f aca="false">IF(OR(AND(ISNUMBER(EB.UJEintritt),EB.UJEintritt&gt;=P$10+1),AND(ISNUMBER(EB.UJAustritt),EB.UJAustritt&lt;=P$10-1)),0,1)</f>
        <v>1</v>
      </c>
      <c r="Q12" s="156" t="n">
        <f aca="false">IF(OR(AND(ISNUMBER(EB.UJEintritt),EB.UJEintritt&gt;=Q$10+1),AND(ISNUMBER(EB.UJAustritt),EB.UJAustritt&lt;=Q$10-1)),0,1)</f>
        <v>1</v>
      </c>
      <c r="R12" s="173" t="n">
        <f aca="false">IF(OR(AND(ISNUMBER(EB.UJEintritt),EB.UJEintritt&gt;=R$10+1),AND(ISNUMBER(EB.UJAustritt),EB.UJAustritt&lt;=R$10-1)),0,1)</f>
        <v>1</v>
      </c>
      <c r="S12" s="156" t="n">
        <f aca="false">IF(OR(AND(ISNUMBER(EB.UJEintritt),EB.UJEintritt&gt;=S$10+1),AND(ISNUMBER(EB.UJAustritt),EB.UJAustritt&lt;=S$10-1)),0,1)</f>
        <v>1</v>
      </c>
      <c r="T12" s="156" t="n">
        <f aca="false">IF(OR(AND(ISNUMBER(EB.UJEintritt),EB.UJEintritt&gt;=T$10+1),AND(ISNUMBER(EB.UJAustritt),EB.UJAustritt&lt;=T$10-1)),0,1)</f>
        <v>1</v>
      </c>
      <c r="U12" s="173" t="n">
        <f aca="false">IF(OR(AND(ISNUMBER(EB.UJEintritt),EB.UJEintritt&gt;=U$10+1),AND(ISNUMBER(EB.UJAustritt),EB.UJAustritt&lt;=U$10-1)),0,1)</f>
        <v>1</v>
      </c>
      <c r="V12" s="173" t="n">
        <f aca="false">IF(OR(AND(ISNUMBER(EB.UJEintritt),EB.UJEintritt&gt;=V$10+1),AND(ISNUMBER(EB.UJAustritt),EB.UJAustritt&lt;=V$10-1)),0,1)</f>
        <v>1</v>
      </c>
      <c r="W12" s="173" t="n">
        <f aca="false">IF(OR(AND(ISNUMBER(EB.UJEintritt),EB.UJEintritt&gt;=W$10+1),AND(ISNUMBER(EB.UJAustritt),EB.UJAustritt&lt;=W$10-1)),0,1)</f>
        <v>1</v>
      </c>
      <c r="X12" s="156" t="n">
        <f aca="false">IF(OR(AND(ISNUMBER(EB.UJEintritt),EB.UJEintritt&gt;=X$10+1),AND(ISNUMBER(EB.UJAustritt),EB.UJAustritt&lt;=X$10-1)),0,1)</f>
        <v>1</v>
      </c>
      <c r="Y12" s="173" t="n">
        <f aca="false">IF(OR(AND(ISNUMBER(EB.UJEintritt),EB.UJEintritt&gt;=Y$10+1),AND(ISNUMBER(EB.UJAustritt),EB.UJAustritt&lt;=Y$10-1)),0,1)</f>
        <v>1</v>
      </c>
      <c r="Z12" s="174" t="n">
        <f aca="false">IF(OR(AND(ISNUMBER(EB.UJEintritt),EB.UJEintritt&gt;=Z$10+1),AND(ISNUMBER(EB.UJAustritt),EB.UJAustritt&lt;=Z$10-1)),0,1)</f>
        <v>1</v>
      </c>
      <c r="AA12" s="173" t="n">
        <f aca="false">IF(OR(AND(ISNUMBER(EB.UJEintritt),EB.UJEintritt&gt;=AA$10+1),AND(ISNUMBER(EB.UJAustritt),EB.UJAustritt&lt;=AA$10-1)),0,1)</f>
        <v>1</v>
      </c>
      <c r="AB12" s="173" t="n">
        <f aca="false">IF(OR(AND(ISNUMBER(EB.UJEintritt),EB.UJEintritt&gt;=AB$10+1),AND(ISNUMBER(EB.UJAustritt),EB.UJAustritt&lt;=AB$10-1)),0,1)</f>
        <v>1</v>
      </c>
      <c r="AC12" s="173" t="n">
        <f aca="false">IF(OR(AND(ISNUMBER(EB.UJEintritt),EB.UJEintritt&gt;=AC$10+1),AND(ISNUMBER(EB.UJAustritt),EB.UJAustritt&lt;=AC$10-1)),0,1)</f>
        <v>1</v>
      </c>
      <c r="AD12" s="173" t="n">
        <f aca="false">IF(OR(AND(ISNUMBER(EB.UJEintritt),EB.UJEintritt&gt;=AD$10+1),AND(ISNUMBER(EB.UJAustritt),EB.UJAustritt&lt;=AD$10-1)),0,1)</f>
        <v>1</v>
      </c>
      <c r="AE12" s="156" t="n">
        <f aca="false">IF(OR(AND(ISNUMBER(EB.UJEintritt),EB.UJEintritt&gt;=AE$10+1),AND(ISNUMBER(EB.UJAustritt),EB.UJAustritt&lt;=AE$10-1)),0,1)</f>
        <v>1</v>
      </c>
      <c r="AF12" s="173" t="n">
        <f aca="false">IF(OR(AND(ISNUMBER(EB.UJEintritt),EB.UJEintritt&gt;=AF$10+1),AND(ISNUMBER(EB.UJAustritt),EB.UJAustritt&lt;=AF$10-1)),0,1)</f>
        <v>1</v>
      </c>
      <c r="AG12" s="168"/>
      <c r="AH12" s="146"/>
      <c r="AI12" s="169"/>
      <c r="AJ12" s="170"/>
      <c r="AK12" s="171"/>
      <c r="AL12" s="172"/>
      <c r="AM12" s="172"/>
      <c r="AN12" s="171"/>
      <c r="AO12" s="172"/>
      <c r="AP12" s="172"/>
      <c r="AQ12" s="163"/>
    </row>
    <row r="13" s="148" customFormat="true" ht="15" hidden="false" customHeight="true" outlineLevel="0" collapsed="false">
      <c r="A13" s="175" t="s">
        <v>128</v>
      </c>
      <c r="B13" s="176"/>
      <c r="C13" s="176"/>
      <c r="D13" s="176"/>
      <c r="E13" s="177"/>
      <c r="F13" s="176"/>
      <c r="G13" s="176"/>
      <c r="H13" s="176"/>
      <c r="I13" s="176"/>
      <c r="J13" s="177"/>
      <c r="K13" s="176"/>
      <c r="L13" s="177"/>
      <c r="M13" s="176"/>
      <c r="N13" s="176"/>
      <c r="O13" s="176"/>
      <c r="P13" s="176"/>
      <c r="Q13" s="177"/>
      <c r="R13" s="176"/>
      <c r="S13" s="177"/>
      <c r="T13" s="177"/>
      <c r="U13" s="176"/>
      <c r="V13" s="176"/>
      <c r="W13" s="176"/>
      <c r="X13" s="177"/>
      <c r="Y13" s="176"/>
      <c r="Z13" s="178"/>
      <c r="AA13" s="176"/>
      <c r="AB13" s="176"/>
      <c r="AC13" s="176"/>
      <c r="AD13" s="176"/>
      <c r="AE13" s="177"/>
      <c r="AF13" s="176"/>
      <c r="AG13" s="168" t="str">
        <f aca="false">A13</f>
        <v>in</v>
      </c>
      <c r="AH13" s="146"/>
      <c r="AI13" s="169"/>
      <c r="AJ13" s="170"/>
      <c r="AK13" s="171"/>
      <c r="AL13" s="172"/>
      <c r="AM13" s="172"/>
      <c r="AN13" s="171"/>
      <c r="AO13" s="172"/>
      <c r="AP13" s="172"/>
      <c r="AQ13" s="39"/>
    </row>
    <row r="14" s="148" customFormat="true" ht="15" hidden="false" customHeight="true" outlineLevel="0" collapsed="false">
      <c r="A14" s="175" t="s">
        <v>129</v>
      </c>
      <c r="B14" s="176"/>
      <c r="C14" s="176"/>
      <c r="D14" s="176"/>
      <c r="E14" s="177"/>
      <c r="F14" s="176"/>
      <c r="G14" s="176"/>
      <c r="H14" s="176"/>
      <c r="I14" s="176"/>
      <c r="J14" s="177"/>
      <c r="K14" s="176"/>
      <c r="L14" s="177"/>
      <c r="M14" s="176"/>
      <c r="N14" s="176"/>
      <c r="O14" s="176"/>
      <c r="P14" s="176"/>
      <c r="Q14" s="177"/>
      <c r="R14" s="176"/>
      <c r="S14" s="177"/>
      <c r="T14" s="177"/>
      <c r="U14" s="176"/>
      <c r="V14" s="176"/>
      <c r="W14" s="176"/>
      <c r="X14" s="177"/>
      <c r="Y14" s="176"/>
      <c r="Z14" s="178"/>
      <c r="AA14" s="176"/>
      <c r="AB14" s="176"/>
      <c r="AC14" s="176"/>
      <c r="AD14" s="176"/>
      <c r="AE14" s="177"/>
      <c r="AF14" s="176"/>
      <c r="AG14" s="168" t="str">
        <f aca="false">A14</f>
        <v>out</v>
      </c>
      <c r="AH14" s="146"/>
      <c r="AI14" s="169"/>
      <c r="AJ14" s="170"/>
      <c r="AK14" s="171"/>
      <c r="AL14" s="172"/>
      <c r="AM14" s="172"/>
      <c r="AN14" s="171"/>
      <c r="AO14" s="172"/>
      <c r="AP14" s="172"/>
      <c r="AQ14" s="39"/>
    </row>
    <row r="15" s="148" customFormat="true" ht="15" hidden="false" customHeight="true" outlineLevel="0" collapsed="false">
      <c r="A15" s="175" t="s">
        <v>128</v>
      </c>
      <c r="B15" s="176"/>
      <c r="C15" s="176"/>
      <c r="D15" s="176"/>
      <c r="E15" s="177"/>
      <c r="F15" s="176"/>
      <c r="G15" s="176"/>
      <c r="H15" s="176"/>
      <c r="I15" s="176"/>
      <c r="J15" s="177"/>
      <c r="K15" s="176"/>
      <c r="L15" s="177"/>
      <c r="M15" s="176"/>
      <c r="N15" s="176"/>
      <c r="O15" s="176"/>
      <c r="P15" s="176"/>
      <c r="Q15" s="177"/>
      <c r="R15" s="176"/>
      <c r="S15" s="177"/>
      <c r="T15" s="177"/>
      <c r="U15" s="176"/>
      <c r="V15" s="176"/>
      <c r="W15" s="176"/>
      <c r="X15" s="177"/>
      <c r="Y15" s="176"/>
      <c r="Z15" s="178"/>
      <c r="AA15" s="176"/>
      <c r="AB15" s="176"/>
      <c r="AC15" s="176"/>
      <c r="AD15" s="176"/>
      <c r="AE15" s="177"/>
      <c r="AF15" s="176"/>
      <c r="AG15" s="168" t="str">
        <f aca="false">A15</f>
        <v>in</v>
      </c>
      <c r="AH15" s="146"/>
      <c r="AI15" s="169"/>
      <c r="AJ15" s="170"/>
      <c r="AK15" s="171"/>
      <c r="AL15" s="172"/>
      <c r="AM15" s="172"/>
      <c r="AN15" s="171"/>
      <c r="AO15" s="172"/>
      <c r="AP15" s="172"/>
      <c r="AQ15" s="39"/>
    </row>
    <row r="16" s="148" customFormat="true" ht="15" hidden="false" customHeight="true" outlineLevel="0" collapsed="false">
      <c r="A16" s="175" t="s">
        <v>129</v>
      </c>
      <c r="B16" s="176"/>
      <c r="C16" s="176"/>
      <c r="D16" s="176"/>
      <c r="E16" s="177"/>
      <c r="F16" s="176"/>
      <c r="G16" s="176"/>
      <c r="H16" s="176"/>
      <c r="I16" s="176"/>
      <c r="J16" s="177"/>
      <c r="K16" s="176"/>
      <c r="L16" s="177"/>
      <c r="M16" s="176"/>
      <c r="N16" s="176"/>
      <c r="O16" s="176"/>
      <c r="P16" s="176"/>
      <c r="Q16" s="177"/>
      <c r="R16" s="176"/>
      <c r="S16" s="177"/>
      <c r="T16" s="177"/>
      <c r="U16" s="176"/>
      <c r="V16" s="176"/>
      <c r="W16" s="176"/>
      <c r="X16" s="177"/>
      <c r="Y16" s="176"/>
      <c r="Z16" s="178"/>
      <c r="AA16" s="176"/>
      <c r="AB16" s="176"/>
      <c r="AC16" s="176"/>
      <c r="AD16" s="176"/>
      <c r="AE16" s="177"/>
      <c r="AF16" s="176"/>
      <c r="AG16" s="168" t="str">
        <f aca="false">A16</f>
        <v>out</v>
      </c>
      <c r="AH16" s="146"/>
      <c r="AI16" s="179"/>
      <c r="AJ16" s="180"/>
      <c r="AK16" s="172"/>
      <c r="AL16" s="172"/>
      <c r="AM16" s="172"/>
      <c r="AN16" s="171"/>
      <c r="AO16" s="172"/>
      <c r="AP16" s="172"/>
      <c r="AQ16" s="39"/>
    </row>
    <row r="17" s="148" customFormat="true" ht="15" hidden="false" customHeight="true" outlineLevel="0" collapsed="false">
      <c r="A17" s="175" t="s">
        <v>128</v>
      </c>
      <c r="B17" s="176"/>
      <c r="C17" s="176"/>
      <c r="D17" s="176"/>
      <c r="E17" s="177"/>
      <c r="F17" s="176"/>
      <c r="G17" s="176"/>
      <c r="H17" s="176"/>
      <c r="I17" s="176"/>
      <c r="J17" s="177"/>
      <c r="K17" s="176"/>
      <c r="L17" s="177"/>
      <c r="M17" s="176"/>
      <c r="N17" s="176"/>
      <c r="O17" s="176"/>
      <c r="P17" s="176"/>
      <c r="Q17" s="177"/>
      <c r="R17" s="176"/>
      <c r="S17" s="177"/>
      <c r="T17" s="177"/>
      <c r="U17" s="176"/>
      <c r="V17" s="176"/>
      <c r="W17" s="176"/>
      <c r="X17" s="177"/>
      <c r="Y17" s="176"/>
      <c r="Z17" s="178"/>
      <c r="AA17" s="176"/>
      <c r="AB17" s="176"/>
      <c r="AC17" s="176"/>
      <c r="AD17" s="176"/>
      <c r="AE17" s="177"/>
      <c r="AF17" s="176"/>
      <c r="AG17" s="168" t="str">
        <f aca="false">A17</f>
        <v>in</v>
      </c>
      <c r="AH17" s="146"/>
      <c r="AI17" s="179"/>
      <c r="AJ17" s="180"/>
      <c r="AK17" s="172"/>
      <c r="AL17" s="172"/>
      <c r="AM17" s="172"/>
      <c r="AN17" s="171"/>
      <c r="AO17" s="172"/>
      <c r="AP17" s="172"/>
      <c r="AQ17" s="39"/>
    </row>
    <row r="18" s="148" customFormat="true" ht="15" hidden="false" customHeight="true" outlineLevel="0" collapsed="false">
      <c r="A18" s="175" t="s">
        <v>129</v>
      </c>
      <c r="B18" s="176"/>
      <c r="C18" s="176"/>
      <c r="D18" s="176"/>
      <c r="E18" s="177"/>
      <c r="F18" s="176"/>
      <c r="G18" s="176"/>
      <c r="H18" s="176"/>
      <c r="I18" s="176"/>
      <c r="J18" s="177"/>
      <c r="K18" s="176"/>
      <c r="L18" s="177"/>
      <c r="M18" s="176"/>
      <c r="N18" s="176"/>
      <c r="O18" s="176"/>
      <c r="P18" s="176"/>
      <c r="Q18" s="177"/>
      <c r="R18" s="176"/>
      <c r="S18" s="177"/>
      <c r="T18" s="177"/>
      <c r="U18" s="176"/>
      <c r="V18" s="176"/>
      <c r="W18" s="176"/>
      <c r="X18" s="177"/>
      <c r="Y18" s="176"/>
      <c r="Z18" s="178"/>
      <c r="AA18" s="176"/>
      <c r="AB18" s="176"/>
      <c r="AC18" s="176"/>
      <c r="AD18" s="176"/>
      <c r="AE18" s="177"/>
      <c r="AF18" s="176"/>
      <c r="AG18" s="168" t="str">
        <f aca="false">A18</f>
        <v>out</v>
      </c>
      <c r="AH18" s="146"/>
      <c r="AI18" s="179"/>
      <c r="AJ18" s="180"/>
      <c r="AK18" s="172"/>
      <c r="AL18" s="172"/>
      <c r="AM18" s="172"/>
      <c r="AN18" s="171"/>
      <c r="AO18" s="172"/>
      <c r="AP18" s="172"/>
      <c r="AQ18" s="39"/>
    </row>
    <row r="19" s="148" customFormat="true" ht="15" hidden="true" customHeight="true" outlineLevel="1" collapsed="false">
      <c r="A19" s="175" t="s">
        <v>128</v>
      </c>
      <c r="B19" s="176"/>
      <c r="C19" s="176"/>
      <c r="D19" s="176"/>
      <c r="E19" s="177"/>
      <c r="F19" s="176"/>
      <c r="G19" s="176"/>
      <c r="H19" s="176"/>
      <c r="I19" s="176"/>
      <c r="J19" s="177"/>
      <c r="K19" s="176"/>
      <c r="L19" s="177"/>
      <c r="M19" s="176"/>
      <c r="N19" s="176"/>
      <c r="O19" s="176"/>
      <c r="P19" s="176"/>
      <c r="Q19" s="177"/>
      <c r="R19" s="176"/>
      <c r="S19" s="177"/>
      <c r="T19" s="177"/>
      <c r="U19" s="176"/>
      <c r="V19" s="176"/>
      <c r="W19" s="176"/>
      <c r="X19" s="177"/>
      <c r="Y19" s="176"/>
      <c r="Z19" s="178"/>
      <c r="AA19" s="176"/>
      <c r="AB19" s="176"/>
      <c r="AC19" s="176"/>
      <c r="AD19" s="176"/>
      <c r="AE19" s="177"/>
      <c r="AF19" s="176"/>
      <c r="AG19" s="168" t="str">
        <f aca="false">A19</f>
        <v>in</v>
      </c>
      <c r="AH19" s="146"/>
      <c r="AI19" s="179"/>
      <c r="AJ19" s="180"/>
      <c r="AK19" s="172"/>
      <c r="AL19" s="172"/>
      <c r="AM19" s="172"/>
      <c r="AN19" s="171"/>
      <c r="AO19" s="172"/>
      <c r="AP19" s="172"/>
      <c r="AQ19" s="39"/>
    </row>
    <row r="20" s="148" customFormat="true" ht="15" hidden="true" customHeight="true" outlineLevel="1" collapsed="false">
      <c r="A20" s="175" t="s">
        <v>129</v>
      </c>
      <c r="B20" s="176"/>
      <c r="C20" s="176"/>
      <c r="D20" s="176"/>
      <c r="E20" s="177"/>
      <c r="F20" s="176"/>
      <c r="G20" s="176"/>
      <c r="H20" s="176"/>
      <c r="I20" s="176"/>
      <c r="J20" s="177"/>
      <c r="K20" s="176"/>
      <c r="L20" s="177"/>
      <c r="M20" s="176"/>
      <c r="N20" s="176"/>
      <c r="O20" s="176"/>
      <c r="P20" s="176"/>
      <c r="Q20" s="177"/>
      <c r="R20" s="176"/>
      <c r="S20" s="177"/>
      <c r="T20" s="177"/>
      <c r="U20" s="176"/>
      <c r="V20" s="176"/>
      <c r="W20" s="176"/>
      <c r="X20" s="177"/>
      <c r="Y20" s="176"/>
      <c r="Z20" s="178"/>
      <c r="AA20" s="176"/>
      <c r="AB20" s="176"/>
      <c r="AC20" s="176"/>
      <c r="AD20" s="176"/>
      <c r="AE20" s="177"/>
      <c r="AF20" s="176"/>
      <c r="AG20" s="168" t="str">
        <f aca="false">A20</f>
        <v>out</v>
      </c>
      <c r="AH20" s="146"/>
      <c r="AI20" s="179"/>
      <c r="AJ20" s="180"/>
      <c r="AK20" s="172"/>
      <c r="AL20" s="172"/>
      <c r="AM20" s="172"/>
      <c r="AN20" s="171"/>
      <c r="AO20" s="172"/>
      <c r="AP20" s="172"/>
      <c r="AQ20" s="39"/>
    </row>
    <row r="21" s="148" customFormat="true" ht="15" hidden="true" customHeight="true" outlineLevel="1" collapsed="false">
      <c r="A21" s="175" t="s">
        <v>128</v>
      </c>
      <c r="B21" s="176"/>
      <c r="C21" s="176"/>
      <c r="D21" s="176"/>
      <c r="E21" s="177"/>
      <c r="F21" s="176"/>
      <c r="G21" s="176"/>
      <c r="H21" s="176"/>
      <c r="I21" s="176"/>
      <c r="J21" s="177"/>
      <c r="K21" s="176"/>
      <c r="L21" s="177"/>
      <c r="M21" s="176"/>
      <c r="N21" s="176"/>
      <c r="O21" s="176"/>
      <c r="P21" s="176"/>
      <c r="Q21" s="177"/>
      <c r="R21" s="176"/>
      <c r="S21" s="177"/>
      <c r="T21" s="177"/>
      <c r="U21" s="176"/>
      <c r="V21" s="176"/>
      <c r="W21" s="176"/>
      <c r="X21" s="177"/>
      <c r="Y21" s="176"/>
      <c r="Z21" s="178"/>
      <c r="AA21" s="176"/>
      <c r="AB21" s="176"/>
      <c r="AC21" s="176"/>
      <c r="AD21" s="176"/>
      <c r="AE21" s="177"/>
      <c r="AF21" s="176"/>
      <c r="AG21" s="168" t="str">
        <f aca="false">A21</f>
        <v>in</v>
      </c>
      <c r="AH21" s="146"/>
      <c r="AI21" s="179"/>
      <c r="AJ21" s="180"/>
      <c r="AK21" s="172"/>
      <c r="AL21" s="172"/>
      <c r="AM21" s="172"/>
      <c r="AN21" s="171"/>
      <c r="AO21" s="172"/>
      <c r="AP21" s="172"/>
      <c r="AQ21" s="39"/>
    </row>
    <row r="22" s="148" customFormat="true" ht="15" hidden="true" customHeight="true" outlineLevel="1" collapsed="false">
      <c r="A22" s="175" t="s">
        <v>129</v>
      </c>
      <c r="B22" s="176"/>
      <c r="C22" s="176"/>
      <c r="D22" s="176"/>
      <c r="E22" s="177"/>
      <c r="F22" s="176"/>
      <c r="G22" s="176"/>
      <c r="H22" s="176"/>
      <c r="I22" s="176"/>
      <c r="J22" s="177"/>
      <c r="K22" s="176"/>
      <c r="L22" s="177"/>
      <c r="M22" s="176"/>
      <c r="N22" s="176"/>
      <c r="O22" s="176"/>
      <c r="P22" s="176"/>
      <c r="Q22" s="177"/>
      <c r="R22" s="176"/>
      <c r="S22" s="177"/>
      <c r="T22" s="177"/>
      <c r="U22" s="176"/>
      <c r="V22" s="176"/>
      <c r="W22" s="176"/>
      <c r="X22" s="177"/>
      <c r="Y22" s="176"/>
      <c r="Z22" s="178"/>
      <c r="AA22" s="176"/>
      <c r="AB22" s="176"/>
      <c r="AC22" s="176"/>
      <c r="AD22" s="176"/>
      <c r="AE22" s="177"/>
      <c r="AF22" s="176"/>
      <c r="AG22" s="168" t="str">
        <f aca="false">A22</f>
        <v>out</v>
      </c>
      <c r="AH22" s="146"/>
      <c r="AI22" s="179"/>
      <c r="AJ22" s="180"/>
      <c r="AK22" s="172"/>
      <c r="AL22" s="172"/>
      <c r="AM22" s="172"/>
      <c r="AN22" s="171"/>
      <c r="AO22" s="172"/>
      <c r="AP22" s="172"/>
      <c r="AQ22" s="39"/>
    </row>
    <row r="23" s="148" customFormat="true" ht="15" hidden="false" customHeight="true" outlineLevel="0" collapsed="false">
      <c r="A23" s="181" t="s">
        <v>130</v>
      </c>
      <c r="B23" s="182" t="n">
        <f aca="false">ROUND((B14-B13)+(B16-B15)+(B18-B17)+(B20-B19)+(B22-B21),9)</f>
        <v>0</v>
      </c>
      <c r="C23" s="182" t="n">
        <f aca="false">ROUND((C14-C13)+(C16-C15)+(C18-C17)+(C20-C19)+(C22-C21),9)</f>
        <v>0</v>
      </c>
      <c r="D23" s="182" t="n">
        <f aca="false">ROUND((D14-D13)+(D16-D15)+(D18-D17)+(D20-D19)+(D22-D21),9)</f>
        <v>0</v>
      </c>
      <c r="E23" s="182" t="n">
        <f aca="false">ROUND((E14-E13)+(E16-E15)+(E18-E17)+(E20-E19)+(E22-E21),9)</f>
        <v>0</v>
      </c>
      <c r="F23" s="182" t="n">
        <f aca="false">ROUND((F14-F13)+(F16-F15)+(F18-F17)+(F20-F19)+(F22-F21),9)</f>
        <v>0</v>
      </c>
      <c r="G23" s="182" t="n">
        <f aca="false">ROUND((G14-G13)+(G16-G15)+(G18-G17)+(G20-G19)+(G22-G21),9)</f>
        <v>0</v>
      </c>
      <c r="H23" s="182" t="n">
        <f aca="false">ROUND((H14-H13)+(H16-H15)+(H18-H17)+(H20-H19)+(H22-H21),9)</f>
        <v>0</v>
      </c>
      <c r="I23" s="182" t="n">
        <f aca="false">ROUND((I14-I13)+(I16-I15)+(I18-I17)+(I20-I19)+(I22-I21),9)</f>
        <v>0</v>
      </c>
      <c r="J23" s="182" t="n">
        <f aca="false">ROUND((J14-J13)+(J16-J15)+(J18-J17)+(J20-J19)+(J22-J21),9)</f>
        <v>0</v>
      </c>
      <c r="K23" s="182" t="n">
        <f aca="false">ROUND((K14-K13)+(K16-K15)+(K18-K17)+(K20-K19)+(K22-K21),9)</f>
        <v>0</v>
      </c>
      <c r="L23" s="182" t="n">
        <f aca="false">ROUND((L14-L13)+(L16-L15)+(L18-L17)+(L20-L19)+(L22-L21),9)</f>
        <v>0</v>
      </c>
      <c r="M23" s="182" t="n">
        <f aca="false">ROUND((M14-M13)+(M16-M15)+(M18-M17)+(M20-M19)+(M22-M21),9)</f>
        <v>0</v>
      </c>
      <c r="N23" s="182" t="n">
        <f aca="false">ROUND((N14-N13)+(N16-N15)+(N18-N17)+(N20-N19)+(N22-N21),9)</f>
        <v>0</v>
      </c>
      <c r="O23" s="182" t="n">
        <f aca="false">ROUND((O14-O13)+(O16-O15)+(O18-O17)+(O20-O19)+(O22-O21),9)</f>
        <v>0</v>
      </c>
      <c r="P23" s="182" t="n">
        <f aca="false">ROUND((P14-P13)+(P16-P15)+(P18-P17)+(P20-P19)+(P22-P21),9)</f>
        <v>0</v>
      </c>
      <c r="Q23" s="182" t="n">
        <f aca="false">ROUND((Q14-Q13)+(Q16-Q15)+(Q18-Q17)+(Q20-Q19)+(Q22-Q21),9)</f>
        <v>0</v>
      </c>
      <c r="R23" s="182" t="n">
        <f aca="false">ROUND((R14-R13)+(R16-R15)+(R18-R17)+(R20-R19)+(R22-R21),9)</f>
        <v>0</v>
      </c>
      <c r="S23" s="182" t="n">
        <f aca="false">ROUND((S14-S13)+(S16-S15)+(S18-S17)+(S20-S19)+(S22-S21),9)</f>
        <v>0</v>
      </c>
      <c r="T23" s="182" t="n">
        <f aca="false">ROUND((T14-T13)+(T16-T15)+(T18-T17)+(T20-T19)+(T22-T21),9)</f>
        <v>0</v>
      </c>
      <c r="U23" s="182" t="n">
        <f aca="false">ROUND((U14-U13)+(U16-U15)+(U18-U17)+(U20-U19)+(U22-U21),9)</f>
        <v>0</v>
      </c>
      <c r="V23" s="182" t="n">
        <f aca="false">ROUND((V14-V13)+(V16-V15)+(V18-V17)+(V20-V19)+(V22-V21),9)</f>
        <v>0</v>
      </c>
      <c r="W23" s="182" t="n">
        <f aca="false">ROUND((W14-W13)+(W16-W15)+(W18-W17)+(W20-W19)+(W22-W21),9)</f>
        <v>0</v>
      </c>
      <c r="X23" s="182" t="n">
        <f aca="false">ROUND((X14-X13)+(X16-X15)+(X18-X17)+(X20-X19)+(X22-X21),9)</f>
        <v>0</v>
      </c>
      <c r="Y23" s="182" t="n">
        <f aca="false">ROUND((Y14-Y13)+(Y16-Y15)+(Y18-Y17)+(Y20-Y19)+(Y22-Y21),9)</f>
        <v>0</v>
      </c>
      <c r="Z23" s="182" t="n">
        <f aca="false">ROUND((Z14-Z13)+(Z16-Z15)+(Z18-Z17)+(Z20-Z19)+(Z22-Z21),9)</f>
        <v>0</v>
      </c>
      <c r="AA23" s="182" t="n">
        <f aca="false">ROUND((AA14-AA13)+(AA16-AA15)+(AA18-AA17)+(AA20-AA19)+(AA22-AA21),9)</f>
        <v>0</v>
      </c>
      <c r="AB23" s="182" t="n">
        <f aca="false">ROUND((AB14-AB13)+(AB16-AB15)+(AB18-AB17)+(AB20-AB19)+(AB22-AB21),9)</f>
        <v>0</v>
      </c>
      <c r="AC23" s="182" t="n">
        <f aca="false">ROUND((AC14-AC13)+(AC16-AC15)+(AC18-AC17)+(AC20-AC19)+(AC22-AC21),9)</f>
        <v>0</v>
      </c>
      <c r="AD23" s="182" t="n">
        <f aca="false">ROUND((AD14-AD13)+(AD16-AD15)+(AD18-AD17)+(AD20-AD19)+(AD22-AD21),9)</f>
        <v>0</v>
      </c>
      <c r="AE23" s="182" t="n">
        <f aca="false">ROUND((AE14-AE13)+(AE16-AE15)+(AE18-AE17)+(AE20-AE19)+(AE22-AE21),9)</f>
        <v>0</v>
      </c>
      <c r="AF23" s="182" t="n">
        <f aca="false">ROUND((AF14-AF13)+(AF16-AF15)+(AF18-AF17)+(AF20-AF19)+(AF22-AF21),9)</f>
        <v>0</v>
      </c>
      <c r="AG23" s="183" t="str">
        <f aca="false">A23</f>
        <v>Total in/out</v>
      </c>
      <c r="AH23" s="184"/>
      <c r="AI23" s="185" t="n">
        <f aca="false">SUM(B23:AF23)</f>
        <v>0</v>
      </c>
      <c r="AJ23" s="180"/>
      <c r="AK23" s="172"/>
      <c r="AL23" s="172"/>
      <c r="AM23" s="172"/>
      <c r="AN23" s="171"/>
      <c r="AO23" s="172"/>
      <c r="AP23" s="172"/>
      <c r="AQ23" s="39"/>
    </row>
    <row r="24" s="148" customFormat="true" ht="3.75" hidden="true" customHeight="true" outlineLevel="1" collapsed="false">
      <c r="A24" s="186"/>
      <c r="B24" s="187"/>
      <c r="C24" s="187"/>
      <c r="D24" s="187"/>
      <c r="E24" s="187"/>
      <c r="F24" s="187"/>
      <c r="G24" s="187"/>
      <c r="H24" s="187"/>
      <c r="I24" s="187"/>
      <c r="J24" s="187"/>
      <c r="K24" s="187"/>
      <c r="L24" s="187"/>
      <c r="M24" s="187"/>
      <c r="N24" s="187"/>
      <c r="O24" s="187"/>
      <c r="P24" s="187"/>
      <c r="Q24" s="187"/>
      <c r="R24" s="187"/>
      <c r="S24" s="187"/>
      <c r="T24" s="187"/>
      <c r="U24" s="187"/>
      <c r="V24" s="187"/>
      <c r="W24" s="187"/>
      <c r="X24" s="187"/>
      <c r="Y24" s="187"/>
      <c r="Z24" s="187"/>
      <c r="AA24" s="187"/>
      <c r="AB24" s="187"/>
      <c r="AC24" s="187"/>
      <c r="AD24" s="187"/>
      <c r="AE24" s="187"/>
      <c r="AF24" s="188"/>
      <c r="AG24" s="168"/>
      <c r="AH24" s="146"/>
      <c r="AI24" s="179"/>
      <c r="AJ24" s="180"/>
      <c r="AK24" s="172"/>
      <c r="AL24" s="172"/>
      <c r="AM24" s="172"/>
      <c r="AN24" s="171"/>
      <c r="AO24" s="172"/>
      <c r="AP24" s="172"/>
      <c r="AQ24" s="39"/>
    </row>
    <row r="25" s="148" customFormat="true" ht="15" hidden="true" customHeight="true" outlineLevel="1" collapsed="false">
      <c r="A25" s="175" t="s">
        <v>131</v>
      </c>
      <c r="B25" s="176"/>
      <c r="C25" s="176"/>
      <c r="D25" s="176"/>
      <c r="E25" s="189"/>
      <c r="F25" s="176"/>
      <c r="G25" s="176"/>
      <c r="H25" s="176"/>
      <c r="I25" s="176"/>
      <c r="J25" s="176"/>
      <c r="K25" s="176"/>
      <c r="L25" s="176"/>
      <c r="M25" s="176"/>
      <c r="N25" s="176"/>
      <c r="O25" s="176"/>
      <c r="P25" s="176"/>
      <c r="Q25" s="176"/>
      <c r="R25" s="176"/>
      <c r="S25" s="176"/>
      <c r="T25" s="176"/>
      <c r="U25" s="176"/>
      <c r="V25" s="176"/>
      <c r="W25" s="176"/>
      <c r="X25" s="176"/>
      <c r="Y25" s="176"/>
      <c r="Z25" s="190"/>
      <c r="AA25" s="176"/>
      <c r="AB25" s="176"/>
      <c r="AC25" s="176"/>
      <c r="AD25" s="176"/>
      <c r="AE25" s="176"/>
      <c r="AF25" s="176"/>
      <c r="AG25" s="168" t="str">
        <f aca="false">A25</f>
        <v>paid break in</v>
      </c>
      <c r="AH25" s="146"/>
      <c r="AI25" s="179"/>
      <c r="AJ25" s="180"/>
      <c r="AK25" s="172"/>
      <c r="AL25" s="172"/>
      <c r="AM25" s="172"/>
      <c r="AN25" s="171"/>
      <c r="AO25" s="172"/>
      <c r="AP25" s="172"/>
      <c r="AQ25" s="39"/>
    </row>
    <row r="26" s="148" customFormat="true" ht="15" hidden="true" customHeight="true" outlineLevel="1" collapsed="false">
      <c r="A26" s="175" t="s">
        <v>132</v>
      </c>
      <c r="B26" s="176"/>
      <c r="C26" s="176"/>
      <c r="D26" s="176"/>
      <c r="E26" s="176"/>
      <c r="F26" s="176"/>
      <c r="G26" s="176"/>
      <c r="H26" s="176"/>
      <c r="I26" s="176"/>
      <c r="J26" s="176"/>
      <c r="K26" s="176"/>
      <c r="L26" s="176"/>
      <c r="M26" s="176"/>
      <c r="N26" s="176"/>
      <c r="O26" s="176"/>
      <c r="P26" s="176"/>
      <c r="Q26" s="176"/>
      <c r="R26" s="176"/>
      <c r="S26" s="176"/>
      <c r="T26" s="176"/>
      <c r="U26" s="176"/>
      <c r="V26" s="176"/>
      <c r="W26" s="176"/>
      <c r="X26" s="176"/>
      <c r="Y26" s="176"/>
      <c r="Z26" s="190"/>
      <c r="AA26" s="176"/>
      <c r="AB26" s="176"/>
      <c r="AC26" s="176"/>
      <c r="AD26" s="176"/>
      <c r="AE26" s="176"/>
      <c r="AF26" s="176"/>
      <c r="AG26" s="168" t="str">
        <f aca="false">A26</f>
        <v>paid break out</v>
      </c>
      <c r="AH26" s="146"/>
      <c r="AI26" s="179"/>
      <c r="AJ26" s="180"/>
      <c r="AK26" s="172"/>
      <c r="AL26" s="172"/>
      <c r="AM26" s="172"/>
      <c r="AN26" s="171"/>
      <c r="AO26" s="172"/>
      <c r="AP26" s="172"/>
      <c r="AQ26" s="39"/>
    </row>
    <row r="27" s="148" customFormat="true" ht="15" hidden="true" customHeight="true" outlineLevel="1" collapsed="false">
      <c r="A27" s="175" t="s">
        <v>131</v>
      </c>
      <c r="B27" s="176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90"/>
      <c r="AA27" s="176"/>
      <c r="AB27" s="176"/>
      <c r="AC27" s="176"/>
      <c r="AD27" s="176"/>
      <c r="AE27" s="176"/>
      <c r="AF27" s="176"/>
      <c r="AG27" s="168" t="str">
        <f aca="false">A27</f>
        <v>paid break in</v>
      </c>
      <c r="AH27" s="146"/>
      <c r="AI27" s="179"/>
      <c r="AJ27" s="180"/>
      <c r="AK27" s="172"/>
      <c r="AL27" s="172"/>
      <c r="AM27" s="172"/>
      <c r="AN27" s="171"/>
      <c r="AO27" s="172"/>
      <c r="AP27" s="172"/>
      <c r="AQ27" s="39"/>
    </row>
    <row r="28" s="148" customFormat="true" ht="15" hidden="true" customHeight="true" outlineLevel="1" collapsed="false">
      <c r="A28" s="175" t="s">
        <v>132</v>
      </c>
      <c r="B28" s="176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90"/>
      <c r="AA28" s="176"/>
      <c r="AB28" s="176"/>
      <c r="AC28" s="176"/>
      <c r="AD28" s="176"/>
      <c r="AE28" s="176"/>
      <c r="AF28" s="176"/>
      <c r="AG28" s="168" t="str">
        <f aca="false">A28</f>
        <v>paid break out</v>
      </c>
      <c r="AH28" s="146"/>
      <c r="AI28" s="179"/>
      <c r="AJ28" s="180"/>
      <c r="AK28" s="172"/>
      <c r="AL28" s="172"/>
      <c r="AM28" s="172"/>
      <c r="AN28" s="171"/>
      <c r="AO28" s="172"/>
      <c r="AP28" s="172"/>
      <c r="AQ28" s="39"/>
    </row>
    <row r="29" s="148" customFormat="true" ht="15" hidden="true" customHeight="true" outlineLevel="1" collapsed="false">
      <c r="A29" s="175" t="s">
        <v>131</v>
      </c>
      <c r="B29" s="176"/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90"/>
      <c r="AA29" s="176"/>
      <c r="AB29" s="176"/>
      <c r="AC29" s="176"/>
      <c r="AD29" s="176"/>
      <c r="AE29" s="176"/>
      <c r="AF29" s="176"/>
      <c r="AG29" s="168" t="str">
        <f aca="false">A29</f>
        <v>paid break in</v>
      </c>
      <c r="AH29" s="146"/>
      <c r="AI29" s="179"/>
      <c r="AJ29" s="180"/>
      <c r="AK29" s="172"/>
      <c r="AL29" s="172"/>
      <c r="AM29" s="172"/>
      <c r="AN29" s="171"/>
      <c r="AO29" s="172"/>
      <c r="AP29" s="172"/>
      <c r="AQ29" s="39"/>
    </row>
    <row r="30" s="148" customFormat="true" ht="15" hidden="true" customHeight="true" outlineLevel="1" collapsed="false">
      <c r="A30" s="175" t="s">
        <v>132</v>
      </c>
      <c r="B30" s="176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90"/>
      <c r="AA30" s="176"/>
      <c r="AB30" s="176"/>
      <c r="AC30" s="176"/>
      <c r="AD30" s="176"/>
      <c r="AE30" s="176"/>
      <c r="AF30" s="176"/>
      <c r="AG30" s="168" t="str">
        <f aca="false">A30</f>
        <v>paid break out</v>
      </c>
      <c r="AH30" s="146"/>
      <c r="AI30" s="179"/>
      <c r="AJ30" s="180"/>
      <c r="AK30" s="172"/>
      <c r="AL30" s="172"/>
      <c r="AM30" s="172"/>
      <c r="AN30" s="171"/>
      <c r="AO30" s="172"/>
      <c r="AP30" s="172"/>
      <c r="AQ30" s="39"/>
    </row>
    <row r="31" s="148" customFormat="true" ht="3.75" hidden="true" customHeight="true" outlineLevel="1" collapsed="false">
      <c r="A31" s="186"/>
      <c r="B31" s="191"/>
      <c r="C31" s="191"/>
      <c r="D31" s="191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  <c r="AA31" s="191"/>
      <c r="AB31" s="191"/>
      <c r="AC31" s="191"/>
      <c r="AD31" s="191"/>
      <c r="AE31" s="191"/>
      <c r="AF31" s="192"/>
      <c r="AG31" s="168"/>
      <c r="AH31" s="146"/>
      <c r="AI31" s="179"/>
      <c r="AJ31" s="180"/>
      <c r="AK31" s="172"/>
      <c r="AL31" s="172"/>
      <c r="AM31" s="172"/>
      <c r="AN31" s="171"/>
      <c r="AO31" s="172"/>
      <c r="AP31" s="172"/>
      <c r="AQ31" s="39"/>
    </row>
    <row r="32" s="148" customFormat="true" ht="15" hidden="true" customHeight="true" outlineLevel="1" collapsed="false">
      <c r="A32" s="181" t="s">
        <v>133</v>
      </c>
      <c r="B32" s="193" t="n">
        <f aca="false">ROUND(IF(MAX(0,B15-B14)&lt;1/24/60*180,MAX(0,B15-B14),0)+IF(MAX(0,B17-B16)&lt;1/24/60*180,MAX(0,B17-B16),0)+IF(MAX(0,B19-B18)&lt;1/24/60*180,MAX(0,B19-B18),0)+IF(MAX(0,B21-B20)&lt;1/24/60*180,MAX(0,B21-B20))+MAX(0,B26-B25)+MAX(0,B28-B27)+MAX(0,B30-B29),9)</f>
        <v>0</v>
      </c>
      <c r="C32" s="193" t="n">
        <f aca="false">ROUND(IF(MAX(0,C15-C14)&lt;1/24/60*180,MAX(0,C15-C14),0)+IF(MAX(0,C17-C16)&lt;1/24/60*180,MAX(0,C17-C16),0)+IF(MAX(0,C19-C18)&lt;1/24/60*180,MAX(0,C19-C18),0)+IF(MAX(0,C21-C20)&lt;1/24/60*180,MAX(0,C21-C20))+MAX(0,C26-C25)+MAX(0,C28-C27)+MAX(0,C30-C29),9)</f>
        <v>0</v>
      </c>
      <c r="D32" s="193" t="n">
        <f aca="false">ROUND(IF(MAX(0,D15-D14)&lt;1/24/60*180,MAX(0,D15-D14),0)+IF(MAX(0,D17-D16)&lt;1/24/60*180,MAX(0,D17-D16),0)+IF(MAX(0,D19-D18)&lt;1/24/60*180,MAX(0,D19-D18),0)+IF(MAX(0,D21-D20)&lt;1/24/60*180,MAX(0,D21-D20))+MAX(0,D26-D25)+MAX(0,D28-D27)+MAX(0,D30-D29),9)</f>
        <v>0</v>
      </c>
      <c r="E32" s="193" t="n">
        <f aca="false">ROUND(IF(MAX(0,E15-E14)&lt;1/24/60*180,MAX(0,E15-E14),0)+IF(MAX(0,E17-E16)&lt;1/24/60*180,MAX(0,E17-E16),0)+IF(MAX(0,E19-E18)&lt;1/24/60*180,MAX(0,E19-E18),0)+IF(MAX(0,E21-E20)&lt;1/24/60*180,MAX(0,E21-E20))+MAX(0,E26-E25)+MAX(0,E28-E27)+MAX(0,E30-E29),9)</f>
        <v>0</v>
      </c>
      <c r="F32" s="193" t="n">
        <f aca="false">ROUND(IF(MAX(0,F15-F14)&lt;1/24/60*180,MAX(0,F15-F14),0)+IF(MAX(0,F17-F16)&lt;1/24/60*180,MAX(0,F17-F16),0)+IF(MAX(0,F19-F18)&lt;1/24/60*180,MAX(0,F19-F18),0)+IF(MAX(0,F21-F20)&lt;1/24/60*180,MAX(0,F21-F20))+MAX(0,F26-F25)+MAX(0,F28-F27)+MAX(0,F30-F29),9)</f>
        <v>0</v>
      </c>
      <c r="G32" s="193" t="n">
        <f aca="false">ROUND(IF(MAX(0,G15-G14)&lt;1/24/60*180,MAX(0,G15-G14),0)+IF(MAX(0,G17-G16)&lt;1/24/60*180,MAX(0,G17-G16),0)+IF(MAX(0,G19-G18)&lt;1/24/60*180,MAX(0,G19-G18),0)+IF(MAX(0,G21-G20)&lt;1/24/60*180,MAX(0,G21-G20))+MAX(0,G26-G25)+MAX(0,G28-G27)+MAX(0,G30-G29),9)</f>
        <v>0</v>
      </c>
      <c r="H32" s="193" t="n">
        <f aca="false">ROUND(IF(MAX(0,H15-H14)&lt;1/24/60*180,MAX(0,H15-H14),0)+IF(MAX(0,H17-H16)&lt;1/24/60*180,MAX(0,H17-H16),0)+IF(MAX(0,H19-H18)&lt;1/24/60*180,MAX(0,H19-H18),0)+IF(MAX(0,H21-H20)&lt;1/24/60*180,MAX(0,H21-H20))+MAX(0,H26-H25)+MAX(0,H28-H27)+MAX(0,H30-H29),9)</f>
        <v>0</v>
      </c>
      <c r="I32" s="193" t="n">
        <f aca="false">ROUND(IF(MAX(0,I15-I14)&lt;1/24/60*180,MAX(0,I15-I14),0)+IF(MAX(0,I17-I16)&lt;1/24/60*180,MAX(0,I17-I16),0)+IF(MAX(0,I19-I18)&lt;1/24/60*180,MAX(0,I19-I18),0)+IF(MAX(0,I21-I20)&lt;1/24/60*180,MAX(0,I21-I20))+MAX(0,I26-I25)+MAX(0,I28-I27)+MAX(0,I30-I29),9)</f>
        <v>0</v>
      </c>
      <c r="J32" s="193" t="n">
        <f aca="false">ROUND(IF(MAX(0,J15-J14)&lt;1/24/60*180,MAX(0,J15-J14),0)+IF(MAX(0,J17-J16)&lt;1/24/60*180,MAX(0,J17-J16),0)+IF(MAX(0,J19-J18)&lt;1/24/60*180,MAX(0,J19-J18),0)+IF(MAX(0,J21-J20)&lt;1/24/60*180,MAX(0,J21-J20))+MAX(0,J26-J25)+MAX(0,J28-J27)+MAX(0,J30-J29),9)</f>
        <v>0</v>
      </c>
      <c r="K32" s="193" t="n">
        <f aca="false">ROUND(IF(MAX(0,K15-K14)&lt;1/24/60*180,MAX(0,K15-K14),0)+IF(MAX(0,K17-K16)&lt;1/24/60*180,MAX(0,K17-K16),0)+IF(MAX(0,K19-K18)&lt;1/24/60*180,MAX(0,K19-K18),0)+IF(MAX(0,K21-K20)&lt;1/24/60*180,MAX(0,K21-K20))+MAX(0,K26-K25)+MAX(0,K28-K27)+MAX(0,K30-K29),9)</f>
        <v>0</v>
      </c>
      <c r="L32" s="193" t="n">
        <f aca="false">ROUND(IF(MAX(0,L15-L14)&lt;1/24/60*180,MAX(0,L15-L14),0)+IF(MAX(0,L17-L16)&lt;1/24/60*180,MAX(0,L17-L16),0)+IF(MAX(0,L19-L18)&lt;1/24/60*180,MAX(0,L19-L18),0)+IF(MAX(0,L21-L20)&lt;1/24/60*180,MAX(0,L21-L20))+MAX(0,L26-L25)+MAX(0,L28-L27)+MAX(0,L30-L29),9)</f>
        <v>0</v>
      </c>
      <c r="M32" s="193" t="n">
        <f aca="false">ROUND(IF(MAX(0,M15-M14)&lt;1/24/60*180,MAX(0,M15-M14),0)+IF(MAX(0,M17-M16)&lt;1/24/60*180,MAX(0,M17-M16),0)+IF(MAX(0,M19-M18)&lt;1/24/60*180,MAX(0,M19-M18),0)+IF(MAX(0,M21-M20)&lt;1/24/60*180,MAX(0,M21-M20))+MAX(0,M26-M25)+MAX(0,M28-M27)+MAX(0,M30-M29),9)</f>
        <v>0</v>
      </c>
      <c r="N32" s="193" t="n">
        <f aca="false">ROUND(IF(MAX(0,N15-N14)&lt;1/24/60*180,MAX(0,N15-N14),0)+IF(MAX(0,N17-N16)&lt;1/24/60*180,MAX(0,N17-N16),0)+IF(MAX(0,N19-N18)&lt;1/24/60*180,MAX(0,N19-N18),0)+IF(MAX(0,N21-N20)&lt;1/24/60*180,MAX(0,N21-N20))+MAX(0,N26-N25)+MAX(0,N28-N27)+MAX(0,N30-N29),9)</f>
        <v>0</v>
      </c>
      <c r="O32" s="193" t="n">
        <f aca="false">ROUND(IF(MAX(0,O15-O14)&lt;1/24/60*180,MAX(0,O15-O14),0)+IF(MAX(0,O17-O16)&lt;1/24/60*180,MAX(0,O17-O16),0)+IF(MAX(0,O19-O18)&lt;1/24/60*180,MAX(0,O19-O18),0)+IF(MAX(0,O21-O20)&lt;1/24/60*180,MAX(0,O21-O20))+MAX(0,O26-O25)+MAX(0,O28-O27)+MAX(0,O30-O29),9)</f>
        <v>0</v>
      </c>
      <c r="P32" s="193" t="n">
        <f aca="false">ROUND(IF(MAX(0,P15-P14)&lt;1/24/60*180,MAX(0,P15-P14),0)+IF(MAX(0,P17-P16)&lt;1/24/60*180,MAX(0,P17-P16),0)+IF(MAX(0,P19-P18)&lt;1/24/60*180,MAX(0,P19-P18),0)+IF(MAX(0,P21-P20)&lt;1/24/60*180,MAX(0,P21-P20))+MAX(0,P26-P25)+MAX(0,P28-P27)+MAX(0,P30-P29),9)</f>
        <v>0</v>
      </c>
      <c r="Q32" s="193" t="n">
        <f aca="false">ROUND(IF(MAX(0,Q15-Q14)&lt;1/24/60*180,MAX(0,Q15-Q14),0)+IF(MAX(0,Q17-Q16)&lt;1/24/60*180,MAX(0,Q17-Q16),0)+IF(MAX(0,Q19-Q18)&lt;1/24/60*180,MAX(0,Q19-Q18),0)+IF(MAX(0,Q21-Q20)&lt;1/24/60*180,MAX(0,Q21-Q20))+MAX(0,Q26-Q25)+MAX(0,Q28-Q27)+MAX(0,Q30-Q29),9)</f>
        <v>0</v>
      </c>
      <c r="R32" s="193" t="n">
        <f aca="false">ROUND(IF(MAX(0,R15-R14)&lt;1/24/60*180,MAX(0,R15-R14),0)+IF(MAX(0,R17-R16)&lt;1/24/60*180,MAX(0,R17-R16),0)+IF(MAX(0,R19-R18)&lt;1/24/60*180,MAX(0,R19-R18),0)+IF(MAX(0,R21-R20)&lt;1/24/60*180,MAX(0,R21-R20))+MAX(0,R26-R25)+MAX(0,R28-R27)+MAX(0,R30-R29),9)</f>
        <v>0</v>
      </c>
      <c r="S32" s="193" t="n">
        <f aca="false">ROUND(IF(MAX(0,S15-S14)&lt;1/24/60*180,MAX(0,S15-S14),0)+IF(MAX(0,S17-S16)&lt;1/24/60*180,MAX(0,S17-S16),0)+IF(MAX(0,S19-S18)&lt;1/24/60*180,MAX(0,S19-S18),0)+IF(MAX(0,S21-S20)&lt;1/24/60*180,MAX(0,S21-S20))+MAX(0,S26-S25)+MAX(0,S28-S27)+MAX(0,S30-S29),9)</f>
        <v>0</v>
      </c>
      <c r="T32" s="193" t="n">
        <f aca="false">ROUND(IF(MAX(0,T15-T14)&lt;1/24/60*180,MAX(0,T15-T14),0)+IF(MAX(0,T17-T16)&lt;1/24/60*180,MAX(0,T17-T16),0)+IF(MAX(0,T19-T18)&lt;1/24/60*180,MAX(0,T19-T18),0)+IF(MAX(0,T21-T20)&lt;1/24/60*180,MAX(0,T21-T20))+MAX(0,T26-T25)+MAX(0,T28-T27)+MAX(0,T30-T29),9)</f>
        <v>0</v>
      </c>
      <c r="U32" s="193" t="n">
        <f aca="false">ROUND(IF(MAX(0,U15-U14)&lt;1/24/60*180,MAX(0,U15-U14),0)+IF(MAX(0,U17-U16)&lt;1/24/60*180,MAX(0,U17-U16),0)+IF(MAX(0,U19-U18)&lt;1/24/60*180,MAX(0,U19-U18),0)+IF(MAX(0,U21-U20)&lt;1/24/60*180,MAX(0,U21-U20))+MAX(0,U26-U25)+MAX(0,U28-U27)+MAX(0,U30-U29),9)</f>
        <v>0</v>
      </c>
      <c r="V32" s="193" t="n">
        <f aca="false">ROUND(IF(MAX(0,V15-V14)&lt;1/24/60*180,MAX(0,V15-V14),0)+IF(MAX(0,V17-V16)&lt;1/24/60*180,MAX(0,V17-V16),0)+IF(MAX(0,V19-V18)&lt;1/24/60*180,MAX(0,V19-V18),0)+IF(MAX(0,V21-V20)&lt;1/24/60*180,MAX(0,V21-V20))+MAX(0,V26-V25)+MAX(0,V28-V27)+MAX(0,V30-V29),9)</f>
        <v>0</v>
      </c>
      <c r="W32" s="193" t="n">
        <f aca="false">ROUND(IF(MAX(0,W15-W14)&lt;1/24/60*180,MAX(0,W15-W14),0)+IF(MAX(0,W17-W16)&lt;1/24/60*180,MAX(0,W17-W16),0)+IF(MAX(0,W19-W18)&lt;1/24/60*180,MAX(0,W19-W18),0)+IF(MAX(0,W21-W20)&lt;1/24/60*180,MAX(0,W21-W20))+MAX(0,W26-W25)+MAX(0,W28-W27)+MAX(0,W30-W29),9)</f>
        <v>0</v>
      </c>
      <c r="X32" s="193" t="n">
        <f aca="false">ROUND(IF(MAX(0,X15-X14)&lt;1/24/60*180,MAX(0,X15-X14),0)+IF(MAX(0,X17-X16)&lt;1/24/60*180,MAX(0,X17-X16),0)+IF(MAX(0,X19-X18)&lt;1/24/60*180,MAX(0,X19-X18),0)+IF(MAX(0,X21-X20)&lt;1/24/60*180,MAX(0,X21-X20))+MAX(0,X26-X25)+MAX(0,X28-X27)+MAX(0,X30-X29),9)</f>
        <v>0</v>
      </c>
      <c r="Y32" s="193" t="n">
        <f aca="false">ROUND(IF(MAX(0,Y15-Y14)&lt;1/24/60*180,MAX(0,Y15-Y14),0)+IF(MAX(0,Y17-Y16)&lt;1/24/60*180,MAX(0,Y17-Y16),0)+IF(MAX(0,Y19-Y18)&lt;1/24/60*180,MAX(0,Y19-Y18),0)+IF(MAX(0,Y21-Y20)&lt;1/24/60*180,MAX(0,Y21-Y20))+MAX(0,Y26-Y25)+MAX(0,Y28-Y27)+MAX(0,Y30-Y29),9)</f>
        <v>0</v>
      </c>
      <c r="Z32" s="193" t="n">
        <f aca="false">ROUND(IF(MAX(0,Z15-Z14)&lt;1/24/60*180,MAX(0,Z15-Z14),0)+IF(MAX(0,Z17-Z16)&lt;1/24/60*180,MAX(0,Z17-Z16),0)+IF(MAX(0,Z19-Z18)&lt;1/24/60*180,MAX(0,Z19-Z18),0)+IF(MAX(0,Z21-Z20)&lt;1/24/60*180,MAX(0,Z21-Z20))+MAX(0,Z26-Z25)+MAX(0,Z28-Z27)+MAX(0,Z30-Z29),9)</f>
        <v>0</v>
      </c>
      <c r="AA32" s="193" t="n">
        <f aca="false">ROUND(IF(MAX(0,AA15-AA14)&lt;1/24/60*180,MAX(0,AA15-AA14),0)+IF(MAX(0,AA17-AA16)&lt;1/24/60*180,MAX(0,AA17-AA16),0)+IF(MAX(0,AA19-AA18)&lt;1/24/60*180,MAX(0,AA19-AA18),0)+IF(MAX(0,AA21-AA20)&lt;1/24/60*180,MAX(0,AA21-AA20))+MAX(0,AA26-AA25)+MAX(0,AA28-AA27)+MAX(0,AA30-AA29),9)</f>
        <v>0</v>
      </c>
      <c r="AB32" s="193" t="n">
        <f aca="false">ROUND(IF(MAX(0,AB15-AB14)&lt;1/24/60*180,MAX(0,AB15-AB14),0)+IF(MAX(0,AB17-AB16)&lt;1/24/60*180,MAX(0,AB17-AB16),0)+IF(MAX(0,AB19-AB18)&lt;1/24/60*180,MAX(0,AB19-AB18),0)+IF(MAX(0,AB21-AB20)&lt;1/24/60*180,MAX(0,AB21-AB20))+MAX(0,AB26-AB25)+MAX(0,AB28-AB27)+MAX(0,AB30-AB29),9)</f>
        <v>0</v>
      </c>
      <c r="AC32" s="193" t="n">
        <f aca="false">ROUND(IF(MAX(0,AC15-AC14)&lt;1/24/60*180,MAX(0,AC15-AC14),0)+IF(MAX(0,AC17-AC16)&lt;1/24/60*180,MAX(0,AC17-AC16),0)+IF(MAX(0,AC19-AC18)&lt;1/24/60*180,MAX(0,AC19-AC18),0)+IF(MAX(0,AC21-AC20)&lt;1/24/60*180,MAX(0,AC21-AC20))+MAX(0,AC26-AC25)+MAX(0,AC28-AC27)+MAX(0,AC30-AC29),9)</f>
        <v>0</v>
      </c>
      <c r="AD32" s="193" t="n">
        <f aca="false">ROUND(IF(MAX(0,AD15-AD14)&lt;1/24/60*180,MAX(0,AD15-AD14),0)+IF(MAX(0,AD17-AD16)&lt;1/24/60*180,MAX(0,AD17-AD16),0)+IF(MAX(0,AD19-AD18)&lt;1/24/60*180,MAX(0,AD19-AD18),0)+IF(MAX(0,AD21-AD20)&lt;1/24/60*180,MAX(0,AD21-AD20))+MAX(0,AD26-AD25)+MAX(0,AD28-AD27)+MAX(0,AD30-AD29),9)</f>
        <v>0</v>
      </c>
      <c r="AE32" s="193" t="n">
        <f aca="false">ROUND(IF(MAX(0,AE15-AE14)&lt;1/24/60*180,MAX(0,AE15-AE14),0)+IF(MAX(0,AE17-AE16)&lt;1/24/60*180,MAX(0,AE17-AE16),0)+IF(MAX(0,AE19-AE18)&lt;1/24/60*180,MAX(0,AE19-AE18),0)+IF(MAX(0,AE21-AE20)&lt;1/24/60*180,MAX(0,AE21-AE20))+MAX(0,AE26-AE25)+MAX(0,AE28-AE27)+MAX(0,AE30-AE29),9)</f>
        <v>0</v>
      </c>
      <c r="AF32" s="193" t="n">
        <f aca="false">ROUND(IF(MAX(0,AF15-AF14)&lt;1/24/60*180,MAX(0,AF15-AF14),0)+IF(MAX(0,AF17-AF16)&lt;1/24/60*180,MAX(0,AF17-AF16),0)+IF(MAX(0,AF19-AF18)&lt;1/24/60*180,MAX(0,AF19-AF18),0)+IF(MAX(0,AF21-AF20)&lt;1/24/60*180,MAX(0,AF21-AF20))+MAX(0,AF26-AF25)+MAX(0,AF28-AF27)+MAX(0,AF30-AF29),9)</f>
        <v>0</v>
      </c>
      <c r="AG32" s="183" t="str">
        <f aca="false">A32</f>
        <v>Total breaks (in out/paid)</v>
      </c>
      <c r="AH32" s="184"/>
      <c r="AI32" s="185" t="n">
        <f aca="false">SUM(B32:AF32)</f>
        <v>0</v>
      </c>
      <c r="AJ32" s="180"/>
      <c r="AK32" s="172"/>
      <c r="AL32" s="172"/>
      <c r="AM32" s="172"/>
      <c r="AN32" s="171"/>
      <c r="AO32" s="172"/>
      <c r="AP32" s="172"/>
      <c r="AQ32" s="39"/>
    </row>
    <row r="33" s="148" customFormat="true" ht="3.75" hidden="false" customHeight="true" outlineLevel="0" collapsed="false">
      <c r="A33" s="186"/>
      <c r="B33" s="194"/>
      <c r="C33" s="194"/>
      <c r="D33" s="194"/>
      <c r="E33" s="194"/>
      <c r="F33" s="194"/>
      <c r="G33" s="194"/>
      <c r="H33" s="194"/>
      <c r="I33" s="194"/>
      <c r="J33" s="194"/>
      <c r="K33" s="194"/>
      <c r="L33" s="194"/>
      <c r="M33" s="194"/>
      <c r="N33" s="194"/>
      <c r="O33" s="194"/>
      <c r="P33" s="194"/>
      <c r="Q33" s="194"/>
      <c r="R33" s="194"/>
      <c r="S33" s="194"/>
      <c r="T33" s="194"/>
      <c r="U33" s="194"/>
      <c r="V33" s="194"/>
      <c r="W33" s="194"/>
      <c r="X33" s="194"/>
      <c r="Y33" s="194"/>
      <c r="Z33" s="194"/>
      <c r="AA33" s="194"/>
      <c r="AB33" s="194"/>
      <c r="AC33" s="194"/>
      <c r="AD33" s="194"/>
      <c r="AE33" s="194"/>
      <c r="AF33" s="195"/>
      <c r="AG33" s="168"/>
      <c r="AH33" s="146"/>
      <c r="AI33" s="179"/>
      <c r="AJ33" s="180"/>
      <c r="AK33" s="172"/>
      <c r="AL33" s="172"/>
      <c r="AM33" s="172"/>
      <c r="AN33" s="171"/>
      <c r="AO33" s="172"/>
      <c r="AP33" s="172"/>
      <c r="AQ33" s="39"/>
    </row>
    <row r="34" s="148" customFormat="true" ht="15" hidden="false" customHeight="true" outlineLevel="1" collapsed="false">
      <c r="A34" s="175" t="s">
        <v>134</v>
      </c>
      <c r="B34" s="196" t="str">
        <f aca="true">IF(EB.Anwendung&lt;&gt;"",IF(EB.Wochenarbeitszeit=50/24,INDEX(T.Pikett.Bereich,1),IF(DAY(B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Monat.Pikett,IF(MONTH(Monat.Tag1)=9,August!Monat.Pikett,IF(MONTH(Monat.Tag1)=10,September!Monat.Pikett,IF(MONTH(Monat.Tag1)=11,October!Monat.Pikett,IF(MONTH(Monat.Tag1)=12,November!Monat.Pikett,"")))))))))))),IF(A34="B",INDEX(T.Pikett.Bereich,4),IF(A34="E",INDEX(T.Pikett.Bereich,1),A34)))),"")</f>
        <v>No</v>
      </c>
      <c r="C34" s="196" t="str">
        <f aca="true">IF(EB.Anwendung&lt;&gt;"",IF(EB.Wochenarbeitszeit=50/24,INDEX(T.Pikett.Bereich,1),IF(DAY(C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Monat.Pikett,IF(MONTH(Monat.Tag1)=9,August!Monat.Pikett,IF(MONTH(Monat.Tag1)=10,September!Monat.Pikett,IF(MONTH(Monat.Tag1)=11,October!Monat.Pikett,IF(MONTH(Monat.Tag1)=12,November!Monat.Pikett,"")))))))))))),IF(B34="B",INDEX(T.Pikett.Bereich,4),IF(B34="E",INDEX(T.Pikett.Bereich,1),B34)))),"")</f>
        <v>No</v>
      </c>
      <c r="D34" s="196" t="str">
        <f aca="true">IF(EB.Anwendung&lt;&gt;"",IF(EB.Wochenarbeitszeit=50/24,INDEX(T.Pikett.Bereich,1),IF(DAY(D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Monat.Pikett,IF(MONTH(Monat.Tag1)=9,August!Monat.Pikett,IF(MONTH(Monat.Tag1)=10,September!Monat.Pikett,IF(MONTH(Monat.Tag1)=11,October!Monat.Pikett,IF(MONTH(Monat.Tag1)=12,November!Monat.Pikett,"")))))))))))),IF(C34="B",INDEX(T.Pikett.Bereich,4),IF(C34="E",INDEX(T.Pikett.Bereich,1),C34)))),"")</f>
        <v>No</v>
      </c>
      <c r="E34" s="196" t="str">
        <f aca="true">IF(EB.Anwendung&lt;&gt;"",IF(EB.Wochenarbeitszeit=50/24,INDEX(T.Pikett.Bereich,1),IF(DAY(E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Monat.Pikett,IF(MONTH(Monat.Tag1)=9,August!Monat.Pikett,IF(MONTH(Monat.Tag1)=10,September!Monat.Pikett,IF(MONTH(Monat.Tag1)=11,October!Monat.Pikett,IF(MONTH(Monat.Tag1)=12,November!Monat.Pikett,"")))))))))))),IF(D34="B",INDEX(T.Pikett.Bereich,4),IF(D34="E",INDEX(T.Pikett.Bereich,1),D34)))),"")</f>
        <v>No</v>
      </c>
      <c r="F34" s="196" t="str">
        <f aca="true">IF(EB.Anwendung&lt;&gt;"",IF(EB.Wochenarbeitszeit=50/24,INDEX(T.Pikett.Bereich,1),IF(DAY(F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Monat.Pikett,IF(MONTH(Monat.Tag1)=9,August!Monat.Pikett,IF(MONTH(Monat.Tag1)=10,September!Monat.Pikett,IF(MONTH(Monat.Tag1)=11,October!Monat.Pikett,IF(MONTH(Monat.Tag1)=12,November!Monat.Pikett,"")))))))))))),IF(E34="B",INDEX(T.Pikett.Bereich,4),IF(E34="E",INDEX(T.Pikett.Bereich,1),E34)))),"")</f>
        <v>No</v>
      </c>
      <c r="G34" s="196" t="str">
        <f aca="true">IF(EB.Anwendung&lt;&gt;"",IF(EB.Wochenarbeitszeit=50/24,INDEX(T.Pikett.Bereich,1),IF(DAY(G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Monat.Pikett,IF(MONTH(Monat.Tag1)=9,August!Monat.Pikett,IF(MONTH(Monat.Tag1)=10,September!Monat.Pikett,IF(MONTH(Monat.Tag1)=11,October!Monat.Pikett,IF(MONTH(Monat.Tag1)=12,November!Monat.Pikett,"")))))))))))),IF(F34="B",INDEX(T.Pikett.Bereich,4),IF(F34="E",INDEX(T.Pikett.Bereich,1),F34)))),"")</f>
        <v>No</v>
      </c>
      <c r="H34" s="196" t="str">
        <f aca="true">IF(EB.Anwendung&lt;&gt;"",IF(EB.Wochenarbeitszeit=50/24,INDEX(T.Pikett.Bereich,1),IF(DAY(H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Monat.Pikett,IF(MONTH(Monat.Tag1)=9,August!Monat.Pikett,IF(MONTH(Monat.Tag1)=10,September!Monat.Pikett,IF(MONTH(Monat.Tag1)=11,October!Monat.Pikett,IF(MONTH(Monat.Tag1)=12,November!Monat.Pikett,"")))))))))))),IF(G34="B",INDEX(T.Pikett.Bereich,4),IF(G34="E",INDEX(T.Pikett.Bereich,1),G34)))),"")</f>
        <v>No</v>
      </c>
      <c r="I34" s="196" t="str">
        <f aca="true">IF(EB.Anwendung&lt;&gt;"",IF(EB.Wochenarbeitszeit=50/24,INDEX(T.Pikett.Bereich,1),IF(DAY(I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Monat.Pikett,IF(MONTH(Monat.Tag1)=9,August!Monat.Pikett,IF(MONTH(Monat.Tag1)=10,September!Monat.Pikett,IF(MONTH(Monat.Tag1)=11,October!Monat.Pikett,IF(MONTH(Monat.Tag1)=12,November!Monat.Pikett,"")))))))))))),IF(H34="B",INDEX(T.Pikett.Bereich,4),IF(H34="E",INDEX(T.Pikett.Bereich,1),H34)))),"")</f>
        <v>No</v>
      </c>
      <c r="J34" s="196" t="str">
        <f aca="true">IF(EB.Anwendung&lt;&gt;"",IF(EB.Wochenarbeitszeit=50/24,INDEX(T.Pikett.Bereich,1),IF(DAY(J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Monat.Pikett,IF(MONTH(Monat.Tag1)=9,August!Monat.Pikett,IF(MONTH(Monat.Tag1)=10,September!Monat.Pikett,IF(MONTH(Monat.Tag1)=11,October!Monat.Pikett,IF(MONTH(Monat.Tag1)=12,November!Monat.Pikett,"")))))))))))),IF(I34="B",INDEX(T.Pikett.Bereich,4),IF(I34="E",INDEX(T.Pikett.Bereich,1),I34)))),"")</f>
        <v>No</v>
      </c>
      <c r="K34" s="196" t="str">
        <f aca="true">IF(EB.Anwendung&lt;&gt;"",IF(EB.Wochenarbeitszeit=50/24,INDEX(T.Pikett.Bereich,1),IF(DAY(K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Monat.Pikett,IF(MONTH(Monat.Tag1)=9,August!Monat.Pikett,IF(MONTH(Monat.Tag1)=10,September!Monat.Pikett,IF(MONTH(Monat.Tag1)=11,October!Monat.Pikett,IF(MONTH(Monat.Tag1)=12,November!Monat.Pikett,"")))))))))))),IF(J34="B",INDEX(T.Pikett.Bereich,4),IF(J34="E",INDEX(T.Pikett.Bereich,1),J34)))),"")</f>
        <v>No</v>
      </c>
      <c r="L34" s="196" t="str">
        <f aca="true">IF(EB.Anwendung&lt;&gt;"",IF(EB.Wochenarbeitszeit=50/24,INDEX(T.Pikett.Bereich,1),IF(DAY(L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Monat.Pikett,IF(MONTH(Monat.Tag1)=9,August!Monat.Pikett,IF(MONTH(Monat.Tag1)=10,September!Monat.Pikett,IF(MONTH(Monat.Tag1)=11,October!Monat.Pikett,IF(MONTH(Monat.Tag1)=12,November!Monat.Pikett,"")))))))))))),IF(K34="B",INDEX(T.Pikett.Bereich,4),IF(K34="E",INDEX(T.Pikett.Bereich,1),K34)))),"")</f>
        <v>No</v>
      </c>
      <c r="M34" s="196" t="str">
        <f aca="true">IF(EB.Anwendung&lt;&gt;"",IF(EB.Wochenarbeitszeit=50/24,INDEX(T.Pikett.Bereich,1),IF(DAY(M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Monat.Pikett,IF(MONTH(Monat.Tag1)=9,August!Monat.Pikett,IF(MONTH(Monat.Tag1)=10,September!Monat.Pikett,IF(MONTH(Monat.Tag1)=11,October!Monat.Pikett,IF(MONTH(Monat.Tag1)=12,November!Monat.Pikett,"")))))))))))),IF(L34="B",INDEX(T.Pikett.Bereich,4),IF(L34="E",INDEX(T.Pikett.Bereich,1),L34)))),"")</f>
        <v>No</v>
      </c>
      <c r="N34" s="196" t="str">
        <f aca="true">IF(EB.Anwendung&lt;&gt;"",IF(EB.Wochenarbeitszeit=50/24,INDEX(T.Pikett.Bereich,1),IF(DAY(N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Monat.Pikett,IF(MONTH(Monat.Tag1)=9,August!Monat.Pikett,IF(MONTH(Monat.Tag1)=10,September!Monat.Pikett,IF(MONTH(Monat.Tag1)=11,October!Monat.Pikett,IF(MONTH(Monat.Tag1)=12,November!Monat.Pikett,"")))))))))))),IF(M34="B",INDEX(T.Pikett.Bereich,4),IF(M34="E",INDEX(T.Pikett.Bereich,1),M34)))),"")</f>
        <v>No</v>
      </c>
      <c r="O34" s="196" t="str">
        <f aca="true">IF(EB.Anwendung&lt;&gt;"",IF(EB.Wochenarbeitszeit=50/24,INDEX(T.Pikett.Bereich,1),IF(DAY(O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Monat.Pikett,IF(MONTH(Monat.Tag1)=9,August!Monat.Pikett,IF(MONTH(Monat.Tag1)=10,September!Monat.Pikett,IF(MONTH(Monat.Tag1)=11,October!Monat.Pikett,IF(MONTH(Monat.Tag1)=12,November!Monat.Pikett,"")))))))))))),IF(N34="B",INDEX(T.Pikett.Bereich,4),IF(N34="E",INDEX(T.Pikett.Bereich,1),N34)))),"")</f>
        <v>No</v>
      </c>
      <c r="P34" s="196" t="str">
        <f aca="true">IF(EB.Anwendung&lt;&gt;"",IF(EB.Wochenarbeitszeit=50/24,INDEX(T.Pikett.Bereich,1),IF(DAY(P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Monat.Pikett,IF(MONTH(Monat.Tag1)=9,August!Monat.Pikett,IF(MONTH(Monat.Tag1)=10,September!Monat.Pikett,IF(MONTH(Monat.Tag1)=11,October!Monat.Pikett,IF(MONTH(Monat.Tag1)=12,November!Monat.Pikett,"")))))))))))),IF(O34="B",INDEX(T.Pikett.Bereich,4),IF(O34="E",INDEX(T.Pikett.Bereich,1),O34)))),"")</f>
        <v>No</v>
      </c>
      <c r="Q34" s="196" t="str">
        <f aca="true">IF(EB.Anwendung&lt;&gt;"",IF(EB.Wochenarbeitszeit=50/24,INDEX(T.Pikett.Bereich,1),IF(DAY(Q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Monat.Pikett,IF(MONTH(Monat.Tag1)=9,August!Monat.Pikett,IF(MONTH(Monat.Tag1)=10,September!Monat.Pikett,IF(MONTH(Monat.Tag1)=11,October!Monat.Pikett,IF(MONTH(Monat.Tag1)=12,November!Monat.Pikett,"")))))))))))),IF(P34="B",INDEX(T.Pikett.Bereich,4),IF(P34="E",INDEX(T.Pikett.Bereich,1),P34)))),"")</f>
        <v>No</v>
      </c>
      <c r="R34" s="196" t="str">
        <f aca="true">IF(EB.Anwendung&lt;&gt;"",IF(EB.Wochenarbeitszeit=50/24,INDEX(T.Pikett.Bereich,1),IF(DAY(R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Monat.Pikett,IF(MONTH(Monat.Tag1)=9,August!Monat.Pikett,IF(MONTH(Monat.Tag1)=10,September!Monat.Pikett,IF(MONTH(Monat.Tag1)=11,October!Monat.Pikett,IF(MONTH(Monat.Tag1)=12,November!Monat.Pikett,"")))))))))))),IF(Q34="B",INDEX(T.Pikett.Bereich,4),IF(Q34="E",INDEX(T.Pikett.Bereich,1),Q34)))),"")</f>
        <v>No</v>
      </c>
      <c r="S34" s="196" t="str">
        <f aca="true">IF(EB.Anwendung&lt;&gt;"",IF(EB.Wochenarbeitszeit=50/24,INDEX(T.Pikett.Bereich,1),IF(DAY(S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Monat.Pikett,IF(MONTH(Monat.Tag1)=9,August!Monat.Pikett,IF(MONTH(Monat.Tag1)=10,September!Monat.Pikett,IF(MONTH(Monat.Tag1)=11,October!Monat.Pikett,IF(MONTH(Monat.Tag1)=12,November!Monat.Pikett,"")))))))))))),IF(R34="B",INDEX(T.Pikett.Bereich,4),IF(R34="E",INDEX(T.Pikett.Bereich,1),R34)))),"")</f>
        <v>No</v>
      </c>
      <c r="T34" s="196" t="str">
        <f aca="true">IF(EB.Anwendung&lt;&gt;"",IF(EB.Wochenarbeitszeit=50/24,INDEX(T.Pikett.Bereich,1),IF(DAY(T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Monat.Pikett,IF(MONTH(Monat.Tag1)=9,August!Monat.Pikett,IF(MONTH(Monat.Tag1)=10,September!Monat.Pikett,IF(MONTH(Monat.Tag1)=11,October!Monat.Pikett,IF(MONTH(Monat.Tag1)=12,November!Monat.Pikett,"")))))))))))),IF(S34="B",INDEX(T.Pikett.Bereich,4),IF(S34="E",INDEX(T.Pikett.Bereich,1),S34)))),"")</f>
        <v>No</v>
      </c>
      <c r="U34" s="196" t="str">
        <f aca="true">IF(EB.Anwendung&lt;&gt;"",IF(EB.Wochenarbeitszeit=50/24,INDEX(T.Pikett.Bereich,1),IF(DAY(U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Monat.Pikett,IF(MONTH(Monat.Tag1)=9,August!Monat.Pikett,IF(MONTH(Monat.Tag1)=10,September!Monat.Pikett,IF(MONTH(Monat.Tag1)=11,October!Monat.Pikett,IF(MONTH(Monat.Tag1)=12,November!Monat.Pikett,"")))))))))))),IF(T34="B",INDEX(T.Pikett.Bereich,4),IF(T34="E",INDEX(T.Pikett.Bereich,1),T34)))),"")</f>
        <v>No</v>
      </c>
      <c r="V34" s="196" t="str">
        <f aca="true">IF(EB.Anwendung&lt;&gt;"",IF(EB.Wochenarbeitszeit=50/24,INDEX(T.Pikett.Bereich,1),IF(DAY(V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Monat.Pikett,IF(MONTH(Monat.Tag1)=9,August!Monat.Pikett,IF(MONTH(Monat.Tag1)=10,September!Monat.Pikett,IF(MONTH(Monat.Tag1)=11,October!Monat.Pikett,IF(MONTH(Monat.Tag1)=12,November!Monat.Pikett,"")))))))))))),IF(U34="B",INDEX(T.Pikett.Bereich,4),IF(U34="E",INDEX(T.Pikett.Bereich,1),U34)))),"")</f>
        <v>No</v>
      </c>
      <c r="W34" s="196" t="str">
        <f aca="true">IF(EB.Anwendung&lt;&gt;"",IF(EB.Wochenarbeitszeit=50/24,INDEX(T.Pikett.Bereich,1),IF(DAY(W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Monat.Pikett,IF(MONTH(Monat.Tag1)=9,August!Monat.Pikett,IF(MONTH(Monat.Tag1)=10,September!Monat.Pikett,IF(MONTH(Monat.Tag1)=11,October!Monat.Pikett,IF(MONTH(Monat.Tag1)=12,November!Monat.Pikett,"")))))))))))),IF(V34="B",INDEX(T.Pikett.Bereich,4),IF(V34="E",INDEX(T.Pikett.Bereich,1),V34)))),"")</f>
        <v>No</v>
      </c>
      <c r="X34" s="196" t="str">
        <f aca="true">IF(EB.Anwendung&lt;&gt;"",IF(EB.Wochenarbeitszeit=50/24,INDEX(T.Pikett.Bereich,1),IF(DAY(X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Monat.Pikett,IF(MONTH(Monat.Tag1)=9,August!Monat.Pikett,IF(MONTH(Monat.Tag1)=10,September!Monat.Pikett,IF(MONTH(Monat.Tag1)=11,October!Monat.Pikett,IF(MONTH(Monat.Tag1)=12,November!Monat.Pikett,"")))))))))))),IF(W34="B",INDEX(T.Pikett.Bereich,4),IF(W34="E",INDEX(T.Pikett.Bereich,1),W34)))),"")</f>
        <v>No</v>
      </c>
      <c r="Y34" s="196" t="str">
        <f aca="true">IF(EB.Anwendung&lt;&gt;"",IF(EB.Wochenarbeitszeit=50/24,INDEX(T.Pikett.Bereich,1),IF(DAY(Y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Monat.Pikett,IF(MONTH(Monat.Tag1)=9,August!Monat.Pikett,IF(MONTH(Monat.Tag1)=10,September!Monat.Pikett,IF(MONTH(Monat.Tag1)=11,October!Monat.Pikett,IF(MONTH(Monat.Tag1)=12,November!Monat.Pikett,"")))))))))))),IF(X34="B",INDEX(T.Pikett.Bereich,4),IF(X34="E",INDEX(T.Pikett.Bereich,1),X34)))),"")</f>
        <v>No</v>
      </c>
      <c r="Z34" s="196" t="str">
        <f aca="true">IF(EB.Anwendung&lt;&gt;"",IF(EB.Wochenarbeitszeit=50/24,INDEX(T.Pikett.Bereich,1),IF(DAY(Z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Monat.Pikett,IF(MONTH(Monat.Tag1)=9,August!Monat.Pikett,IF(MONTH(Monat.Tag1)=10,September!Monat.Pikett,IF(MONTH(Monat.Tag1)=11,October!Monat.Pikett,IF(MONTH(Monat.Tag1)=12,November!Monat.Pikett,"")))))))))))),IF(Y34="B",INDEX(T.Pikett.Bereich,4),IF(Y34="E",INDEX(T.Pikett.Bereich,1),Y34)))),"")</f>
        <v>No</v>
      </c>
      <c r="AA34" s="196" t="str">
        <f aca="true">IF(EB.Anwendung&lt;&gt;"",IF(EB.Wochenarbeitszeit=50/24,INDEX(T.Pikett.Bereich,1),IF(DAY(AA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Monat.Pikett,IF(MONTH(Monat.Tag1)=9,August!Monat.Pikett,IF(MONTH(Monat.Tag1)=10,September!Monat.Pikett,IF(MONTH(Monat.Tag1)=11,October!Monat.Pikett,IF(MONTH(Monat.Tag1)=12,November!Monat.Pikett,"")))))))))))),IF(Z34="B",INDEX(T.Pikett.Bereich,4),IF(Z34="E",INDEX(T.Pikett.Bereich,1),Z34)))),"")</f>
        <v>No</v>
      </c>
      <c r="AB34" s="196" t="str">
        <f aca="true">IF(EB.Anwendung&lt;&gt;"",IF(EB.Wochenarbeitszeit=50/24,INDEX(T.Pikett.Bereich,1),IF(DAY(AB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Monat.Pikett,IF(MONTH(Monat.Tag1)=9,August!Monat.Pikett,IF(MONTH(Monat.Tag1)=10,September!Monat.Pikett,IF(MONTH(Monat.Tag1)=11,October!Monat.Pikett,IF(MONTH(Monat.Tag1)=12,November!Monat.Pikett,"")))))))))))),IF(AA34="B",INDEX(T.Pikett.Bereich,4),IF(AA34="E",INDEX(T.Pikett.Bereich,1),AA34)))),"")</f>
        <v>No</v>
      </c>
      <c r="AC34" s="196" t="str">
        <f aca="true">IF(EB.Anwendung&lt;&gt;"",IF(EB.Wochenarbeitszeit=50/24,INDEX(T.Pikett.Bereich,1),IF(DAY(AC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Monat.Pikett,IF(MONTH(Monat.Tag1)=9,August!Monat.Pikett,IF(MONTH(Monat.Tag1)=10,September!Monat.Pikett,IF(MONTH(Monat.Tag1)=11,October!Monat.Pikett,IF(MONTH(Monat.Tag1)=12,November!Monat.Pikett,"")))))))))))),IF(AB34="B",INDEX(T.Pikett.Bereich,4),IF(AB34="E",INDEX(T.Pikett.Bereich,1),AB34)))),"")</f>
        <v>No</v>
      </c>
      <c r="AD34" s="196" t="str">
        <f aca="true">IF(EB.Anwendung&lt;&gt;"",IF(EB.Wochenarbeitszeit=50/24,INDEX(T.Pikett.Bereich,1),IF(DAY(AD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Monat.Pikett,IF(MONTH(Monat.Tag1)=9,August!Monat.Pikett,IF(MONTH(Monat.Tag1)=10,September!Monat.Pikett,IF(MONTH(Monat.Tag1)=11,October!Monat.Pikett,IF(MONTH(Monat.Tag1)=12,November!Monat.Pikett,"")))))))))))),IF(AC34="B",INDEX(T.Pikett.Bereich,4),IF(AC34="E",INDEX(T.Pikett.Bereich,1),AC34)))),"")</f>
        <v>No</v>
      </c>
      <c r="AE34" s="196" t="str">
        <f aca="true">IF(EB.Anwendung&lt;&gt;"",IF(EB.Wochenarbeitszeit=50/24,INDEX(T.Pikett.Bereich,1),IF(DAY(AE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Monat.Pikett,IF(MONTH(Monat.Tag1)=9,August!Monat.Pikett,IF(MONTH(Monat.Tag1)=10,September!Monat.Pikett,IF(MONTH(Monat.Tag1)=11,October!Monat.Pikett,IF(MONTH(Monat.Tag1)=12,November!Monat.Pikett,"")))))))))))),IF(AD34="B",INDEX(T.Pikett.Bereich,4),IF(AD34="E",INDEX(T.Pikett.Bereich,1),AD34)))),"")</f>
        <v>No</v>
      </c>
      <c r="AF34" s="196" t="str">
        <f aca="true">IF(EB.Anwendung&lt;&gt;"",IF(EB.Wochenarbeitszeit=50/24,INDEX(T.Pikett.Bereich,1),IF(DAY(AF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Monat.Pikett,IF(MONTH(Monat.Tag1)=9,August!Monat.Pikett,IF(MONTH(Monat.Tag1)=10,September!Monat.Pikett,IF(MONTH(Monat.Tag1)=11,October!Monat.Pikett,IF(MONTH(Monat.Tag1)=12,November!Monat.Pikett,"")))))))))))),IF(AE34="B",INDEX(T.Pikett.Bereich,4),IF(AE34="E",INDEX(T.Pikett.Bereich,1),AE34)))),"")</f>
        <v>No</v>
      </c>
      <c r="AG34" s="183" t="str">
        <f aca="true">IF(OFFSET(B34,0,DAY(EOMONTH(Monat.Tag1,0))-1,1,1)="B",INDEX(T.Pikett.Bereich,4),IF(OFFSET(B34,0,DAY(EOMONTH(Monat.Tag1,0))-1,1,1)="E",INDEX(T.Pikett.Bereich,1),OFFSET(B34,0,DAY(EOMONTH(Monat.Tag1,0))-1,1,1)))</f>
        <v>No</v>
      </c>
      <c r="AH34" s="197"/>
      <c r="AI34" s="192"/>
      <c r="AJ34" s="198" t="str">
        <f aca="true">IF(T.50_Vetsuisse,IFERROR(SUMPRODUCT((B34:AF34=INDEX(T.Pikett.Bereich,4))*((B49:AF49)&lt;1/24*5)),0) &amp; " / " &amp; IFERROR(SUMPRODUCT((B34:AF34=INDEX(T.Pikett.Bereich,4))*((B49:AF49)&gt;=1/24*5)),0) &amp; " / " &amp; IFERROR(SUMPRODUCT((B34:AF34=INDEX(T.Pikett.Bereich,4))*((B49:AF49)&lt;1/24*5)),0) + IFERROR(SUMPRODUCT((B34:AF34=INDEX(T.Pikett.Bereich,4))*((B49:AF49)&gt;=1/24*5)),0), IFERROR(SUMPRODUCT((B34:AF34=INDEX(T.Pikett.Bereich,4))*(WEEKDAY(B10:AF10,2)&lt;6)*(B11:AF11&lt;&gt;0)),0) &amp; " / " &amp; IFERROR(SUMPRODUCT((B34:AF34=INDEX(T.Pikett.Bereich,4))*(WEEKDAY(B10:AF10,2)&gt;5)*(B11:AF11&lt;&gt;0))+SUMPRODUCT((B34:AF34=INDEX(T.Pikett.Bereich,4))*(B11:AF11=0)),0) &amp; " / " &amp; IFERROR(SUMPRODUCT((B34:AF34=INDEX(T.Pikett.Bereich,4))*(WEEKDAY(B10:AF10,2)&lt;6)*(B11:AF11&lt;&gt;0)),0) + IFERROR(SUMPRODUCT((B34:AF34=INDEX(T.Pikett.Bereich,4))*(WEEKDAY(B10:AF10,2)&gt;5)*(B11:AF11&lt;&gt;0))+SUMPRODUCT((B34:AF34=INDEX(T.Pikett.Bereich,4))*(B11:AF11=0)),0))</f>
        <v>0 / 0 / 0</v>
      </c>
      <c r="AK34" s="172"/>
      <c r="AL34" s="172"/>
      <c r="AM34" s="172"/>
      <c r="AN34" s="171"/>
      <c r="AO34" s="172"/>
      <c r="AP34" s="172"/>
      <c r="AQ34" s="39"/>
    </row>
    <row r="35" s="148" customFormat="true" ht="15" hidden="false" customHeight="true" outlineLevel="1" collapsed="false">
      <c r="A35" s="175" t="s">
        <v>128</v>
      </c>
      <c r="B35" s="176"/>
      <c r="C35" s="176"/>
      <c r="D35" s="176"/>
      <c r="E35" s="177"/>
      <c r="F35" s="176"/>
      <c r="G35" s="176"/>
      <c r="H35" s="176"/>
      <c r="I35" s="176"/>
      <c r="J35" s="177"/>
      <c r="K35" s="176"/>
      <c r="L35" s="177"/>
      <c r="M35" s="176"/>
      <c r="N35" s="176"/>
      <c r="O35" s="176"/>
      <c r="P35" s="176"/>
      <c r="Q35" s="177"/>
      <c r="R35" s="176"/>
      <c r="S35" s="177"/>
      <c r="T35" s="177"/>
      <c r="U35" s="176"/>
      <c r="V35" s="176"/>
      <c r="W35" s="176"/>
      <c r="X35" s="177"/>
      <c r="Y35" s="176"/>
      <c r="Z35" s="178"/>
      <c r="AA35" s="176"/>
      <c r="AB35" s="176"/>
      <c r="AC35" s="176"/>
      <c r="AD35" s="176"/>
      <c r="AE35" s="177"/>
      <c r="AF35" s="176"/>
      <c r="AG35" s="168" t="str">
        <f aca="false">A35</f>
        <v>in</v>
      </c>
      <c r="AH35" s="146"/>
      <c r="AI35" s="179"/>
      <c r="AJ35" s="180"/>
      <c r="AK35" s="172"/>
      <c r="AL35" s="172"/>
      <c r="AM35" s="172"/>
      <c r="AN35" s="171"/>
      <c r="AO35" s="172"/>
      <c r="AP35" s="172"/>
      <c r="AQ35" s="39"/>
    </row>
    <row r="36" s="148" customFormat="true" ht="15" hidden="false" customHeight="true" outlineLevel="1" collapsed="false">
      <c r="A36" s="175" t="s">
        <v>129</v>
      </c>
      <c r="B36" s="176"/>
      <c r="C36" s="176"/>
      <c r="D36" s="176"/>
      <c r="E36" s="177"/>
      <c r="F36" s="176"/>
      <c r="G36" s="176"/>
      <c r="H36" s="176"/>
      <c r="I36" s="176"/>
      <c r="J36" s="177"/>
      <c r="K36" s="176"/>
      <c r="L36" s="177"/>
      <c r="M36" s="176"/>
      <c r="N36" s="176"/>
      <c r="O36" s="176"/>
      <c r="P36" s="176"/>
      <c r="Q36" s="177"/>
      <c r="R36" s="176"/>
      <c r="S36" s="177"/>
      <c r="T36" s="177"/>
      <c r="U36" s="176"/>
      <c r="V36" s="176"/>
      <c r="W36" s="176"/>
      <c r="X36" s="177"/>
      <c r="Y36" s="176"/>
      <c r="Z36" s="178"/>
      <c r="AA36" s="176"/>
      <c r="AB36" s="176"/>
      <c r="AC36" s="176"/>
      <c r="AD36" s="176"/>
      <c r="AE36" s="177"/>
      <c r="AF36" s="176"/>
      <c r="AG36" s="168" t="str">
        <f aca="false">A36</f>
        <v>out</v>
      </c>
      <c r="AH36" s="146"/>
      <c r="AI36" s="179"/>
      <c r="AJ36" s="180"/>
      <c r="AK36" s="172"/>
      <c r="AL36" s="172"/>
      <c r="AM36" s="172"/>
      <c r="AN36" s="171"/>
      <c r="AO36" s="172"/>
      <c r="AP36" s="172"/>
      <c r="AQ36" s="39"/>
    </row>
    <row r="37" s="148" customFormat="true" ht="15" hidden="false" customHeight="true" outlineLevel="1" collapsed="false">
      <c r="A37" s="175" t="s">
        <v>128</v>
      </c>
      <c r="B37" s="176"/>
      <c r="C37" s="176"/>
      <c r="D37" s="176"/>
      <c r="E37" s="177"/>
      <c r="F37" s="176"/>
      <c r="G37" s="176"/>
      <c r="H37" s="176"/>
      <c r="I37" s="176"/>
      <c r="J37" s="177"/>
      <c r="K37" s="176"/>
      <c r="L37" s="177"/>
      <c r="M37" s="176"/>
      <c r="N37" s="176"/>
      <c r="O37" s="176"/>
      <c r="P37" s="176"/>
      <c r="Q37" s="177"/>
      <c r="R37" s="176"/>
      <c r="S37" s="177"/>
      <c r="T37" s="177"/>
      <c r="U37" s="176"/>
      <c r="V37" s="176"/>
      <c r="W37" s="176"/>
      <c r="X37" s="177"/>
      <c r="Y37" s="176"/>
      <c r="Z37" s="178"/>
      <c r="AA37" s="176"/>
      <c r="AB37" s="176"/>
      <c r="AC37" s="176"/>
      <c r="AD37" s="176"/>
      <c r="AE37" s="177"/>
      <c r="AF37" s="176"/>
      <c r="AG37" s="168" t="str">
        <f aca="false">A37</f>
        <v>in</v>
      </c>
      <c r="AH37" s="146"/>
      <c r="AI37" s="179"/>
      <c r="AJ37" s="180"/>
      <c r="AK37" s="172"/>
      <c r="AL37" s="172"/>
      <c r="AM37" s="172"/>
      <c r="AN37" s="171"/>
      <c r="AO37" s="172"/>
      <c r="AP37" s="172"/>
      <c r="AQ37" s="39"/>
    </row>
    <row r="38" s="148" customFormat="true" ht="15" hidden="false" customHeight="true" outlineLevel="1" collapsed="false">
      <c r="A38" s="175" t="s">
        <v>129</v>
      </c>
      <c r="B38" s="176"/>
      <c r="C38" s="176"/>
      <c r="D38" s="176"/>
      <c r="E38" s="177"/>
      <c r="F38" s="176"/>
      <c r="G38" s="176"/>
      <c r="H38" s="176"/>
      <c r="I38" s="176"/>
      <c r="J38" s="177"/>
      <c r="K38" s="176"/>
      <c r="L38" s="177"/>
      <c r="M38" s="176"/>
      <c r="N38" s="176"/>
      <c r="O38" s="176"/>
      <c r="P38" s="176"/>
      <c r="Q38" s="177"/>
      <c r="R38" s="176"/>
      <c r="S38" s="177"/>
      <c r="T38" s="177"/>
      <c r="U38" s="176"/>
      <c r="V38" s="176"/>
      <c r="W38" s="176"/>
      <c r="X38" s="177"/>
      <c r="Y38" s="176"/>
      <c r="Z38" s="178"/>
      <c r="AA38" s="176"/>
      <c r="AB38" s="176"/>
      <c r="AC38" s="176"/>
      <c r="AD38" s="176"/>
      <c r="AE38" s="177"/>
      <c r="AF38" s="176"/>
      <c r="AG38" s="168" t="str">
        <f aca="false">A38</f>
        <v>out</v>
      </c>
      <c r="AH38" s="146"/>
      <c r="AI38" s="179"/>
      <c r="AJ38" s="180"/>
      <c r="AK38" s="172"/>
      <c r="AL38" s="172"/>
      <c r="AM38" s="172"/>
      <c r="AN38" s="171"/>
      <c r="AO38" s="172"/>
      <c r="AP38" s="172"/>
      <c r="AQ38" s="39"/>
    </row>
    <row r="39" s="148" customFormat="true" ht="15" hidden="false" customHeight="true" outlineLevel="1" collapsed="false">
      <c r="A39" s="175" t="s">
        <v>128</v>
      </c>
      <c r="B39" s="176"/>
      <c r="C39" s="176"/>
      <c r="D39" s="176"/>
      <c r="E39" s="177"/>
      <c r="F39" s="176"/>
      <c r="G39" s="176"/>
      <c r="H39" s="176"/>
      <c r="I39" s="176"/>
      <c r="J39" s="177"/>
      <c r="K39" s="176"/>
      <c r="L39" s="177"/>
      <c r="M39" s="176"/>
      <c r="N39" s="176"/>
      <c r="O39" s="176"/>
      <c r="P39" s="176"/>
      <c r="Q39" s="177"/>
      <c r="R39" s="176"/>
      <c r="S39" s="177"/>
      <c r="T39" s="177"/>
      <c r="U39" s="176"/>
      <c r="V39" s="176"/>
      <c r="W39" s="176"/>
      <c r="X39" s="177"/>
      <c r="Y39" s="176"/>
      <c r="Z39" s="178"/>
      <c r="AA39" s="176"/>
      <c r="AB39" s="176"/>
      <c r="AC39" s="176"/>
      <c r="AD39" s="176"/>
      <c r="AE39" s="177"/>
      <c r="AF39" s="176"/>
      <c r="AG39" s="168" t="str">
        <f aca="false">A39</f>
        <v>in</v>
      </c>
      <c r="AH39" s="146"/>
      <c r="AI39" s="179"/>
      <c r="AJ39" s="180"/>
      <c r="AK39" s="172"/>
      <c r="AL39" s="172"/>
      <c r="AM39" s="172"/>
      <c r="AN39" s="171"/>
      <c r="AO39" s="172"/>
      <c r="AP39" s="172"/>
      <c r="AQ39" s="39"/>
    </row>
    <row r="40" s="148" customFormat="true" ht="15" hidden="false" customHeight="true" outlineLevel="1" collapsed="false">
      <c r="A40" s="175" t="s">
        <v>129</v>
      </c>
      <c r="B40" s="176"/>
      <c r="C40" s="176"/>
      <c r="D40" s="176"/>
      <c r="E40" s="177"/>
      <c r="F40" s="176"/>
      <c r="G40" s="176"/>
      <c r="H40" s="176"/>
      <c r="I40" s="176"/>
      <c r="J40" s="177"/>
      <c r="K40" s="176"/>
      <c r="L40" s="177"/>
      <c r="M40" s="176"/>
      <c r="N40" s="176"/>
      <c r="O40" s="176"/>
      <c r="P40" s="176"/>
      <c r="Q40" s="177"/>
      <c r="R40" s="176"/>
      <c r="S40" s="177"/>
      <c r="T40" s="177"/>
      <c r="U40" s="176"/>
      <c r="V40" s="176"/>
      <c r="W40" s="176"/>
      <c r="X40" s="177"/>
      <c r="Y40" s="176"/>
      <c r="Z40" s="178"/>
      <c r="AA40" s="176"/>
      <c r="AB40" s="176"/>
      <c r="AC40" s="176"/>
      <c r="AD40" s="176"/>
      <c r="AE40" s="177"/>
      <c r="AF40" s="176"/>
      <c r="AG40" s="168" t="str">
        <f aca="false">A40</f>
        <v>out</v>
      </c>
      <c r="AH40" s="146"/>
      <c r="AI40" s="179"/>
      <c r="AJ40" s="180"/>
      <c r="AK40" s="172"/>
      <c r="AL40" s="172"/>
      <c r="AM40" s="172"/>
      <c r="AN40" s="171"/>
      <c r="AO40" s="172"/>
      <c r="AP40" s="172"/>
      <c r="AQ40" s="39"/>
    </row>
    <row r="41" s="148" customFormat="true" ht="15" hidden="true" customHeight="true" outlineLevel="1" collapsed="false">
      <c r="A41" s="175" t="s">
        <v>128</v>
      </c>
      <c r="B41" s="176"/>
      <c r="C41" s="176"/>
      <c r="D41" s="176"/>
      <c r="E41" s="177"/>
      <c r="F41" s="176"/>
      <c r="G41" s="176"/>
      <c r="H41" s="176"/>
      <c r="I41" s="176"/>
      <c r="J41" s="177"/>
      <c r="K41" s="176"/>
      <c r="L41" s="177"/>
      <c r="M41" s="176"/>
      <c r="N41" s="176"/>
      <c r="O41" s="176"/>
      <c r="P41" s="176"/>
      <c r="Q41" s="177"/>
      <c r="R41" s="176"/>
      <c r="S41" s="177"/>
      <c r="T41" s="177"/>
      <c r="U41" s="176"/>
      <c r="V41" s="176"/>
      <c r="W41" s="176"/>
      <c r="X41" s="177"/>
      <c r="Y41" s="176"/>
      <c r="Z41" s="178"/>
      <c r="AA41" s="176"/>
      <c r="AB41" s="176"/>
      <c r="AC41" s="176"/>
      <c r="AD41" s="176"/>
      <c r="AE41" s="177"/>
      <c r="AF41" s="176"/>
      <c r="AG41" s="168" t="str">
        <f aca="false">A41</f>
        <v>in</v>
      </c>
      <c r="AH41" s="146"/>
      <c r="AI41" s="179"/>
      <c r="AJ41" s="180"/>
      <c r="AK41" s="172"/>
      <c r="AL41" s="172"/>
      <c r="AM41" s="172"/>
      <c r="AN41" s="171"/>
      <c r="AO41" s="172"/>
      <c r="AP41" s="172"/>
      <c r="AQ41" s="39"/>
    </row>
    <row r="42" s="148" customFormat="true" ht="15" hidden="true" customHeight="true" outlineLevel="1" collapsed="false">
      <c r="A42" s="175" t="s">
        <v>129</v>
      </c>
      <c r="B42" s="176"/>
      <c r="C42" s="176"/>
      <c r="D42" s="176"/>
      <c r="E42" s="177"/>
      <c r="F42" s="176"/>
      <c r="G42" s="176"/>
      <c r="H42" s="176"/>
      <c r="I42" s="176"/>
      <c r="J42" s="177"/>
      <c r="K42" s="176"/>
      <c r="L42" s="177"/>
      <c r="M42" s="176"/>
      <c r="N42" s="176"/>
      <c r="O42" s="176"/>
      <c r="P42" s="176"/>
      <c r="Q42" s="177"/>
      <c r="R42" s="176"/>
      <c r="S42" s="177"/>
      <c r="T42" s="177"/>
      <c r="U42" s="176"/>
      <c r="V42" s="176"/>
      <c r="W42" s="176"/>
      <c r="X42" s="177"/>
      <c r="Y42" s="176"/>
      <c r="Z42" s="178"/>
      <c r="AA42" s="176"/>
      <c r="AB42" s="176"/>
      <c r="AC42" s="176"/>
      <c r="AD42" s="176"/>
      <c r="AE42" s="177"/>
      <c r="AF42" s="176"/>
      <c r="AG42" s="168" t="str">
        <f aca="false">A42</f>
        <v>out</v>
      </c>
      <c r="AH42" s="146"/>
      <c r="AI42" s="179"/>
      <c r="AJ42" s="180"/>
      <c r="AK42" s="172"/>
      <c r="AL42" s="172"/>
      <c r="AM42" s="172"/>
      <c r="AN42" s="171"/>
      <c r="AO42" s="172"/>
      <c r="AP42" s="172"/>
      <c r="AQ42" s="39"/>
    </row>
    <row r="43" s="148" customFormat="true" ht="15" hidden="true" customHeight="true" outlineLevel="1" collapsed="false">
      <c r="A43" s="175" t="s">
        <v>128</v>
      </c>
      <c r="B43" s="176"/>
      <c r="C43" s="176"/>
      <c r="D43" s="176"/>
      <c r="E43" s="177"/>
      <c r="F43" s="176"/>
      <c r="G43" s="176"/>
      <c r="H43" s="176"/>
      <c r="I43" s="176"/>
      <c r="J43" s="177"/>
      <c r="K43" s="176"/>
      <c r="L43" s="177"/>
      <c r="M43" s="176"/>
      <c r="N43" s="176"/>
      <c r="O43" s="176"/>
      <c r="P43" s="176"/>
      <c r="Q43" s="177"/>
      <c r="R43" s="176"/>
      <c r="S43" s="177"/>
      <c r="T43" s="177"/>
      <c r="U43" s="176"/>
      <c r="V43" s="176"/>
      <c r="W43" s="176"/>
      <c r="X43" s="177"/>
      <c r="Y43" s="176"/>
      <c r="Z43" s="178"/>
      <c r="AA43" s="176"/>
      <c r="AB43" s="176"/>
      <c r="AC43" s="176"/>
      <c r="AD43" s="176"/>
      <c r="AE43" s="177"/>
      <c r="AF43" s="176"/>
      <c r="AG43" s="168" t="str">
        <f aca="false">A43</f>
        <v>in</v>
      </c>
      <c r="AH43" s="146"/>
      <c r="AI43" s="179"/>
      <c r="AJ43" s="180"/>
      <c r="AK43" s="172"/>
      <c r="AL43" s="172"/>
      <c r="AM43" s="172"/>
      <c r="AN43" s="171"/>
      <c r="AO43" s="172"/>
      <c r="AP43" s="172"/>
      <c r="AQ43" s="39"/>
    </row>
    <row r="44" s="148" customFormat="true" ht="15" hidden="true" customHeight="true" outlineLevel="1" collapsed="false">
      <c r="A44" s="175" t="s">
        <v>129</v>
      </c>
      <c r="B44" s="176"/>
      <c r="C44" s="176"/>
      <c r="D44" s="176"/>
      <c r="E44" s="177"/>
      <c r="F44" s="176"/>
      <c r="G44" s="176"/>
      <c r="H44" s="176"/>
      <c r="I44" s="176"/>
      <c r="J44" s="177"/>
      <c r="K44" s="176"/>
      <c r="L44" s="177"/>
      <c r="M44" s="176"/>
      <c r="N44" s="176"/>
      <c r="O44" s="176"/>
      <c r="P44" s="176"/>
      <c r="Q44" s="177"/>
      <c r="R44" s="176"/>
      <c r="S44" s="177"/>
      <c r="T44" s="177"/>
      <c r="U44" s="176"/>
      <c r="V44" s="176"/>
      <c r="W44" s="176"/>
      <c r="X44" s="177"/>
      <c r="Y44" s="176"/>
      <c r="Z44" s="178"/>
      <c r="AA44" s="176"/>
      <c r="AB44" s="176"/>
      <c r="AC44" s="176"/>
      <c r="AD44" s="176"/>
      <c r="AE44" s="177"/>
      <c r="AF44" s="176"/>
      <c r="AG44" s="168" t="str">
        <f aca="false">A44</f>
        <v>out</v>
      </c>
      <c r="AH44" s="146"/>
      <c r="AI44" s="179"/>
      <c r="AJ44" s="180"/>
      <c r="AK44" s="172"/>
      <c r="AL44" s="172"/>
      <c r="AM44" s="172"/>
      <c r="AN44" s="171"/>
      <c r="AO44" s="172"/>
      <c r="AP44" s="172"/>
      <c r="AQ44" s="39"/>
    </row>
    <row r="45" s="148" customFormat="true" ht="15" hidden="false" customHeight="true" outlineLevel="1" collapsed="false">
      <c r="A45" s="181" t="s">
        <v>135</v>
      </c>
      <c r="B45" s="182" t="n">
        <f aca="false">ROUND((B36-B35)+(B38-B37)+(B40-B39)+(B42-B41)+(B44-B43),9)</f>
        <v>0</v>
      </c>
      <c r="C45" s="182" t="n">
        <f aca="false">ROUND((C36-C35)+(C38-C37)+(C40-C39)+(C42-C41)+(C44-C43),9)</f>
        <v>0</v>
      </c>
      <c r="D45" s="182" t="n">
        <f aca="false">ROUND((D36-D35)+(D38-D37)+(D40-D39)+(D42-D41)+(D44-D43),9)</f>
        <v>0</v>
      </c>
      <c r="E45" s="182" t="n">
        <f aca="false">ROUND((E36-E35)+(E38-E37)+(E40-E39)+(E42-E41)+(E44-E43),9)</f>
        <v>0</v>
      </c>
      <c r="F45" s="182" t="n">
        <f aca="false">ROUND((F36-F35)+(F38-F37)+(F40-F39)+(F42-F41)+(F44-F43),9)</f>
        <v>0</v>
      </c>
      <c r="G45" s="182" t="n">
        <f aca="false">ROUND((G36-G35)+(G38-G37)+(G40-G39)+(G42-G41)+(G44-G43),9)</f>
        <v>0</v>
      </c>
      <c r="H45" s="182" t="n">
        <f aca="false">ROUND((H36-H35)+(H38-H37)+(H40-H39)+(H42-H41)+(H44-H43),9)</f>
        <v>0</v>
      </c>
      <c r="I45" s="182" t="n">
        <f aca="false">ROUND((I36-I35)+(I38-I37)+(I40-I39)+(I42-I41)+(I44-I43),9)</f>
        <v>0</v>
      </c>
      <c r="J45" s="182" t="n">
        <f aca="false">ROUND((J36-J35)+(J38-J37)+(J40-J39)+(J42-J41)+(J44-J43),9)</f>
        <v>0</v>
      </c>
      <c r="K45" s="182" t="n">
        <f aca="false">ROUND((K36-K35)+(K38-K37)+(K40-K39)+(K42-K41)+(K44-K43),9)</f>
        <v>0</v>
      </c>
      <c r="L45" s="182" t="n">
        <f aca="false">ROUND((L36-L35)+(L38-L37)+(L40-L39)+(L42-L41)+(L44-L43),9)</f>
        <v>0</v>
      </c>
      <c r="M45" s="182" t="n">
        <f aca="false">ROUND((M36-M35)+(M38-M37)+(M40-M39)+(M42-M41)+(M44-M43),9)</f>
        <v>0</v>
      </c>
      <c r="N45" s="182" t="n">
        <f aca="false">ROUND((N36-N35)+(N38-N37)+(N40-N39)+(N42-N41)+(N44-N43),9)</f>
        <v>0</v>
      </c>
      <c r="O45" s="182" t="n">
        <f aca="false">ROUND((O36-O35)+(O38-O37)+(O40-O39)+(O42-O41)+(O44-O43),9)</f>
        <v>0</v>
      </c>
      <c r="P45" s="182" t="n">
        <f aca="false">ROUND((P36-P35)+(P38-P37)+(P40-P39)+(P42-P41)+(P44-P43),9)</f>
        <v>0</v>
      </c>
      <c r="Q45" s="182" t="n">
        <f aca="false">ROUND((Q36-Q35)+(Q38-Q37)+(Q40-Q39)+(Q42-Q41)+(Q44-Q43),9)</f>
        <v>0</v>
      </c>
      <c r="R45" s="182" t="n">
        <f aca="false">ROUND((R36-R35)+(R38-R37)+(R40-R39)+(R42-R41)+(R44-R43),9)</f>
        <v>0</v>
      </c>
      <c r="S45" s="182" t="n">
        <f aca="false">ROUND((S36-S35)+(S38-S37)+(S40-S39)+(S42-S41)+(S44-S43),9)</f>
        <v>0</v>
      </c>
      <c r="T45" s="182" t="n">
        <f aca="false">ROUND((T36-T35)+(T38-T37)+(T40-T39)+(T42-T41)+(T44-T43),9)</f>
        <v>0</v>
      </c>
      <c r="U45" s="182" t="n">
        <f aca="false">ROUND((U36-U35)+(U38-U37)+(U40-U39)+(U42-U41)+(U44-U43),9)</f>
        <v>0</v>
      </c>
      <c r="V45" s="182" t="n">
        <f aca="false">ROUND((V36-V35)+(V38-V37)+(V40-V39)+(V42-V41)+(V44-V43),9)</f>
        <v>0</v>
      </c>
      <c r="W45" s="182" t="n">
        <f aca="false">ROUND((W36-W35)+(W38-W37)+(W40-W39)+(W42-W41)+(W44-W43),9)</f>
        <v>0</v>
      </c>
      <c r="X45" s="182" t="n">
        <f aca="false">ROUND((X36-X35)+(X38-X37)+(X40-X39)+(X42-X41)+(X44-X43),9)</f>
        <v>0</v>
      </c>
      <c r="Y45" s="182" t="n">
        <f aca="false">ROUND((Y36-Y35)+(Y38-Y37)+(Y40-Y39)+(Y42-Y41)+(Y44-Y43),9)</f>
        <v>0</v>
      </c>
      <c r="Z45" s="182" t="n">
        <f aca="false">ROUND((Z36-Z35)+(Z38-Z37)+(Z40-Z39)+(Z42-Z41)+(Z44-Z43),9)</f>
        <v>0</v>
      </c>
      <c r="AA45" s="182" t="n">
        <f aca="false">ROUND((AA36-AA35)+(AA38-AA37)+(AA40-AA39)+(AA42-AA41)+(AA44-AA43),9)</f>
        <v>0</v>
      </c>
      <c r="AB45" s="182" t="n">
        <f aca="false">ROUND((AB36-AB35)+(AB38-AB37)+(AB40-AB39)+(AB42-AB41)+(AB44-AB43),9)</f>
        <v>0</v>
      </c>
      <c r="AC45" s="182" t="n">
        <f aca="false">ROUND((AC36-AC35)+(AC38-AC37)+(AC40-AC39)+(AC42-AC41)+(AC44-AC43),9)</f>
        <v>0</v>
      </c>
      <c r="AD45" s="182" t="n">
        <f aca="false">ROUND((AD36-AD35)+(AD38-AD37)+(AD40-AD39)+(AD42-AD41)+(AD44-AD43),9)</f>
        <v>0</v>
      </c>
      <c r="AE45" s="182" t="n">
        <f aca="false">ROUND((AE36-AE35)+(AE38-AE37)+(AE40-AE39)+(AE42-AE41)+(AE44-AE43),9)</f>
        <v>0</v>
      </c>
      <c r="AF45" s="182" t="n">
        <f aca="false">ROUND((AF36-AF35)+(AF38-AF37)+(AF40-AF39)+(AF42-AF41)+(AF44-AF43),9)</f>
        <v>0</v>
      </c>
      <c r="AG45" s="183" t="str">
        <f aca="false">A45</f>
        <v>Total on call standby in/out</v>
      </c>
      <c r="AH45" s="184"/>
      <c r="AI45" s="185" t="n">
        <f aca="false">SUM(B45:AF45)</f>
        <v>0</v>
      </c>
      <c r="AJ45" s="180"/>
      <c r="AK45" s="172"/>
      <c r="AL45" s="172"/>
      <c r="AM45" s="172"/>
      <c r="AN45" s="171"/>
      <c r="AO45" s="172"/>
      <c r="AP45" s="172"/>
      <c r="AQ45" s="39"/>
    </row>
    <row r="46" s="148" customFormat="true" ht="3.75" hidden="false" customHeight="true" outlineLevel="0" collapsed="false">
      <c r="A46" s="186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179"/>
      <c r="AG46" s="168"/>
      <c r="AH46" s="146"/>
      <c r="AI46" s="179"/>
      <c r="AJ46" s="180"/>
      <c r="AK46" s="172"/>
      <c r="AL46" s="172"/>
      <c r="AM46" s="172"/>
      <c r="AN46" s="171"/>
      <c r="AO46" s="172"/>
      <c r="AP46" s="172"/>
      <c r="AQ46" s="39"/>
    </row>
    <row r="47" s="148" customFormat="true" ht="16.5" hidden="true" customHeight="true" outlineLevel="1" collapsed="false">
      <c r="A47" s="181" t="s">
        <v>136</v>
      </c>
      <c r="B47" s="182" t="n">
        <f aca="false">IF(B45&gt;0,ROUND(B45- IF(B35&lt;T.PikettVetsuissebis,MIN(T.PikettVetsuissebis-B35,B36-B35)+IF(B37&lt;T.PikettVetsuissebis,MIN(T.PikettVetsuissebis-B37,B38-B37)+IF(B39&lt;T.PikettVetsuissebis,MIN(T.PikettVetsuissebis-B39,B40-B39)+IF(B41&lt;T.PikettVetsuissebis,MIN(T.PikettVetsuissebis-B41,B42-B41)+IF(B43&lt;T.PikettVetsuissebis,MIN(T.PikettVetsuissebis-B43,B44-B43),0),0),0),0),0),9),0)</f>
        <v>0</v>
      </c>
      <c r="C47" s="182" t="n">
        <f aca="false">IF(C45&gt;0,ROUND(C45- IF(C35&lt;T.PikettVetsuissebis,MIN(T.PikettVetsuissebis-C35,C36-C35)+IF(C37&lt;T.PikettVetsuissebis,MIN(T.PikettVetsuissebis-C37,C38-C37)+IF(C39&lt;T.PikettVetsuissebis,MIN(T.PikettVetsuissebis-C39,C40-C39)+IF(C41&lt;T.PikettVetsuissebis,MIN(T.PikettVetsuissebis-C41,C42-C41)+IF(C43&lt;T.PikettVetsuissebis,MIN(T.PikettVetsuissebis-C43,C44-C43),0),0),0),0),0),9),0)</f>
        <v>0</v>
      </c>
      <c r="D47" s="182" t="n">
        <f aca="false">IF(D45&gt;0,ROUND(D45- IF(D35&lt;T.PikettVetsuissebis,MIN(T.PikettVetsuissebis-D35,D36-D35)+IF(D37&lt;T.PikettVetsuissebis,MIN(T.PikettVetsuissebis-D37,D38-D37)+IF(D39&lt;T.PikettVetsuissebis,MIN(T.PikettVetsuissebis-D39,D40-D39)+IF(D41&lt;T.PikettVetsuissebis,MIN(T.PikettVetsuissebis-D41,D42-D41)+IF(D43&lt;T.PikettVetsuissebis,MIN(T.PikettVetsuissebis-D43,D44-D43),0),0),0),0),0),9),0)</f>
        <v>0</v>
      </c>
      <c r="E47" s="182" t="n">
        <f aca="false">IF(E45&gt;0,ROUND(E45- IF(E35&lt;T.PikettVetsuissebis,MIN(T.PikettVetsuissebis-E35,E36-E35)+IF(E37&lt;T.PikettVetsuissebis,MIN(T.PikettVetsuissebis-E37,E38-E37)+IF(E39&lt;T.PikettVetsuissebis,MIN(T.PikettVetsuissebis-E39,E40-E39)+IF(E41&lt;T.PikettVetsuissebis,MIN(T.PikettVetsuissebis-E41,E42-E41)+IF(E43&lt;T.PikettVetsuissebis,MIN(T.PikettVetsuissebis-E43,E44-E43),0),0),0),0),0),9),0)</f>
        <v>0</v>
      </c>
      <c r="F47" s="182" t="n">
        <f aca="false">IF(F45&gt;0,ROUND(F45- IF(F35&lt;T.PikettVetsuissebis,MIN(T.PikettVetsuissebis-F35,F36-F35)+IF(F37&lt;T.PikettVetsuissebis,MIN(T.PikettVetsuissebis-F37,F38-F37)+IF(F39&lt;T.PikettVetsuissebis,MIN(T.PikettVetsuissebis-F39,F40-F39)+IF(F41&lt;T.PikettVetsuissebis,MIN(T.PikettVetsuissebis-F41,F42-F41)+IF(F43&lt;T.PikettVetsuissebis,MIN(T.PikettVetsuissebis-F43,F44-F43),0),0),0),0),0),9),0)</f>
        <v>0</v>
      </c>
      <c r="G47" s="182" t="n">
        <f aca="false">IF(G45&gt;0,ROUND(G45- IF(G35&lt;T.PikettVetsuissebis,MIN(T.PikettVetsuissebis-G35,G36-G35)+IF(G37&lt;T.PikettVetsuissebis,MIN(T.PikettVetsuissebis-G37,G38-G37)+IF(G39&lt;T.PikettVetsuissebis,MIN(T.PikettVetsuissebis-G39,G40-G39)+IF(G41&lt;T.PikettVetsuissebis,MIN(T.PikettVetsuissebis-G41,G42-G41)+IF(G43&lt;T.PikettVetsuissebis,MIN(T.PikettVetsuissebis-G43,G44-G43),0),0),0),0),0),9),0)</f>
        <v>0</v>
      </c>
      <c r="H47" s="182" t="n">
        <f aca="false">IF(H45&gt;0,ROUND(H45- IF(H35&lt;T.PikettVetsuissebis,MIN(T.PikettVetsuissebis-H35,H36-H35)+IF(H37&lt;T.PikettVetsuissebis,MIN(T.PikettVetsuissebis-H37,H38-H37)+IF(H39&lt;T.PikettVetsuissebis,MIN(T.PikettVetsuissebis-H39,H40-H39)+IF(H41&lt;T.PikettVetsuissebis,MIN(T.PikettVetsuissebis-H41,H42-H41)+IF(H43&lt;T.PikettVetsuissebis,MIN(T.PikettVetsuissebis-H43,H44-H43),0),0),0),0),0),9),0)</f>
        <v>0</v>
      </c>
      <c r="I47" s="182" t="n">
        <f aca="false">IF(I45&gt;0,ROUND(I45- IF(I35&lt;T.PikettVetsuissebis,MIN(T.PikettVetsuissebis-I35,I36-I35)+IF(I37&lt;T.PikettVetsuissebis,MIN(T.PikettVetsuissebis-I37,I38-I37)+IF(I39&lt;T.PikettVetsuissebis,MIN(T.PikettVetsuissebis-I39,I40-I39)+IF(I41&lt;T.PikettVetsuissebis,MIN(T.PikettVetsuissebis-I41,I42-I41)+IF(I43&lt;T.PikettVetsuissebis,MIN(T.PikettVetsuissebis-I43,I44-I43),0),0),0),0),0),9),0)</f>
        <v>0</v>
      </c>
      <c r="J47" s="182" t="n">
        <f aca="false">IF(J45&gt;0,ROUND(J45- IF(J35&lt;T.PikettVetsuissebis,MIN(T.PikettVetsuissebis-J35,J36-J35)+IF(J37&lt;T.PikettVetsuissebis,MIN(T.PikettVetsuissebis-J37,J38-J37)+IF(J39&lt;T.PikettVetsuissebis,MIN(T.PikettVetsuissebis-J39,J40-J39)+IF(J41&lt;T.PikettVetsuissebis,MIN(T.PikettVetsuissebis-J41,J42-J41)+IF(J43&lt;T.PikettVetsuissebis,MIN(T.PikettVetsuissebis-J43,J44-J43),0),0),0),0),0),9),0)</f>
        <v>0</v>
      </c>
      <c r="K47" s="182" t="n">
        <f aca="false">IF(K45&gt;0,ROUND(K45- IF(K35&lt;T.PikettVetsuissebis,MIN(T.PikettVetsuissebis-K35,K36-K35)+IF(K37&lt;T.PikettVetsuissebis,MIN(T.PikettVetsuissebis-K37,K38-K37)+IF(K39&lt;T.PikettVetsuissebis,MIN(T.PikettVetsuissebis-K39,K40-K39)+IF(K41&lt;T.PikettVetsuissebis,MIN(T.PikettVetsuissebis-K41,K42-K41)+IF(K43&lt;T.PikettVetsuissebis,MIN(T.PikettVetsuissebis-K43,K44-K43),0),0),0),0),0),9),0)</f>
        <v>0</v>
      </c>
      <c r="L47" s="182" t="n">
        <f aca="false">IF(L45&gt;0,ROUND(L45- IF(L35&lt;T.PikettVetsuissebis,MIN(T.PikettVetsuissebis-L35,L36-L35)+IF(L37&lt;T.PikettVetsuissebis,MIN(T.PikettVetsuissebis-L37,L38-L37)+IF(L39&lt;T.PikettVetsuissebis,MIN(T.PikettVetsuissebis-L39,L40-L39)+IF(L41&lt;T.PikettVetsuissebis,MIN(T.PikettVetsuissebis-L41,L42-L41)+IF(L43&lt;T.PikettVetsuissebis,MIN(T.PikettVetsuissebis-L43,L44-L43),0),0),0),0),0),9),0)</f>
        <v>0</v>
      </c>
      <c r="M47" s="182" t="n">
        <f aca="false">IF(M45&gt;0,ROUND(M45- IF(M35&lt;T.PikettVetsuissebis,MIN(T.PikettVetsuissebis-M35,M36-M35)+IF(M37&lt;T.PikettVetsuissebis,MIN(T.PikettVetsuissebis-M37,M38-M37)+IF(M39&lt;T.PikettVetsuissebis,MIN(T.PikettVetsuissebis-M39,M40-M39)+IF(M41&lt;T.PikettVetsuissebis,MIN(T.PikettVetsuissebis-M41,M42-M41)+IF(M43&lt;T.PikettVetsuissebis,MIN(T.PikettVetsuissebis-M43,M44-M43),0),0),0),0),0),9),0)</f>
        <v>0</v>
      </c>
      <c r="N47" s="182" t="n">
        <f aca="false">IF(N45&gt;0,ROUND(N45- IF(N35&lt;T.PikettVetsuissebis,MIN(T.PikettVetsuissebis-N35,N36-N35)+IF(N37&lt;T.PikettVetsuissebis,MIN(T.PikettVetsuissebis-N37,N38-N37)+IF(N39&lt;T.PikettVetsuissebis,MIN(T.PikettVetsuissebis-N39,N40-N39)+IF(N41&lt;T.PikettVetsuissebis,MIN(T.PikettVetsuissebis-N41,N42-N41)+IF(N43&lt;T.PikettVetsuissebis,MIN(T.PikettVetsuissebis-N43,N44-N43),0),0),0),0),0),9),0)</f>
        <v>0</v>
      </c>
      <c r="O47" s="182" t="n">
        <f aca="false">IF(O45&gt;0,ROUND(O45- IF(O35&lt;T.PikettVetsuissebis,MIN(T.PikettVetsuissebis-O35,O36-O35)+IF(O37&lt;T.PikettVetsuissebis,MIN(T.PikettVetsuissebis-O37,O38-O37)+IF(O39&lt;T.PikettVetsuissebis,MIN(T.PikettVetsuissebis-O39,O40-O39)+IF(O41&lt;T.PikettVetsuissebis,MIN(T.PikettVetsuissebis-O41,O42-O41)+IF(O43&lt;T.PikettVetsuissebis,MIN(T.PikettVetsuissebis-O43,O44-O43),0),0),0),0),0),9),0)</f>
        <v>0</v>
      </c>
      <c r="P47" s="182" t="n">
        <f aca="false">IF(P45&gt;0,ROUND(P45- IF(P35&lt;T.PikettVetsuissebis,MIN(T.PikettVetsuissebis-P35,P36-P35)+IF(P37&lt;T.PikettVetsuissebis,MIN(T.PikettVetsuissebis-P37,P38-P37)+IF(P39&lt;T.PikettVetsuissebis,MIN(T.PikettVetsuissebis-P39,P40-P39)+IF(P41&lt;T.PikettVetsuissebis,MIN(T.PikettVetsuissebis-P41,P42-P41)+IF(P43&lt;T.PikettVetsuissebis,MIN(T.PikettVetsuissebis-P43,P44-P43),0),0),0),0),0),9),0)</f>
        <v>0</v>
      </c>
      <c r="Q47" s="182" t="n">
        <f aca="false">IF(Q45&gt;0,ROUND(Q45- IF(Q35&lt;T.PikettVetsuissebis,MIN(T.PikettVetsuissebis-Q35,Q36-Q35)+IF(Q37&lt;T.PikettVetsuissebis,MIN(T.PikettVetsuissebis-Q37,Q38-Q37)+IF(Q39&lt;T.PikettVetsuissebis,MIN(T.PikettVetsuissebis-Q39,Q40-Q39)+IF(Q41&lt;T.PikettVetsuissebis,MIN(T.PikettVetsuissebis-Q41,Q42-Q41)+IF(Q43&lt;T.PikettVetsuissebis,MIN(T.PikettVetsuissebis-Q43,Q44-Q43),0),0),0),0),0),9),0)</f>
        <v>0</v>
      </c>
      <c r="R47" s="182" t="n">
        <f aca="false">IF(R45&gt;0,ROUND(R45- IF(R35&lt;T.PikettVetsuissebis,MIN(T.PikettVetsuissebis-R35,R36-R35)+IF(R37&lt;T.PikettVetsuissebis,MIN(T.PikettVetsuissebis-R37,R38-R37)+IF(R39&lt;T.PikettVetsuissebis,MIN(T.PikettVetsuissebis-R39,R40-R39)+IF(R41&lt;T.PikettVetsuissebis,MIN(T.PikettVetsuissebis-R41,R42-R41)+IF(R43&lt;T.PikettVetsuissebis,MIN(T.PikettVetsuissebis-R43,R44-R43),0),0),0),0),0),9),0)</f>
        <v>0</v>
      </c>
      <c r="S47" s="182" t="n">
        <f aca="false">IF(S45&gt;0,ROUND(S45- IF(S35&lt;T.PikettVetsuissebis,MIN(T.PikettVetsuissebis-S35,S36-S35)+IF(S37&lt;T.PikettVetsuissebis,MIN(T.PikettVetsuissebis-S37,S38-S37)+IF(S39&lt;T.PikettVetsuissebis,MIN(T.PikettVetsuissebis-S39,S40-S39)+IF(S41&lt;T.PikettVetsuissebis,MIN(T.PikettVetsuissebis-S41,S42-S41)+IF(S43&lt;T.PikettVetsuissebis,MIN(T.PikettVetsuissebis-S43,S44-S43),0),0),0),0),0),9),0)</f>
        <v>0</v>
      </c>
      <c r="T47" s="182" t="n">
        <f aca="false">IF(T45&gt;0,ROUND(T45- IF(T35&lt;T.PikettVetsuissebis,MIN(T.PikettVetsuissebis-T35,T36-T35)+IF(T37&lt;T.PikettVetsuissebis,MIN(T.PikettVetsuissebis-T37,T38-T37)+IF(T39&lt;T.PikettVetsuissebis,MIN(T.PikettVetsuissebis-T39,T40-T39)+IF(T41&lt;T.PikettVetsuissebis,MIN(T.PikettVetsuissebis-T41,T42-T41)+IF(T43&lt;T.PikettVetsuissebis,MIN(T.PikettVetsuissebis-T43,T44-T43),0),0),0),0),0),9),0)</f>
        <v>0</v>
      </c>
      <c r="U47" s="182" t="n">
        <f aca="false">IF(U45&gt;0,ROUND(U45- IF(U35&lt;T.PikettVetsuissebis,MIN(T.PikettVetsuissebis-U35,U36-U35)+IF(U37&lt;T.PikettVetsuissebis,MIN(T.PikettVetsuissebis-U37,U38-U37)+IF(U39&lt;T.PikettVetsuissebis,MIN(T.PikettVetsuissebis-U39,U40-U39)+IF(U41&lt;T.PikettVetsuissebis,MIN(T.PikettVetsuissebis-U41,U42-U41)+IF(U43&lt;T.PikettVetsuissebis,MIN(T.PikettVetsuissebis-U43,U44-U43),0),0),0),0),0),9),0)</f>
        <v>0</v>
      </c>
      <c r="V47" s="182" t="n">
        <f aca="false">IF(V45&gt;0,ROUND(V45- IF(V35&lt;T.PikettVetsuissebis,MIN(T.PikettVetsuissebis-V35,V36-V35)+IF(V37&lt;T.PikettVetsuissebis,MIN(T.PikettVetsuissebis-V37,V38-V37)+IF(V39&lt;T.PikettVetsuissebis,MIN(T.PikettVetsuissebis-V39,V40-V39)+IF(V41&lt;T.PikettVetsuissebis,MIN(T.PikettVetsuissebis-V41,V42-V41)+IF(V43&lt;T.PikettVetsuissebis,MIN(T.PikettVetsuissebis-V43,V44-V43),0),0),0),0),0),9),0)</f>
        <v>0</v>
      </c>
      <c r="W47" s="182" t="n">
        <f aca="false">IF(W45&gt;0,ROUND(W45- IF(W35&lt;T.PikettVetsuissebis,MIN(T.PikettVetsuissebis-W35,W36-W35)+IF(W37&lt;T.PikettVetsuissebis,MIN(T.PikettVetsuissebis-W37,W38-W37)+IF(W39&lt;T.PikettVetsuissebis,MIN(T.PikettVetsuissebis-W39,W40-W39)+IF(W41&lt;T.PikettVetsuissebis,MIN(T.PikettVetsuissebis-W41,W42-W41)+IF(W43&lt;T.PikettVetsuissebis,MIN(T.PikettVetsuissebis-W43,W44-W43),0),0),0),0),0),9),0)</f>
        <v>0</v>
      </c>
      <c r="X47" s="182" t="n">
        <f aca="false">IF(X45&gt;0,ROUND(X45- IF(X35&lt;T.PikettVetsuissebis,MIN(T.PikettVetsuissebis-X35,X36-X35)+IF(X37&lt;T.PikettVetsuissebis,MIN(T.PikettVetsuissebis-X37,X38-X37)+IF(X39&lt;T.PikettVetsuissebis,MIN(T.PikettVetsuissebis-X39,X40-X39)+IF(X41&lt;T.PikettVetsuissebis,MIN(T.PikettVetsuissebis-X41,X42-X41)+IF(X43&lt;T.PikettVetsuissebis,MIN(T.PikettVetsuissebis-X43,X44-X43),0),0),0),0),0),9),0)</f>
        <v>0</v>
      </c>
      <c r="Y47" s="182" t="n">
        <f aca="false">IF(Y45&gt;0,ROUND(Y45- IF(Y35&lt;T.PikettVetsuissebis,MIN(T.PikettVetsuissebis-Y35,Y36-Y35)+IF(Y37&lt;T.PikettVetsuissebis,MIN(T.PikettVetsuissebis-Y37,Y38-Y37)+IF(Y39&lt;T.PikettVetsuissebis,MIN(T.PikettVetsuissebis-Y39,Y40-Y39)+IF(Y41&lt;T.PikettVetsuissebis,MIN(T.PikettVetsuissebis-Y41,Y42-Y41)+IF(Y43&lt;T.PikettVetsuissebis,MIN(T.PikettVetsuissebis-Y43,Y44-Y43),0),0),0),0),0),9),0)</f>
        <v>0</v>
      </c>
      <c r="Z47" s="182" t="n">
        <f aca="false">IF(Z45&gt;0,ROUND(Z45- IF(Z35&lt;T.PikettVetsuissebis,MIN(T.PikettVetsuissebis-Z35,Z36-Z35)+IF(Z37&lt;T.PikettVetsuissebis,MIN(T.PikettVetsuissebis-Z37,Z38-Z37)+IF(Z39&lt;T.PikettVetsuissebis,MIN(T.PikettVetsuissebis-Z39,Z40-Z39)+IF(Z41&lt;T.PikettVetsuissebis,MIN(T.PikettVetsuissebis-Z41,Z42-Z41)+IF(Z43&lt;T.PikettVetsuissebis,MIN(T.PikettVetsuissebis-Z43,Z44-Z43),0),0),0),0),0),9),0)</f>
        <v>0</v>
      </c>
      <c r="AA47" s="182" t="n">
        <f aca="false">IF(AA45&gt;0,ROUND(AA45- IF(AA35&lt;T.PikettVetsuissebis,MIN(T.PikettVetsuissebis-AA35,AA36-AA35)+IF(AA37&lt;T.PikettVetsuissebis,MIN(T.PikettVetsuissebis-AA37,AA38-AA37)+IF(AA39&lt;T.PikettVetsuissebis,MIN(T.PikettVetsuissebis-AA39,AA40-AA39)+IF(AA41&lt;T.PikettVetsuissebis,MIN(T.PikettVetsuissebis-AA41,AA42-AA41)+IF(AA43&lt;T.PikettVetsuissebis,MIN(T.PikettVetsuissebis-AA43,AA44-AA43),0),0),0),0),0),9),0)</f>
        <v>0</v>
      </c>
      <c r="AB47" s="182" t="n">
        <f aca="false">IF(AB45&gt;0,ROUND(AB45- IF(AB35&lt;T.PikettVetsuissebis,MIN(T.PikettVetsuissebis-AB35,AB36-AB35)+IF(AB37&lt;T.PikettVetsuissebis,MIN(T.PikettVetsuissebis-AB37,AB38-AB37)+IF(AB39&lt;T.PikettVetsuissebis,MIN(T.PikettVetsuissebis-AB39,AB40-AB39)+IF(AB41&lt;T.PikettVetsuissebis,MIN(T.PikettVetsuissebis-AB41,AB42-AB41)+IF(AB43&lt;T.PikettVetsuissebis,MIN(T.PikettVetsuissebis-AB43,AB44-AB43),0),0),0),0),0),9),0)</f>
        <v>0</v>
      </c>
      <c r="AC47" s="182" t="n">
        <f aca="false">IF(AC45&gt;0,ROUND(AC45- IF(AC35&lt;T.PikettVetsuissebis,MIN(T.PikettVetsuissebis-AC35,AC36-AC35)+IF(AC37&lt;T.PikettVetsuissebis,MIN(T.PikettVetsuissebis-AC37,AC38-AC37)+IF(AC39&lt;T.PikettVetsuissebis,MIN(T.PikettVetsuissebis-AC39,AC40-AC39)+IF(AC41&lt;T.PikettVetsuissebis,MIN(T.PikettVetsuissebis-AC41,AC42-AC41)+IF(AC43&lt;T.PikettVetsuissebis,MIN(T.PikettVetsuissebis-AC43,AC44-AC43),0),0),0),0),0),9),0)</f>
        <v>0</v>
      </c>
      <c r="AD47" s="182" t="n">
        <f aca="false">IF(AD45&gt;0,ROUND(AD45- IF(AD35&lt;T.PikettVetsuissebis,MIN(T.PikettVetsuissebis-AD35,AD36-AD35)+IF(AD37&lt;T.PikettVetsuissebis,MIN(T.PikettVetsuissebis-AD37,AD38-AD37)+IF(AD39&lt;T.PikettVetsuissebis,MIN(T.PikettVetsuissebis-AD39,AD40-AD39)+IF(AD41&lt;T.PikettVetsuissebis,MIN(T.PikettVetsuissebis-AD41,AD42-AD41)+IF(AD43&lt;T.PikettVetsuissebis,MIN(T.PikettVetsuissebis-AD43,AD44-AD43),0),0),0),0),0),9),0)</f>
        <v>0</v>
      </c>
      <c r="AE47" s="182" t="n">
        <f aca="false">IF(AE45&gt;0,ROUND(AE45- IF(AE35&lt;T.PikettVetsuissebis,MIN(T.PikettVetsuissebis-AE35,AE36-AE35)+IF(AE37&lt;T.PikettVetsuissebis,MIN(T.PikettVetsuissebis-AE37,AE38-AE37)+IF(AE39&lt;T.PikettVetsuissebis,MIN(T.PikettVetsuissebis-AE39,AE40-AE39)+IF(AE41&lt;T.PikettVetsuissebis,MIN(T.PikettVetsuissebis-AE41,AE42-AE41)+IF(AE43&lt;T.PikettVetsuissebis,MIN(T.PikettVetsuissebis-AE43,AE44-AE43),0),0),0),0),0),9),0)</f>
        <v>0</v>
      </c>
      <c r="AF47" s="182" t="n">
        <f aca="false">IF(AF45&gt;0,ROUND(AF45- IF(AF35&lt;T.PikettVetsuissebis,MIN(T.PikettVetsuissebis-AF35,AF36-AF35)+IF(AF37&lt;T.PikettVetsuissebis,MIN(T.PikettVetsuissebis-AF37,AF38-AF37)+IF(AF39&lt;T.PikettVetsuissebis,MIN(T.PikettVetsuissebis-AF39,AF40-AF39)+IF(AF41&lt;T.PikettVetsuissebis,MIN(T.PikettVetsuissebis-AF41,AF42-AF41)+IF(AF43&lt;T.PikettVetsuissebis,MIN(T.PikettVetsuissebis-AF43,AF44-AF43),0),0),0),0),0),9),0)</f>
        <v>0</v>
      </c>
      <c r="AG47" s="183" t="str">
        <f aca="false">A47</f>
        <v>Total on call hours today</v>
      </c>
      <c r="AH47" s="146"/>
      <c r="AI47" s="179"/>
      <c r="AJ47" s="180"/>
      <c r="AK47" s="172"/>
      <c r="AL47" s="172"/>
      <c r="AM47" s="172"/>
      <c r="AN47" s="171"/>
      <c r="AO47" s="172"/>
      <c r="AP47" s="172"/>
      <c r="AQ47" s="39"/>
    </row>
    <row r="48" s="148" customFormat="true" ht="16.5" hidden="true" customHeight="true" outlineLevel="1" collapsed="false">
      <c r="A48" s="181" t="s">
        <v>137</v>
      </c>
      <c r="B48" s="193" t="n">
        <f aca="false">B45-B47</f>
        <v>0</v>
      </c>
      <c r="C48" s="193" t="n">
        <f aca="false">C45-C47</f>
        <v>0</v>
      </c>
      <c r="D48" s="193" t="n">
        <f aca="false">D45-D47</f>
        <v>0</v>
      </c>
      <c r="E48" s="193" t="n">
        <f aca="false">E45-E47</f>
        <v>0</v>
      </c>
      <c r="F48" s="193" t="n">
        <f aca="false">F45-F47</f>
        <v>0</v>
      </c>
      <c r="G48" s="193" t="n">
        <f aca="false">G45-G47</f>
        <v>0</v>
      </c>
      <c r="H48" s="193" t="n">
        <f aca="false">H45-H47</f>
        <v>0</v>
      </c>
      <c r="I48" s="193" t="n">
        <f aca="false">I45-I47</f>
        <v>0</v>
      </c>
      <c r="J48" s="193" t="n">
        <f aca="false">J45-J47</f>
        <v>0</v>
      </c>
      <c r="K48" s="193" t="n">
        <f aca="false">K45-K47</f>
        <v>0</v>
      </c>
      <c r="L48" s="193" t="n">
        <f aca="false">L45-L47</f>
        <v>0</v>
      </c>
      <c r="M48" s="193" t="n">
        <f aca="false">M45-M47</f>
        <v>0</v>
      </c>
      <c r="N48" s="193" t="n">
        <f aca="false">N45-N47</f>
        <v>0</v>
      </c>
      <c r="O48" s="193" t="n">
        <f aca="false">O45-O47</f>
        <v>0</v>
      </c>
      <c r="P48" s="193" t="n">
        <f aca="false">P45-P47</f>
        <v>0</v>
      </c>
      <c r="Q48" s="193" t="n">
        <f aca="false">Q45-Q47</f>
        <v>0</v>
      </c>
      <c r="R48" s="193" t="n">
        <f aca="false">R45-R47</f>
        <v>0</v>
      </c>
      <c r="S48" s="193" t="n">
        <f aca="false">S45-S47</f>
        <v>0</v>
      </c>
      <c r="T48" s="193" t="n">
        <f aca="false">T45-T47</f>
        <v>0</v>
      </c>
      <c r="U48" s="193" t="n">
        <f aca="false">U45-U47</f>
        <v>0</v>
      </c>
      <c r="V48" s="193" t="n">
        <f aca="false">V45-V47</f>
        <v>0</v>
      </c>
      <c r="W48" s="193" t="n">
        <f aca="false">W45-W47</f>
        <v>0</v>
      </c>
      <c r="X48" s="193" t="n">
        <f aca="false">X45-X47</f>
        <v>0</v>
      </c>
      <c r="Y48" s="193" t="n">
        <f aca="false">Y45-Y47</f>
        <v>0</v>
      </c>
      <c r="Z48" s="193" t="n">
        <f aca="false">Z45-Z47</f>
        <v>0</v>
      </c>
      <c r="AA48" s="193" t="n">
        <f aca="false">AA45-AA47</f>
        <v>0</v>
      </c>
      <c r="AB48" s="193" t="n">
        <f aca="false">AB45-AB47</f>
        <v>0</v>
      </c>
      <c r="AC48" s="193" t="n">
        <f aca="false">AC45-AC47</f>
        <v>0</v>
      </c>
      <c r="AD48" s="193" t="n">
        <f aca="false">AD45-AD47</f>
        <v>0</v>
      </c>
      <c r="AE48" s="193" t="n">
        <f aca="false">AE45-AE47</f>
        <v>0</v>
      </c>
      <c r="AF48" s="193" t="n">
        <f aca="false">AF45-AF47</f>
        <v>0</v>
      </c>
      <c r="AG48" s="183" t="str">
        <f aca="false">A48</f>
        <v>Total on call hours yesterday</v>
      </c>
      <c r="AH48" s="146"/>
      <c r="AI48" s="179"/>
      <c r="AJ48" s="180"/>
      <c r="AK48" s="172"/>
      <c r="AL48" s="172"/>
      <c r="AM48" s="199" t="n">
        <f aca="false">IF(EB.Anwendung&lt;&gt;"",IF(MONTH(Monat.Tag1)=12,0,IF(MONTH(Monat.Tag1)=1,February!Monat.PikettgesternTag1,IF(MONTH(Monat.Tag1)=2,March!Monat.PikettgesternTag1,IF(MONTH(Monat.Tag1)=3,April!Monat.PikettgesternTag1,IF(MONTH(Monat.Tag1)=4,May!Monat.PikettgesternTag1,IF(MONTH(Monat.Tag1)=5,June!Monat.PikettgesternTag1,IF(MONTH(Monat.Tag1)=6,Monat.PikettgesternTag1,IF(MONTH(Monat.Tag1)=7,August!Monat.PikettgesternTag1,IF(MONTH(Monat.Tag1)=8,September!Monat.PikettgesternTag1,IF(MONTH(Monat.Tag1)=9,October!Monat.PikettgesternTag1,IF(MONTH(Monat.Tag1)=10,November!Monat.PikettgesternTag1,IF(MONTH(Monat.Tag1)=11,December!Monat.PikettgesternTag1,"")))))))))))),"")</f>
        <v>0</v>
      </c>
      <c r="AN48" s="171"/>
      <c r="AO48" s="172"/>
      <c r="AP48" s="172"/>
      <c r="AQ48" s="39"/>
    </row>
    <row r="49" s="148" customFormat="true" ht="16.5" hidden="true" customHeight="true" outlineLevel="1" collapsed="false">
      <c r="A49" s="181" t="s">
        <v>138</v>
      </c>
      <c r="B49" s="182" t="n">
        <f aca="false">B47+IF(B$10=EOMONTH(B$10,0),$AM48,C48)</f>
        <v>0</v>
      </c>
      <c r="C49" s="182" t="n">
        <f aca="false">C47+IF(C$10=EOMONTH(C$10,0),$AM48,D48)</f>
        <v>0</v>
      </c>
      <c r="D49" s="182" t="n">
        <f aca="false">D47+IF(D$10=EOMONTH(D$10,0),$AM48,E48)</f>
        <v>0</v>
      </c>
      <c r="E49" s="182" t="n">
        <f aca="false">E47+IF(E$10=EOMONTH(E$10,0),$AM48,F48)</f>
        <v>0</v>
      </c>
      <c r="F49" s="182" t="n">
        <f aca="false">F47+IF(F$10=EOMONTH(F$10,0),$AM48,G48)</f>
        <v>0</v>
      </c>
      <c r="G49" s="182" t="n">
        <f aca="false">G47+IF(G$10=EOMONTH(G$10,0),$AM48,H48)</f>
        <v>0</v>
      </c>
      <c r="H49" s="182" t="n">
        <f aca="false">H47+IF(H$10=EOMONTH(H$10,0),$AM48,I48)</f>
        <v>0</v>
      </c>
      <c r="I49" s="182" t="n">
        <f aca="false">I47+IF(I$10=EOMONTH(I$10,0),$AM48,J48)</f>
        <v>0</v>
      </c>
      <c r="J49" s="182" t="n">
        <f aca="false">J47+IF(J$10=EOMONTH(J$10,0),$AM48,K48)</f>
        <v>0</v>
      </c>
      <c r="K49" s="182" t="n">
        <f aca="false">K47+IF(K$10=EOMONTH(K$10,0),$AM48,L48)</f>
        <v>0</v>
      </c>
      <c r="L49" s="182" t="n">
        <f aca="false">L47+IF(L$10=EOMONTH(L$10,0),$AM48,M48)</f>
        <v>0</v>
      </c>
      <c r="M49" s="182" t="n">
        <f aca="false">M47+IF(M$10=EOMONTH(M$10,0),$AM48,N48)</f>
        <v>0</v>
      </c>
      <c r="N49" s="182" t="n">
        <f aca="false">N47+IF(N$10=EOMONTH(N$10,0),$AM48,O48)</f>
        <v>0</v>
      </c>
      <c r="O49" s="182" t="n">
        <f aca="false">O47+IF(O$10=EOMONTH(O$10,0),$AM48,P48)</f>
        <v>0</v>
      </c>
      <c r="P49" s="182" t="n">
        <f aca="false">P47+IF(P$10=EOMONTH(P$10,0),$AM48,Q48)</f>
        <v>0</v>
      </c>
      <c r="Q49" s="182" t="n">
        <f aca="false">Q47+IF(Q$10=EOMONTH(Q$10,0),$AM48,R48)</f>
        <v>0</v>
      </c>
      <c r="R49" s="182" t="n">
        <f aca="false">R47+IF(R$10=EOMONTH(R$10,0),$AM48,S48)</f>
        <v>0</v>
      </c>
      <c r="S49" s="182" t="n">
        <f aca="false">S47+IF(S$10=EOMONTH(S$10,0),$AM48,T48)</f>
        <v>0</v>
      </c>
      <c r="T49" s="182" t="n">
        <f aca="false">T47+IF(T$10=EOMONTH(T$10,0),$AM48,U48)</f>
        <v>0</v>
      </c>
      <c r="U49" s="182" t="n">
        <f aca="false">U47+IF(U$10=EOMONTH(U$10,0),$AM48,V48)</f>
        <v>0</v>
      </c>
      <c r="V49" s="182" t="n">
        <f aca="false">V47+IF(V$10=EOMONTH(V$10,0),$AM48,W48)</f>
        <v>0</v>
      </c>
      <c r="W49" s="182" t="n">
        <f aca="false">W47+IF(W$10=EOMONTH(W$10,0),$AM48,X48)</f>
        <v>0</v>
      </c>
      <c r="X49" s="182" t="n">
        <f aca="false">X47+IF(X$10=EOMONTH(X$10,0),$AM48,Y48)</f>
        <v>0</v>
      </c>
      <c r="Y49" s="182" t="n">
        <f aca="false">Y47+IF(Y$10=EOMONTH(Y$10,0),$AM48,Z48)</f>
        <v>0</v>
      </c>
      <c r="Z49" s="182" t="n">
        <f aca="false">Z47+IF(Z$10=EOMONTH(Z$10,0),$AM48,AA48)</f>
        <v>0</v>
      </c>
      <c r="AA49" s="182" t="n">
        <f aca="false">AA47+IF(AA$10=EOMONTH(AA$10,0),$AM48,AB48)</f>
        <v>0</v>
      </c>
      <c r="AB49" s="182" t="n">
        <f aca="false">AB47+IF(AB$10=EOMONTH(AB$10,0),$AM48,AC48)</f>
        <v>0</v>
      </c>
      <c r="AC49" s="182" t="n">
        <f aca="false">AC47+IF(AC$10=EOMONTH(AC$10,0),$AM48,AD48)</f>
        <v>0</v>
      </c>
      <c r="AD49" s="182" t="n">
        <f aca="false">AD47+IF(AD$10=EOMONTH(AD$10,0),$AM48,AE48)</f>
        <v>0</v>
      </c>
      <c r="AE49" s="182" t="n">
        <f aca="false">AE47+IF(AE$10=EOMONTH(AE$10,0),$AM48,AF48)</f>
        <v>0</v>
      </c>
      <c r="AF49" s="182" t="n">
        <f aca="false">AF47+IF(AF$10=EOMONTH(AF$10,0),$AM48,AG48)</f>
        <v>0</v>
      </c>
      <c r="AG49" s="183" t="str">
        <f aca="false">A49</f>
        <v>Total on call standby hours</v>
      </c>
      <c r="AH49" s="184"/>
      <c r="AI49" s="185" t="n">
        <f aca="false">SUM(B49:AF49)</f>
        <v>0</v>
      </c>
      <c r="AJ49" s="180"/>
      <c r="AK49" s="172"/>
      <c r="AL49" s="172"/>
      <c r="AM49" s="172"/>
      <c r="AN49" s="171"/>
      <c r="AO49" s="172"/>
      <c r="AP49" s="172"/>
      <c r="AQ49" s="39"/>
    </row>
    <row r="50" s="148" customFormat="true" ht="3.75" hidden="false" customHeight="true" outlineLevel="0" collapsed="false">
      <c r="A50" s="200"/>
      <c r="B50" s="187"/>
      <c r="C50" s="187"/>
      <c r="D50" s="187"/>
      <c r="E50" s="187"/>
      <c r="F50" s="187"/>
      <c r="G50" s="187"/>
      <c r="H50" s="187"/>
      <c r="I50" s="187"/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87"/>
      <c r="U50" s="187"/>
      <c r="V50" s="187"/>
      <c r="W50" s="187"/>
      <c r="X50" s="187"/>
      <c r="Y50" s="187"/>
      <c r="Z50" s="187"/>
      <c r="AA50" s="187"/>
      <c r="AB50" s="187"/>
      <c r="AC50" s="187"/>
      <c r="AD50" s="187"/>
      <c r="AE50" s="187"/>
      <c r="AF50" s="188"/>
      <c r="AG50" s="201"/>
      <c r="AH50" s="202"/>
      <c r="AI50" s="188"/>
      <c r="AJ50" s="180"/>
      <c r="AK50" s="172"/>
      <c r="AL50" s="172"/>
      <c r="AM50" s="172"/>
      <c r="AN50" s="171"/>
      <c r="AO50" s="172"/>
      <c r="AP50" s="172"/>
      <c r="AQ50" s="39"/>
    </row>
    <row r="51" s="148" customFormat="true" ht="15" hidden="false" customHeight="true" outlineLevel="0" collapsed="false">
      <c r="A51" s="181" t="s">
        <v>139</v>
      </c>
      <c r="B51" s="203" t="n">
        <f aca="false">ROUND(B23+B45+B84+SUM(B86:B95)+IF(T.50_Vetsuisse,B71,0),9)</f>
        <v>0</v>
      </c>
      <c r="C51" s="203" t="n">
        <f aca="false">ROUND(C23+C45+C84+SUM(C86:C95)+IF(T.50_Vetsuisse,C71,0),9)</f>
        <v>0</v>
      </c>
      <c r="D51" s="203" t="n">
        <f aca="false">ROUND(D23+D45+D84+SUM(D86:D95)+IF(T.50_Vetsuisse,D71,0),9)</f>
        <v>0</v>
      </c>
      <c r="E51" s="204" t="n">
        <f aca="false">ROUND(E23+E45+E84+SUM(E86:E95)+IF(T.50_Vetsuisse,E71,0),9)</f>
        <v>0</v>
      </c>
      <c r="F51" s="203" t="n">
        <f aca="false">ROUND(F23+F45+F84+SUM(F86:F95)+IF(T.50_Vetsuisse,F71,0),9)</f>
        <v>0</v>
      </c>
      <c r="G51" s="203" t="n">
        <f aca="false">ROUND(G23+G45+G84+SUM(G86:G95)+IF(T.50_Vetsuisse,G71,0),9)</f>
        <v>0</v>
      </c>
      <c r="H51" s="203" t="n">
        <f aca="false">ROUND(H23+H45+H84+SUM(H86:H95)+IF(T.50_Vetsuisse,H71,0),9)</f>
        <v>0</v>
      </c>
      <c r="I51" s="203" t="n">
        <f aca="false">ROUND(I23+I45+I84+SUM(I86:I95)+IF(T.50_Vetsuisse,I71,0),9)</f>
        <v>0</v>
      </c>
      <c r="J51" s="205" t="n">
        <f aca="false">ROUND(J23+J45+J84+SUM(J86:J95)+IF(T.50_Vetsuisse,J71,0),9)</f>
        <v>0</v>
      </c>
      <c r="K51" s="203" t="n">
        <f aca="false">ROUND(K23+K45+K84+SUM(K86:K95)+IF(T.50_Vetsuisse,K71,0),9)</f>
        <v>0</v>
      </c>
      <c r="L51" s="205" t="n">
        <f aca="false">ROUND(L23+L45+L84+SUM(L86:L95)+IF(T.50_Vetsuisse,L71,0),9)</f>
        <v>0</v>
      </c>
      <c r="M51" s="203" t="n">
        <f aca="false">ROUND(M23+M45+M84+SUM(M86:M95)+IF(T.50_Vetsuisse,M71,0),9)</f>
        <v>0</v>
      </c>
      <c r="N51" s="203" t="n">
        <f aca="false">ROUND(N23+N45+N84+SUM(N86:N95)+IF(T.50_Vetsuisse,N71,0),9)</f>
        <v>0</v>
      </c>
      <c r="O51" s="203" t="n">
        <f aca="false">ROUND(O23+O45+O84+SUM(O86:O95)+IF(T.50_Vetsuisse,O71,0),9)</f>
        <v>0</v>
      </c>
      <c r="P51" s="203" t="n">
        <f aca="false">ROUND(P23+P45+P84+SUM(P86:P95)+IF(T.50_Vetsuisse,P71,0),9)</f>
        <v>0</v>
      </c>
      <c r="Q51" s="205" t="n">
        <f aca="false">ROUND(Q23+Q45+Q84+SUM(Q86:Q95)+IF(T.50_Vetsuisse,Q71,0),9)</f>
        <v>0</v>
      </c>
      <c r="R51" s="203" t="n">
        <f aca="false">ROUND(R23+R45+R84+SUM(R86:R95)+IF(T.50_Vetsuisse,R71,0),9)</f>
        <v>0</v>
      </c>
      <c r="S51" s="205" t="n">
        <f aca="false">ROUND(S23+S45+S84+SUM(S86:S95)+IF(T.50_Vetsuisse,S71,0),9)</f>
        <v>0</v>
      </c>
      <c r="T51" s="205" t="n">
        <f aca="false">ROUND(T23+T45+T84+SUM(T86:T95)+IF(T.50_Vetsuisse,T71,0),9)</f>
        <v>0</v>
      </c>
      <c r="U51" s="203" t="n">
        <f aca="false">ROUND(U23+U45+U84+SUM(U86:U95)+IF(T.50_Vetsuisse,U71,0),9)</f>
        <v>0</v>
      </c>
      <c r="V51" s="203" t="n">
        <f aca="false">ROUND(V23+V45+V84+SUM(V86:V95)+IF(T.50_Vetsuisse,V71,0),9)</f>
        <v>0</v>
      </c>
      <c r="W51" s="203" t="n">
        <f aca="false">ROUND(W23+W45+W84+SUM(W86:W95)+IF(T.50_Vetsuisse,W71,0),9)</f>
        <v>0</v>
      </c>
      <c r="X51" s="205" t="n">
        <f aca="false">ROUND(X23+X45+X84+SUM(X86:X95)+IF(T.50_Vetsuisse,X71,0),9)</f>
        <v>0</v>
      </c>
      <c r="Y51" s="203" t="n">
        <f aca="false">ROUND(Y23+Y45+Y84+SUM(Y86:Y95)+IF(T.50_Vetsuisse,Y71,0),9)</f>
        <v>0</v>
      </c>
      <c r="Z51" s="206" t="n">
        <f aca="false">ROUND(Z23+Z45+Z84+SUM(Z86:Z95)+IF(T.50_Vetsuisse,Z71,0),9)</f>
        <v>0</v>
      </c>
      <c r="AA51" s="203" t="n">
        <f aca="false">ROUND(AA23+AA45+AA84+SUM(AA86:AA95)+IF(T.50_Vetsuisse,AA71,0),9)</f>
        <v>0</v>
      </c>
      <c r="AB51" s="203" t="n">
        <f aca="false">ROUND(AB23+AB45+AB84+SUM(AB86:AB95)+IF(T.50_Vetsuisse,AB71,0),9)</f>
        <v>0</v>
      </c>
      <c r="AC51" s="203" t="n">
        <f aca="false">ROUND(AC23+AC45+AC84+SUM(AC86:AC95)+IF(T.50_Vetsuisse,AC71,0),9)</f>
        <v>0</v>
      </c>
      <c r="AD51" s="203" t="n">
        <f aca="false">ROUND(AD23+AD45+AD84+SUM(AD86:AD95)+IF(T.50_Vetsuisse,AD71,0),9)</f>
        <v>0</v>
      </c>
      <c r="AE51" s="205" t="n">
        <f aca="false">ROUND(AE23+AE45+AE84+SUM(AE86:AE95)+IF(T.50_Vetsuisse,AE71,0),9)</f>
        <v>0</v>
      </c>
      <c r="AF51" s="203" t="n">
        <f aca="false">ROUND(AF23+AF45+AF84+SUM(AF86:AF95)+IF(T.50_Vetsuisse,AF71,0),9)</f>
        <v>0</v>
      </c>
      <c r="AG51" s="183" t="str">
        <f aca="false">A51</f>
        <v>Actual hours worked</v>
      </c>
      <c r="AH51" s="184"/>
      <c r="AI51" s="207" t="n">
        <f aca="false">SUM(B51:AF51)</f>
        <v>0</v>
      </c>
      <c r="AJ51" s="180"/>
      <c r="AK51" s="172"/>
      <c r="AL51" s="172"/>
      <c r="AM51" s="172"/>
      <c r="AN51" s="208" t="n">
        <f aca="true">IF(WEEKDAY(EOMONTH(Monat.Tag1,0),2)=7,0,MAX(0,SUM(OFFSET(B51,0,DAY(EOMONTH(Monat.Tag1,0))-WEEKDAY(EOMONTH(Monat.Tag1,0),2),1,WEEKDAY(EOMONTH(Monat.Tag1,0),2)))))</f>
        <v>0</v>
      </c>
      <c r="AO51" s="172"/>
      <c r="AP51" s="172"/>
      <c r="AQ51" s="39"/>
    </row>
    <row r="52" s="148" customFormat="true" ht="15" hidden="false" customHeight="true" outlineLevel="1" collapsed="false">
      <c r="A52" s="175" t="s">
        <v>140</v>
      </c>
      <c r="B52" s="209" t="n">
        <f aca="false">IF(B$12=0,0,ROUND(INDEX(Monat.RAZ1_7.Bereich,WEEKDAY(B$10,2))*B$11,9))</f>
        <v>0</v>
      </c>
      <c r="C52" s="209" t="n">
        <f aca="false">IF(C$12=0,0,ROUND(INDEX(Monat.RAZ1_7.Bereich,WEEKDAY(C$10,2))*C$11,9))</f>
        <v>0.35</v>
      </c>
      <c r="D52" s="210" t="n">
        <f aca="false">IF(D$12=0,0,ROUND(INDEX(Monat.RAZ1_7.Bereich,WEEKDAY(D$10,2))*D$11,9))</f>
        <v>0.35</v>
      </c>
      <c r="E52" s="209" t="n">
        <f aca="false">IF(E$12=0,0,ROUND(INDEX(Monat.RAZ1_7.Bereich,WEEKDAY(E$10,2))*E$11,9))</f>
        <v>0.35</v>
      </c>
      <c r="F52" s="210" t="n">
        <f aca="false">IF(F$12=0,0,ROUND(INDEX(Monat.RAZ1_7.Bereich,WEEKDAY(F$10,2))*F$11,9))</f>
        <v>0.35</v>
      </c>
      <c r="G52" s="210" t="n">
        <f aca="false">IF(G$12=0,0,ROUND(INDEX(Monat.RAZ1_7.Bereich,WEEKDAY(G$10,2))*G$11,9))</f>
        <v>0.35</v>
      </c>
      <c r="H52" s="210" t="n">
        <f aca="false">IF(H$12=0,0,ROUND(INDEX(Monat.RAZ1_7.Bereich,WEEKDAY(H$10,2))*H$11,9))</f>
        <v>0</v>
      </c>
      <c r="I52" s="210" t="n">
        <f aca="false">IF(I$12=0,0,ROUND(INDEX(Monat.RAZ1_7.Bereich,WEEKDAY(I$10,2))*I$11,9))</f>
        <v>0</v>
      </c>
      <c r="J52" s="209" t="n">
        <f aca="false">IF(J$12=0,0,ROUND(INDEX(Monat.RAZ1_7.Bereich,WEEKDAY(J$10,2))*J$11,9))</f>
        <v>0.35</v>
      </c>
      <c r="K52" s="210" t="n">
        <f aca="false">IF(K$12=0,0,ROUND(INDEX(Monat.RAZ1_7.Bereich,WEEKDAY(K$10,2))*K$11,9))</f>
        <v>0.35</v>
      </c>
      <c r="L52" s="209" t="n">
        <f aca="false">IF(L$12=0,0,ROUND(INDEX(Monat.RAZ1_7.Bereich,WEEKDAY(L$10,2))*L$11,9))</f>
        <v>0.35</v>
      </c>
      <c r="M52" s="210" t="n">
        <f aca="false">IF(M$12=0,0,ROUND(INDEX(Monat.RAZ1_7.Bereich,WEEKDAY(M$10,2))*M$11,9))</f>
        <v>0.35</v>
      </c>
      <c r="N52" s="210" t="n">
        <f aca="false">IF(N$12=0,0,ROUND(INDEX(Monat.RAZ1_7.Bereich,WEEKDAY(N$10,2))*N$11,9))</f>
        <v>0.35</v>
      </c>
      <c r="O52" s="210" t="n">
        <f aca="false">IF(O$12=0,0,ROUND(INDEX(Monat.RAZ1_7.Bereich,WEEKDAY(O$10,2))*O$11,9))</f>
        <v>0</v>
      </c>
      <c r="P52" s="210" t="n">
        <f aca="false">IF(P$12=0,0,ROUND(INDEX(Monat.RAZ1_7.Bereich,WEEKDAY(P$10,2))*P$11,9))</f>
        <v>0</v>
      </c>
      <c r="Q52" s="209" t="n">
        <f aca="false">IF(Q$12=0,0,ROUND(INDEX(Monat.RAZ1_7.Bereich,WEEKDAY(Q$10,2))*Q$11,9))</f>
        <v>0.35</v>
      </c>
      <c r="R52" s="210" t="n">
        <f aca="false">IF(R$12=0,0,ROUND(INDEX(Monat.RAZ1_7.Bereich,WEEKDAY(R$10,2))*R$11,9))</f>
        <v>0.35</v>
      </c>
      <c r="S52" s="209" t="n">
        <f aca="false">IF(S$12=0,0,ROUND(INDEX(Monat.RAZ1_7.Bereich,WEEKDAY(S$10,2))*S$11,9))</f>
        <v>0.35</v>
      </c>
      <c r="T52" s="209" t="n">
        <f aca="false">IF(T$12=0,0,ROUND(INDEX(Monat.RAZ1_7.Bereich,WEEKDAY(T$10,2))*T$11,9))</f>
        <v>0.35</v>
      </c>
      <c r="U52" s="210" t="n">
        <f aca="false">IF(U$12=0,0,ROUND(INDEX(Monat.RAZ1_7.Bereich,WEEKDAY(U$10,2))*U$11,9))</f>
        <v>0.35</v>
      </c>
      <c r="V52" s="210" t="n">
        <f aca="false">IF(V$12=0,0,ROUND(INDEX(Monat.RAZ1_7.Bereich,WEEKDAY(V$10,2))*V$11,9))</f>
        <v>0</v>
      </c>
      <c r="W52" s="210" t="n">
        <f aca="false">IF(W$12=0,0,ROUND(INDEX(Monat.RAZ1_7.Bereich,WEEKDAY(W$10,2))*W$11,9))</f>
        <v>0</v>
      </c>
      <c r="X52" s="209" t="n">
        <f aca="false">IF(X$12=0,0,ROUND(INDEX(Monat.RAZ1_7.Bereich,WEEKDAY(X$10,2))*X$11,9))</f>
        <v>0.35</v>
      </c>
      <c r="Y52" s="210" t="n">
        <f aca="false">IF(Y$12=0,0,ROUND(INDEX(Monat.RAZ1_7.Bereich,WEEKDAY(Y$10,2))*Y$11,9))</f>
        <v>0.35</v>
      </c>
      <c r="Z52" s="211" t="n">
        <f aca="false">IF(Z$12=0,0,ROUND(INDEX(Monat.RAZ1_7.Bereich,WEEKDAY(Z$10,2))*Z$11,9))</f>
        <v>0.35</v>
      </c>
      <c r="AA52" s="210" t="n">
        <f aca="false">IF(AA$12=0,0,ROUND(INDEX(Monat.RAZ1_7.Bereich,WEEKDAY(AA$10,2))*AA$11,9))</f>
        <v>0.35</v>
      </c>
      <c r="AB52" s="210" t="n">
        <f aca="false">IF(AB$12=0,0,ROUND(INDEX(Monat.RAZ1_7.Bereich,WEEKDAY(AB$10,2))*AB$11,9))</f>
        <v>0.35</v>
      </c>
      <c r="AC52" s="210" t="n">
        <f aca="false">IF(AC$12=0,0,ROUND(INDEX(Monat.RAZ1_7.Bereich,WEEKDAY(AC$10,2))*AC$11,9))</f>
        <v>0</v>
      </c>
      <c r="AD52" s="210" t="n">
        <f aca="false">IF(AD$12=0,0,ROUND(INDEX(Monat.RAZ1_7.Bereich,WEEKDAY(AD$10,2))*AD$11,9))</f>
        <v>0</v>
      </c>
      <c r="AE52" s="209" t="n">
        <f aca="false">IF(AE$12=0,0,ROUND(INDEX(Monat.RAZ1_7.Bereich,WEEKDAY(AE$10,2))*AE$11,9))</f>
        <v>0.35</v>
      </c>
      <c r="AF52" s="210" t="n">
        <f aca="false">IF(AF$12=0,0,ROUND(INDEX(Monat.RAZ1_7.Bereich,WEEKDAY(AF$10,2))*AF$11,9))</f>
        <v>0.35</v>
      </c>
      <c r="AG52" s="212" t="str">
        <f aca="false">A52</f>
        <v>Standardized hours (Info)</v>
      </c>
      <c r="AH52" s="184"/>
      <c r="AI52" s="179"/>
      <c r="AJ52" s="180"/>
      <c r="AK52" s="172"/>
      <c r="AL52" s="172"/>
      <c r="AM52" s="172"/>
      <c r="AN52" s="171"/>
      <c r="AO52" s="172"/>
      <c r="AP52" s="172"/>
      <c r="AQ52" s="39"/>
    </row>
    <row r="53" s="148" customFormat="true" ht="15" hidden="false" customHeight="true" outlineLevel="0" collapsed="false">
      <c r="A53" s="175" t="s">
        <v>141</v>
      </c>
      <c r="B53" s="213" t="n">
        <f aca="false">IF(B$12=0,0,ROUND(INDEX(EB.AZSOLLTag100.Bereich,MATCH(INDEX(EB.Monate.Bereich,MONTH(Monat.Tag1)),EB.Monate.Bereich,0))*B$11*IF(WEEKDAY(B$10,2)&gt;5,0,1)*$V$2/100,9))</f>
        <v>0</v>
      </c>
      <c r="C53" s="213" t="n">
        <f aca="false">IF(C$12=0,0,ROUND(INDEX(EB.AZSOLLTag100.Bereich,MATCH(INDEX(EB.Monate.Bereich,MONTH(Monat.Tag1)),EB.Monate.Bereich,0))*C$11*IF(WEEKDAY(C$10,2)&gt;5,0,1)*$V$2/100,9))</f>
        <v>0.35</v>
      </c>
      <c r="D53" s="213" t="n">
        <f aca="false">IF(D$12=0,0,ROUND(INDEX(EB.AZSOLLTag100.Bereich,MATCH(INDEX(EB.Monate.Bereich,MONTH(Monat.Tag1)),EB.Monate.Bereich,0))*D$11*IF(WEEKDAY(D$10,2)&gt;5,0,1)*$V$2/100,9))</f>
        <v>0.35</v>
      </c>
      <c r="E53" s="213" t="n">
        <f aca="false">IF(E$12=0,0,ROUND(INDEX(EB.AZSOLLTag100.Bereich,MATCH(INDEX(EB.Monate.Bereich,MONTH(Monat.Tag1)),EB.Monate.Bereich,0))*E$11*IF(WEEKDAY(E$10,2)&gt;5,0,1)*$V$2/100,9))</f>
        <v>0.35</v>
      </c>
      <c r="F53" s="213" t="n">
        <f aca="false">IF(F$12=0,0,ROUND(INDEX(EB.AZSOLLTag100.Bereich,MATCH(INDEX(EB.Monate.Bereich,MONTH(Monat.Tag1)),EB.Monate.Bereich,0))*F$11*IF(WEEKDAY(F$10,2)&gt;5,0,1)*$V$2/100,9))</f>
        <v>0.35</v>
      </c>
      <c r="G53" s="213" t="n">
        <f aca="false">IF(G$12=0,0,ROUND(INDEX(EB.AZSOLLTag100.Bereich,MATCH(INDEX(EB.Monate.Bereich,MONTH(Monat.Tag1)),EB.Monate.Bereich,0))*G$11*IF(WEEKDAY(G$10,2)&gt;5,0,1)*$V$2/100,9))</f>
        <v>0.35</v>
      </c>
      <c r="H53" s="213" t="n">
        <f aca="false">IF(H$12=0,0,ROUND(INDEX(EB.AZSOLLTag100.Bereich,MATCH(INDEX(EB.Monate.Bereich,MONTH(Monat.Tag1)),EB.Monate.Bereich,0))*H$11*IF(WEEKDAY(H$10,2)&gt;5,0,1)*$V$2/100,9))</f>
        <v>0</v>
      </c>
      <c r="I53" s="213" t="n">
        <f aca="false">IF(I$12=0,0,ROUND(INDEX(EB.AZSOLLTag100.Bereich,MATCH(INDEX(EB.Monate.Bereich,MONTH(Monat.Tag1)),EB.Monate.Bereich,0))*I$11*IF(WEEKDAY(I$10,2)&gt;5,0,1)*$V$2/100,9))</f>
        <v>0</v>
      </c>
      <c r="J53" s="213" t="n">
        <f aca="false">IF(J$12=0,0,ROUND(INDEX(EB.AZSOLLTag100.Bereich,MATCH(INDEX(EB.Monate.Bereich,MONTH(Monat.Tag1)),EB.Monate.Bereich,0))*J$11*IF(WEEKDAY(J$10,2)&gt;5,0,1)*$V$2/100,9))</f>
        <v>0.35</v>
      </c>
      <c r="K53" s="213" t="n">
        <f aca="false">IF(K$12=0,0,ROUND(INDEX(EB.AZSOLLTag100.Bereich,MATCH(INDEX(EB.Monate.Bereich,MONTH(Monat.Tag1)),EB.Monate.Bereich,0))*K$11*IF(WEEKDAY(K$10,2)&gt;5,0,1)*$V$2/100,9))</f>
        <v>0.35</v>
      </c>
      <c r="L53" s="213" t="n">
        <f aca="false">IF(L$12=0,0,ROUND(INDEX(EB.AZSOLLTag100.Bereich,MATCH(INDEX(EB.Monate.Bereich,MONTH(Monat.Tag1)),EB.Monate.Bereich,0))*L$11*IF(WEEKDAY(L$10,2)&gt;5,0,1)*$V$2/100,9))</f>
        <v>0.35</v>
      </c>
      <c r="M53" s="213" t="n">
        <f aca="false">IF(M$12=0,0,ROUND(INDEX(EB.AZSOLLTag100.Bereich,MATCH(INDEX(EB.Monate.Bereich,MONTH(Monat.Tag1)),EB.Monate.Bereich,0))*M$11*IF(WEEKDAY(M$10,2)&gt;5,0,1)*$V$2/100,9))</f>
        <v>0.35</v>
      </c>
      <c r="N53" s="213" t="n">
        <f aca="false">IF(N$12=0,0,ROUND(INDEX(EB.AZSOLLTag100.Bereich,MATCH(INDEX(EB.Monate.Bereich,MONTH(Monat.Tag1)),EB.Monate.Bereich,0))*N$11*IF(WEEKDAY(N$10,2)&gt;5,0,1)*$V$2/100,9))</f>
        <v>0.35</v>
      </c>
      <c r="O53" s="213" t="n">
        <f aca="false">IF(O$12=0,0,ROUND(INDEX(EB.AZSOLLTag100.Bereich,MATCH(INDEX(EB.Monate.Bereich,MONTH(Monat.Tag1)),EB.Monate.Bereich,0))*O$11*IF(WEEKDAY(O$10,2)&gt;5,0,1)*$V$2/100,9))</f>
        <v>0</v>
      </c>
      <c r="P53" s="213" t="n">
        <f aca="false">IF(P$12=0,0,ROUND(INDEX(EB.AZSOLLTag100.Bereich,MATCH(INDEX(EB.Monate.Bereich,MONTH(Monat.Tag1)),EB.Monate.Bereich,0))*P$11*IF(WEEKDAY(P$10,2)&gt;5,0,1)*$V$2/100,9))</f>
        <v>0</v>
      </c>
      <c r="Q53" s="213" t="n">
        <f aca="false">IF(Q$12=0,0,ROUND(INDEX(EB.AZSOLLTag100.Bereich,MATCH(INDEX(EB.Monate.Bereich,MONTH(Monat.Tag1)),EB.Monate.Bereich,0))*Q$11*IF(WEEKDAY(Q$10,2)&gt;5,0,1)*$V$2/100,9))</f>
        <v>0.35</v>
      </c>
      <c r="R53" s="213" t="n">
        <f aca="false">IF(R$12=0,0,ROUND(INDEX(EB.AZSOLLTag100.Bereich,MATCH(INDEX(EB.Monate.Bereich,MONTH(Monat.Tag1)),EB.Monate.Bereich,0))*R$11*IF(WEEKDAY(R$10,2)&gt;5,0,1)*$V$2/100,9))</f>
        <v>0.35</v>
      </c>
      <c r="S53" s="213" t="n">
        <f aca="false">IF(S$12=0,0,ROUND(INDEX(EB.AZSOLLTag100.Bereich,MATCH(INDEX(EB.Monate.Bereich,MONTH(Monat.Tag1)),EB.Monate.Bereich,0))*S$11*IF(WEEKDAY(S$10,2)&gt;5,0,1)*$V$2/100,9))</f>
        <v>0.35</v>
      </c>
      <c r="T53" s="213" t="n">
        <f aca="false">IF(T$12=0,0,ROUND(INDEX(EB.AZSOLLTag100.Bereich,MATCH(INDEX(EB.Monate.Bereich,MONTH(Monat.Tag1)),EB.Monate.Bereich,0))*T$11*IF(WEEKDAY(T$10,2)&gt;5,0,1)*$V$2/100,9))</f>
        <v>0.35</v>
      </c>
      <c r="U53" s="213" t="n">
        <f aca="false">IF(U$12=0,0,ROUND(INDEX(EB.AZSOLLTag100.Bereich,MATCH(INDEX(EB.Monate.Bereich,MONTH(Monat.Tag1)),EB.Monate.Bereich,0))*U$11*IF(WEEKDAY(U$10,2)&gt;5,0,1)*$V$2/100,9))</f>
        <v>0.35</v>
      </c>
      <c r="V53" s="213" t="n">
        <f aca="false">IF(V$12=0,0,ROUND(INDEX(EB.AZSOLLTag100.Bereich,MATCH(INDEX(EB.Monate.Bereich,MONTH(Monat.Tag1)),EB.Monate.Bereich,0))*V$11*IF(WEEKDAY(V$10,2)&gt;5,0,1)*$V$2/100,9))</f>
        <v>0</v>
      </c>
      <c r="W53" s="213" t="n">
        <f aca="false">IF(W$12=0,0,ROUND(INDEX(EB.AZSOLLTag100.Bereich,MATCH(INDEX(EB.Monate.Bereich,MONTH(Monat.Tag1)),EB.Monate.Bereich,0))*W$11*IF(WEEKDAY(W$10,2)&gt;5,0,1)*$V$2/100,9))</f>
        <v>0</v>
      </c>
      <c r="X53" s="213" t="n">
        <f aca="false">IF(X$12=0,0,ROUND(INDEX(EB.AZSOLLTag100.Bereich,MATCH(INDEX(EB.Monate.Bereich,MONTH(Monat.Tag1)),EB.Monate.Bereich,0))*X$11*IF(WEEKDAY(X$10,2)&gt;5,0,1)*$V$2/100,9))</f>
        <v>0.35</v>
      </c>
      <c r="Y53" s="213" t="n">
        <f aca="false">IF(Y$12=0,0,ROUND(INDEX(EB.AZSOLLTag100.Bereich,MATCH(INDEX(EB.Monate.Bereich,MONTH(Monat.Tag1)),EB.Monate.Bereich,0))*Y$11*IF(WEEKDAY(Y$10,2)&gt;5,0,1)*$V$2/100,9))</f>
        <v>0.35</v>
      </c>
      <c r="Z53" s="213" t="n">
        <f aca="false">IF(Z$12=0,0,ROUND(INDEX(EB.AZSOLLTag100.Bereich,MATCH(INDEX(EB.Monate.Bereich,MONTH(Monat.Tag1)),EB.Monate.Bereich,0))*Z$11*IF(WEEKDAY(Z$10,2)&gt;5,0,1)*$V$2/100,9))</f>
        <v>0.35</v>
      </c>
      <c r="AA53" s="213" t="n">
        <f aca="false">IF(AA$12=0,0,ROUND(INDEX(EB.AZSOLLTag100.Bereich,MATCH(INDEX(EB.Monate.Bereich,MONTH(Monat.Tag1)),EB.Monate.Bereich,0))*AA$11*IF(WEEKDAY(AA$10,2)&gt;5,0,1)*$V$2/100,9))</f>
        <v>0.35</v>
      </c>
      <c r="AB53" s="213" t="n">
        <f aca="false">IF(AB$12=0,0,ROUND(INDEX(EB.AZSOLLTag100.Bereich,MATCH(INDEX(EB.Monate.Bereich,MONTH(Monat.Tag1)),EB.Monate.Bereich,0))*AB$11*IF(WEEKDAY(AB$10,2)&gt;5,0,1)*$V$2/100,9))</f>
        <v>0.35</v>
      </c>
      <c r="AC53" s="213" t="n">
        <f aca="false">IF(AC$12=0,0,ROUND(INDEX(EB.AZSOLLTag100.Bereich,MATCH(INDEX(EB.Monate.Bereich,MONTH(Monat.Tag1)),EB.Monate.Bereich,0))*AC$11*IF(WEEKDAY(AC$10,2)&gt;5,0,1)*$V$2/100,9))</f>
        <v>0</v>
      </c>
      <c r="AD53" s="213" t="n">
        <f aca="false">IF(AD$12=0,0,ROUND(INDEX(EB.AZSOLLTag100.Bereich,MATCH(INDEX(EB.Monate.Bereich,MONTH(Monat.Tag1)),EB.Monate.Bereich,0))*AD$11*IF(WEEKDAY(AD$10,2)&gt;5,0,1)*$V$2/100,9))</f>
        <v>0</v>
      </c>
      <c r="AE53" s="213" t="n">
        <f aca="false">IF(AE$12=0,0,ROUND(INDEX(EB.AZSOLLTag100.Bereich,MATCH(INDEX(EB.Monate.Bereich,MONTH(Monat.Tag1)),EB.Monate.Bereich,0))*AE$11*IF(WEEKDAY(AE$10,2)&gt;5,0,1)*$V$2/100,9))</f>
        <v>0.35</v>
      </c>
      <c r="AF53" s="213" t="n">
        <f aca="false">IF(AF$12=0,0,ROUND(INDEX(EB.AZSOLLTag100.Bereich,MATCH(INDEX(EB.Monate.Bereich,MONTH(Monat.Tag1)),EB.Monate.Bereich,0))*AF$11*IF(WEEKDAY(AF$10,2)&gt;5,0,1)*$V$2/100,9))</f>
        <v>0.35</v>
      </c>
      <c r="AG53" s="168" t="str">
        <f aca="false">A53</f>
        <v>Req. hours of work FTE</v>
      </c>
      <c r="AH53" s="184"/>
      <c r="AI53" s="207" t="n">
        <f aca="false">SUM(B53:AF53)</f>
        <v>7.7</v>
      </c>
      <c r="AJ53" s="180"/>
      <c r="AK53" s="172"/>
      <c r="AL53" s="172"/>
      <c r="AM53" s="172"/>
      <c r="AN53" s="171"/>
      <c r="AO53" s="172"/>
      <c r="AP53" s="172"/>
      <c r="AQ53" s="39"/>
    </row>
    <row r="54" s="148" customFormat="true" ht="15" hidden="true" customHeight="true" outlineLevel="1" collapsed="false">
      <c r="A54" s="175" t="s">
        <v>142</v>
      </c>
      <c r="B54" s="213" t="n">
        <f aca="false">ROUND(INDEX(EB.AZSOLLTag100.Bereich,MATCH(INDEX(EB.Monate.Bereich,MONTH(Monat.Tag1)),EB.Monate.Bereich,0))*B$11*IF(WEEKDAY(B$10,2)&gt;5,0,1),9)</f>
        <v>0</v>
      </c>
      <c r="C54" s="213" t="n">
        <f aca="false">ROUND(INDEX(EB.AZSOLLTag100.Bereich,MATCH(INDEX(EB.Monate.Bereich,MONTH(Monat.Tag1)),EB.Monate.Bereich,0))*C$11*IF(WEEKDAY(C$10,2)&gt;5,0,1),9)</f>
        <v>0.35</v>
      </c>
      <c r="D54" s="214" t="n">
        <f aca="false">ROUND(INDEX(EB.AZSOLLTag100.Bereich,MATCH(INDEX(EB.Monate.Bereich,MONTH(Monat.Tag1)),EB.Monate.Bereich,0))*D$11*IF(WEEKDAY(D$10,2)&gt;5,0,1),9)</f>
        <v>0.35</v>
      </c>
      <c r="E54" s="213" t="n">
        <f aca="false">ROUND(INDEX(EB.AZSOLLTag100.Bereich,MATCH(INDEX(EB.Monate.Bereich,MONTH(Monat.Tag1)),EB.Monate.Bereich,0))*E$11*IF(WEEKDAY(E$10,2)&gt;5,0,1),9)</f>
        <v>0.35</v>
      </c>
      <c r="F54" s="214" t="n">
        <f aca="false">ROUND(INDEX(EB.AZSOLLTag100.Bereich,MATCH(INDEX(EB.Monate.Bereich,MONTH(Monat.Tag1)),EB.Monate.Bereich,0))*F$11*IF(WEEKDAY(F$10,2)&gt;5,0,1),9)</f>
        <v>0.35</v>
      </c>
      <c r="G54" s="214" t="n">
        <f aca="false">ROUND(INDEX(EB.AZSOLLTag100.Bereich,MATCH(INDEX(EB.Monate.Bereich,MONTH(Monat.Tag1)),EB.Monate.Bereich,0))*G$11*IF(WEEKDAY(G$10,2)&gt;5,0,1),9)</f>
        <v>0.35</v>
      </c>
      <c r="H54" s="214" t="n">
        <f aca="false">ROUND(INDEX(EB.AZSOLLTag100.Bereich,MATCH(INDEX(EB.Monate.Bereich,MONTH(Monat.Tag1)),EB.Monate.Bereich,0))*H$11*IF(WEEKDAY(H$10,2)&gt;5,0,1),9)</f>
        <v>0</v>
      </c>
      <c r="I54" s="214" t="n">
        <f aca="false">ROUND(INDEX(EB.AZSOLLTag100.Bereich,MATCH(INDEX(EB.Monate.Bereich,MONTH(Monat.Tag1)),EB.Monate.Bereich,0))*I$11*IF(WEEKDAY(I$10,2)&gt;5,0,1),9)</f>
        <v>0</v>
      </c>
      <c r="J54" s="213" t="n">
        <f aca="false">ROUND(INDEX(EB.AZSOLLTag100.Bereich,MATCH(INDEX(EB.Monate.Bereich,MONTH(Monat.Tag1)),EB.Monate.Bereich,0))*J$11*IF(WEEKDAY(J$10,2)&gt;5,0,1),9)</f>
        <v>0.35</v>
      </c>
      <c r="K54" s="214" t="n">
        <f aca="false">ROUND(INDEX(EB.AZSOLLTag100.Bereich,MATCH(INDEX(EB.Monate.Bereich,MONTH(Monat.Tag1)),EB.Monate.Bereich,0))*K$11*IF(WEEKDAY(K$10,2)&gt;5,0,1),9)</f>
        <v>0.35</v>
      </c>
      <c r="L54" s="213" t="n">
        <f aca="false">ROUND(INDEX(EB.AZSOLLTag100.Bereich,MATCH(INDEX(EB.Monate.Bereich,MONTH(Monat.Tag1)),EB.Monate.Bereich,0))*L$11*IF(WEEKDAY(L$10,2)&gt;5,0,1),9)</f>
        <v>0.35</v>
      </c>
      <c r="M54" s="214" t="n">
        <f aca="false">ROUND(INDEX(EB.AZSOLLTag100.Bereich,MATCH(INDEX(EB.Monate.Bereich,MONTH(Monat.Tag1)),EB.Monate.Bereich,0))*M$11*IF(WEEKDAY(M$10,2)&gt;5,0,1),9)</f>
        <v>0.35</v>
      </c>
      <c r="N54" s="214" t="n">
        <f aca="false">ROUND(INDEX(EB.AZSOLLTag100.Bereich,MATCH(INDEX(EB.Monate.Bereich,MONTH(Monat.Tag1)),EB.Monate.Bereich,0))*N$11*IF(WEEKDAY(N$10,2)&gt;5,0,1),9)</f>
        <v>0.35</v>
      </c>
      <c r="O54" s="214" t="n">
        <f aca="false">ROUND(INDEX(EB.AZSOLLTag100.Bereich,MATCH(INDEX(EB.Monate.Bereich,MONTH(Monat.Tag1)),EB.Monate.Bereich,0))*O$11*IF(WEEKDAY(O$10,2)&gt;5,0,1),9)</f>
        <v>0</v>
      </c>
      <c r="P54" s="214" t="n">
        <f aca="false">ROUND(INDEX(EB.AZSOLLTag100.Bereich,MATCH(INDEX(EB.Monate.Bereich,MONTH(Monat.Tag1)),EB.Monate.Bereich,0))*P$11*IF(WEEKDAY(P$10,2)&gt;5,0,1),9)</f>
        <v>0</v>
      </c>
      <c r="Q54" s="213" t="n">
        <f aca="false">ROUND(INDEX(EB.AZSOLLTag100.Bereich,MATCH(INDEX(EB.Monate.Bereich,MONTH(Monat.Tag1)),EB.Monate.Bereich,0))*Q$11*IF(WEEKDAY(Q$10,2)&gt;5,0,1),9)</f>
        <v>0.35</v>
      </c>
      <c r="R54" s="214" t="n">
        <f aca="false">ROUND(INDEX(EB.AZSOLLTag100.Bereich,MATCH(INDEX(EB.Monate.Bereich,MONTH(Monat.Tag1)),EB.Monate.Bereich,0))*R$11*IF(WEEKDAY(R$10,2)&gt;5,0,1),9)</f>
        <v>0.35</v>
      </c>
      <c r="S54" s="213" t="n">
        <f aca="false">ROUND(INDEX(EB.AZSOLLTag100.Bereich,MATCH(INDEX(EB.Monate.Bereich,MONTH(Monat.Tag1)),EB.Monate.Bereich,0))*S$11*IF(WEEKDAY(S$10,2)&gt;5,0,1),9)</f>
        <v>0.35</v>
      </c>
      <c r="T54" s="213" t="n">
        <f aca="false">ROUND(INDEX(EB.AZSOLLTag100.Bereich,MATCH(INDEX(EB.Monate.Bereich,MONTH(Monat.Tag1)),EB.Monate.Bereich,0))*T$11*IF(WEEKDAY(T$10,2)&gt;5,0,1),9)</f>
        <v>0.35</v>
      </c>
      <c r="U54" s="214" t="n">
        <f aca="false">ROUND(INDEX(EB.AZSOLLTag100.Bereich,MATCH(INDEX(EB.Monate.Bereich,MONTH(Monat.Tag1)),EB.Monate.Bereich,0))*U$11*IF(WEEKDAY(U$10,2)&gt;5,0,1),9)</f>
        <v>0.35</v>
      </c>
      <c r="V54" s="214" t="n">
        <f aca="false">ROUND(INDEX(EB.AZSOLLTag100.Bereich,MATCH(INDEX(EB.Monate.Bereich,MONTH(Monat.Tag1)),EB.Monate.Bereich,0))*V$11*IF(WEEKDAY(V$10,2)&gt;5,0,1),9)</f>
        <v>0</v>
      </c>
      <c r="W54" s="214" t="n">
        <f aca="false">ROUND(INDEX(EB.AZSOLLTag100.Bereich,MATCH(INDEX(EB.Monate.Bereich,MONTH(Monat.Tag1)),EB.Monate.Bereich,0))*W$11*IF(WEEKDAY(W$10,2)&gt;5,0,1),9)</f>
        <v>0</v>
      </c>
      <c r="X54" s="213" t="n">
        <f aca="false">ROUND(INDEX(EB.AZSOLLTag100.Bereich,MATCH(INDEX(EB.Monate.Bereich,MONTH(Monat.Tag1)),EB.Monate.Bereich,0))*X$11*IF(WEEKDAY(X$10,2)&gt;5,0,1),9)</f>
        <v>0.35</v>
      </c>
      <c r="Y54" s="214" t="n">
        <f aca="false">ROUND(INDEX(EB.AZSOLLTag100.Bereich,MATCH(INDEX(EB.Monate.Bereich,MONTH(Monat.Tag1)),EB.Monate.Bereich,0))*Y$11*IF(WEEKDAY(Y$10,2)&gt;5,0,1),9)</f>
        <v>0.35</v>
      </c>
      <c r="Z54" s="215" t="n">
        <f aca="false">ROUND(INDEX(EB.AZSOLLTag100.Bereich,MATCH(INDEX(EB.Monate.Bereich,MONTH(Monat.Tag1)),EB.Monate.Bereich,0))*Z$11*IF(WEEKDAY(Z$10,2)&gt;5,0,1),9)</f>
        <v>0.35</v>
      </c>
      <c r="AA54" s="214" t="n">
        <f aca="false">ROUND(INDEX(EB.AZSOLLTag100.Bereich,MATCH(INDEX(EB.Monate.Bereich,MONTH(Monat.Tag1)),EB.Monate.Bereich,0))*AA$11*IF(WEEKDAY(AA$10,2)&gt;5,0,1),9)</f>
        <v>0.35</v>
      </c>
      <c r="AB54" s="214" t="n">
        <f aca="false">ROUND(INDEX(EB.AZSOLLTag100.Bereich,MATCH(INDEX(EB.Monate.Bereich,MONTH(Monat.Tag1)),EB.Monate.Bereich,0))*AB$11*IF(WEEKDAY(AB$10,2)&gt;5,0,1),9)</f>
        <v>0.35</v>
      </c>
      <c r="AC54" s="214" t="n">
        <f aca="false">ROUND(INDEX(EB.AZSOLLTag100.Bereich,MATCH(INDEX(EB.Monate.Bereich,MONTH(Monat.Tag1)),EB.Monate.Bereich,0))*AC$11*IF(WEEKDAY(AC$10,2)&gt;5,0,1),9)</f>
        <v>0</v>
      </c>
      <c r="AD54" s="214" t="n">
        <f aca="false">ROUND(INDEX(EB.AZSOLLTag100.Bereich,MATCH(INDEX(EB.Monate.Bereich,MONTH(Monat.Tag1)),EB.Monate.Bereich,0))*AD$11*IF(WEEKDAY(AD$10,2)&gt;5,0,1),9)</f>
        <v>0</v>
      </c>
      <c r="AE54" s="213" t="n">
        <f aca="false">ROUND(INDEX(EB.AZSOLLTag100.Bereich,MATCH(INDEX(EB.Monate.Bereich,MONTH(Monat.Tag1)),EB.Monate.Bereich,0))*AE$11*IF(WEEKDAY(AE$10,2)&gt;5,0,1),9)</f>
        <v>0.35</v>
      </c>
      <c r="AF54" s="214" t="n">
        <f aca="false">ROUND(INDEX(EB.AZSOLLTag100.Bereich,MATCH(INDEX(EB.Monate.Bereich,MONTH(Monat.Tag1)),EB.Monate.Bereich,0))*AF$11*IF(WEEKDAY(AF$10,2)&gt;5,0,1),9)</f>
        <v>0.35</v>
      </c>
      <c r="AG54" s="168" t="str">
        <f aca="false">A54</f>
        <v>Req. hours of work 100%</v>
      </c>
      <c r="AH54" s="184"/>
      <c r="AI54" s="207" t="n">
        <f aca="false">SUM(B54:AF54)</f>
        <v>7.7</v>
      </c>
      <c r="AJ54" s="180"/>
      <c r="AK54" s="172"/>
      <c r="AL54" s="172"/>
      <c r="AM54" s="172"/>
      <c r="AN54" s="171"/>
      <c r="AO54" s="172"/>
      <c r="AP54" s="172"/>
      <c r="AQ54" s="39"/>
    </row>
    <row r="55" s="148" customFormat="true" ht="15" hidden="false" customHeight="true" outlineLevel="0" collapsed="false">
      <c r="A55" s="175" t="s">
        <v>143</v>
      </c>
      <c r="B55" s="203" t="n">
        <f aca="false">ROUND(B51-B53,9)</f>
        <v>0</v>
      </c>
      <c r="C55" s="203" t="n">
        <f aca="false">ROUND(C51-C53,9)</f>
        <v>-0.35</v>
      </c>
      <c r="D55" s="203" t="n">
        <f aca="false">ROUND(D51-D53,9)</f>
        <v>-0.35</v>
      </c>
      <c r="E55" s="205" t="n">
        <f aca="false">ROUND(E51-E53,9)</f>
        <v>-0.35</v>
      </c>
      <c r="F55" s="203" t="n">
        <f aca="false">ROUND(F51-F53,9)</f>
        <v>-0.35</v>
      </c>
      <c r="G55" s="203" t="n">
        <f aca="false">ROUND(G51-G53,9)</f>
        <v>-0.35</v>
      </c>
      <c r="H55" s="203" t="n">
        <f aca="false">ROUND(H51-H53,9)</f>
        <v>0</v>
      </c>
      <c r="I55" s="203" t="n">
        <f aca="false">ROUND(I51-I53,9)</f>
        <v>0</v>
      </c>
      <c r="J55" s="205" t="n">
        <f aca="false">ROUND(J51-J53,9)</f>
        <v>-0.35</v>
      </c>
      <c r="K55" s="203" t="n">
        <f aca="false">ROUND(K51-K53,9)</f>
        <v>-0.35</v>
      </c>
      <c r="L55" s="205" t="n">
        <f aca="false">ROUND(L51-L53,9)</f>
        <v>-0.35</v>
      </c>
      <c r="M55" s="203" t="n">
        <f aca="false">ROUND(M51-M53,9)</f>
        <v>-0.35</v>
      </c>
      <c r="N55" s="203" t="n">
        <f aca="false">ROUND(N51-N53,9)</f>
        <v>-0.35</v>
      </c>
      <c r="O55" s="203" t="n">
        <f aca="false">ROUND(O51-O53,9)</f>
        <v>0</v>
      </c>
      <c r="P55" s="203" t="n">
        <f aca="false">ROUND(P51-P53,9)</f>
        <v>0</v>
      </c>
      <c r="Q55" s="205" t="n">
        <f aca="false">ROUND(Q51-Q53,9)</f>
        <v>-0.35</v>
      </c>
      <c r="R55" s="203" t="n">
        <f aca="false">ROUND(R51-R53,9)</f>
        <v>-0.35</v>
      </c>
      <c r="S55" s="205" t="n">
        <f aca="false">ROUND(S51-S53,9)</f>
        <v>-0.35</v>
      </c>
      <c r="T55" s="205" t="n">
        <f aca="false">ROUND(T51-T53,9)</f>
        <v>-0.35</v>
      </c>
      <c r="U55" s="203" t="n">
        <f aca="false">ROUND(U51-U53,9)</f>
        <v>-0.35</v>
      </c>
      <c r="V55" s="203" t="n">
        <f aca="false">ROUND(V51-V53,9)</f>
        <v>0</v>
      </c>
      <c r="W55" s="203" t="n">
        <f aca="false">ROUND(W51-W53,9)</f>
        <v>0</v>
      </c>
      <c r="X55" s="205" t="n">
        <f aca="false">ROUND(X51-X53,9)</f>
        <v>-0.35</v>
      </c>
      <c r="Y55" s="203" t="n">
        <f aca="false">ROUND(Y51-Y53,9)</f>
        <v>-0.35</v>
      </c>
      <c r="Z55" s="206" t="n">
        <f aca="false">ROUND(Z51-Z53,9)</f>
        <v>-0.35</v>
      </c>
      <c r="AA55" s="203" t="n">
        <f aca="false">ROUND(AA51-AA53,9)</f>
        <v>-0.35</v>
      </c>
      <c r="AB55" s="203" t="n">
        <f aca="false">ROUND(AB51-AB53,9)</f>
        <v>-0.35</v>
      </c>
      <c r="AC55" s="203" t="n">
        <f aca="false">ROUND(AC51-AC53,9)</f>
        <v>0</v>
      </c>
      <c r="AD55" s="203" t="n">
        <f aca="false">ROUND(AD51-AD53,9)</f>
        <v>0</v>
      </c>
      <c r="AE55" s="205" t="n">
        <f aca="false">ROUND(AE51-AE53,9)</f>
        <v>-0.35</v>
      </c>
      <c r="AF55" s="203" t="n">
        <f aca="false">ROUND(AF51-AF53,9)</f>
        <v>-0.35</v>
      </c>
      <c r="AG55" s="168" t="str">
        <f aca="false">A55</f>
        <v>+/- required/actual hours daily</v>
      </c>
      <c r="AH55" s="184"/>
      <c r="AI55" s="207" t="n">
        <f aca="false">SUM(B55:AF55)</f>
        <v>-7.7</v>
      </c>
      <c r="AJ55" s="180"/>
      <c r="AK55" s="172"/>
      <c r="AL55" s="216" t="n">
        <f aca="false">IF(EB.Anwendung&lt;&gt;"",IF(MONTH(Monat.Tag1)=1,0,IF(MONTH(Monat.Tag1)=2,January!Monat.Soll_Ist_UeVM,IF(MONTH(Monat.Tag1)=3,February!Monat.Soll_Ist_UeVM,IF(MONTH(Monat.Tag1)=4,March!Monat.Soll_Ist_UeVM,IF(MONTH(Monat.Tag1)=5,April!Monat.Soll_Ist_UeVM,IF(MONTH(Monat.Tag1)=6,May!Monat.Soll_Ist_UeVM,IF(MONTH(Monat.Tag1)=7,June!Monat.Soll_Ist_UeVM,IF(MONTH(Monat.Tag1)=8,Monat.Soll_Ist_UeVM,IF(MONTH(Monat.Tag1)=9,August!Monat.Soll_Ist_UeVM,IF(MONTH(Monat.Tag1)=10,September!Monat.Soll_Ist_UeVM,IF(MONTH(Monat.Tag1)=11,October!Monat.Soll_Ist_UeVM,IF(MONTH(Monat.Tag1)=12,November!Monat.Soll_Ist_UeVM,"")))))))))))),"")</f>
        <v>-7.35</v>
      </c>
      <c r="AM55" s="172"/>
      <c r="AN55" s="217" t="n">
        <f aca="false">IF(AH57="+",(AI55+AI57),(AI55-AI57))</f>
        <v>-7.7</v>
      </c>
      <c r="AO55" s="217" t="n">
        <f aca="true">SUM(OFFSET(J.AZSaldo.Total,-12,0,MONTH(Monat.Tag1),1))</f>
        <v>-18.268055555</v>
      </c>
      <c r="AP55" s="217" t="n">
        <f aca="false">J.AZSaldo.Total</f>
        <v>-54.918055555</v>
      </c>
      <c r="AQ55" s="39"/>
    </row>
    <row r="56" s="148" customFormat="true" ht="15" hidden="false" customHeight="true" outlineLevel="0" collapsed="false">
      <c r="A56" s="175" t="s">
        <v>144</v>
      </c>
      <c r="B56" s="218" t="n">
        <f aca="true">IF(EB.Anwendung&lt;&gt;"",IF(DAY(B$10)=1,IF(MONTH(Monat.Tag1)=1,ROUND(EB.ÜVMMS,9),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Monat.MMS.UeVM,IF(MONTH(Monat.Tag1)=9,August!Monat.MMS.UeVM,IF(MONTH(Monat.Tag1)=10,September!Monat.MMS.UeVM,IF(MONTH(Monat.Tag1)=11,October!Monat.MMS.UeVM,IF(MONTH(Monat.Tag1)=12,November!Monat.MMS.UeVM,""))))))))))))+IF(B$10&gt;TODAY(),0,B55), IF(B$10&gt;TODAY(),A56,A56+B55)),"")</f>
        <v>-0.768055555</v>
      </c>
      <c r="C56" s="218" t="n">
        <f aca="true">IF(EB.Anwendung&lt;&gt;"",IF(DAY(C$10)=1,IF(MONTH(Monat.Tag1)=1,ROUND(EB.ÜVMMS,9),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Monat.MMS.UeVM,IF(MONTH(Monat.Tag1)=9,August!Monat.MMS.UeVM,IF(MONTH(Monat.Tag1)=10,September!Monat.MMS.UeVM,IF(MONTH(Monat.Tag1)=11,October!Monat.MMS.UeVM,IF(MONTH(Monat.Tag1)=12,November!Monat.MMS.UeVM,""))))))))))))+IF(C$10&gt;TODAY(),0,C55), IF(C$10&gt;TODAY(),B56,B56+C55)),"")</f>
        <v>-0.768055555</v>
      </c>
      <c r="D56" s="218" t="n">
        <f aca="true">IF(EB.Anwendung&lt;&gt;"",IF(DAY(D$10)=1,IF(MONTH(Monat.Tag1)=1,ROUND(EB.ÜVMMS,9),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Monat.MMS.UeVM,IF(MONTH(Monat.Tag1)=9,August!Monat.MMS.UeVM,IF(MONTH(Monat.Tag1)=10,September!Monat.MMS.UeVM,IF(MONTH(Monat.Tag1)=11,October!Monat.MMS.UeVM,IF(MONTH(Monat.Tag1)=12,November!Monat.MMS.UeVM,""))))))))))))+IF(D$10&gt;TODAY(),0,D55), IF(D$10&gt;TODAY(),C56,C56+D55)),"")</f>
        <v>-0.768055555</v>
      </c>
      <c r="E56" s="218" t="n">
        <f aca="true">IF(EB.Anwendung&lt;&gt;"",IF(DAY(E$10)=1,IF(MONTH(Monat.Tag1)=1,ROUND(EB.ÜVMMS,9),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Monat.MMS.UeVM,IF(MONTH(Monat.Tag1)=9,August!Monat.MMS.UeVM,IF(MONTH(Monat.Tag1)=10,September!Monat.MMS.UeVM,IF(MONTH(Monat.Tag1)=11,October!Monat.MMS.UeVM,IF(MONTH(Monat.Tag1)=12,November!Monat.MMS.UeVM,""))))))))))))+IF(E$10&gt;TODAY(),0,E55), IF(E$10&gt;TODAY(),D56,D56+E55)),"")</f>
        <v>-0.768055555</v>
      </c>
      <c r="F56" s="218" t="n">
        <f aca="true">IF(EB.Anwendung&lt;&gt;"",IF(DAY(F$10)=1,IF(MONTH(Monat.Tag1)=1,ROUND(EB.ÜVMMS,9),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Monat.MMS.UeVM,IF(MONTH(Monat.Tag1)=9,August!Monat.MMS.UeVM,IF(MONTH(Monat.Tag1)=10,September!Monat.MMS.UeVM,IF(MONTH(Monat.Tag1)=11,October!Monat.MMS.UeVM,IF(MONTH(Monat.Tag1)=12,November!Monat.MMS.UeVM,""))))))))))))+IF(F$10&gt;TODAY(),0,F55), IF(F$10&gt;TODAY(),E56,E56+F55)),"")</f>
        <v>-0.768055555</v>
      </c>
      <c r="G56" s="218" t="n">
        <f aca="true">IF(EB.Anwendung&lt;&gt;"",IF(DAY(G$10)=1,IF(MONTH(Monat.Tag1)=1,ROUND(EB.ÜVMMS,9),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Monat.MMS.UeVM,IF(MONTH(Monat.Tag1)=9,August!Monat.MMS.UeVM,IF(MONTH(Monat.Tag1)=10,September!Monat.MMS.UeVM,IF(MONTH(Monat.Tag1)=11,October!Monat.MMS.UeVM,IF(MONTH(Monat.Tag1)=12,November!Monat.MMS.UeVM,""))))))))))))+IF(G$10&gt;TODAY(),0,G55), IF(G$10&gt;TODAY(),F56,F56+G55)),"")</f>
        <v>-0.768055555</v>
      </c>
      <c r="H56" s="218" t="n">
        <f aca="true">IF(EB.Anwendung&lt;&gt;"",IF(DAY(H$10)=1,IF(MONTH(Monat.Tag1)=1,ROUND(EB.ÜVMMS,9),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Monat.MMS.UeVM,IF(MONTH(Monat.Tag1)=9,August!Monat.MMS.UeVM,IF(MONTH(Monat.Tag1)=10,September!Monat.MMS.UeVM,IF(MONTH(Monat.Tag1)=11,October!Monat.MMS.UeVM,IF(MONTH(Monat.Tag1)=12,November!Monat.MMS.UeVM,""))))))))))))+IF(H$10&gt;TODAY(),0,H55), IF(H$10&gt;TODAY(),G56,G56+H55)),"")</f>
        <v>-0.768055555</v>
      </c>
      <c r="I56" s="218" t="n">
        <f aca="true">IF(EB.Anwendung&lt;&gt;"",IF(DAY(I$10)=1,IF(MONTH(Monat.Tag1)=1,ROUND(EB.ÜVMMS,9),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Monat.MMS.UeVM,IF(MONTH(Monat.Tag1)=9,August!Monat.MMS.UeVM,IF(MONTH(Monat.Tag1)=10,September!Monat.MMS.UeVM,IF(MONTH(Monat.Tag1)=11,October!Monat.MMS.UeVM,IF(MONTH(Monat.Tag1)=12,November!Monat.MMS.UeVM,""))))))))))))+IF(I$10&gt;TODAY(),0,I55), IF(I$10&gt;TODAY(),H56,H56+I55)),"")</f>
        <v>-0.768055555</v>
      </c>
      <c r="J56" s="218" t="n">
        <f aca="true">IF(EB.Anwendung&lt;&gt;"",IF(DAY(J$10)=1,IF(MONTH(Monat.Tag1)=1,ROUND(EB.ÜVMMS,9),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Monat.MMS.UeVM,IF(MONTH(Monat.Tag1)=9,August!Monat.MMS.UeVM,IF(MONTH(Monat.Tag1)=10,September!Monat.MMS.UeVM,IF(MONTH(Monat.Tag1)=11,October!Monat.MMS.UeVM,IF(MONTH(Monat.Tag1)=12,November!Monat.MMS.UeVM,""))))))))))))+IF(J$10&gt;TODAY(),0,J55), IF(J$10&gt;TODAY(),I56,I56+J55)),"")</f>
        <v>-0.768055555</v>
      </c>
      <c r="K56" s="218" t="n">
        <f aca="true">IF(EB.Anwendung&lt;&gt;"",IF(DAY(K$10)=1,IF(MONTH(Monat.Tag1)=1,ROUND(EB.ÜVMMS,9),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Monat.MMS.UeVM,IF(MONTH(Monat.Tag1)=9,August!Monat.MMS.UeVM,IF(MONTH(Monat.Tag1)=10,September!Monat.MMS.UeVM,IF(MONTH(Monat.Tag1)=11,October!Monat.MMS.UeVM,IF(MONTH(Monat.Tag1)=12,November!Monat.MMS.UeVM,""))))))))))))+IF(K$10&gt;TODAY(),0,K55), IF(K$10&gt;TODAY(),J56,J56+K55)),"")</f>
        <v>-0.768055555</v>
      </c>
      <c r="L56" s="218" t="n">
        <f aca="true">IF(EB.Anwendung&lt;&gt;"",IF(DAY(L$10)=1,IF(MONTH(Monat.Tag1)=1,ROUND(EB.ÜVMMS,9),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Monat.MMS.UeVM,IF(MONTH(Monat.Tag1)=9,August!Monat.MMS.UeVM,IF(MONTH(Monat.Tag1)=10,September!Monat.MMS.UeVM,IF(MONTH(Monat.Tag1)=11,October!Monat.MMS.UeVM,IF(MONTH(Monat.Tag1)=12,November!Monat.MMS.UeVM,""))))))))))))+IF(L$10&gt;TODAY(),0,L55), IF(L$10&gt;TODAY(),K56,K56+L55)),"")</f>
        <v>-0.768055555</v>
      </c>
      <c r="M56" s="218" t="n">
        <f aca="true">IF(EB.Anwendung&lt;&gt;"",IF(DAY(M$10)=1,IF(MONTH(Monat.Tag1)=1,ROUND(EB.ÜVMMS,9),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Monat.MMS.UeVM,IF(MONTH(Monat.Tag1)=9,August!Monat.MMS.UeVM,IF(MONTH(Monat.Tag1)=10,September!Monat.MMS.UeVM,IF(MONTH(Monat.Tag1)=11,October!Monat.MMS.UeVM,IF(MONTH(Monat.Tag1)=12,November!Monat.MMS.UeVM,""))))))))))))+IF(M$10&gt;TODAY(),0,M55), IF(M$10&gt;TODAY(),L56,L56+M55)),"")</f>
        <v>-0.768055555</v>
      </c>
      <c r="N56" s="218" t="n">
        <f aca="true">IF(EB.Anwendung&lt;&gt;"",IF(DAY(N$10)=1,IF(MONTH(Monat.Tag1)=1,ROUND(EB.ÜVMMS,9),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Monat.MMS.UeVM,IF(MONTH(Monat.Tag1)=9,August!Monat.MMS.UeVM,IF(MONTH(Monat.Tag1)=10,September!Monat.MMS.UeVM,IF(MONTH(Monat.Tag1)=11,October!Monat.MMS.UeVM,IF(MONTH(Monat.Tag1)=12,November!Monat.MMS.UeVM,""))))))))))))+IF(N$10&gt;TODAY(),0,N55), IF(N$10&gt;TODAY(),M56,M56+N55)),"")</f>
        <v>-0.768055555</v>
      </c>
      <c r="O56" s="218" t="n">
        <f aca="true">IF(EB.Anwendung&lt;&gt;"",IF(DAY(O$10)=1,IF(MONTH(Monat.Tag1)=1,ROUND(EB.ÜVMMS,9),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Monat.MMS.UeVM,IF(MONTH(Monat.Tag1)=9,August!Monat.MMS.UeVM,IF(MONTH(Monat.Tag1)=10,September!Monat.MMS.UeVM,IF(MONTH(Monat.Tag1)=11,October!Monat.MMS.UeVM,IF(MONTH(Monat.Tag1)=12,November!Monat.MMS.UeVM,""))))))))))))+IF(O$10&gt;TODAY(),0,O55), IF(O$10&gt;TODAY(),N56,N56+O55)),"")</f>
        <v>-0.768055555</v>
      </c>
      <c r="P56" s="218" t="n">
        <f aca="true">IF(EB.Anwendung&lt;&gt;"",IF(DAY(P$10)=1,IF(MONTH(Monat.Tag1)=1,ROUND(EB.ÜVMMS,9),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Monat.MMS.UeVM,IF(MONTH(Monat.Tag1)=9,August!Monat.MMS.UeVM,IF(MONTH(Monat.Tag1)=10,September!Monat.MMS.UeVM,IF(MONTH(Monat.Tag1)=11,October!Monat.MMS.UeVM,IF(MONTH(Monat.Tag1)=12,November!Monat.MMS.UeVM,""))))))))))))+IF(P$10&gt;TODAY(),0,P55), IF(P$10&gt;TODAY(),O56,O56+P55)),"")</f>
        <v>-0.768055555</v>
      </c>
      <c r="Q56" s="218" t="n">
        <f aca="true">IF(EB.Anwendung&lt;&gt;"",IF(DAY(Q$10)=1,IF(MONTH(Monat.Tag1)=1,ROUND(EB.ÜVMMS,9),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Monat.MMS.UeVM,IF(MONTH(Monat.Tag1)=9,August!Monat.MMS.UeVM,IF(MONTH(Monat.Tag1)=10,September!Monat.MMS.UeVM,IF(MONTH(Monat.Tag1)=11,October!Monat.MMS.UeVM,IF(MONTH(Monat.Tag1)=12,November!Monat.MMS.UeVM,""))))))))))))+IF(Q$10&gt;TODAY(),0,Q55), IF(Q$10&gt;TODAY(),P56,P56+Q55)),"")</f>
        <v>-0.768055555</v>
      </c>
      <c r="R56" s="218" t="n">
        <f aca="true">IF(EB.Anwendung&lt;&gt;"",IF(DAY(R$10)=1,IF(MONTH(Monat.Tag1)=1,ROUND(EB.ÜVMMS,9),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Monat.MMS.UeVM,IF(MONTH(Monat.Tag1)=9,August!Monat.MMS.UeVM,IF(MONTH(Monat.Tag1)=10,September!Monat.MMS.UeVM,IF(MONTH(Monat.Tag1)=11,October!Monat.MMS.UeVM,IF(MONTH(Monat.Tag1)=12,November!Monat.MMS.UeVM,""))))))))))))+IF(R$10&gt;TODAY(),0,R55), IF(R$10&gt;TODAY(),Q56,Q56+R55)),"")</f>
        <v>-0.768055555</v>
      </c>
      <c r="S56" s="218" t="n">
        <f aca="true">IF(EB.Anwendung&lt;&gt;"",IF(DAY(S$10)=1,IF(MONTH(Monat.Tag1)=1,ROUND(EB.ÜVMMS,9),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Monat.MMS.UeVM,IF(MONTH(Monat.Tag1)=9,August!Monat.MMS.UeVM,IF(MONTH(Monat.Tag1)=10,September!Monat.MMS.UeVM,IF(MONTH(Monat.Tag1)=11,October!Monat.MMS.UeVM,IF(MONTH(Monat.Tag1)=12,November!Monat.MMS.UeVM,""))))))))))))+IF(S$10&gt;TODAY(),0,S55), IF(S$10&gt;TODAY(),R56,R56+S55)),"")</f>
        <v>-0.768055555</v>
      </c>
      <c r="T56" s="218" t="n">
        <f aca="true">IF(EB.Anwendung&lt;&gt;"",IF(DAY(T$10)=1,IF(MONTH(Monat.Tag1)=1,ROUND(EB.ÜVMMS,9),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Monat.MMS.UeVM,IF(MONTH(Monat.Tag1)=9,August!Monat.MMS.UeVM,IF(MONTH(Monat.Tag1)=10,September!Monat.MMS.UeVM,IF(MONTH(Monat.Tag1)=11,October!Monat.MMS.UeVM,IF(MONTH(Monat.Tag1)=12,November!Monat.MMS.UeVM,""))))))))))))+IF(T$10&gt;TODAY(),0,T55), IF(T$10&gt;TODAY(),S56,S56+T55)),"")</f>
        <v>-0.768055555</v>
      </c>
      <c r="U56" s="218" t="n">
        <f aca="true">IF(EB.Anwendung&lt;&gt;"",IF(DAY(U$10)=1,IF(MONTH(Monat.Tag1)=1,ROUND(EB.ÜVMMS,9),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Monat.MMS.UeVM,IF(MONTH(Monat.Tag1)=9,August!Monat.MMS.UeVM,IF(MONTH(Monat.Tag1)=10,September!Monat.MMS.UeVM,IF(MONTH(Monat.Tag1)=11,October!Monat.MMS.UeVM,IF(MONTH(Monat.Tag1)=12,November!Monat.MMS.UeVM,""))))))))))))+IF(U$10&gt;TODAY(),0,U55), IF(U$10&gt;TODAY(),T56,T56+U55)),"")</f>
        <v>-0.768055555</v>
      </c>
      <c r="V56" s="218" t="n">
        <f aca="true">IF(EB.Anwendung&lt;&gt;"",IF(DAY(V$10)=1,IF(MONTH(Monat.Tag1)=1,ROUND(EB.ÜVMMS,9),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Monat.MMS.UeVM,IF(MONTH(Monat.Tag1)=9,August!Monat.MMS.UeVM,IF(MONTH(Monat.Tag1)=10,September!Monat.MMS.UeVM,IF(MONTH(Monat.Tag1)=11,October!Monat.MMS.UeVM,IF(MONTH(Monat.Tag1)=12,November!Monat.MMS.UeVM,""))))))))))))+IF(V$10&gt;TODAY(),0,V55), IF(V$10&gt;TODAY(),U56,U56+V55)),"")</f>
        <v>-0.768055555</v>
      </c>
      <c r="W56" s="218" t="n">
        <f aca="true">IF(EB.Anwendung&lt;&gt;"",IF(DAY(W$10)=1,IF(MONTH(Monat.Tag1)=1,ROUND(EB.ÜVMMS,9),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Monat.MMS.UeVM,IF(MONTH(Monat.Tag1)=9,August!Monat.MMS.UeVM,IF(MONTH(Monat.Tag1)=10,September!Monat.MMS.UeVM,IF(MONTH(Monat.Tag1)=11,October!Monat.MMS.UeVM,IF(MONTH(Monat.Tag1)=12,November!Monat.MMS.UeVM,""))))))))))))+IF(W$10&gt;TODAY(),0,W55), IF(W$10&gt;TODAY(),V56,V56+W55)),"")</f>
        <v>-0.768055555</v>
      </c>
      <c r="X56" s="218" t="n">
        <f aca="true">IF(EB.Anwendung&lt;&gt;"",IF(DAY(X$10)=1,IF(MONTH(Monat.Tag1)=1,ROUND(EB.ÜVMMS,9),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Monat.MMS.UeVM,IF(MONTH(Monat.Tag1)=9,August!Monat.MMS.UeVM,IF(MONTH(Monat.Tag1)=10,September!Monat.MMS.UeVM,IF(MONTH(Monat.Tag1)=11,October!Monat.MMS.UeVM,IF(MONTH(Monat.Tag1)=12,November!Monat.MMS.UeVM,""))))))))))))+IF(X$10&gt;TODAY(),0,X55), IF(X$10&gt;TODAY(),W56,W56+X55)),"")</f>
        <v>-0.768055555</v>
      </c>
      <c r="Y56" s="218" t="n">
        <f aca="true">IF(EB.Anwendung&lt;&gt;"",IF(DAY(Y$10)=1,IF(MONTH(Monat.Tag1)=1,ROUND(EB.ÜVMMS,9),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Monat.MMS.UeVM,IF(MONTH(Monat.Tag1)=9,August!Monat.MMS.UeVM,IF(MONTH(Monat.Tag1)=10,September!Monat.MMS.UeVM,IF(MONTH(Monat.Tag1)=11,October!Monat.MMS.UeVM,IF(MONTH(Monat.Tag1)=12,November!Monat.MMS.UeVM,""))))))))))))+IF(Y$10&gt;TODAY(),0,Y55), IF(Y$10&gt;TODAY(),X56,X56+Y55)),"")</f>
        <v>-0.768055555</v>
      </c>
      <c r="Z56" s="218" t="n">
        <f aca="true">IF(EB.Anwendung&lt;&gt;"",IF(DAY(Z$10)=1,IF(MONTH(Monat.Tag1)=1,ROUND(EB.ÜVMMS,9),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Monat.MMS.UeVM,IF(MONTH(Monat.Tag1)=9,August!Monat.MMS.UeVM,IF(MONTH(Monat.Tag1)=10,September!Monat.MMS.UeVM,IF(MONTH(Monat.Tag1)=11,October!Monat.MMS.UeVM,IF(MONTH(Monat.Tag1)=12,November!Monat.MMS.UeVM,""))))))))))))+IF(Z$10&gt;TODAY(),0,Z55), IF(Z$10&gt;TODAY(),Y56,Y56+Z55)),"")</f>
        <v>-0.768055555</v>
      </c>
      <c r="AA56" s="218" t="n">
        <f aca="true">IF(EB.Anwendung&lt;&gt;"",IF(DAY(AA$10)=1,IF(MONTH(Monat.Tag1)=1,ROUND(EB.ÜVMMS,9),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Monat.MMS.UeVM,IF(MONTH(Monat.Tag1)=9,August!Monat.MMS.UeVM,IF(MONTH(Monat.Tag1)=10,September!Monat.MMS.UeVM,IF(MONTH(Monat.Tag1)=11,October!Monat.MMS.UeVM,IF(MONTH(Monat.Tag1)=12,November!Monat.MMS.UeVM,""))))))))))))+IF(AA$10&gt;TODAY(),0,AA55), IF(AA$10&gt;TODAY(),Z56,Z56+AA55)),"")</f>
        <v>-0.768055555</v>
      </c>
      <c r="AB56" s="218" t="n">
        <f aca="true">IF(EB.Anwendung&lt;&gt;"",IF(DAY(AB$10)=1,IF(MONTH(Monat.Tag1)=1,ROUND(EB.ÜVMMS,9),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Monat.MMS.UeVM,IF(MONTH(Monat.Tag1)=9,August!Monat.MMS.UeVM,IF(MONTH(Monat.Tag1)=10,September!Monat.MMS.UeVM,IF(MONTH(Monat.Tag1)=11,October!Monat.MMS.UeVM,IF(MONTH(Monat.Tag1)=12,November!Monat.MMS.UeVM,""))))))))))))+IF(AB$10&gt;TODAY(),0,AB55), IF(AB$10&gt;TODAY(),AA56,AA56+AB55)),"")</f>
        <v>-0.768055555</v>
      </c>
      <c r="AC56" s="218" t="n">
        <f aca="true">IF(EB.Anwendung&lt;&gt;"",IF(DAY(AC$10)=1,IF(MONTH(Monat.Tag1)=1,ROUND(EB.ÜVMMS,9),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Monat.MMS.UeVM,IF(MONTH(Monat.Tag1)=9,August!Monat.MMS.UeVM,IF(MONTH(Monat.Tag1)=10,September!Monat.MMS.UeVM,IF(MONTH(Monat.Tag1)=11,October!Monat.MMS.UeVM,IF(MONTH(Monat.Tag1)=12,November!Monat.MMS.UeVM,""))))))))))))+IF(AC$10&gt;TODAY(),0,AC55), IF(AC$10&gt;TODAY(),AB56,AB56+AC55)),"")</f>
        <v>-0.768055555</v>
      </c>
      <c r="AD56" s="218" t="n">
        <f aca="true">IF(EB.Anwendung&lt;&gt;"",IF(DAY(AD$10)=1,IF(MONTH(Monat.Tag1)=1,ROUND(EB.ÜVMMS,9),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Monat.MMS.UeVM,IF(MONTH(Monat.Tag1)=9,August!Monat.MMS.UeVM,IF(MONTH(Monat.Tag1)=10,September!Monat.MMS.UeVM,IF(MONTH(Monat.Tag1)=11,October!Monat.MMS.UeVM,IF(MONTH(Monat.Tag1)=12,November!Monat.MMS.UeVM,""))))))))))))+IF(AD$10&gt;TODAY(),0,AD55), IF(AD$10&gt;TODAY(),AC56,AC56+AD55)),"")</f>
        <v>-0.768055555</v>
      </c>
      <c r="AE56" s="218" t="n">
        <f aca="true">IF(EB.Anwendung&lt;&gt;"",IF(DAY(AE$10)=1,IF(MONTH(Monat.Tag1)=1,ROUND(EB.ÜVMMS,9),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Monat.MMS.UeVM,IF(MONTH(Monat.Tag1)=9,August!Monat.MMS.UeVM,IF(MONTH(Monat.Tag1)=10,September!Monat.MMS.UeVM,IF(MONTH(Monat.Tag1)=11,October!Monat.MMS.UeVM,IF(MONTH(Monat.Tag1)=12,November!Monat.MMS.UeVM,""))))))))))))+IF(AE$10&gt;TODAY(),0,AE55), IF(AE$10&gt;TODAY(),AD56,AD56+AE55)),"")</f>
        <v>-0.768055555</v>
      </c>
      <c r="AF56" s="218" t="n">
        <f aca="true">IF(EB.Anwendung&lt;&gt;"",IF(DAY(AF$10)=1,IF(MONTH(Monat.Tag1)=1,ROUND(EB.ÜVMMS,9),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Monat.MMS.UeVM,IF(MONTH(Monat.Tag1)=9,August!Monat.MMS.UeVM,IF(MONTH(Monat.Tag1)=10,September!Monat.MMS.UeVM,IF(MONTH(Monat.Tag1)=11,October!Monat.MMS.UeVM,IF(MONTH(Monat.Tag1)=12,November!Monat.MMS.UeVM,""))))))))))))+IF(AF$10&gt;TODAY(),0,AF55), IF(AF$10&gt;TODAY(),AE56,AE56+AF55)),"")</f>
        <v>-0.768055555</v>
      </c>
      <c r="AG56" s="168" t="str">
        <f aca="false">A56</f>
        <v>current extra/minus hours</v>
      </c>
      <c r="AH56" s="184"/>
      <c r="AI56" s="207" t="n">
        <f aca="true">OFFSET(B56,0,DAY(EOMONTH(Monat.Tag1,0))-1,1,1)</f>
        <v>-0.768055555</v>
      </c>
      <c r="AJ56" s="180"/>
      <c r="AK56" s="172"/>
      <c r="AL56" s="172"/>
      <c r="AM56" s="172"/>
      <c r="AN56" s="171"/>
      <c r="AO56" s="172"/>
      <c r="AP56" s="172"/>
      <c r="AQ56" s="39"/>
    </row>
    <row r="57" s="231" customFormat="true" ht="15" hidden="false" customHeight="true" outlineLevel="1" collapsed="false">
      <c r="A57" s="219"/>
      <c r="B57" s="220"/>
      <c r="C57" s="220"/>
      <c r="D57" s="220"/>
      <c r="E57" s="152"/>
      <c r="F57" s="220"/>
      <c r="G57" s="220"/>
      <c r="H57" s="221"/>
      <c r="I57" s="220"/>
      <c r="J57" s="222"/>
      <c r="K57" s="220"/>
      <c r="L57" s="223"/>
      <c r="M57" s="220"/>
      <c r="N57" s="220"/>
      <c r="O57" s="221"/>
      <c r="P57" s="220"/>
      <c r="Q57" s="152"/>
      <c r="R57" s="220"/>
      <c r="S57" s="223"/>
      <c r="T57" s="220"/>
      <c r="U57" s="220"/>
      <c r="V57" s="221"/>
      <c r="W57" s="220"/>
      <c r="X57" s="224"/>
      <c r="Y57" s="220"/>
      <c r="Z57" s="152"/>
      <c r="AA57" s="220"/>
      <c r="AB57" s="220"/>
      <c r="AC57" s="221"/>
      <c r="AD57" s="220"/>
      <c r="AE57" s="152"/>
      <c r="AF57" s="225"/>
      <c r="AG57" s="175" t="s">
        <v>145</v>
      </c>
      <c r="AH57" s="226" t="s">
        <v>146</v>
      </c>
      <c r="AI57" s="227"/>
      <c r="AJ57" s="228"/>
      <c r="AK57" s="229"/>
      <c r="AL57" s="172"/>
      <c r="AM57" s="172"/>
      <c r="AN57" s="171"/>
      <c r="AO57" s="230"/>
      <c r="AP57" s="230"/>
      <c r="AQ57" s="96"/>
    </row>
    <row r="58" s="236" customFormat="true" ht="15" hidden="false" customHeight="true" outlineLevel="0" collapsed="false">
      <c r="A58" s="232"/>
      <c r="B58" s="223"/>
      <c r="C58" s="223"/>
      <c r="D58" s="223"/>
      <c r="E58" s="152"/>
      <c r="F58" s="223"/>
      <c r="G58" s="223"/>
      <c r="H58" s="223"/>
      <c r="I58" s="223"/>
      <c r="J58" s="152"/>
      <c r="K58" s="223"/>
      <c r="L58" s="223"/>
      <c r="M58" s="223"/>
      <c r="N58" s="223"/>
      <c r="O58" s="223"/>
      <c r="P58" s="223"/>
      <c r="Q58" s="152"/>
      <c r="R58" s="223"/>
      <c r="S58" s="223"/>
      <c r="T58" s="223"/>
      <c r="U58" s="223"/>
      <c r="V58" s="223"/>
      <c r="W58" s="223"/>
      <c r="X58" s="224"/>
      <c r="Y58" s="223"/>
      <c r="Z58" s="152"/>
      <c r="AA58" s="223"/>
      <c r="AB58" s="223"/>
      <c r="AC58" s="223"/>
      <c r="AD58" s="223"/>
      <c r="AE58" s="152"/>
      <c r="AF58" s="233"/>
      <c r="AG58" s="234" t="s">
        <v>147</v>
      </c>
      <c r="AH58" s="184"/>
      <c r="AI58" s="207" t="n">
        <f aca="false">IF(AH57="+",(Monat.ZUeZ.Total+AI57),(Monat.ZUeZ.Total-AI57))</f>
        <v>-0.768055555</v>
      </c>
      <c r="AJ58" s="33"/>
      <c r="AK58" s="235"/>
      <c r="AL58" s="216" t="n">
        <f aca="false">IF(EB.Anwendung&lt;&gt;"",IF(MONTH(Monat.Tag1)=1,EB.MMS,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Monat.MMS.UeVM,IF(MONTH(Monat.Tag1)=9,August!Monat.MMS.UeVM,IF(MONTH(Monat.Tag1)=10,September!Monat.MMS.UeVM,IF(MONTH(Monat.Tag1)=11,October!Monat.MMS.UeVM,IF(MONTH(Monat.Tag1)=12,November!Monat.MMS.UeVM,"")))))))))))),"")</f>
        <v>-0.768055555</v>
      </c>
      <c r="AM58" s="172"/>
      <c r="AN58" s="217" t="n">
        <f aca="false">AI58</f>
        <v>-0.768055555</v>
      </c>
      <c r="AO58" s="172"/>
      <c r="AP58" s="172"/>
      <c r="AQ58" s="51"/>
    </row>
    <row r="59" s="148" customFormat="true" ht="11.25" hidden="false" customHeight="true" outlineLevel="0" collapsed="false">
      <c r="A59" s="186"/>
      <c r="B59" s="187"/>
      <c r="C59" s="187"/>
      <c r="D59" s="187"/>
      <c r="E59" s="187"/>
      <c r="F59" s="187"/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  <c r="U59" s="187"/>
      <c r="V59" s="187"/>
      <c r="W59" s="187"/>
      <c r="X59" s="187"/>
      <c r="Y59" s="187"/>
      <c r="Z59" s="187"/>
      <c r="AA59" s="187"/>
      <c r="AB59" s="187"/>
      <c r="AC59" s="187"/>
      <c r="AD59" s="187"/>
      <c r="AE59" s="187"/>
      <c r="AF59" s="188"/>
      <c r="AG59" s="168"/>
      <c r="AH59" s="146"/>
      <c r="AI59" s="179"/>
      <c r="AJ59" s="180"/>
      <c r="AK59" s="172"/>
      <c r="AL59" s="172"/>
      <c r="AM59" s="172"/>
      <c r="AN59" s="171"/>
      <c r="AO59" s="172"/>
      <c r="AP59" s="172"/>
      <c r="AQ59" s="39"/>
    </row>
    <row r="60" s="148" customFormat="true" ht="15" hidden="false" customHeight="true" outlineLevel="0" collapsed="false">
      <c r="A60" s="175" t="s">
        <v>148</v>
      </c>
      <c r="B60" s="237" t="str">
        <f aca="true">IF(EB.Wochenarbeitszeit=50/24,IF(T.50_Vetsuisse,IF(WEEKDAY(B$10,2)=7,MAX(0,SUM(OFFSET(B51,0,-MIN(6,DAY(B$10)-1),1,MIN(7,DAY(B$10))))+IF(AND(MONTH(Monat.Tag1)&lt;&gt;1,DAY(B$10)&lt;7),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Monat.AZIstWRestUeVM,IF(MONTH(Monat.Tag1)=9,August!Monat.AZIstWRestUeVM,IF(MONTH(Monat.Tag1)=10,September!Monat.AZIstWRestUeVM,IF(MONTH(Monat.Tag1)=11,October!Monat.AZIstWRestUeVM,IF(MONTH(Monat.Tag1)=12,November!Monat.AZIstWRestUeVM,""))))))))))),0) -1/24*50),""),""),IF(B45=0,"",B45))</f>
        <v/>
      </c>
      <c r="C60" s="237" t="str">
        <f aca="true">IF(EB.Wochenarbeitszeit=50/24,IF(T.50_Vetsuisse,IF(WEEKDAY(C$10,2)=7,MAX(0,SUM(OFFSET(C51,0,-MIN(6,DAY(C$10)-1),1,MIN(7,DAY(C$10))))+IF(AND(MONTH(Monat.Tag1)&lt;&gt;1,DAY(C$10)&lt;7),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Monat.AZIstWRestUeVM,IF(MONTH(Monat.Tag1)=9,August!Monat.AZIstWRestUeVM,IF(MONTH(Monat.Tag1)=10,September!Monat.AZIstWRestUeVM,IF(MONTH(Monat.Tag1)=11,October!Monat.AZIstWRestUeVM,IF(MONTH(Monat.Tag1)=12,November!Monat.AZIstWRestUeVM,""))))))))))),0) -1/24*50),""),""),IF(C45=0,"",C45))</f>
        <v/>
      </c>
      <c r="D60" s="237" t="str">
        <f aca="true">IF(EB.Wochenarbeitszeit=50/24,IF(T.50_Vetsuisse,IF(WEEKDAY(D$10,2)=7,MAX(0,SUM(OFFSET(D51,0,-MIN(6,DAY(D$10)-1),1,MIN(7,DAY(D$10))))+IF(AND(MONTH(Monat.Tag1)&lt;&gt;1,DAY(D$10)&lt;7),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Monat.AZIstWRestUeVM,IF(MONTH(Monat.Tag1)=9,August!Monat.AZIstWRestUeVM,IF(MONTH(Monat.Tag1)=10,September!Monat.AZIstWRestUeVM,IF(MONTH(Monat.Tag1)=11,October!Monat.AZIstWRestUeVM,IF(MONTH(Monat.Tag1)=12,November!Monat.AZIstWRestUeVM,""))))))))))),0) -1/24*50),""),""),IF(D45=0,"",D45))</f>
        <v/>
      </c>
      <c r="E60" s="238" t="str">
        <f aca="true">IF(EB.Wochenarbeitszeit=50/24,IF(T.50_Vetsuisse,IF(WEEKDAY(E$10,2)=7,MAX(0,SUM(OFFSET(E51,0,-MIN(6,DAY(E$10)-1),1,MIN(7,DAY(E$10))))+IF(AND(MONTH(Monat.Tag1)&lt;&gt;1,DAY(E$10)&lt;7),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Monat.AZIstWRestUeVM,IF(MONTH(Monat.Tag1)=9,August!Monat.AZIstWRestUeVM,IF(MONTH(Monat.Tag1)=10,September!Monat.AZIstWRestUeVM,IF(MONTH(Monat.Tag1)=11,October!Monat.AZIstWRestUeVM,IF(MONTH(Monat.Tag1)=12,November!Monat.AZIstWRestUeVM,""))))))))))),0) -1/24*50),""),""),IF(E45=0,"",E45))</f>
        <v/>
      </c>
      <c r="F60" s="237" t="str">
        <f aca="true">IF(EB.Wochenarbeitszeit=50/24,IF(T.50_Vetsuisse,IF(WEEKDAY(F$10,2)=7,MAX(0,SUM(OFFSET(F51,0,-MIN(6,DAY(F$10)-1),1,MIN(7,DAY(F$10))))+IF(AND(MONTH(Monat.Tag1)&lt;&gt;1,DAY(F$10)&lt;7),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Monat.AZIstWRestUeVM,IF(MONTH(Monat.Tag1)=9,August!Monat.AZIstWRestUeVM,IF(MONTH(Monat.Tag1)=10,September!Monat.AZIstWRestUeVM,IF(MONTH(Monat.Tag1)=11,October!Monat.AZIstWRestUeVM,IF(MONTH(Monat.Tag1)=12,November!Monat.AZIstWRestUeVM,""))))))))))),0) -1/24*50),""),""),IF(F45=0,"",F45))</f>
        <v/>
      </c>
      <c r="G60" s="237" t="str">
        <f aca="true">IF(EB.Wochenarbeitszeit=50/24,IF(T.50_Vetsuisse,IF(WEEKDAY(G$10,2)=7,MAX(0,SUM(OFFSET(G51,0,-MIN(6,DAY(G$10)-1),1,MIN(7,DAY(G$10))))+IF(AND(MONTH(Monat.Tag1)&lt;&gt;1,DAY(G$10)&lt;7),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Monat.AZIstWRestUeVM,IF(MONTH(Monat.Tag1)=9,August!Monat.AZIstWRestUeVM,IF(MONTH(Monat.Tag1)=10,September!Monat.AZIstWRestUeVM,IF(MONTH(Monat.Tag1)=11,October!Monat.AZIstWRestUeVM,IF(MONTH(Monat.Tag1)=12,November!Monat.AZIstWRestUeVM,""))))))))))),0) -1/24*50),""),""),IF(G45=0,"",G45))</f>
        <v/>
      </c>
      <c r="H60" s="237" t="str">
        <f aca="true">IF(EB.Wochenarbeitszeit=50/24,IF(T.50_Vetsuisse,IF(WEEKDAY(H$10,2)=7,MAX(0,SUM(OFFSET(H51,0,-MIN(6,DAY(H$10)-1),1,MIN(7,DAY(H$10))))+IF(AND(MONTH(Monat.Tag1)&lt;&gt;1,DAY(H$10)&lt;7),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Monat.AZIstWRestUeVM,IF(MONTH(Monat.Tag1)=9,August!Monat.AZIstWRestUeVM,IF(MONTH(Monat.Tag1)=10,September!Monat.AZIstWRestUeVM,IF(MONTH(Monat.Tag1)=11,October!Monat.AZIstWRestUeVM,IF(MONTH(Monat.Tag1)=12,November!Monat.AZIstWRestUeVM,""))))))))))),0) -1/24*50),""),""),IF(H45=0,"",H45))</f>
        <v/>
      </c>
      <c r="I60" s="237" t="str">
        <f aca="true">IF(EB.Wochenarbeitszeit=50/24,IF(T.50_Vetsuisse,IF(WEEKDAY(I$10,2)=7,MAX(0,SUM(OFFSET(I51,0,-MIN(6,DAY(I$10)-1),1,MIN(7,DAY(I$10))))+IF(AND(MONTH(Monat.Tag1)&lt;&gt;1,DAY(I$10)&lt;7),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Monat.AZIstWRestUeVM,IF(MONTH(Monat.Tag1)=9,August!Monat.AZIstWRestUeVM,IF(MONTH(Monat.Tag1)=10,September!Monat.AZIstWRestUeVM,IF(MONTH(Monat.Tag1)=11,October!Monat.AZIstWRestUeVM,IF(MONTH(Monat.Tag1)=12,November!Monat.AZIstWRestUeVM,""))))))))))),0) -1/24*50),""),""),IF(I45=0,"",I45))</f>
        <v/>
      </c>
      <c r="J60" s="238" t="str">
        <f aca="true">IF(EB.Wochenarbeitszeit=50/24,IF(T.50_Vetsuisse,IF(WEEKDAY(J$10,2)=7,MAX(0,SUM(OFFSET(J51,0,-MIN(6,DAY(J$10)-1),1,MIN(7,DAY(J$10))))+IF(AND(MONTH(Monat.Tag1)&lt;&gt;1,DAY(J$10)&lt;7),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Monat.AZIstWRestUeVM,IF(MONTH(Monat.Tag1)=9,August!Monat.AZIstWRestUeVM,IF(MONTH(Monat.Tag1)=10,September!Monat.AZIstWRestUeVM,IF(MONTH(Monat.Tag1)=11,October!Monat.AZIstWRestUeVM,IF(MONTH(Monat.Tag1)=12,November!Monat.AZIstWRestUeVM,""))))))))))),0) -1/24*50),""),""),IF(J45=0,"",J45))</f>
        <v/>
      </c>
      <c r="K60" s="237" t="str">
        <f aca="true">IF(EB.Wochenarbeitszeit=50/24,IF(T.50_Vetsuisse,IF(WEEKDAY(K$10,2)=7,MAX(0,SUM(OFFSET(K51,0,-MIN(6,DAY(K$10)-1),1,MIN(7,DAY(K$10))))+IF(AND(MONTH(Monat.Tag1)&lt;&gt;1,DAY(K$10)&lt;7),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Monat.AZIstWRestUeVM,IF(MONTH(Monat.Tag1)=9,August!Monat.AZIstWRestUeVM,IF(MONTH(Monat.Tag1)=10,September!Monat.AZIstWRestUeVM,IF(MONTH(Monat.Tag1)=11,October!Monat.AZIstWRestUeVM,IF(MONTH(Monat.Tag1)=12,November!Monat.AZIstWRestUeVM,""))))))))))),0) -1/24*50),""),""),IF(K45=0,"",K45))</f>
        <v/>
      </c>
      <c r="L60" s="238" t="str">
        <f aca="true">IF(EB.Wochenarbeitszeit=50/24,IF(T.50_Vetsuisse,IF(WEEKDAY(L$10,2)=7,MAX(0,SUM(OFFSET(L51,0,-MIN(6,DAY(L$10)-1),1,MIN(7,DAY(L$10))))+IF(AND(MONTH(Monat.Tag1)&lt;&gt;1,DAY(L$10)&lt;7),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Monat.AZIstWRestUeVM,IF(MONTH(Monat.Tag1)=9,August!Monat.AZIstWRestUeVM,IF(MONTH(Monat.Tag1)=10,September!Monat.AZIstWRestUeVM,IF(MONTH(Monat.Tag1)=11,October!Monat.AZIstWRestUeVM,IF(MONTH(Monat.Tag1)=12,November!Monat.AZIstWRestUeVM,""))))))))))),0) -1/24*50),""),""),IF(L45=0,"",L45))</f>
        <v/>
      </c>
      <c r="M60" s="237" t="str">
        <f aca="true">IF(EB.Wochenarbeitszeit=50/24,IF(T.50_Vetsuisse,IF(WEEKDAY(M$10,2)=7,MAX(0,SUM(OFFSET(M51,0,-MIN(6,DAY(M$10)-1),1,MIN(7,DAY(M$10))))+IF(AND(MONTH(Monat.Tag1)&lt;&gt;1,DAY(M$10)&lt;7),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Monat.AZIstWRestUeVM,IF(MONTH(Monat.Tag1)=9,August!Monat.AZIstWRestUeVM,IF(MONTH(Monat.Tag1)=10,September!Monat.AZIstWRestUeVM,IF(MONTH(Monat.Tag1)=11,October!Monat.AZIstWRestUeVM,IF(MONTH(Monat.Tag1)=12,November!Monat.AZIstWRestUeVM,""))))))))))),0) -1/24*50),""),""),IF(M45=0,"",M45))</f>
        <v/>
      </c>
      <c r="N60" s="237" t="str">
        <f aca="true">IF(EB.Wochenarbeitszeit=50/24,IF(T.50_Vetsuisse,IF(WEEKDAY(N$10,2)=7,MAX(0,SUM(OFFSET(N51,0,-MIN(6,DAY(N$10)-1),1,MIN(7,DAY(N$10))))+IF(AND(MONTH(Monat.Tag1)&lt;&gt;1,DAY(N$10)&lt;7),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Monat.AZIstWRestUeVM,IF(MONTH(Monat.Tag1)=9,August!Monat.AZIstWRestUeVM,IF(MONTH(Monat.Tag1)=10,September!Monat.AZIstWRestUeVM,IF(MONTH(Monat.Tag1)=11,October!Monat.AZIstWRestUeVM,IF(MONTH(Monat.Tag1)=12,November!Monat.AZIstWRestUeVM,""))))))))))),0) -1/24*50),""),""),IF(N45=0,"",N45))</f>
        <v/>
      </c>
      <c r="O60" s="237" t="str">
        <f aca="true">IF(EB.Wochenarbeitszeit=50/24,IF(T.50_Vetsuisse,IF(WEEKDAY(O$10,2)=7,MAX(0,SUM(OFFSET(O51,0,-MIN(6,DAY(O$10)-1),1,MIN(7,DAY(O$10))))+IF(AND(MONTH(Monat.Tag1)&lt;&gt;1,DAY(O$10)&lt;7),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Monat.AZIstWRestUeVM,IF(MONTH(Monat.Tag1)=9,August!Monat.AZIstWRestUeVM,IF(MONTH(Monat.Tag1)=10,September!Monat.AZIstWRestUeVM,IF(MONTH(Monat.Tag1)=11,October!Monat.AZIstWRestUeVM,IF(MONTH(Monat.Tag1)=12,November!Monat.AZIstWRestUeVM,""))))))))))),0) -1/24*50),""),""),IF(O45=0,"",O45))</f>
        <v/>
      </c>
      <c r="P60" s="237" t="str">
        <f aca="true">IF(EB.Wochenarbeitszeit=50/24,IF(T.50_Vetsuisse,IF(WEEKDAY(P$10,2)=7,MAX(0,SUM(OFFSET(P51,0,-MIN(6,DAY(P$10)-1),1,MIN(7,DAY(P$10))))+IF(AND(MONTH(Monat.Tag1)&lt;&gt;1,DAY(P$10)&lt;7),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Monat.AZIstWRestUeVM,IF(MONTH(Monat.Tag1)=9,August!Monat.AZIstWRestUeVM,IF(MONTH(Monat.Tag1)=10,September!Monat.AZIstWRestUeVM,IF(MONTH(Monat.Tag1)=11,October!Monat.AZIstWRestUeVM,IF(MONTH(Monat.Tag1)=12,November!Monat.AZIstWRestUeVM,""))))))))))),0) -1/24*50),""),""),IF(P45=0,"",P45))</f>
        <v/>
      </c>
      <c r="Q60" s="238" t="str">
        <f aca="true">IF(EB.Wochenarbeitszeit=50/24,IF(T.50_Vetsuisse,IF(WEEKDAY(Q$10,2)=7,MAX(0,SUM(OFFSET(Q51,0,-MIN(6,DAY(Q$10)-1),1,MIN(7,DAY(Q$10))))+IF(AND(MONTH(Monat.Tag1)&lt;&gt;1,DAY(Q$10)&lt;7),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Monat.AZIstWRestUeVM,IF(MONTH(Monat.Tag1)=9,August!Monat.AZIstWRestUeVM,IF(MONTH(Monat.Tag1)=10,September!Monat.AZIstWRestUeVM,IF(MONTH(Monat.Tag1)=11,October!Monat.AZIstWRestUeVM,IF(MONTH(Monat.Tag1)=12,November!Monat.AZIstWRestUeVM,""))))))))))),0) -1/24*50),""),""),IF(Q45=0,"",Q45))</f>
        <v/>
      </c>
      <c r="R60" s="237" t="str">
        <f aca="true">IF(EB.Wochenarbeitszeit=50/24,IF(T.50_Vetsuisse,IF(WEEKDAY(R$10,2)=7,MAX(0,SUM(OFFSET(R51,0,-MIN(6,DAY(R$10)-1),1,MIN(7,DAY(R$10))))+IF(AND(MONTH(Monat.Tag1)&lt;&gt;1,DAY(R$10)&lt;7),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Monat.AZIstWRestUeVM,IF(MONTH(Monat.Tag1)=9,August!Monat.AZIstWRestUeVM,IF(MONTH(Monat.Tag1)=10,September!Monat.AZIstWRestUeVM,IF(MONTH(Monat.Tag1)=11,October!Monat.AZIstWRestUeVM,IF(MONTH(Monat.Tag1)=12,November!Monat.AZIstWRestUeVM,""))))))))))),0) -1/24*50),""),""),IF(R45=0,"",R45))</f>
        <v/>
      </c>
      <c r="S60" s="238" t="str">
        <f aca="true">IF(EB.Wochenarbeitszeit=50/24,IF(T.50_Vetsuisse,IF(WEEKDAY(S$10,2)=7,MAX(0,SUM(OFFSET(S51,0,-MIN(6,DAY(S$10)-1),1,MIN(7,DAY(S$10))))+IF(AND(MONTH(Monat.Tag1)&lt;&gt;1,DAY(S$10)&lt;7),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Monat.AZIstWRestUeVM,IF(MONTH(Monat.Tag1)=9,August!Monat.AZIstWRestUeVM,IF(MONTH(Monat.Tag1)=10,September!Monat.AZIstWRestUeVM,IF(MONTH(Monat.Tag1)=11,October!Monat.AZIstWRestUeVM,IF(MONTH(Monat.Tag1)=12,November!Monat.AZIstWRestUeVM,""))))))))))),0) -1/24*50),""),""),IF(S45=0,"",S45))</f>
        <v/>
      </c>
      <c r="T60" s="238" t="str">
        <f aca="true">IF(EB.Wochenarbeitszeit=50/24,IF(T.50_Vetsuisse,IF(WEEKDAY(T$10,2)=7,MAX(0,SUM(OFFSET(T51,0,-MIN(6,DAY(T$10)-1),1,MIN(7,DAY(T$10))))+IF(AND(MONTH(Monat.Tag1)&lt;&gt;1,DAY(T$10)&lt;7),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Monat.AZIstWRestUeVM,IF(MONTH(Monat.Tag1)=9,August!Monat.AZIstWRestUeVM,IF(MONTH(Monat.Tag1)=10,September!Monat.AZIstWRestUeVM,IF(MONTH(Monat.Tag1)=11,October!Monat.AZIstWRestUeVM,IF(MONTH(Monat.Tag1)=12,November!Monat.AZIstWRestUeVM,""))))))))))),0) -1/24*50),""),""),IF(T45=0,"",T45))</f>
        <v/>
      </c>
      <c r="U60" s="237" t="str">
        <f aca="true">IF(EB.Wochenarbeitszeit=50/24,IF(T.50_Vetsuisse,IF(WEEKDAY(U$10,2)=7,MAX(0,SUM(OFFSET(U51,0,-MIN(6,DAY(U$10)-1),1,MIN(7,DAY(U$10))))+IF(AND(MONTH(Monat.Tag1)&lt;&gt;1,DAY(U$10)&lt;7),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Monat.AZIstWRestUeVM,IF(MONTH(Monat.Tag1)=9,August!Monat.AZIstWRestUeVM,IF(MONTH(Monat.Tag1)=10,September!Monat.AZIstWRestUeVM,IF(MONTH(Monat.Tag1)=11,October!Monat.AZIstWRestUeVM,IF(MONTH(Monat.Tag1)=12,November!Monat.AZIstWRestUeVM,""))))))))))),0) -1/24*50),""),""),IF(U45=0,"",U45))</f>
        <v/>
      </c>
      <c r="V60" s="237" t="str">
        <f aca="true">IF(EB.Wochenarbeitszeit=50/24,IF(T.50_Vetsuisse,IF(WEEKDAY(V$10,2)=7,MAX(0,SUM(OFFSET(V51,0,-MIN(6,DAY(V$10)-1),1,MIN(7,DAY(V$10))))+IF(AND(MONTH(Monat.Tag1)&lt;&gt;1,DAY(V$10)&lt;7),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Monat.AZIstWRestUeVM,IF(MONTH(Monat.Tag1)=9,August!Monat.AZIstWRestUeVM,IF(MONTH(Monat.Tag1)=10,September!Monat.AZIstWRestUeVM,IF(MONTH(Monat.Tag1)=11,October!Monat.AZIstWRestUeVM,IF(MONTH(Monat.Tag1)=12,November!Monat.AZIstWRestUeVM,""))))))))))),0) -1/24*50),""),""),IF(V45=0,"",V45))</f>
        <v/>
      </c>
      <c r="W60" s="237" t="str">
        <f aca="true">IF(EB.Wochenarbeitszeit=50/24,IF(T.50_Vetsuisse,IF(WEEKDAY(W$10,2)=7,MAX(0,SUM(OFFSET(W51,0,-MIN(6,DAY(W$10)-1),1,MIN(7,DAY(W$10))))+IF(AND(MONTH(Monat.Tag1)&lt;&gt;1,DAY(W$10)&lt;7),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Monat.AZIstWRestUeVM,IF(MONTH(Monat.Tag1)=9,August!Monat.AZIstWRestUeVM,IF(MONTH(Monat.Tag1)=10,September!Monat.AZIstWRestUeVM,IF(MONTH(Monat.Tag1)=11,October!Monat.AZIstWRestUeVM,IF(MONTH(Monat.Tag1)=12,November!Monat.AZIstWRestUeVM,""))))))))))),0) -1/24*50),""),""),IF(W45=0,"",W45))</f>
        <v/>
      </c>
      <c r="X60" s="238" t="str">
        <f aca="true">IF(EB.Wochenarbeitszeit=50/24,IF(T.50_Vetsuisse,IF(WEEKDAY(X$10,2)=7,MAX(0,SUM(OFFSET(X51,0,-MIN(6,DAY(X$10)-1),1,MIN(7,DAY(X$10))))+IF(AND(MONTH(Monat.Tag1)&lt;&gt;1,DAY(X$10)&lt;7),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Monat.AZIstWRestUeVM,IF(MONTH(Monat.Tag1)=9,August!Monat.AZIstWRestUeVM,IF(MONTH(Monat.Tag1)=10,September!Monat.AZIstWRestUeVM,IF(MONTH(Monat.Tag1)=11,October!Monat.AZIstWRestUeVM,IF(MONTH(Monat.Tag1)=12,November!Monat.AZIstWRestUeVM,""))))))))))),0) -1/24*50),""),""),IF(X45=0,"",X45))</f>
        <v/>
      </c>
      <c r="Y60" s="237" t="str">
        <f aca="true">IF(EB.Wochenarbeitszeit=50/24,IF(T.50_Vetsuisse,IF(WEEKDAY(Y$10,2)=7,MAX(0,SUM(OFFSET(Y51,0,-MIN(6,DAY(Y$10)-1),1,MIN(7,DAY(Y$10))))+IF(AND(MONTH(Monat.Tag1)&lt;&gt;1,DAY(Y$10)&lt;7),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Monat.AZIstWRestUeVM,IF(MONTH(Monat.Tag1)=9,August!Monat.AZIstWRestUeVM,IF(MONTH(Monat.Tag1)=10,September!Monat.AZIstWRestUeVM,IF(MONTH(Monat.Tag1)=11,October!Monat.AZIstWRestUeVM,IF(MONTH(Monat.Tag1)=12,November!Monat.AZIstWRestUeVM,""))))))))))),0) -1/24*50),""),""),IF(Y45=0,"",Y45))</f>
        <v/>
      </c>
      <c r="Z60" s="239" t="str">
        <f aca="true">IF(EB.Wochenarbeitszeit=50/24,IF(T.50_Vetsuisse,IF(WEEKDAY(Z$10,2)=7,MAX(0,SUM(OFFSET(Z51,0,-MIN(6,DAY(Z$10)-1),1,MIN(7,DAY(Z$10))))+IF(AND(MONTH(Monat.Tag1)&lt;&gt;1,DAY(Z$10)&lt;7),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Monat.AZIstWRestUeVM,IF(MONTH(Monat.Tag1)=9,August!Monat.AZIstWRestUeVM,IF(MONTH(Monat.Tag1)=10,September!Monat.AZIstWRestUeVM,IF(MONTH(Monat.Tag1)=11,October!Monat.AZIstWRestUeVM,IF(MONTH(Monat.Tag1)=12,November!Monat.AZIstWRestUeVM,""))))))))))),0) -1/24*50),""),""),IF(Z45=0,"",Z45))</f>
        <v/>
      </c>
      <c r="AA60" s="237" t="str">
        <f aca="true">IF(EB.Wochenarbeitszeit=50/24,IF(T.50_Vetsuisse,IF(WEEKDAY(AA$10,2)=7,MAX(0,SUM(OFFSET(AA51,0,-MIN(6,DAY(AA$10)-1),1,MIN(7,DAY(AA$10))))+IF(AND(MONTH(Monat.Tag1)&lt;&gt;1,DAY(AA$10)&lt;7),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Monat.AZIstWRestUeVM,IF(MONTH(Monat.Tag1)=9,August!Monat.AZIstWRestUeVM,IF(MONTH(Monat.Tag1)=10,September!Monat.AZIstWRestUeVM,IF(MONTH(Monat.Tag1)=11,October!Monat.AZIstWRestUeVM,IF(MONTH(Monat.Tag1)=12,November!Monat.AZIstWRestUeVM,""))))))))))),0) -1/24*50),""),""),IF(AA45=0,"",AA45))</f>
        <v/>
      </c>
      <c r="AB60" s="237" t="str">
        <f aca="true">IF(EB.Wochenarbeitszeit=50/24,IF(T.50_Vetsuisse,IF(WEEKDAY(AB$10,2)=7,MAX(0,SUM(OFFSET(AB51,0,-MIN(6,DAY(AB$10)-1),1,MIN(7,DAY(AB$10))))+IF(AND(MONTH(Monat.Tag1)&lt;&gt;1,DAY(AB$10)&lt;7),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Monat.AZIstWRestUeVM,IF(MONTH(Monat.Tag1)=9,August!Monat.AZIstWRestUeVM,IF(MONTH(Monat.Tag1)=10,September!Monat.AZIstWRestUeVM,IF(MONTH(Monat.Tag1)=11,October!Monat.AZIstWRestUeVM,IF(MONTH(Monat.Tag1)=12,November!Monat.AZIstWRestUeVM,""))))))))))),0) -1/24*50),""),""),IF(AB45=0,"",AB45))</f>
        <v/>
      </c>
      <c r="AC60" s="237" t="str">
        <f aca="true">IF(EB.Wochenarbeitszeit=50/24,IF(T.50_Vetsuisse,IF(WEEKDAY(AC$10,2)=7,MAX(0,SUM(OFFSET(AC51,0,-MIN(6,DAY(AC$10)-1),1,MIN(7,DAY(AC$10))))+IF(AND(MONTH(Monat.Tag1)&lt;&gt;1,DAY(AC$10)&lt;7),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Monat.AZIstWRestUeVM,IF(MONTH(Monat.Tag1)=9,August!Monat.AZIstWRestUeVM,IF(MONTH(Monat.Tag1)=10,September!Monat.AZIstWRestUeVM,IF(MONTH(Monat.Tag1)=11,October!Monat.AZIstWRestUeVM,IF(MONTH(Monat.Tag1)=12,November!Monat.AZIstWRestUeVM,""))))))))))),0) -1/24*50),""),""),IF(AC45=0,"",AC45))</f>
        <v/>
      </c>
      <c r="AD60" s="237" t="str">
        <f aca="true">IF(EB.Wochenarbeitszeit=50/24,IF(T.50_Vetsuisse,IF(WEEKDAY(AD$10,2)=7,MAX(0,SUM(OFFSET(AD51,0,-MIN(6,DAY(AD$10)-1),1,MIN(7,DAY(AD$10))))+IF(AND(MONTH(Monat.Tag1)&lt;&gt;1,DAY(AD$10)&lt;7),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Monat.AZIstWRestUeVM,IF(MONTH(Monat.Tag1)=9,August!Monat.AZIstWRestUeVM,IF(MONTH(Monat.Tag1)=10,September!Monat.AZIstWRestUeVM,IF(MONTH(Monat.Tag1)=11,October!Monat.AZIstWRestUeVM,IF(MONTH(Monat.Tag1)=12,November!Monat.AZIstWRestUeVM,""))))))))))),0) -1/24*50),""),""),IF(AD45=0,"",AD45))</f>
        <v/>
      </c>
      <c r="AE60" s="238" t="str">
        <f aca="true">IF(EB.Wochenarbeitszeit=50/24,IF(T.50_Vetsuisse,IF(WEEKDAY(AE$10,2)=7,MAX(0,SUM(OFFSET(AE51,0,-MIN(6,DAY(AE$10)-1),1,MIN(7,DAY(AE$10))))+IF(AND(MONTH(Monat.Tag1)&lt;&gt;1,DAY(AE$10)&lt;7),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Monat.AZIstWRestUeVM,IF(MONTH(Monat.Tag1)=9,August!Monat.AZIstWRestUeVM,IF(MONTH(Monat.Tag1)=10,September!Monat.AZIstWRestUeVM,IF(MONTH(Monat.Tag1)=11,October!Monat.AZIstWRestUeVM,IF(MONTH(Monat.Tag1)=12,November!Monat.AZIstWRestUeVM,""))))))))))),0) -1/24*50),""),""),IF(AE45=0,"",AE45))</f>
        <v/>
      </c>
      <c r="AF60" s="237" t="str">
        <f aca="true">IF(EB.Wochenarbeitszeit=50/24,IF(T.50_Vetsuisse,IF(WEEKDAY(AF$10,2)=7,MAX(0,SUM(OFFSET(AF51,0,-MIN(6,DAY(AF$10)-1),1,MIN(7,DAY(AF$10))))+IF(AND(MONTH(Monat.Tag1)&lt;&gt;1,DAY(AF$10)&lt;7),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Monat.AZIstWRestUeVM,IF(MONTH(Monat.Tag1)=9,August!Monat.AZIstWRestUeVM,IF(MONTH(Monat.Tag1)=10,September!Monat.AZIstWRestUeVM,IF(MONTH(Monat.Tag1)=11,October!Monat.AZIstWRestUeVM,IF(MONTH(Monat.Tag1)=12,November!Monat.AZIstWRestUeVM,""))))))))))),0) -1/24*50),""),""),IF(AF45=0,"",AF45))</f>
        <v/>
      </c>
      <c r="AG60" s="168" t="str">
        <f aca="false">A60</f>
        <v>Ordered overtime</v>
      </c>
      <c r="AH60" s="184"/>
      <c r="AI60" s="207" t="n">
        <f aca="false">SUM(B60:AF60)</f>
        <v>0</v>
      </c>
      <c r="AJ60" s="180"/>
      <c r="AK60" s="172"/>
      <c r="AL60" s="216" t="n">
        <f aca="false">IF(EB.Anwendung&lt;&gt;"",IF(MONTH(Monat.Tag1)=1,0,IF(MONTH(Monat.Tag1)=2,January!Monat.AnUeZUeVM,IF(MONTH(Monat.Tag1)=3,February!Monat.AnUeZUeVM,IF(MONTH(Monat.Tag1)=4,March!Monat.AnUeZUeVM,IF(MONTH(Monat.Tag1)=5,April!Monat.AnUeZUeVM,IF(MONTH(Monat.Tag1)=6,May!Monat.AnUeZUeVM,IF(MONTH(Monat.Tag1)=7,June!Monat.AnUeZUeVM,IF(MONTH(Monat.Tag1)=8,Monat.AnUeZUeVM,IF(MONTH(Monat.Tag1)=9,August!Monat.AnUeZUeVM,IF(MONTH(Monat.Tag1)=10,September!Monat.AnUeZUeVM,IF(MONTH(Monat.Tag1)=11,October!Monat.AnUeZUeVM,IF(MONTH(Monat.Tag1)=12,November!Monat.AnUeZUeVM,"")))))))))))),"")</f>
        <v>0</v>
      </c>
      <c r="AM60" s="172"/>
      <c r="AN60" s="217" t="n">
        <f aca="false">AI60+AL60</f>
        <v>0</v>
      </c>
      <c r="AO60" s="217" t="n">
        <f aca="true">SUM(OFFSET(Jahr.AngÜZ,-12,0,MONTH(Monat.Tag1),1))</f>
        <v>0</v>
      </c>
      <c r="AP60" s="217" t="n">
        <f aca="false">Jahr.AngÜZ</f>
        <v>0</v>
      </c>
      <c r="AQ60" s="39"/>
    </row>
    <row r="61" s="148" customFormat="true" ht="15" hidden="false" customHeight="true" outlineLevel="0" collapsed="false">
      <c r="A61" s="175" t="s">
        <v>149</v>
      </c>
      <c r="B61" s="177"/>
      <c r="C61" s="177"/>
      <c r="D61" s="177"/>
      <c r="E61" s="177"/>
      <c r="F61" s="177"/>
      <c r="G61" s="177"/>
      <c r="H61" s="177"/>
      <c r="I61" s="177"/>
      <c r="J61" s="177"/>
      <c r="K61" s="177"/>
      <c r="L61" s="177"/>
      <c r="M61" s="177"/>
      <c r="N61" s="177"/>
      <c r="O61" s="177"/>
      <c r="P61" s="177"/>
      <c r="Q61" s="177"/>
      <c r="R61" s="177"/>
      <c r="S61" s="177"/>
      <c r="T61" s="177"/>
      <c r="U61" s="177"/>
      <c r="V61" s="177"/>
      <c r="W61" s="177"/>
      <c r="X61" s="177"/>
      <c r="Y61" s="177"/>
      <c r="Z61" s="178"/>
      <c r="AA61" s="177"/>
      <c r="AB61" s="177"/>
      <c r="AC61" s="177"/>
      <c r="AD61" s="177"/>
      <c r="AE61" s="177"/>
      <c r="AF61" s="177"/>
      <c r="AG61" s="168" t="str">
        <f aca="false">A61</f>
        <v>Compensation overtime</v>
      </c>
      <c r="AH61" s="184"/>
      <c r="AI61" s="207" t="n">
        <f aca="false">SUM(B61:AF61)</f>
        <v>0</v>
      </c>
      <c r="AJ61" s="180"/>
      <c r="AK61" s="172"/>
      <c r="AL61" s="172"/>
      <c r="AM61" s="172"/>
      <c r="AN61" s="171"/>
      <c r="AO61" s="172"/>
      <c r="AP61" s="172"/>
      <c r="AQ61" s="39"/>
    </row>
    <row r="62" s="231" customFormat="true" ht="15" hidden="true" customHeight="true" outlineLevel="1" collapsed="false">
      <c r="A62" s="219"/>
      <c r="B62" s="224"/>
      <c r="C62" s="224"/>
      <c r="D62" s="224"/>
      <c r="E62" s="152"/>
      <c r="F62" s="224"/>
      <c r="G62" s="224"/>
      <c r="H62" s="224"/>
      <c r="I62" s="224"/>
      <c r="J62" s="222"/>
      <c r="K62" s="224"/>
      <c r="L62" s="223"/>
      <c r="M62" s="224"/>
      <c r="N62" s="224"/>
      <c r="O62" s="224"/>
      <c r="P62" s="224"/>
      <c r="Q62" s="152"/>
      <c r="R62" s="224"/>
      <c r="S62" s="223"/>
      <c r="T62" s="224"/>
      <c r="U62" s="224"/>
      <c r="V62" s="224"/>
      <c r="W62" s="224"/>
      <c r="X62" s="224"/>
      <c r="Y62" s="224"/>
      <c r="Z62" s="152"/>
      <c r="AA62" s="224"/>
      <c r="AB62" s="224"/>
      <c r="AC62" s="224"/>
      <c r="AD62" s="224"/>
      <c r="AE62" s="152"/>
      <c r="AF62" s="240"/>
      <c r="AG62" s="241" t="s">
        <v>150</v>
      </c>
      <c r="AH62" s="242"/>
      <c r="AI62" s="207" t="n">
        <f aca="false">Monat.AnUeZ.Total-Monat.KomUeZ.Total</f>
        <v>0</v>
      </c>
      <c r="AJ62" s="180"/>
      <c r="AK62" s="230"/>
      <c r="AL62" s="230"/>
      <c r="AM62" s="172"/>
      <c r="AN62" s="230"/>
      <c r="AO62" s="230"/>
      <c r="AP62" s="230"/>
      <c r="AQ62" s="96"/>
    </row>
    <row r="63" s="148" customFormat="true" ht="15" hidden="false" customHeight="true" outlineLevel="0" collapsed="false">
      <c r="A63" s="186"/>
      <c r="B63" s="152"/>
      <c r="C63" s="152"/>
      <c r="D63" s="152"/>
      <c r="E63" s="152"/>
      <c r="F63" s="152"/>
      <c r="G63" s="152"/>
      <c r="H63" s="152"/>
      <c r="I63" s="152"/>
      <c r="J63" s="152"/>
      <c r="K63" s="152"/>
      <c r="L63" s="223"/>
      <c r="M63" s="152"/>
      <c r="N63" s="152"/>
      <c r="O63" s="152"/>
      <c r="P63" s="152"/>
      <c r="Q63" s="152"/>
      <c r="R63" s="152"/>
      <c r="S63" s="223"/>
      <c r="T63" s="152"/>
      <c r="U63" s="152"/>
      <c r="V63" s="152"/>
      <c r="W63" s="152"/>
      <c r="X63" s="224"/>
      <c r="Y63" s="152"/>
      <c r="Z63" s="152"/>
      <c r="AA63" s="152"/>
      <c r="AB63" s="152"/>
      <c r="AC63" s="152"/>
      <c r="AD63" s="152"/>
      <c r="AE63" s="152"/>
      <c r="AF63" s="243"/>
      <c r="AG63" s="175" t="s">
        <v>151</v>
      </c>
      <c r="AH63" s="184"/>
      <c r="AI63" s="207" t="n">
        <f aca="true">IF(T.50_Vetsuisse,0,IF(AND(AI62&gt;0,Monat.ÜZZSBerechtigt=INDEX(T.JaNein.Bereich,1,1)),(AI62*0.25),0))</f>
        <v>0</v>
      </c>
      <c r="AJ63" s="180"/>
      <c r="AK63" s="172"/>
      <c r="AL63" s="230"/>
      <c r="AM63" s="172"/>
      <c r="AN63" s="230"/>
      <c r="AO63" s="230"/>
      <c r="AP63" s="230"/>
      <c r="AQ63" s="39"/>
    </row>
    <row r="64" s="148" customFormat="true" ht="15" hidden="true" customHeight="true" outlineLevel="1" collapsed="false">
      <c r="A64" s="186"/>
      <c r="B64" s="152"/>
      <c r="C64" s="152"/>
      <c r="D64" s="152"/>
      <c r="E64" s="152"/>
      <c r="F64" s="152"/>
      <c r="G64" s="152"/>
      <c r="H64" s="152"/>
      <c r="I64" s="152"/>
      <c r="J64" s="152"/>
      <c r="K64" s="152"/>
      <c r="L64" s="223"/>
      <c r="M64" s="152"/>
      <c r="N64" s="152"/>
      <c r="O64" s="152"/>
      <c r="P64" s="152"/>
      <c r="Q64" s="152"/>
      <c r="R64" s="152"/>
      <c r="S64" s="223"/>
      <c r="T64" s="152"/>
      <c r="U64" s="152"/>
      <c r="V64" s="152"/>
      <c r="W64" s="152"/>
      <c r="X64" s="224"/>
      <c r="Y64" s="152"/>
      <c r="Z64" s="152"/>
      <c r="AA64" s="152"/>
      <c r="AB64" s="152"/>
      <c r="AC64" s="152"/>
      <c r="AD64" s="152"/>
      <c r="AE64" s="152"/>
      <c r="AF64" s="243"/>
      <c r="AG64" s="175" t="s">
        <v>152</v>
      </c>
      <c r="AH64" s="244" t="s">
        <v>146</v>
      </c>
      <c r="AI64" s="245"/>
      <c r="AJ64" s="246"/>
      <c r="AK64" s="172"/>
      <c r="AL64" s="230"/>
      <c r="AM64" s="172"/>
      <c r="AN64" s="230"/>
      <c r="AO64" s="230"/>
      <c r="AP64" s="230"/>
      <c r="AQ64" s="39"/>
    </row>
    <row r="65" s="231" customFormat="true" ht="15" hidden="false" customHeight="true" outlineLevel="0" collapsed="false">
      <c r="A65" s="219"/>
      <c r="B65" s="224"/>
      <c r="C65" s="224"/>
      <c r="D65" s="224"/>
      <c r="E65" s="152"/>
      <c r="F65" s="224"/>
      <c r="G65" s="224"/>
      <c r="H65" s="224"/>
      <c r="I65" s="224"/>
      <c r="J65" s="152"/>
      <c r="K65" s="224"/>
      <c r="L65" s="223"/>
      <c r="M65" s="224"/>
      <c r="N65" s="224"/>
      <c r="O65" s="224"/>
      <c r="P65" s="224"/>
      <c r="Q65" s="152"/>
      <c r="R65" s="224"/>
      <c r="S65" s="223"/>
      <c r="T65" s="224"/>
      <c r="U65" s="224"/>
      <c r="V65" s="224"/>
      <c r="W65" s="224"/>
      <c r="X65" s="224"/>
      <c r="Y65" s="224"/>
      <c r="Z65" s="152"/>
      <c r="AA65" s="224"/>
      <c r="AB65" s="224"/>
      <c r="AC65" s="224"/>
      <c r="AD65" s="224"/>
      <c r="AE65" s="152"/>
      <c r="AF65" s="240"/>
      <c r="AG65" s="234" t="s">
        <v>153</v>
      </c>
      <c r="AH65" s="242"/>
      <c r="AI65" s="207" t="n">
        <f aca="false">IF(AH64="+",(AI62+AI63+AI64),(AI62+AI63-AI64))</f>
        <v>0</v>
      </c>
      <c r="AJ65" s="33"/>
      <c r="AK65" s="247"/>
      <c r="AL65" s="216" t="n">
        <f aca="false">IF(EB.Anwendung&lt;&gt;"",IF(MONTH(Monat.Tag1)=1,EB.UeZ,IF(MONTH(Monat.Tag1)=2,January!Monat.UeZUeVM,IF(MONTH(Monat.Tag1)=3,February!Monat.UeZUeVM,IF(MONTH(Monat.Tag1)=4,March!Monat.UeZUeVM,IF(MONTH(Monat.Tag1)=5,April!Monat.UeZUeVM,IF(MONTH(Monat.Tag1)=6,May!Monat.UeZUeVM,IF(MONTH(Monat.Tag1)=7,June!Monat.UeZUeVM,IF(MONTH(Monat.Tag1)=8,Monat.UeZUeVM,IF(MONTH(Monat.Tag1)=9,August!Monat.UeZUeVM,IF(MONTH(Monat.Tag1)=10,September!Monat.UeZUeVM,IF(MONTH(Monat.Tag1)=11,October!Monat.UeZUeVM,IF(MONTH(Monat.Tag1)=12,November!Monat.UeZUeVM,"")))))))))))),"")</f>
        <v>0</v>
      </c>
      <c r="AM65" s="172"/>
      <c r="AN65" s="217" t="n">
        <f aca="false">AI65+AL65</f>
        <v>0</v>
      </c>
      <c r="AO65" s="217" t="n">
        <f aca="true">SUM(OFFSET(J.UeZ.Total,-12,0,MONTH(Monat.Tag1),1))</f>
        <v>0</v>
      </c>
      <c r="AP65" s="217" t="n">
        <f aca="false">J.UeZ.Total</f>
        <v>0</v>
      </c>
      <c r="AQ65" s="96"/>
    </row>
    <row r="66" s="148" customFormat="true" ht="11.25" hidden="false" customHeight="true" outlineLevel="1" collapsed="false">
      <c r="A66" s="186"/>
      <c r="B66" s="57"/>
      <c r="C66" s="57"/>
      <c r="D66" s="57"/>
      <c r="E66" s="152"/>
      <c r="F66" s="57"/>
      <c r="G66" s="57"/>
      <c r="H66" s="57"/>
      <c r="I66" s="57"/>
      <c r="J66" s="152"/>
      <c r="K66" s="57"/>
      <c r="L66" s="223"/>
      <c r="M66" s="57"/>
      <c r="N66" s="57"/>
      <c r="O66" s="57"/>
      <c r="P66" s="57"/>
      <c r="Q66" s="152"/>
      <c r="R66" s="57"/>
      <c r="S66" s="223"/>
      <c r="T66" s="57"/>
      <c r="U66" s="57"/>
      <c r="V66" s="57"/>
      <c r="W66" s="57"/>
      <c r="X66" s="224"/>
      <c r="Y66" s="57"/>
      <c r="Z66" s="152"/>
      <c r="AA66" s="57"/>
      <c r="AB66" s="57"/>
      <c r="AC66" s="57"/>
      <c r="AD66" s="57"/>
      <c r="AE66" s="152"/>
      <c r="AF66" s="179"/>
      <c r="AG66" s="175"/>
      <c r="AH66" s="146"/>
      <c r="AI66" s="179"/>
      <c r="AJ66" s="180"/>
      <c r="AK66" s="172"/>
      <c r="AL66" s="172"/>
      <c r="AM66" s="172"/>
      <c r="AN66" s="171"/>
      <c r="AO66" s="172"/>
      <c r="AP66" s="172"/>
      <c r="AQ66" s="39"/>
    </row>
    <row r="67" s="148" customFormat="true" ht="15" hidden="false" customHeight="true" outlineLevel="1" collapsed="false">
      <c r="A67" s="175" t="s">
        <v>154</v>
      </c>
      <c r="B67" s="177"/>
      <c r="C67" s="177"/>
      <c r="D67" s="177"/>
      <c r="E67" s="177"/>
      <c r="F67" s="177"/>
      <c r="G67" s="177"/>
      <c r="H67" s="177"/>
      <c r="I67" s="177"/>
      <c r="J67" s="177"/>
      <c r="K67" s="177"/>
      <c r="L67" s="177"/>
      <c r="M67" s="177"/>
      <c r="N67" s="177"/>
      <c r="O67" s="177"/>
      <c r="P67" s="177"/>
      <c r="Q67" s="177"/>
      <c r="R67" s="177"/>
      <c r="S67" s="177"/>
      <c r="T67" s="177"/>
      <c r="U67" s="177"/>
      <c r="V67" s="177"/>
      <c r="W67" s="177"/>
      <c r="X67" s="177"/>
      <c r="Y67" s="177"/>
      <c r="Z67" s="178"/>
      <c r="AA67" s="177"/>
      <c r="AB67" s="177"/>
      <c r="AC67" s="177"/>
      <c r="AD67" s="177"/>
      <c r="AE67" s="177"/>
      <c r="AF67" s="177"/>
      <c r="AG67" s="168" t="str">
        <f aca="false">A67</f>
        <v>Compensation working hours</v>
      </c>
      <c r="AH67" s="184"/>
      <c r="AI67" s="207" t="n">
        <f aca="false">SUM(B67:AF67)</f>
        <v>0</v>
      </c>
      <c r="AJ67" s="33"/>
      <c r="AK67" s="216" t="n">
        <f aca="true">OFFSET(EB.MKAStd.Knoten,MONTH(Monat.Tag1),0,1,1)</f>
        <v>0.4375</v>
      </c>
      <c r="AL67" s="248" t="n">
        <f aca="false">IF(EB.Anwendung&lt;&gt;"",IF(MONTH(Monat.Tag1)=1,0,IF(MONTH(Monat.Tag1)=2,January!Monat.KomUeVM,IF(MONTH(Monat.Tag1)=3,February!Monat.KomUeVM,IF(MONTH(Monat.Tag1)=4,March!Monat.KomUeVM,IF(MONTH(Monat.Tag1)=5,April!Monat.KomUeVM,IF(MONTH(Monat.Tag1)=6,May!Monat.KomUeVM,IF(MONTH(Monat.Tag1)=7,June!Monat.KomUeVM,IF(MONTH(Monat.Tag1)=8,Monat.KomUeVM,IF(MONTH(Monat.Tag1)=9,August!Monat.KomUeVM,IF(MONTH(Monat.Tag1)=10,September!Monat.KomUeVM,IF(MONTH(Monat.Tag1)=11,October!Monat.KomUeVM,IF(MONTH(Monat.Tag1)=12,November!Monat.KomUeVM,"")))))))))))),"")</f>
        <v>1.3125</v>
      </c>
      <c r="AM67" s="172"/>
      <c r="AN67" s="217" t="n">
        <f aca="false">AK67+AL67-Monat.KomAZ.Total</f>
        <v>1.75</v>
      </c>
      <c r="AO67" s="217" t="n">
        <f aca="true">Jahresabrechnung!P12-SUM(OFFSET(Jahresabrechnung!P15,0,0,MONTH(Monat.Tag1),1))</f>
        <v>3.9375</v>
      </c>
      <c r="AP67" s="217" t="n">
        <f aca="false">Jahresabrechnung!P28</f>
        <v>3.9375</v>
      </c>
      <c r="AQ67" s="39"/>
    </row>
    <row r="68" s="148" customFormat="true" ht="11.25" hidden="false" customHeight="true" outlineLevel="0" collapsed="false">
      <c r="A68" s="186"/>
      <c r="B68" s="187"/>
      <c r="C68" s="187"/>
      <c r="D68" s="187"/>
      <c r="E68" s="187"/>
      <c r="F68" s="187"/>
      <c r="G68" s="187"/>
      <c r="H68" s="187"/>
      <c r="I68" s="187"/>
      <c r="J68" s="187"/>
      <c r="K68" s="187"/>
      <c r="L68" s="187"/>
      <c r="M68" s="187"/>
      <c r="N68" s="187"/>
      <c r="O68" s="187"/>
      <c r="P68" s="187"/>
      <c r="Q68" s="187"/>
      <c r="R68" s="187"/>
      <c r="S68" s="187"/>
      <c r="T68" s="187"/>
      <c r="U68" s="187"/>
      <c r="V68" s="187"/>
      <c r="W68" s="187"/>
      <c r="X68" s="187"/>
      <c r="Y68" s="187"/>
      <c r="Z68" s="187"/>
      <c r="AA68" s="187"/>
      <c r="AB68" s="187"/>
      <c r="AC68" s="187"/>
      <c r="AD68" s="187"/>
      <c r="AE68" s="187"/>
      <c r="AF68" s="188"/>
      <c r="AG68" s="168"/>
      <c r="AH68" s="146"/>
      <c r="AI68" s="179"/>
      <c r="AJ68" s="180"/>
      <c r="AK68" s="172"/>
      <c r="AL68" s="172"/>
      <c r="AM68" s="172"/>
      <c r="AN68" s="171"/>
      <c r="AO68" s="172"/>
      <c r="AP68" s="172"/>
      <c r="AQ68" s="39"/>
    </row>
    <row r="69" s="148" customFormat="true" ht="15" hidden="true" customHeight="true" outlineLevel="0" collapsed="false">
      <c r="A69" s="175" t="s">
        <v>155</v>
      </c>
      <c r="B69" s="249" t="n">
        <f aca="true">IF(AND(T.50_Vetsuisse,B72=INDEX(T.JaNein.Bereich,1,1),B73&gt;0,MOD(IFERROR(MATCH(1,B13:B22,0),1),2)=0),1, IF(AND(T.ServiceCenterIrchel,B72=INDEX(T.JaNein.Bereich,1,1),B77&gt;0),1, IF(AND(T.50_Vetsuisse=0,T.ServiceCenterIrchel=0,B77&gt;0),1,0)))</f>
        <v>0</v>
      </c>
      <c r="C69" s="249" t="n">
        <f aca="true">IF(AND(T.50_Vetsuisse,C72=INDEX(T.JaNein.Bereich,1,1),C73&gt;0,MOD(IFERROR(MATCH(1,C13:C22,0),1),2)=0),1, IF(AND(T.ServiceCenterIrchel,C72=INDEX(T.JaNein.Bereich,1,1),C77&gt;0),1, IF(AND(T.50_Vetsuisse=0,T.ServiceCenterIrchel=0,C77&gt;0),1,0)))</f>
        <v>0</v>
      </c>
      <c r="D69" s="249" t="n">
        <f aca="true">IF(AND(T.50_Vetsuisse,D72=INDEX(T.JaNein.Bereich,1,1),D73&gt;0,MOD(IFERROR(MATCH(1,D13:D22,0),1),2)=0),1, IF(AND(T.ServiceCenterIrchel,D72=INDEX(T.JaNein.Bereich,1,1),D77&gt;0),1, IF(AND(T.50_Vetsuisse=0,T.ServiceCenterIrchel=0,D77&gt;0),1,0)))</f>
        <v>0</v>
      </c>
      <c r="E69" s="249" t="n">
        <f aca="true">IF(AND(T.50_Vetsuisse,E72=INDEX(T.JaNein.Bereich,1,1),E73&gt;0,MOD(IFERROR(MATCH(1,E13:E22,0),1),2)=0),1, IF(AND(T.ServiceCenterIrchel,E72=INDEX(T.JaNein.Bereich,1,1),E77&gt;0),1, IF(AND(T.50_Vetsuisse=0,T.ServiceCenterIrchel=0,E77&gt;0),1,0)))</f>
        <v>0</v>
      </c>
      <c r="F69" s="249" t="n">
        <f aca="true">IF(AND(T.50_Vetsuisse,F72=INDEX(T.JaNein.Bereich,1,1),F73&gt;0,MOD(IFERROR(MATCH(1,F13:F22,0),1),2)=0),1, IF(AND(T.ServiceCenterIrchel,F72=INDEX(T.JaNein.Bereich,1,1),F77&gt;0),1, IF(AND(T.50_Vetsuisse=0,T.ServiceCenterIrchel=0,F77&gt;0),1,0)))</f>
        <v>0</v>
      </c>
      <c r="G69" s="249" t="n">
        <f aca="true">IF(AND(T.50_Vetsuisse,G72=INDEX(T.JaNein.Bereich,1,1),G73&gt;0,MOD(IFERROR(MATCH(1,G13:G22,0),1),2)=0),1, IF(AND(T.ServiceCenterIrchel,G72=INDEX(T.JaNein.Bereich,1,1),G77&gt;0),1, IF(AND(T.50_Vetsuisse=0,T.ServiceCenterIrchel=0,G77&gt;0),1,0)))</f>
        <v>0</v>
      </c>
      <c r="H69" s="249" t="n">
        <f aca="true">IF(AND(T.50_Vetsuisse,H72=INDEX(T.JaNein.Bereich,1,1),H73&gt;0,MOD(IFERROR(MATCH(1,H13:H22,0),1),2)=0),1, IF(AND(T.ServiceCenterIrchel,H72=INDEX(T.JaNein.Bereich,1,1),H77&gt;0),1, IF(AND(T.50_Vetsuisse=0,T.ServiceCenterIrchel=0,H77&gt;0),1,0)))</f>
        <v>0</v>
      </c>
      <c r="I69" s="249" t="n">
        <f aca="true">IF(AND(T.50_Vetsuisse,I72=INDEX(T.JaNein.Bereich,1,1),I73&gt;0,MOD(IFERROR(MATCH(1,I13:I22,0),1),2)=0),1, IF(AND(T.ServiceCenterIrchel,I72=INDEX(T.JaNein.Bereich,1,1),I77&gt;0),1, IF(AND(T.50_Vetsuisse=0,T.ServiceCenterIrchel=0,I77&gt;0),1,0)))</f>
        <v>0</v>
      </c>
      <c r="J69" s="249" t="n">
        <f aca="true">IF(AND(T.50_Vetsuisse,J72=INDEX(T.JaNein.Bereich,1,1),J73&gt;0,MOD(IFERROR(MATCH(1,J13:J22,0),1),2)=0),1, IF(AND(T.ServiceCenterIrchel,J72=INDEX(T.JaNein.Bereich,1,1),J77&gt;0),1, IF(AND(T.50_Vetsuisse=0,T.ServiceCenterIrchel=0,J77&gt;0),1,0)))</f>
        <v>0</v>
      </c>
      <c r="K69" s="249" t="n">
        <f aca="true">IF(AND(T.50_Vetsuisse,K72=INDEX(T.JaNein.Bereich,1,1),K73&gt;0,MOD(IFERROR(MATCH(1,K13:K22,0),1),2)=0),1, IF(AND(T.ServiceCenterIrchel,K72=INDEX(T.JaNein.Bereich,1,1),K77&gt;0),1, IF(AND(T.50_Vetsuisse=0,T.ServiceCenterIrchel=0,K77&gt;0),1,0)))</f>
        <v>0</v>
      </c>
      <c r="L69" s="249" t="n">
        <f aca="true">IF(AND(T.50_Vetsuisse,L72=INDEX(T.JaNein.Bereich,1,1),L73&gt;0,MOD(IFERROR(MATCH(1,L13:L22,0),1),2)=0),1, IF(AND(T.ServiceCenterIrchel,L72=INDEX(T.JaNein.Bereich,1,1),L77&gt;0),1, IF(AND(T.50_Vetsuisse=0,T.ServiceCenterIrchel=0,L77&gt;0),1,0)))</f>
        <v>0</v>
      </c>
      <c r="M69" s="249" t="n">
        <f aca="true">IF(AND(T.50_Vetsuisse,M72=INDEX(T.JaNein.Bereich,1,1),M73&gt;0,MOD(IFERROR(MATCH(1,M13:M22,0),1),2)=0),1, IF(AND(T.ServiceCenterIrchel,M72=INDEX(T.JaNein.Bereich,1,1),M77&gt;0),1, IF(AND(T.50_Vetsuisse=0,T.ServiceCenterIrchel=0,M77&gt;0),1,0)))</f>
        <v>0</v>
      </c>
      <c r="N69" s="249" t="n">
        <f aca="true">IF(AND(T.50_Vetsuisse,N72=INDEX(T.JaNein.Bereich,1,1),N73&gt;0,MOD(IFERROR(MATCH(1,N13:N22,0),1),2)=0),1, IF(AND(T.ServiceCenterIrchel,N72=INDEX(T.JaNein.Bereich,1,1),N77&gt;0),1, IF(AND(T.50_Vetsuisse=0,T.ServiceCenterIrchel=0,N77&gt;0),1,0)))</f>
        <v>0</v>
      </c>
      <c r="O69" s="249" t="n">
        <f aca="true">IF(AND(T.50_Vetsuisse,O72=INDEX(T.JaNein.Bereich,1,1),O73&gt;0,MOD(IFERROR(MATCH(1,O13:O22,0),1),2)=0),1, IF(AND(T.ServiceCenterIrchel,O72=INDEX(T.JaNein.Bereich,1,1),O77&gt;0),1, IF(AND(T.50_Vetsuisse=0,T.ServiceCenterIrchel=0,O77&gt;0),1,0)))</f>
        <v>0</v>
      </c>
      <c r="P69" s="249" t="n">
        <f aca="true">IF(AND(T.50_Vetsuisse,P72=INDEX(T.JaNein.Bereich,1,1),P73&gt;0,MOD(IFERROR(MATCH(1,P13:P22,0),1),2)=0),1, IF(AND(T.ServiceCenterIrchel,P72=INDEX(T.JaNein.Bereich,1,1),P77&gt;0),1, IF(AND(T.50_Vetsuisse=0,T.ServiceCenterIrchel=0,P77&gt;0),1,0)))</f>
        <v>0</v>
      </c>
      <c r="Q69" s="249" t="n">
        <f aca="true">IF(AND(T.50_Vetsuisse,Q72=INDEX(T.JaNein.Bereich,1,1),Q73&gt;0,MOD(IFERROR(MATCH(1,Q13:Q22,0),1),2)=0),1, IF(AND(T.ServiceCenterIrchel,Q72=INDEX(T.JaNein.Bereich,1,1),Q77&gt;0),1, IF(AND(T.50_Vetsuisse=0,T.ServiceCenterIrchel=0,Q77&gt;0),1,0)))</f>
        <v>0</v>
      </c>
      <c r="R69" s="249" t="n">
        <f aca="true">IF(AND(T.50_Vetsuisse,R72=INDEX(T.JaNein.Bereich,1,1),R73&gt;0,MOD(IFERROR(MATCH(1,R13:R22,0),1),2)=0),1, IF(AND(T.ServiceCenterIrchel,R72=INDEX(T.JaNein.Bereich,1,1),R77&gt;0),1, IF(AND(T.50_Vetsuisse=0,T.ServiceCenterIrchel=0,R77&gt;0),1,0)))</f>
        <v>0</v>
      </c>
      <c r="S69" s="249" t="n">
        <f aca="true">IF(AND(T.50_Vetsuisse,S72=INDEX(T.JaNein.Bereich,1,1),S73&gt;0,MOD(IFERROR(MATCH(1,S13:S22,0),1),2)=0),1, IF(AND(T.ServiceCenterIrchel,S72=INDEX(T.JaNein.Bereich,1,1),S77&gt;0),1, IF(AND(T.50_Vetsuisse=0,T.ServiceCenterIrchel=0,S77&gt;0),1,0)))</f>
        <v>0</v>
      </c>
      <c r="T69" s="249" t="n">
        <f aca="true">IF(AND(T.50_Vetsuisse,T72=INDEX(T.JaNein.Bereich,1,1),T73&gt;0,MOD(IFERROR(MATCH(1,T13:T22,0),1),2)=0),1, IF(AND(T.ServiceCenterIrchel,T72=INDEX(T.JaNein.Bereich,1,1),T77&gt;0),1, IF(AND(T.50_Vetsuisse=0,T.ServiceCenterIrchel=0,T77&gt;0),1,0)))</f>
        <v>0</v>
      </c>
      <c r="U69" s="249" t="n">
        <f aca="true">IF(AND(T.50_Vetsuisse,U72=INDEX(T.JaNein.Bereich,1,1),U73&gt;0,MOD(IFERROR(MATCH(1,U13:U22,0),1),2)=0),1, IF(AND(T.ServiceCenterIrchel,U72=INDEX(T.JaNein.Bereich,1,1),U77&gt;0),1, IF(AND(T.50_Vetsuisse=0,T.ServiceCenterIrchel=0,U77&gt;0),1,0)))</f>
        <v>0</v>
      </c>
      <c r="V69" s="249" t="n">
        <f aca="true">IF(AND(T.50_Vetsuisse,V72=INDEX(T.JaNein.Bereich,1,1),V73&gt;0,MOD(IFERROR(MATCH(1,V13:V22,0),1),2)=0),1, IF(AND(T.ServiceCenterIrchel,V72=INDEX(T.JaNein.Bereich,1,1),V77&gt;0),1, IF(AND(T.50_Vetsuisse=0,T.ServiceCenterIrchel=0,V77&gt;0),1,0)))</f>
        <v>0</v>
      </c>
      <c r="W69" s="249" t="n">
        <f aca="true">IF(AND(T.50_Vetsuisse,W72=INDEX(T.JaNein.Bereich,1,1),W73&gt;0,MOD(IFERROR(MATCH(1,W13:W22,0),1),2)=0),1, IF(AND(T.ServiceCenterIrchel,W72=INDEX(T.JaNein.Bereich,1,1),W77&gt;0),1, IF(AND(T.50_Vetsuisse=0,T.ServiceCenterIrchel=0,W77&gt;0),1,0)))</f>
        <v>0</v>
      </c>
      <c r="X69" s="249" t="n">
        <f aca="true">IF(AND(T.50_Vetsuisse,X72=INDEX(T.JaNein.Bereich,1,1),X73&gt;0,MOD(IFERROR(MATCH(1,X13:X22,0),1),2)=0),1, IF(AND(T.ServiceCenterIrchel,X72=INDEX(T.JaNein.Bereich,1,1),X77&gt;0),1, IF(AND(T.50_Vetsuisse=0,T.ServiceCenterIrchel=0,X77&gt;0),1,0)))</f>
        <v>0</v>
      </c>
      <c r="Y69" s="249" t="n">
        <f aca="true">IF(AND(T.50_Vetsuisse,Y72=INDEX(T.JaNein.Bereich,1,1),Y73&gt;0,MOD(IFERROR(MATCH(1,Y13:Y22,0),1),2)=0),1, IF(AND(T.ServiceCenterIrchel,Y72=INDEX(T.JaNein.Bereich,1,1),Y77&gt;0),1, IF(AND(T.50_Vetsuisse=0,T.ServiceCenterIrchel=0,Y77&gt;0),1,0)))</f>
        <v>0</v>
      </c>
      <c r="Z69" s="249" t="n">
        <f aca="true">IF(AND(T.50_Vetsuisse,Z72=INDEX(T.JaNein.Bereich,1,1),Z73&gt;0,MOD(IFERROR(MATCH(1,Z13:Z22,0),1),2)=0),1, IF(AND(T.ServiceCenterIrchel,Z72=INDEX(T.JaNein.Bereich,1,1),Z77&gt;0),1, IF(AND(T.50_Vetsuisse=0,T.ServiceCenterIrchel=0,Z77&gt;0),1,0)))</f>
        <v>0</v>
      </c>
      <c r="AA69" s="249" t="n">
        <f aca="true">IF(AND(T.50_Vetsuisse,AA72=INDEX(T.JaNein.Bereich,1,1),AA73&gt;0,MOD(IFERROR(MATCH(1,AA13:AA22,0),1),2)=0),1, IF(AND(T.ServiceCenterIrchel,AA72=INDEX(T.JaNein.Bereich,1,1),AA77&gt;0),1, IF(AND(T.50_Vetsuisse=0,T.ServiceCenterIrchel=0,AA77&gt;0),1,0)))</f>
        <v>0</v>
      </c>
      <c r="AB69" s="249" t="n">
        <f aca="true">IF(AND(T.50_Vetsuisse,AB72=INDEX(T.JaNein.Bereich,1,1),AB73&gt;0,MOD(IFERROR(MATCH(1,AB13:AB22,0),1),2)=0),1, IF(AND(T.ServiceCenterIrchel,AB72=INDEX(T.JaNein.Bereich,1,1),AB77&gt;0),1, IF(AND(T.50_Vetsuisse=0,T.ServiceCenterIrchel=0,AB77&gt;0),1,0)))</f>
        <v>0</v>
      </c>
      <c r="AC69" s="249" t="n">
        <f aca="true">IF(AND(T.50_Vetsuisse,AC72=INDEX(T.JaNein.Bereich,1,1),AC73&gt;0,MOD(IFERROR(MATCH(1,AC13:AC22,0),1),2)=0),1, IF(AND(T.ServiceCenterIrchel,AC72=INDEX(T.JaNein.Bereich,1,1),AC77&gt;0),1, IF(AND(T.50_Vetsuisse=0,T.ServiceCenterIrchel=0,AC77&gt;0),1,0)))</f>
        <v>0</v>
      </c>
      <c r="AD69" s="249" t="n">
        <f aca="true">IF(AND(T.50_Vetsuisse,AD72=INDEX(T.JaNein.Bereich,1,1),AD73&gt;0,MOD(IFERROR(MATCH(1,AD13:AD22,0),1),2)=0),1, IF(AND(T.ServiceCenterIrchel,AD72=INDEX(T.JaNein.Bereich,1,1),AD77&gt;0),1, IF(AND(T.50_Vetsuisse=0,T.ServiceCenterIrchel=0,AD77&gt;0),1,0)))</f>
        <v>0</v>
      </c>
      <c r="AE69" s="249" t="n">
        <f aca="true">IF(AND(T.50_Vetsuisse,AE72=INDEX(T.JaNein.Bereich,1,1),AE73&gt;0,MOD(IFERROR(MATCH(1,AE13:AE22,0),1),2)=0),1, IF(AND(T.ServiceCenterIrchel,AE72=INDEX(T.JaNein.Bereich,1,1),AE77&gt;0),1, IF(AND(T.50_Vetsuisse=0,T.ServiceCenterIrchel=0,AE77&gt;0),1,0)))</f>
        <v>0</v>
      </c>
      <c r="AF69" s="249" t="n">
        <f aca="true">IF(AND(T.50_Vetsuisse,AF72=INDEX(T.JaNein.Bereich,1,1),AF73&gt;0,MOD(IFERROR(MATCH(1,AF13:AF22,0),1),2)=0),1, IF(AND(T.ServiceCenterIrchel,AF72=INDEX(T.JaNein.Bereich,1,1),AF77&gt;0),1, IF(AND(T.50_Vetsuisse=0,T.ServiceCenterIrchel=0,AF77&gt;0),1,0)))</f>
        <v>0</v>
      </c>
      <c r="AG69" s="168" t="str">
        <f aca="false">A69</f>
        <v>Counter night shift</v>
      </c>
      <c r="AH69" s="250"/>
      <c r="AI69" s="251" t="n">
        <f aca="false">SUM(B69:AF69)</f>
        <v>0</v>
      </c>
      <c r="AJ69" s="33"/>
      <c r="AK69" s="192"/>
      <c r="AL69" s="252" t="n">
        <f aca="false">IF(EB.Anwendung&lt;&gt;"",IF(MONTH(Monat.Tag1)=1,0,IF(MONTH(Monat.Tag1)=2,January!Monat.ZählerNDUe,IF(MONTH(Monat.Tag1)=3,February!Monat.ZählerNDUe,IF(MONTH(Monat.Tag1)=4,March!Monat.ZählerNDUe,IF(MONTH(Monat.Tag1)=5,April!Monat.ZählerNDUe,IF(MONTH(Monat.Tag1)=6,May!Monat.ZählerNDUe,IF(MONTH(Monat.Tag1)=7,June!Monat.ZählerNDUe,IF(MONTH(Monat.Tag1)=8,Monat.ZählerNDUe,IF(MONTH(Monat.Tag1)=9,August!Monat.ZählerNDUe,IF(MONTH(Monat.Tag1)=10,September!Monat.ZählerNDUe,IF(MONTH(Monat.Tag1)=11,October!Monat.ZählerNDUe,IF(MONTH(Monat.Tag1)=12,November!Monat.ZählerNDUe,"")))))))))))),"")</f>
        <v>0</v>
      </c>
      <c r="AM69" s="172"/>
      <c r="AN69" s="253" t="n">
        <f aca="false">AL69+AI69</f>
        <v>0</v>
      </c>
      <c r="AO69" s="171"/>
      <c r="AP69" s="171"/>
      <c r="AQ69" s="39"/>
    </row>
    <row r="70" s="148" customFormat="true" ht="15" hidden="true" customHeight="true" outlineLevel="0" collapsed="false">
      <c r="A70" s="175" t="s">
        <v>156</v>
      </c>
      <c r="B70" s="249" t="n">
        <f aca="false">IF(DAY(B$10)=1,$AL$69,A70)+B69</f>
        <v>0</v>
      </c>
      <c r="C70" s="249" t="n">
        <f aca="false">IF(DAY(C$10)=1,$AL$69,B70)+C69</f>
        <v>0</v>
      </c>
      <c r="D70" s="249" t="n">
        <f aca="false">IF(DAY(D$10)=1,$AL$69,C70)+D69</f>
        <v>0</v>
      </c>
      <c r="E70" s="249" t="n">
        <f aca="false">IF(DAY(E$10)=1,$AL$69,D70)+E69</f>
        <v>0</v>
      </c>
      <c r="F70" s="249" t="n">
        <f aca="false">IF(DAY(F$10)=1,$AL$69,E70)+F69</f>
        <v>0</v>
      </c>
      <c r="G70" s="249" t="n">
        <f aca="false">IF(DAY(G$10)=1,$AL$69,F70)+G69</f>
        <v>0</v>
      </c>
      <c r="H70" s="249" t="n">
        <f aca="false">IF(DAY(H$10)=1,$AL$69,G70)+H69</f>
        <v>0</v>
      </c>
      <c r="I70" s="249" t="n">
        <f aca="false">IF(DAY(I$10)=1,$AL$69,H70)+I69</f>
        <v>0</v>
      </c>
      <c r="J70" s="249" t="n">
        <f aca="false">IF(DAY(J$10)=1,$AL$69,I70)+J69</f>
        <v>0</v>
      </c>
      <c r="K70" s="249" t="n">
        <f aca="false">IF(DAY(K$10)=1,$AL$69,J70)+K69</f>
        <v>0</v>
      </c>
      <c r="L70" s="249" t="n">
        <f aca="false">IF(DAY(L$10)=1,$AL$69,K70)+L69</f>
        <v>0</v>
      </c>
      <c r="M70" s="249" t="n">
        <f aca="false">IF(DAY(M$10)=1,$AL$69,L70)+M69</f>
        <v>0</v>
      </c>
      <c r="N70" s="249" t="n">
        <f aca="false">IF(DAY(N$10)=1,$AL$69,M70)+N69</f>
        <v>0</v>
      </c>
      <c r="O70" s="249" t="n">
        <f aca="false">IF(DAY(O$10)=1,$AL$69,N70)+O69</f>
        <v>0</v>
      </c>
      <c r="P70" s="249" t="n">
        <f aca="false">IF(DAY(P$10)=1,$AL$69,O70)+P69</f>
        <v>0</v>
      </c>
      <c r="Q70" s="249" t="n">
        <f aca="false">IF(DAY(Q$10)=1,$AL$69,P70)+Q69</f>
        <v>0</v>
      </c>
      <c r="R70" s="249" t="n">
        <f aca="false">IF(DAY(R$10)=1,$AL$69,Q70)+R69</f>
        <v>0</v>
      </c>
      <c r="S70" s="249" t="n">
        <f aca="false">IF(DAY(S$10)=1,$AL$69,R70)+S69</f>
        <v>0</v>
      </c>
      <c r="T70" s="249" t="n">
        <f aca="false">IF(DAY(T$10)=1,$AL$69,S70)+T69</f>
        <v>0</v>
      </c>
      <c r="U70" s="249" t="n">
        <f aca="false">IF(DAY(U$10)=1,$AL$69,T70)+U69</f>
        <v>0</v>
      </c>
      <c r="V70" s="249" t="n">
        <f aca="false">IF(DAY(V$10)=1,$AL$69,U70)+V69</f>
        <v>0</v>
      </c>
      <c r="W70" s="249" t="n">
        <f aca="false">IF(DAY(W$10)=1,$AL$69,V70)+W69</f>
        <v>0</v>
      </c>
      <c r="X70" s="249" t="n">
        <f aca="false">IF(DAY(X$10)=1,$AL$69,W70)+X69</f>
        <v>0</v>
      </c>
      <c r="Y70" s="249" t="n">
        <f aca="false">IF(DAY(Y$10)=1,$AL$69,X70)+Y69</f>
        <v>0</v>
      </c>
      <c r="Z70" s="249" t="n">
        <f aca="false">IF(DAY(Z$10)=1,$AL$69,Y70)+Z69</f>
        <v>0</v>
      </c>
      <c r="AA70" s="249" t="n">
        <f aca="false">IF(DAY(AA$10)=1,$AL$69,Z70)+AA69</f>
        <v>0</v>
      </c>
      <c r="AB70" s="249" t="n">
        <f aca="false">IF(DAY(AB$10)=1,$AL$69,AA70)+AB69</f>
        <v>0</v>
      </c>
      <c r="AC70" s="249" t="n">
        <f aca="false">IF(DAY(AC$10)=1,$AL$69,AB70)+AC69</f>
        <v>0</v>
      </c>
      <c r="AD70" s="249" t="n">
        <f aca="false">IF(DAY(AD$10)=1,$AL$69,AC70)+AD69</f>
        <v>0</v>
      </c>
      <c r="AE70" s="249" t="n">
        <f aca="false">IF(DAY(AE$10)=1,$AL$69,AD70)+AE69</f>
        <v>0</v>
      </c>
      <c r="AF70" s="249" t="n">
        <f aca="false">IF(DAY(AF$10)=1,$AL$69,AE70)+AF69</f>
        <v>0</v>
      </c>
      <c r="AG70" s="168" t="str">
        <f aca="false">A70</f>
        <v>Balance counter night shift</v>
      </c>
      <c r="AH70" s="197"/>
      <c r="AI70" s="192"/>
      <c r="AJ70" s="27"/>
      <c r="AK70" s="235"/>
      <c r="AL70" s="235"/>
      <c r="AM70" s="172"/>
      <c r="AN70" s="254"/>
      <c r="AO70" s="171"/>
      <c r="AP70" s="171"/>
      <c r="AQ70" s="39"/>
    </row>
    <row r="71" s="148" customFormat="true" ht="15" hidden="true" customHeight="true" outlineLevel="1" collapsed="false">
      <c r="A71" s="175" t="s">
        <v>157</v>
      </c>
      <c r="B71" s="176"/>
      <c r="C71" s="176"/>
      <c r="D71" s="176"/>
      <c r="E71" s="177"/>
      <c r="F71" s="176"/>
      <c r="G71" s="176"/>
      <c r="H71" s="176"/>
      <c r="I71" s="176"/>
      <c r="J71" s="177"/>
      <c r="K71" s="176"/>
      <c r="L71" s="177"/>
      <c r="M71" s="176"/>
      <c r="N71" s="176"/>
      <c r="O71" s="176"/>
      <c r="P71" s="176"/>
      <c r="Q71" s="177"/>
      <c r="R71" s="176"/>
      <c r="S71" s="177"/>
      <c r="T71" s="177"/>
      <c r="U71" s="176"/>
      <c r="V71" s="176"/>
      <c r="W71" s="176"/>
      <c r="X71" s="177"/>
      <c r="Y71" s="176"/>
      <c r="Z71" s="178"/>
      <c r="AA71" s="176"/>
      <c r="AB71" s="176"/>
      <c r="AC71" s="176"/>
      <c r="AD71" s="176"/>
      <c r="AE71" s="177"/>
      <c r="AF71" s="176"/>
      <c r="AG71" s="168" t="str">
        <f aca="false">A71</f>
        <v>Compensation TS night shift</v>
      </c>
      <c r="AH71" s="184"/>
      <c r="AI71" s="207" t="n">
        <f aca="false">SUM(B71:AF71)</f>
        <v>0</v>
      </c>
      <c r="AJ71" s="33"/>
      <c r="AK71" s="235"/>
      <c r="AL71" s="216" t="n">
        <f aca="false">IF(EB.Anwendung&lt;&gt;"",IF(MONTH(Monat.Tag1)=1,0,IF(MONTH(Monat.Tag1)=2,January!Monat.KompZZSNDUeVM,IF(MONTH(Monat.Tag1)=3,February!Monat.KompZZSNDUeVM,IF(MONTH(Monat.Tag1)=4,March!Monat.KompZZSNDUeVM,IF(MONTH(Monat.Tag1)=5,April!Monat.KompZZSNDUeVM,IF(MONTH(Monat.Tag1)=6,May!Monat.KompZZSNDUeVM,IF(MONTH(Monat.Tag1)=7,June!Monat.KompZZSNDUeVM,IF(MONTH(Monat.Tag1)=8,Monat.KompZZSNDUeVM,IF(MONTH(Monat.Tag1)=9,August!Monat.KompZZSNDUeVM,IF(MONTH(Monat.Tag1)=10,September!Monat.KompZZSNDUeVM,IF(MONTH(Monat.Tag1)=11,October!Monat.KompZZSNDUeVM,IF(MONTH(Monat.Tag1)=12,November!Monat.KompZZSNDUeVM,"")))))))))))),"")</f>
        <v>0</v>
      </c>
      <c r="AM71" s="172"/>
      <c r="AN71" s="217" t="n">
        <f aca="false">AI71+AL71</f>
        <v>0</v>
      </c>
      <c r="AO71" s="217" t="n">
        <f aca="true">SUM(OFFSET(Jahr.KompZZSND,-12,0,MONTH(Monat.Tag1),1))</f>
        <v>0</v>
      </c>
      <c r="AP71" s="217" t="n">
        <f aca="false">Jahr.KompZZSND</f>
        <v>0</v>
      </c>
      <c r="AQ71" s="39"/>
    </row>
    <row r="72" s="148" customFormat="true" ht="15" hidden="true" customHeight="true" outlineLevel="1" collapsed="false">
      <c r="A72" s="175" t="s">
        <v>158</v>
      </c>
      <c r="B72" s="255"/>
      <c r="C72" s="255"/>
      <c r="D72" s="255"/>
      <c r="E72" s="255"/>
      <c r="F72" s="255"/>
      <c r="G72" s="255"/>
      <c r="H72" s="255"/>
      <c r="I72" s="255"/>
      <c r="J72" s="255"/>
      <c r="K72" s="255"/>
      <c r="L72" s="255"/>
      <c r="M72" s="255"/>
      <c r="N72" s="255"/>
      <c r="O72" s="255"/>
      <c r="P72" s="255"/>
      <c r="Q72" s="255"/>
      <c r="R72" s="255"/>
      <c r="S72" s="255"/>
      <c r="T72" s="255"/>
      <c r="U72" s="255"/>
      <c r="V72" s="255"/>
      <c r="W72" s="255"/>
      <c r="X72" s="255"/>
      <c r="Y72" s="255"/>
      <c r="Z72" s="255"/>
      <c r="AA72" s="255"/>
      <c r="AB72" s="255"/>
      <c r="AC72" s="255"/>
      <c r="AD72" s="255"/>
      <c r="AE72" s="255"/>
      <c r="AF72" s="255"/>
      <c r="AG72" s="168" t="str">
        <f aca="false">A72</f>
        <v>Start pl. night shift Yes/No</v>
      </c>
      <c r="AH72" s="184"/>
      <c r="AI72" s="192"/>
      <c r="AJ72" s="198" t="n">
        <f aca="true">IFERROR(SUMPRODUCT((B72:AF72=INDEX(T.JaNein.Bereich,1))*(B72:AF72&lt;&gt;"")),0)</f>
        <v>0</v>
      </c>
      <c r="AK72" s="235"/>
      <c r="AL72" s="198" t="n">
        <f aca="false">AL69</f>
        <v>0</v>
      </c>
      <c r="AM72" s="172"/>
      <c r="AN72" s="253" t="n">
        <f aca="false">AN69</f>
        <v>0</v>
      </c>
      <c r="AO72" s="172"/>
      <c r="AP72" s="172"/>
      <c r="AQ72" s="39"/>
    </row>
    <row r="73" s="148" customFormat="true" ht="15" hidden="false" customHeight="true" outlineLevel="1" collapsed="false">
      <c r="A73" s="175" t="s">
        <v>159</v>
      </c>
      <c r="B73" s="256" t="n">
        <f aca="false">IF(B$12=0,0,IF(OR(T.50_Vetsuisse,T.ServiceCenterIrchel),ROUND(B14-B13+MAX(0,T.Nachtab-MAX(T.Nachtbis,B14))-MAX(0,T.Nachtab-MAX(B13,T.Nachtbis))+(B13&gt;B14)*(1+T.Nachtbis-T.Nachtab)+B16-B15+MAX(0,T.Nachtab-MAX(T.Nachtbis,B16))-MAX(0,T.Nachtab-MAX(B15,T.Nachtbis))+(B15&gt;B16)*(1+T.Nachtbis-T.Nachtab)+B18-B17+MAX(0,T.Nachtab-MAX(T.Nachtbis,B18))-MAX(0,T.Nachtab-MAX(B17,T.Nachtbis))+(B17&gt;B18)*(1+T.Nachtbis-T.Nachtab)+B20-B19+MAX(0,T.Nachtab-MAX(T.Nachtbis,B20))-MAX(0,T.Nachtab-MAX(B19,T.Nachtbis))+(B19&gt;B20)*(1+T.Nachtbis-T.Nachtab)+B22-B21+MAX(0,T.Nachtab-MAX(T.Nachtbis,B22))-MAX(0,T.Nachtab-MAX(B21,T.Nachtbis))+(B21&gt;B22)*(1+T.Nachtbis-T.Nachtab),9), IF(AND(WEEKDAY(B$10,2)&lt;6,B$11&lt;&gt;0),ROUND(B36-B35+MAX(0,T.Nachtab-MAX(T.Nachtbis,B36))-MAX(0,T.Nachtab-MAX(B35,T.Nachtbis))+(B35&gt;B36)*(1+T.Nachtbis-T.Nachtab)+B38-B37+MAX(0,T.Nachtab-MAX(T.Nachtbis,B38))-MAX(0,T.Nachtab-MAX(B37,T.Nachtbis))+(B37&gt;B38)*(1+T.Nachtbis-T.Nachtab)+B40-B39+MAX(0,T.Nachtab-MAX(T.Nachtbis,B40))-MAX(0,T.Nachtab-MAX(B39,T.Nachtbis))+(B39&gt;B40)*(1+T.Nachtbis-T.Nachtab)+B42-B41+MAX(0,T.Nachtab-MAX(T.Nachtbis,B42))-MAX(0,T.Nachtab-MAX(B41,T.Nachtbis))+(B41&gt;B42)*(1+T.Nachtbis-T.Nachtab)+B44-B43+MAX(0,T.Nachtab-MAX(T.Nachtbis,B44))-MAX(0,T.Nachtab-MAX(B43,T.Nachtbis))+(B43&gt;B44)*(1+T.Nachtbis-T.Nachtab),9),0)))</f>
        <v>0</v>
      </c>
      <c r="C73" s="256" t="n">
        <f aca="false">IF(C$12=0,0,IF(OR(T.50_Vetsuisse,T.ServiceCenterIrchel),ROUND(C14-C13+MAX(0,T.Nachtab-MAX(T.Nachtbis,C14))-MAX(0,T.Nachtab-MAX(C13,T.Nachtbis))+(C13&gt;C14)*(1+T.Nachtbis-T.Nachtab)+C16-C15+MAX(0,T.Nachtab-MAX(T.Nachtbis,C16))-MAX(0,T.Nachtab-MAX(C15,T.Nachtbis))+(C15&gt;C16)*(1+T.Nachtbis-T.Nachtab)+C18-C17+MAX(0,T.Nachtab-MAX(T.Nachtbis,C18))-MAX(0,T.Nachtab-MAX(C17,T.Nachtbis))+(C17&gt;C18)*(1+T.Nachtbis-T.Nachtab)+C20-C19+MAX(0,T.Nachtab-MAX(T.Nachtbis,C20))-MAX(0,T.Nachtab-MAX(C19,T.Nachtbis))+(C19&gt;C20)*(1+T.Nachtbis-T.Nachtab)+C22-C21+MAX(0,T.Nachtab-MAX(T.Nachtbis,C22))-MAX(0,T.Nachtab-MAX(C21,T.Nachtbis))+(C21&gt;C22)*(1+T.Nachtbis-T.Nachtab),9), IF(AND(WEEKDAY(C$10,2)&lt;6,C$11&lt;&gt;0),ROUND(C36-C35+MAX(0,T.Nachtab-MAX(T.Nachtbis,C36))-MAX(0,T.Nachtab-MAX(C35,T.Nachtbis))+(C35&gt;C36)*(1+T.Nachtbis-T.Nachtab)+C38-C37+MAX(0,T.Nachtab-MAX(T.Nachtbis,C38))-MAX(0,T.Nachtab-MAX(C37,T.Nachtbis))+(C37&gt;C38)*(1+T.Nachtbis-T.Nachtab)+C40-C39+MAX(0,T.Nachtab-MAX(T.Nachtbis,C40))-MAX(0,T.Nachtab-MAX(C39,T.Nachtbis))+(C39&gt;C40)*(1+T.Nachtbis-T.Nachtab)+C42-C41+MAX(0,T.Nachtab-MAX(T.Nachtbis,C42))-MAX(0,T.Nachtab-MAX(C41,T.Nachtbis))+(C41&gt;C42)*(1+T.Nachtbis-T.Nachtab)+C44-C43+MAX(0,T.Nachtab-MAX(T.Nachtbis,C44))-MAX(0,T.Nachtab-MAX(C43,T.Nachtbis))+(C43&gt;C44)*(1+T.Nachtbis-T.Nachtab),9),0)))</f>
        <v>0</v>
      </c>
      <c r="D73" s="256" t="n">
        <f aca="false">IF(D$12=0,0,IF(OR(T.50_Vetsuisse,T.ServiceCenterIrchel),ROUND(D14-D13+MAX(0,T.Nachtab-MAX(T.Nachtbis,D14))-MAX(0,T.Nachtab-MAX(D13,T.Nachtbis))+(D13&gt;D14)*(1+T.Nachtbis-T.Nachtab)+D16-D15+MAX(0,T.Nachtab-MAX(T.Nachtbis,D16))-MAX(0,T.Nachtab-MAX(D15,T.Nachtbis))+(D15&gt;D16)*(1+T.Nachtbis-T.Nachtab)+D18-D17+MAX(0,T.Nachtab-MAX(T.Nachtbis,D18))-MAX(0,T.Nachtab-MAX(D17,T.Nachtbis))+(D17&gt;D18)*(1+T.Nachtbis-T.Nachtab)+D20-D19+MAX(0,T.Nachtab-MAX(T.Nachtbis,D20))-MAX(0,T.Nachtab-MAX(D19,T.Nachtbis))+(D19&gt;D20)*(1+T.Nachtbis-T.Nachtab)+D22-D21+MAX(0,T.Nachtab-MAX(T.Nachtbis,D22))-MAX(0,T.Nachtab-MAX(D21,T.Nachtbis))+(D21&gt;D22)*(1+T.Nachtbis-T.Nachtab),9), IF(AND(WEEKDAY(D$10,2)&lt;6,D$11&lt;&gt;0),ROUND(D36-D35+MAX(0,T.Nachtab-MAX(T.Nachtbis,D36))-MAX(0,T.Nachtab-MAX(D35,T.Nachtbis))+(D35&gt;D36)*(1+T.Nachtbis-T.Nachtab)+D38-D37+MAX(0,T.Nachtab-MAX(T.Nachtbis,D38))-MAX(0,T.Nachtab-MAX(D37,T.Nachtbis))+(D37&gt;D38)*(1+T.Nachtbis-T.Nachtab)+D40-D39+MAX(0,T.Nachtab-MAX(T.Nachtbis,D40))-MAX(0,T.Nachtab-MAX(D39,T.Nachtbis))+(D39&gt;D40)*(1+T.Nachtbis-T.Nachtab)+D42-D41+MAX(0,T.Nachtab-MAX(T.Nachtbis,D42))-MAX(0,T.Nachtab-MAX(D41,T.Nachtbis))+(D41&gt;D42)*(1+T.Nachtbis-T.Nachtab)+D44-D43+MAX(0,T.Nachtab-MAX(T.Nachtbis,D44))-MAX(0,T.Nachtab-MAX(D43,T.Nachtbis))+(D43&gt;D44)*(1+T.Nachtbis-T.Nachtab),9),0)))</f>
        <v>0</v>
      </c>
      <c r="E73" s="256" t="n">
        <f aca="false">IF(E$12=0,0,IF(OR(T.50_Vetsuisse,T.ServiceCenterIrchel),ROUND(E14-E13+MAX(0,T.Nachtab-MAX(T.Nachtbis,E14))-MAX(0,T.Nachtab-MAX(E13,T.Nachtbis))+(E13&gt;E14)*(1+T.Nachtbis-T.Nachtab)+E16-E15+MAX(0,T.Nachtab-MAX(T.Nachtbis,E16))-MAX(0,T.Nachtab-MAX(E15,T.Nachtbis))+(E15&gt;E16)*(1+T.Nachtbis-T.Nachtab)+E18-E17+MAX(0,T.Nachtab-MAX(T.Nachtbis,E18))-MAX(0,T.Nachtab-MAX(E17,T.Nachtbis))+(E17&gt;E18)*(1+T.Nachtbis-T.Nachtab)+E20-E19+MAX(0,T.Nachtab-MAX(T.Nachtbis,E20))-MAX(0,T.Nachtab-MAX(E19,T.Nachtbis))+(E19&gt;E20)*(1+T.Nachtbis-T.Nachtab)+E22-E21+MAX(0,T.Nachtab-MAX(T.Nachtbis,E22))-MAX(0,T.Nachtab-MAX(E21,T.Nachtbis))+(E21&gt;E22)*(1+T.Nachtbis-T.Nachtab),9), IF(AND(WEEKDAY(E$10,2)&lt;6,E$11&lt;&gt;0),ROUND(E36-E35+MAX(0,T.Nachtab-MAX(T.Nachtbis,E36))-MAX(0,T.Nachtab-MAX(E35,T.Nachtbis))+(E35&gt;E36)*(1+T.Nachtbis-T.Nachtab)+E38-E37+MAX(0,T.Nachtab-MAX(T.Nachtbis,E38))-MAX(0,T.Nachtab-MAX(E37,T.Nachtbis))+(E37&gt;E38)*(1+T.Nachtbis-T.Nachtab)+E40-E39+MAX(0,T.Nachtab-MAX(T.Nachtbis,E40))-MAX(0,T.Nachtab-MAX(E39,T.Nachtbis))+(E39&gt;E40)*(1+T.Nachtbis-T.Nachtab)+E42-E41+MAX(0,T.Nachtab-MAX(T.Nachtbis,E42))-MAX(0,T.Nachtab-MAX(E41,T.Nachtbis))+(E41&gt;E42)*(1+T.Nachtbis-T.Nachtab)+E44-E43+MAX(0,T.Nachtab-MAX(T.Nachtbis,E44))-MAX(0,T.Nachtab-MAX(E43,T.Nachtbis))+(E43&gt;E44)*(1+T.Nachtbis-T.Nachtab),9),0)))</f>
        <v>0</v>
      </c>
      <c r="F73" s="256" t="n">
        <f aca="false">IF(F$12=0,0,IF(OR(T.50_Vetsuisse,T.ServiceCenterIrchel),ROUND(F14-F13+MAX(0,T.Nachtab-MAX(T.Nachtbis,F14))-MAX(0,T.Nachtab-MAX(F13,T.Nachtbis))+(F13&gt;F14)*(1+T.Nachtbis-T.Nachtab)+F16-F15+MAX(0,T.Nachtab-MAX(T.Nachtbis,F16))-MAX(0,T.Nachtab-MAX(F15,T.Nachtbis))+(F15&gt;F16)*(1+T.Nachtbis-T.Nachtab)+F18-F17+MAX(0,T.Nachtab-MAX(T.Nachtbis,F18))-MAX(0,T.Nachtab-MAX(F17,T.Nachtbis))+(F17&gt;F18)*(1+T.Nachtbis-T.Nachtab)+F20-F19+MAX(0,T.Nachtab-MAX(T.Nachtbis,F20))-MAX(0,T.Nachtab-MAX(F19,T.Nachtbis))+(F19&gt;F20)*(1+T.Nachtbis-T.Nachtab)+F22-F21+MAX(0,T.Nachtab-MAX(T.Nachtbis,F22))-MAX(0,T.Nachtab-MAX(F21,T.Nachtbis))+(F21&gt;F22)*(1+T.Nachtbis-T.Nachtab),9), IF(AND(WEEKDAY(F$10,2)&lt;6,F$11&lt;&gt;0),ROUND(F36-F35+MAX(0,T.Nachtab-MAX(T.Nachtbis,F36))-MAX(0,T.Nachtab-MAX(F35,T.Nachtbis))+(F35&gt;F36)*(1+T.Nachtbis-T.Nachtab)+F38-F37+MAX(0,T.Nachtab-MAX(T.Nachtbis,F38))-MAX(0,T.Nachtab-MAX(F37,T.Nachtbis))+(F37&gt;F38)*(1+T.Nachtbis-T.Nachtab)+F40-F39+MAX(0,T.Nachtab-MAX(T.Nachtbis,F40))-MAX(0,T.Nachtab-MAX(F39,T.Nachtbis))+(F39&gt;F40)*(1+T.Nachtbis-T.Nachtab)+F42-F41+MAX(0,T.Nachtab-MAX(T.Nachtbis,F42))-MAX(0,T.Nachtab-MAX(F41,T.Nachtbis))+(F41&gt;F42)*(1+T.Nachtbis-T.Nachtab)+F44-F43+MAX(0,T.Nachtab-MAX(T.Nachtbis,F44))-MAX(0,T.Nachtab-MAX(F43,T.Nachtbis))+(F43&gt;F44)*(1+T.Nachtbis-T.Nachtab),9),0)))</f>
        <v>0</v>
      </c>
      <c r="G73" s="256" t="n">
        <f aca="false">IF(G$12=0,0,IF(OR(T.50_Vetsuisse,T.ServiceCenterIrchel),ROUND(G14-G13+MAX(0,T.Nachtab-MAX(T.Nachtbis,G14))-MAX(0,T.Nachtab-MAX(G13,T.Nachtbis))+(G13&gt;G14)*(1+T.Nachtbis-T.Nachtab)+G16-G15+MAX(0,T.Nachtab-MAX(T.Nachtbis,G16))-MAX(0,T.Nachtab-MAX(G15,T.Nachtbis))+(G15&gt;G16)*(1+T.Nachtbis-T.Nachtab)+G18-G17+MAX(0,T.Nachtab-MAX(T.Nachtbis,G18))-MAX(0,T.Nachtab-MAX(G17,T.Nachtbis))+(G17&gt;G18)*(1+T.Nachtbis-T.Nachtab)+G20-G19+MAX(0,T.Nachtab-MAX(T.Nachtbis,G20))-MAX(0,T.Nachtab-MAX(G19,T.Nachtbis))+(G19&gt;G20)*(1+T.Nachtbis-T.Nachtab)+G22-G21+MAX(0,T.Nachtab-MAX(T.Nachtbis,G22))-MAX(0,T.Nachtab-MAX(G21,T.Nachtbis))+(G21&gt;G22)*(1+T.Nachtbis-T.Nachtab),9), IF(AND(WEEKDAY(G$10,2)&lt;6,G$11&lt;&gt;0),ROUND(G36-G35+MAX(0,T.Nachtab-MAX(T.Nachtbis,G36))-MAX(0,T.Nachtab-MAX(G35,T.Nachtbis))+(G35&gt;G36)*(1+T.Nachtbis-T.Nachtab)+G38-G37+MAX(0,T.Nachtab-MAX(T.Nachtbis,G38))-MAX(0,T.Nachtab-MAX(G37,T.Nachtbis))+(G37&gt;G38)*(1+T.Nachtbis-T.Nachtab)+G40-G39+MAX(0,T.Nachtab-MAX(T.Nachtbis,G40))-MAX(0,T.Nachtab-MAX(G39,T.Nachtbis))+(G39&gt;G40)*(1+T.Nachtbis-T.Nachtab)+G42-G41+MAX(0,T.Nachtab-MAX(T.Nachtbis,G42))-MAX(0,T.Nachtab-MAX(G41,T.Nachtbis))+(G41&gt;G42)*(1+T.Nachtbis-T.Nachtab)+G44-G43+MAX(0,T.Nachtab-MAX(T.Nachtbis,G44))-MAX(0,T.Nachtab-MAX(G43,T.Nachtbis))+(G43&gt;G44)*(1+T.Nachtbis-T.Nachtab),9),0)))</f>
        <v>0</v>
      </c>
      <c r="H73" s="256" t="n">
        <f aca="false">IF(H$12=0,0,IF(OR(T.50_Vetsuisse,T.ServiceCenterIrchel),ROUND(H14-H13+MAX(0,T.Nachtab-MAX(T.Nachtbis,H14))-MAX(0,T.Nachtab-MAX(H13,T.Nachtbis))+(H13&gt;H14)*(1+T.Nachtbis-T.Nachtab)+H16-H15+MAX(0,T.Nachtab-MAX(T.Nachtbis,H16))-MAX(0,T.Nachtab-MAX(H15,T.Nachtbis))+(H15&gt;H16)*(1+T.Nachtbis-T.Nachtab)+H18-H17+MAX(0,T.Nachtab-MAX(T.Nachtbis,H18))-MAX(0,T.Nachtab-MAX(H17,T.Nachtbis))+(H17&gt;H18)*(1+T.Nachtbis-T.Nachtab)+H20-H19+MAX(0,T.Nachtab-MAX(T.Nachtbis,H20))-MAX(0,T.Nachtab-MAX(H19,T.Nachtbis))+(H19&gt;H20)*(1+T.Nachtbis-T.Nachtab)+H22-H21+MAX(0,T.Nachtab-MAX(T.Nachtbis,H22))-MAX(0,T.Nachtab-MAX(H21,T.Nachtbis))+(H21&gt;H22)*(1+T.Nachtbis-T.Nachtab),9), IF(AND(WEEKDAY(H$10,2)&lt;6,H$11&lt;&gt;0),ROUND(H36-H35+MAX(0,T.Nachtab-MAX(T.Nachtbis,H36))-MAX(0,T.Nachtab-MAX(H35,T.Nachtbis))+(H35&gt;H36)*(1+T.Nachtbis-T.Nachtab)+H38-H37+MAX(0,T.Nachtab-MAX(T.Nachtbis,H38))-MAX(0,T.Nachtab-MAX(H37,T.Nachtbis))+(H37&gt;H38)*(1+T.Nachtbis-T.Nachtab)+H40-H39+MAX(0,T.Nachtab-MAX(T.Nachtbis,H40))-MAX(0,T.Nachtab-MAX(H39,T.Nachtbis))+(H39&gt;H40)*(1+T.Nachtbis-T.Nachtab)+H42-H41+MAX(0,T.Nachtab-MAX(T.Nachtbis,H42))-MAX(0,T.Nachtab-MAX(H41,T.Nachtbis))+(H41&gt;H42)*(1+T.Nachtbis-T.Nachtab)+H44-H43+MAX(0,T.Nachtab-MAX(T.Nachtbis,H44))-MAX(0,T.Nachtab-MAX(H43,T.Nachtbis))+(H43&gt;H44)*(1+T.Nachtbis-T.Nachtab),9),0)))</f>
        <v>0</v>
      </c>
      <c r="I73" s="256" t="n">
        <f aca="false">IF(I$12=0,0,IF(OR(T.50_Vetsuisse,T.ServiceCenterIrchel),ROUND(I14-I13+MAX(0,T.Nachtab-MAX(T.Nachtbis,I14))-MAX(0,T.Nachtab-MAX(I13,T.Nachtbis))+(I13&gt;I14)*(1+T.Nachtbis-T.Nachtab)+I16-I15+MAX(0,T.Nachtab-MAX(T.Nachtbis,I16))-MAX(0,T.Nachtab-MAX(I15,T.Nachtbis))+(I15&gt;I16)*(1+T.Nachtbis-T.Nachtab)+I18-I17+MAX(0,T.Nachtab-MAX(T.Nachtbis,I18))-MAX(0,T.Nachtab-MAX(I17,T.Nachtbis))+(I17&gt;I18)*(1+T.Nachtbis-T.Nachtab)+I20-I19+MAX(0,T.Nachtab-MAX(T.Nachtbis,I20))-MAX(0,T.Nachtab-MAX(I19,T.Nachtbis))+(I19&gt;I20)*(1+T.Nachtbis-T.Nachtab)+I22-I21+MAX(0,T.Nachtab-MAX(T.Nachtbis,I22))-MAX(0,T.Nachtab-MAX(I21,T.Nachtbis))+(I21&gt;I22)*(1+T.Nachtbis-T.Nachtab),9), IF(AND(WEEKDAY(I$10,2)&lt;6,I$11&lt;&gt;0),ROUND(I36-I35+MAX(0,T.Nachtab-MAX(T.Nachtbis,I36))-MAX(0,T.Nachtab-MAX(I35,T.Nachtbis))+(I35&gt;I36)*(1+T.Nachtbis-T.Nachtab)+I38-I37+MAX(0,T.Nachtab-MAX(T.Nachtbis,I38))-MAX(0,T.Nachtab-MAX(I37,T.Nachtbis))+(I37&gt;I38)*(1+T.Nachtbis-T.Nachtab)+I40-I39+MAX(0,T.Nachtab-MAX(T.Nachtbis,I40))-MAX(0,T.Nachtab-MAX(I39,T.Nachtbis))+(I39&gt;I40)*(1+T.Nachtbis-T.Nachtab)+I42-I41+MAX(0,T.Nachtab-MAX(T.Nachtbis,I42))-MAX(0,T.Nachtab-MAX(I41,T.Nachtbis))+(I41&gt;I42)*(1+T.Nachtbis-T.Nachtab)+I44-I43+MAX(0,T.Nachtab-MAX(T.Nachtbis,I44))-MAX(0,T.Nachtab-MAX(I43,T.Nachtbis))+(I43&gt;I44)*(1+T.Nachtbis-T.Nachtab),9),0)))</f>
        <v>0</v>
      </c>
      <c r="J73" s="256" t="n">
        <f aca="false">IF(J$12=0,0,IF(OR(T.50_Vetsuisse,T.ServiceCenterIrchel),ROUND(J14-J13+MAX(0,T.Nachtab-MAX(T.Nachtbis,J14))-MAX(0,T.Nachtab-MAX(J13,T.Nachtbis))+(J13&gt;J14)*(1+T.Nachtbis-T.Nachtab)+J16-J15+MAX(0,T.Nachtab-MAX(T.Nachtbis,J16))-MAX(0,T.Nachtab-MAX(J15,T.Nachtbis))+(J15&gt;J16)*(1+T.Nachtbis-T.Nachtab)+J18-J17+MAX(0,T.Nachtab-MAX(T.Nachtbis,J18))-MAX(0,T.Nachtab-MAX(J17,T.Nachtbis))+(J17&gt;J18)*(1+T.Nachtbis-T.Nachtab)+J20-J19+MAX(0,T.Nachtab-MAX(T.Nachtbis,J20))-MAX(0,T.Nachtab-MAX(J19,T.Nachtbis))+(J19&gt;J20)*(1+T.Nachtbis-T.Nachtab)+J22-J21+MAX(0,T.Nachtab-MAX(T.Nachtbis,J22))-MAX(0,T.Nachtab-MAX(J21,T.Nachtbis))+(J21&gt;J22)*(1+T.Nachtbis-T.Nachtab),9), IF(AND(WEEKDAY(J$10,2)&lt;6,J$11&lt;&gt;0),ROUND(J36-J35+MAX(0,T.Nachtab-MAX(T.Nachtbis,J36))-MAX(0,T.Nachtab-MAX(J35,T.Nachtbis))+(J35&gt;J36)*(1+T.Nachtbis-T.Nachtab)+J38-J37+MAX(0,T.Nachtab-MAX(T.Nachtbis,J38))-MAX(0,T.Nachtab-MAX(J37,T.Nachtbis))+(J37&gt;J38)*(1+T.Nachtbis-T.Nachtab)+J40-J39+MAX(0,T.Nachtab-MAX(T.Nachtbis,J40))-MAX(0,T.Nachtab-MAX(J39,T.Nachtbis))+(J39&gt;J40)*(1+T.Nachtbis-T.Nachtab)+J42-J41+MAX(0,T.Nachtab-MAX(T.Nachtbis,J42))-MAX(0,T.Nachtab-MAX(J41,T.Nachtbis))+(J41&gt;J42)*(1+T.Nachtbis-T.Nachtab)+J44-J43+MAX(0,T.Nachtab-MAX(T.Nachtbis,J44))-MAX(0,T.Nachtab-MAX(J43,T.Nachtbis))+(J43&gt;J44)*(1+T.Nachtbis-T.Nachtab),9),0)))</f>
        <v>0</v>
      </c>
      <c r="K73" s="256" t="n">
        <f aca="false">IF(K$12=0,0,IF(OR(T.50_Vetsuisse,T.ServiceCenterIrchel),ROUND(K14-K13+MAX(0,T.Nachtab-MAX(T.Nachtbis,K14))-MAX(0,T.Nachtab-MAX(K13,T.Nachtbis))+(K13&gt;K14)*(1+T.Nachtbis-T.Nachtab)+K16-K15+MAX(0,T.Nachtab-MAX(T.Nachtbis,K16))-MAX(0,T.Nachtab-MAX(K15,T.Nachtbis))+(K15&gt;K16)*(1+T.Nachtbis-T.Nachtab)+K18-K17+MAX(0,T.Nachtab-MAX(T.Nachtbis,K18))-MAX(0,T.Nachtab-MAX(K17,T.Nachtbis))+(K17&gt;K18)*(1+T.Nachtbis-T.Nachtab)+K20-K19+MAX(0,T.Nachtab-MAX(T.Nachtbis,K20))-MAX(0,T.Nachtab-MAX(K19,T.Nachtbis))+(K19&gt;K20)*(1+T.Nachtbis-T.Nachtab)+K22-K21+MAX(0,T.Nachtab-MAX(T.Nachtbis,K22))-MAX(0,T.Nachtab-MAX(K21,T.Nachtbis))+(K21&gt;K22)*(1+T.Nachtbis-T.Nachtab),9), IF(AND(WEEKDAY(K$10,2)&lt;6,K$11&lt;&gt;0),ROUND(K36-K35+MAX(0,T.Nachtab-MAX(T.Nachtbis,K36))-MAX(0,T.Nachtab-MAX(K35,T.Nachtbis))+(K35&gt;K36)*(1+T.Nachtbis-T.Nachtab)+K38-K37+MAX(0,T.Nachtab-MAX(T.Nachtbis,K38))-MAX(0,T.Nachtab-MAX(K37,T.Nachtbis))+(K37&gt;K38)*(1+T.Nachtbis-T.Nachtab)+K40-K39+MAX(0,T.Nachtab-MAX(T.Nachtbis,K40))-MAX(0,T.Nachtab-MAX(K39,T.Nachtbis))+(K39&gt;K40)*(1+T.Nachtbis-T.Nachtab)+K42-K41+MAX(0,T.Nachtab-MAX(T.Nachtbis,K42))-MAX(0,T.Nachtab-MAX(K41,T.Nachtbis))+(K41&gt;K42)*(1+T.Nachtbis-T.Nachtab)+K44-K43+MAX(0,T.Nachtab-MAX(T.Nachtbis,K44))-MAX(0,T.Nachtab-MAX(K43,T.Nachtbis))+(K43&gt;K44)*(1+T.Nachtbis-T.Nachtab),9),0)))</f>
        <v>0</v>
      </c>
      <c r="L73" s="256" t="n">
        <f aca="false">IF(L$12=0,0,IF(OR(T.50_Vetsuisse,T.ServiceCenterIrchel),ROUND(L14-L13+MAX(0,T.Nachtab-MAX(T.Nachtbis,L14))-MAX(0,T.Nachtab-MAX(L13,T.Nachtbis))+(L13&gt;L14)*(1+T.Nachtbis-T.Nachtab)+L16-L15+MAX(0,T.Nachtab-MAX(T.Nachtbis,L16))-MAX(0,T.Nachtab-MAX(L15,T.Nachtbis))+(L15&gt;L16)*(1+T.Nachtbis-T.Nachtab)+L18-L17+MAX(0,T.Nachtab-MAX(T.Nachtbis,L18))-MAX(0,T.Nachtab-MAX(L17,T.Nachtbis))+(L17&gt;L18)*(1+T.Nachtbis-T.Nachtab)+L20-L19+MAX(0,T.Nachtab-MAX(T.Nachtbis,L20))-MAX(0,T.Nachtab-MAX(L19,T.Nachtbis))+(L19&gt;L20)*(1+T.Nachtbis-T.Nachtab)+L22-L21+MAX(0,T.Nachtab-MAX(T.Nachtbis,L22))-MAX(0,T.Nachtab-MAX(L21,T.Nachtbis))+(L21&gt;L22)*(1+T.Nachtbis-T.Nachtab),9), IF(AND(WEEKDAY(L$10,2)&lt;6,L$11&lt;&gt;0),ROUND(L36-L35+MAX(0,T.Nachtab-MAX(T.Nachtbis,L36))-MAX(0,T.Nachtab-MAX(L35,T.Nachtbis))+(L35&gt;L36)*(1+T.Nachtbis-T.Nachtab)+L38-L37+MAX(0,T.Nachtab-MAX(T.Nachtbis,L38))-MAX(0,T.Nachtab-MAX(L37,T.Nachtbis))+(L37&gt;L38)*(1+T.Nachtbis-T.Nachtab)+L40-L39+MAX(0,T.Nachtab-MAX(T.Nachtbis,L40))-MAX(0,T.Nachtab-MAX(L39,T.Nachtbis))+(L39&gt;L40)*(1+T.Nachtbis-T.Nachtab)+L42-L41+MAX(0,T.Nachtab-MAX(T.Nachtbis,L42))-MAX(0,T.Nachtab-MAX(L41,T.Nachtbis))+(L41&gt;L42)*(1+T.Nachtbis-T.Nachtab)+L44-L43+MAX(0,T.Nachtab-MAX(T.Nachtbis,L44))-MAX(0,T.Nachtab-MAX(L43,T.Nachtbis))+(L43&gt;L44)*(1+T.Nachtbis-T.Nachtab),9),0)))</f>
        <v>0</v>
      </c>
      <c r="M73" s="256" t="n">
        <f aca="false">IF(M$12=0,0,IF(OR(T.50_Vetsuisse,T.ServiceCenterIrchel),ROUND(M14-M13+MAX(0,T.Nachtab-MAX(T.Nachtbis,M14))-MAX(0,T.Nachtab-MAX(M13,T.Nachtbis))+(M13&gt;M14)*(1+T.Nachtbis-T.Nachtab)+M16-M15+MAX(0,T.Nachtab-MAX(T.Nachtbis,M16))-MAX(0,T.Nachtab-MAX(M15,T.Nachtbis))+(M15&gt;M16)*(1+T.Nachtbis-T.Nachtab)+M18-M17+MAX(0,T.Nachtab-MAX(T.Nachtbis,M18))-MAX(0,T.Nachtab-MAX(M17,T.Nachtbis))+(M17&gt;M18)*(1+T.Nachtbis-T.Nachtab)+M20-M19+MAX(0,T.Nachtab-MAX(T.Nachtbis,M20))-MAX(0,T.Nachtab-MAX(M19,T.Nachtbis))+(M19&gt;M20)*(1+T.Nachtbis-T.Nachtab)+M22-M21+MAX(0,T.Nachtab-MAX(T.Nachtbis,M22))-MAX(0,T.Nachtab-MAX(M21,T.Nachtbis))+(M21&gt;M22)*(1+T.Nachtbis-T.Nachtab),9), IF(AND(WEEKDAY(M$10,2)&lt;6,M$11&lt;&gt;0),ROUND(M36-M35+MAX(0,T.Nachtab-MAX(T.Nachtbis,M36))-MAX(0,T.Nachtab-MAX(M35,T.Nachtbis))+(M35&gt;M36)*(1+T.Nachtbis-T.Nachtab)+M38-M37+MAX(0,T.Nachtab-MAX(T.Nachtbis,M38))-MAX(0,T.Nachtab-MAX(M37,T.Nachtbis))+(M37&gt;M38)*(1+T.Nachtbis-T.Nachtab)+M40-M39+MAX(0,T.Nachtab-MAX(T.Nachtbis,M40))-MAX(0,T.Nachtab-MAX(M39,T.Nachtbis))+(M39&gt;M40)*(1+T.Nachtbis-T.Nachtab)+M42-M41+MAX(0,T.Nachtab-MAX(T.Nachtbis,M42))-MAX(0,T.Nachtab-MAX(M41,T.Nachtbis))+(M41&gt;M42)*(1+T.Nachtbis-T.Nachtab)+M44-M43+MAX(0,T.Nachtab-MAX(T.Nachtbis,M44))-MAX(0,T.Nachtab-MAX(M43,T.Nachtbis))+(M43&gt;M44)*(1+T.Nachtbis-T.Nachtab),9),0)))</f>
        <v>0</v>
      </c>
      <c r="N73" s="256" t="n">
        <f aca="false">IF(N$12=0,0,IF(OR(T.50_Vetsuisse,T.ServiceCenterIrchel),ROUND(N14-N13+MAX(0,T.Nachtab-MAX(T.Nachtbis,N14))-MAX(0,T.Nachtab-MAX(N13,T.Nachtbis))+(N13&gt;N14)*(1+T.Nachtbis-T.Nachtab)+N16-N15+MAX(0,T.Nachtab-MAX(T.Nachtbis,N16))-MAX(0,T.Nachtab-MAX(N15,T.Nachtbis))+(N15&gt;N16)*(1+T.Nachtbis-T.Nachtab)+N18-N17+MAX(0,T.Nachtab-MAX(T.Nachtbis,N18))-MAX(0,T.Nachtab-MAX(N17,T.Nachtbis))+(N17&gt;N18)*(1+T.Nachtbis-T.Nachtab)+N20-N19+MAX(0,T.Nachtab-MAX(T.Nachtbis,N20))-MAX(0,T.Nachtab-MAX(N19,T.Nachtbis))+(N19&gt;N20)*(1+T.Nachtbis-T.Nachtab)+N22-N21+MAX(0,T.Nachtab-MAX(T.Nachtbis,N22))-MAX(0,T.Nachtab-MAX(N21,T.Nachtbis))+(N21&gt;N22)*(1+T.Nachtbis-T.Nachtab),9), IF(AND(WEEKDAY(N$10,2)&lt;6,N$11&lt;&gt;0),ROUND(N36-N35+MAX(0,T.Nachtab-MAX(T.Nachtbis,N36))-MAX(0,T.Nachtab-MAX(N35,T.Nachtbis))+(N35&gt;N36)*(1+T.Nachtbis-T.Nachtab)+N38-N37+MAX(0,T.Nachtab-MAX(T.Nachtbis,N38))-MAX(0,T.Nachtab-MAX(N37,T.Nachtbis))+(N37&gt;N38)*(1+T.Nachtbis-T.Nachtab)+N40-N39+MAX(0,T.Nachtab-MAX(T.Nachtbis,N40))-MAX(0,T.Nachtab-MAX(N39,T.Nachtbis))+(N39&gt;N40)*(1+T.Nachtbis-T.Nachtab)+N42-N41+MAX(0,T.Nachtab-MAX(T.Nachtbis,N42))-MAX(0,T.Nachtab-MAX(N41,T.Nachtbis))+(N41&gt;N42)*(1+T.Nachtbis-T.Nachtab)+N44-N43+MAX(0,T.Nachtab-MAX(T.Nachtbis,N44))-MAX(0,T.Nachtab-MAX(N43,T.Nachtbis))+(N43&gt;N44)*(1+T.Nachtbis-T.Nachtab),9),0)))</f>
        <v>0</v>
      </c>
      <c r="O73" s="256" t="n">
        <f aca="false">IF(O$12=0,0,IF(OR(T.50_Vetsuisse,T.ServiceCenterIrchel),ROUND(O14-O13+MAX(0,T.Nachtab-MAX(T.Nachtbis,O14))-MAX(0,T.Nachtab-MAX(O13,T.Nachtbis))+(O13&gt;O14)*(1+T.Nachtbis-T.Nachtab)+O16-O15+MAX(0,T.Nachtab-MAX(T.Nachtbis,O16))-MAX(0,T.Nachtab-MAX(O15,T.Nachtbis))+(O15&gt;O16)*(1+T.Nachtbis-T.Nachtab)+O18-O17+MAX(0,T.Nachtab-MAX(T.Nachtbis,O18))-MAX(0,T.Nachtab-MAX(O17,T.Nachtbis))+(O17&gt;O18)*(1+T.Nachtbis-T.Nachtab)+O20-O19+MAX(0,T.Nachtab-MAX(T.Nachtbis,O20))-MAX(0,T.Nachtab-MAX(O19,T.Nachtbis))+(O19&gt;O20)*(1+T.Nachtbis-T.Nachtab)+O22-O21+MAX(0,T.Nachtab-MAX(T.Nachtbis,O22))-MAX(0,T.Nachtab-MAX(O21,T.Nachtbis))+(O21&gt;O22)*(1+T.Nachtbis-T.Nachtab),9), IF(AND(WEEKDAY(O$10,2)&lt;6,O$11&lt;&gt;0),ROUND(O36-O35+MAX(0,T.Nachtab-MAX(T.Nachtbis,O36))-MAX(0,T.Nachtab-MAX(O35,T.Nachtbis))+(O35&gt;O36)*(1+T.Nachtbis-T.Nachtab)+O38-O37+MAX(0,T.Nachtab-MAX(T.Nachtbis,O38))-MAX(0,T.Nachtab-MAX(O37,T.Nachtbis))+(O37&gt;O38)*(1+T.Nachtbis-T.Nachtab)+O40-O39+MAX(0,T.Nachtab-MAX(T.Nachtbis,O40))-MAX(0,T.Nachtab-MAX(O39,T.Nachtbis))+(O39&gt;O40)*(1+T.Nachtbis-T.Nachtab)+O42-O41+MAX(0,T.Nachtab-MAX(T.Nachtbis,O42))-MAX(0,T.Nachtab-MAX(O41,T.Nachtbis))+(O41&gt;O42)*(1+T.Nachtbis-T.Nachtab)+O44-O43+MAX(0,T.Nachtab-MAX(T.Nachtbis,O44))-MAX(0,T.Nachtab-MAX(O43,T.Nachtbis))+(O43&gt;O44)*(1+T.Nachtbis-T.Nachtab),9),0)))</f>
        <v>0</v>
      </c>
      <c r="P73" s="256" t="n">
        <f aca="false">IF(P$12=0,0,IF(OR(T.50_Vetsuisse,T.ServiceCenterIrchel),ROUND(P14-P13+MAX(0,T.Nachtab-MAX(T.Nachtbis,P14))-MAX(0,T.Nachtab-MAX(P13,T.Nachtbis))+(P13&gt;P14)*(1+T.Nachtbis-T.Nachtab)+P16-P15+MAX(0,T.Nachtab-MAX(T.Nachtbis,P16))-MAX(0,T.Nachtab-MAX(P15,T.Nachtbis))+(P15&gt;P16)*(1+T.Nachtbis-T.Nachtab)+P18-P17+MAX(0,T.Nachtab-MAX(T.Nachtbis,P18))-MAX(0,T.Nachtab-MAX(P17,T.Nachtbis))+(P17&gt;P18)*(1+T.Nachtbis-T.Nachtab)+P20-P19+MAX(0,T.Nachtab-MAX(T.Nachtbis,P20))-MAX(0,T.Nachtab-MAX(P19,T.Nachtbis))+(P19&gt;P20)*(1+T.Nachtbis-T.Nachtab)+P22-P21+MAX(0,T.Nachtab-MAX(T.Nachtbis,P22))-MAX(0,T.Nachtab-MAX(P21,T.Nachtbis))+(P21&gt;P22)*(1+T.Nachtbis-T.Nachtab),9), IF(AND(WEEKDAY(P$10,2)&lt;6,P$11&lt;&gt;0),ROUND(P36-P35+MAX(0,T.Nachtab-MAX(T.Nachtbis,P36))-MAX(0,T.Nachtab-MAX(P35,T.Nachtbis))+(P35&gt;P36)*(1+T.Nachtbis-T.Nachtab)+P38-P37+MAX(0,T.Nachtab-MAX(T.Nachtbis,P38))-MAX(0,T.Nachtab-MAX(P37,T.Nachtbis))+(P37&gt;P38)*(1+T.Nachtbis-T.Nachtab)+P40-P39+MAX(0,T.Nachtab-MAX(T.Nachtbis,P40))-MAX(0,T.Nachtab-MAX(P39,T.Nachtbis))+(P39&gt;P40)*(1+T.Nachtbis-T.Nachtab)+P42-P41+MAX(0,T.Nachtab-MAX(T.Nachtbis,P42))-MAX(0,T.Nachtab-MAX(P41,T.Nachtbis))+(P41&gt;P42)*(1+T.Nachtbis-T.Nachtab)+P44-P43+MAX(0,T.Nachtab-MAX(T.Nachtbis,P44))-MAX(0,T.Nachtab-MAX(P43,T.Nachtbis))+(P43&gt;P44)*(1+T.Nachtbis-T.Nachtab),9),0)))</f>
        <v>0</v>
      </c>
      <c r="Q73" s="256" t="n">
        <f aca="false">IF(Q$12=0,0,IF(OR(T.50_Vetsuisse,T.ServiceCenterIrchel),ROUND(Q14-Q13+MAX(0,T.Nachtab-MAX(T.Nachtbis,Q14))-MAX(0,T.Nachtab-MAX(Q13,T.Nachtbis))+(Q13&gt;Q14)*(1+T.Nachtbis-T.Nachtab)+Q16-Q15+MAX(0,T.Nachtab-MAX(T.Nachtbis,Q16))-MAX(0,T.Nachtab-MAX(Q15,T.Nachtbis))+(Q15&gt;Q16)*(1+T.Nachtbis-T.Nachtab)+Q18-Q17+MAX(0,T.Nachtab-MAX(T.Nachtbis,Q18))-MAX(0,T.Nachtab-MAX(Q17,T.Nachtbis))+(Q17&gt;Q18)*(1+T.Nachtbis-T.Nachtab)+Q20-Q19+MAX(0,T.Nachtab-MAX(T.Nachtbis,Q20))-MAX(0,T.Nachtab-MAX(Q19,T.Nachtbis))+(Q19&gt;Q20)*(1+T.Nachtbis-T.Nachtab)+Q22-Q21+MAX(0,T.Nachtab-MAX(T.Nachtbis,Q22))-MAX(0,T.Nachtab-MAX(Q21,T.Nachtbis))+(Q21&gt;Q22)*(1+T.Nachtbis-T.Nachtab),9), IF(AND(WEEKDAY(Q$10,2)&lt;6,Q$11&lt;&gt;0),ROUND(Q36-Q35+MAX(0,T.Nachtab-MAX(T.Nachtbis,Q36))-MAX(0,T.Nachtab-MAX(Q35,T.Nachtbis))+(Q35&gt;Q36)*(1+T.Nachtbis-T.Nachtab)+Q38-Q37+MAX(0,T.Nachtab-MAX(T.Nachtbis,Q38))-MAX(0,T.Nachtab-MAX(Q37,T.Nachtbis))+(Q37&gt;Q38)*(1+T.Nachtbis-T.Nachtab)+Q40-Q39+MAX(0,T.Nachtab-MAX(T.Nachtbis,Q40))-MAX(0,T.Nachtab-MAX(Q39,T.Nachtbis))+(Q39&gt;Q40)*(1+T.Nachtbis-T.Nachtab)+Q42-Q41+MAX(0,T.Nachtab-MAX(T.Nachtbis,Q42))-MAX(0,T.Nachtab-MAX(Q41,T.Nachtbis))+(Q41&gt;Q42)*(1+T.Nachtbis-T.Nachtab)+Q44-Q43+MAX(0,T.Nachtab-MAX(T.Nachtbis,Q44))-MAX(0,T.Nachtab-MAX(Q43,T.Nachtbis))+(Q43&gt;Q44)*(1+T.Nachtbis-T.Nachtab),9),0)))</f>
        <v>0</v>
      </c>
      <c r="R73" s="256" t="n">
        <f aca="false">IF(R$12=0,0,IF(OR(T.50_Vetsuisse,T.ServiceCenterIrchel),ROUND(R14-R13+MAX(0,T.Nachtab-MAX(T.Nachtbis,R14))-MAX(0,T.Nachtab-MAX(R13,T.Nachtbis))+(R13&gt;R14)*(1+T.Nachtbis-T.Nachtab)+R16-R15+MAX(0,T.Nachtab-MAX(T.Nachtbis,R16))-MAX(0,T.Nachtab-MAX(R15,T.Nachtbis))+(R15&gt;R16)*(1+T.Nachtbis-T.Nachtab)+R18-R17+MAX(0,T.Nachtab-MAX(T.Nachtbis,R18))-MAX(0,T.Nachtab-MAX(R17,T.Nachtbis))+(R17&gt;R18)*(1+T.Nachtbis-T.Nachtab)+R20-R19+MAX(0,T.Nachtab-MAX(T.Nachtbis,R20))-MAX(0,T.Nachtab-MAX(R19,T.Nachtbis))+(R19&gt;R20)*(1+T.Nachtbis-T.Nachtab)+R22-R21+MAX(0,T.Nachtab-MAX(T.Nachtbis,R22))-MAX(0,T.Nachtab-MAX(R21,T.Nachtbis))+(R21&gt;R22)*(1+T.Nachtbis-T.Nachtab),9), IF(AND(WEEKDAY(R$10,2)&lt;6,R$11&lt;&gt;0),ROUND(R36-R35+MAX(0,T.Nachtab-MAX(T.Nachtbis,R36))-MAX(0,T.Nachtab-MAX(R35,T.Nachtbis))+(R35&gt;R36)*(1+T.Nachtbis-T.Nachtab)+R38-R37+MAX(0,T.Nachtab-MAX(T.Nachtbis,R38))-MAX(0,T.Nachtab-MAX(R37,T.Nachtbis))+(R37&gt;R38)*(1+T.Nachtbis-T.Nachtab)+R40-R39+MAX(0,T.Nachtab-MAX(T.Nachtbis,R40))-MAX(0,T.Nachtab-MAX(R39,T.Nachtbis))+(R39&gt;R40)*(1+T.Nachtbis-T.Nachtab)+R42-R41+MAX(0,T.Nachtab-MAX(T.Nachtbis,R42))-MAX(0,T.Nachtab-MAX(R41,T.Nachtbis))+(R41&gt;R42)*(1+T.Nachtbis-T.Nachtab)+R44-R43+MAX(0,T.Nachtab-MAX(T.Nachtbis,R44))-MAX(0,T.Nachtab-MAX(R43,T.Nachtbis))+(R43&gt;R44)*(1+T.Nachtbis-T.Nachtab),9),0)))</f>
        <v>0</v>
      </c>
      <c r="S73" s="256" t="n">
        <f aca="false">IF(S$12=0,0,IF(OR(T.50_Vetsuisse,T.ServiceCenterIrchel),ROUND(S14-S13+MAX(0,T.Nachtab-MAX(T.Nachtbis,S14))-MAX(0,T.Nachtab-MAX(S13,T.Nachtbis))+(S13&gt;S14)*(1+T.Nachtbis-T.Nachtab)+S16-S15+MAX(0,T.Nachtab-MAX(T.Nachtbis,S16))-MAX(0,T.Nachtab-MAX(S15,T.Nachtbis))+(S15&gt;S16)*(1+T.Nachtbis-T.Nachtab)+S18-S17+MAX(0,T.Nachtab-MAX(T.Nachtbis,S18))-MAX(0,T.Nachtab-MAX(S17,T.Nachtbis))+(S17&gt;S18)*(1+T.Nachtbis-T.Nachtab)+S20-S19+MAX(0,T.Nachtab-MAX(T.Nachtbis,S20))-MAX(0,T.Nachtab-MAX(S19,T.Nachtbis))+(S19&gt;S20)*(1+T.Nachtbis-T.Nachtab)+S22-S21+MAX(0,T.Nachtab-MAX(T.Nachtbis,S22))-MAX(0,T.Nachtab-MAX(S21,T.Nachtbis))+(S21&gt;S22)*(1+T.Nachtbis-T.Nachtab),9), IF(AND(WEEKDAY(S$10,2)&lt;6,S$11&lt;&gt;0),ROUND(S36-S35+MAX(0,T.Nachtab-MAX(T.Nachtbis,S36))-MAX(0,T.Nachtab-MAX(S35,T.Nachtbis))+(S35&gt;S36)*(1+T.Nachtbis-T.Nachtab)+S38-S37+MAX(0,T.Nachtab-MAX(T.Nachtbis,S38))-MAX(0,T.Nachtab-MAX(S37,T.Nachtbis))+(S37&gt;S38)*(1+T.Nachtbis-T.Nachtab)+S40-S39+MAX(0,T.Nachtab-MAX(T.Nachtbis,S40))-MAX(0,T.Nachtab-MAX(S39,T.Nachtbis))+(S39&gt;S40)*(1+T.Nachtbis-T.Nachtab)+S42-S41+MAX(0,T.Nachtab-MAX(T.Nachtbis,S42))-MAX(0,T.Nachtab-MAX(S41,T.Nachtbis))+(S41&gt;S42)*(1+T.Nachtbis-T.Nachtab)+S44-S43+MAX(0,T.Nachtab-MAX(T.Nachtbis,S44))-MAX(0,T.Nachtab-MAX(S43,T.Nachtbis))+(S43&gt;S44)*(1+T.Nachtbis-T.Nachtab),9),0)))</f>
        <v>0</v>
      </c>
      <c r="T73" s="256" t="n">
        <f aca="false">IF(T$12=0,0,IF(OR(T.50_Vetsuisse,T.ServiceCenterIrchel),ROUND(T14-T13+MAX(0,T.Nachtab-MAX(T.Nachtbis,T14))-MAX(0,T.Nachtab-MAX(T13,T.Nachtbis))+(T13&gt;T14)*(1+T.Nachtbis-T.Nachtab)+T16-T15+MAX(0,T.Nachtab-MAX(T.Nachtbis,T16))-MAX(0,T.Nachtab-MAX(T15,T.Nachtbis))+(T15&gt;T16)*(1+T.Nachtbis-T.Nachtab)+T18-T17+MAX(0,T.Nachtab-MAX(T.Nachtbis,T18))-MAX(0,T.Nachtab-MAX(T17,T.Nachtbis))+(T17&gt;T18)*(1+T.Nachtbis-T.Nachtab)+T20-T19+MAX(0,T.Nachtab-MAX(T.Nachtbis,T20))-MAX(0,T.Nachtab-MAX(T19,T.Nachtbis))+(T19&gt;T20)*(1+T.Nachtbis-T.Nachtab)+T22-T21+MAX(0,T.Nachtab-MAX(T.Nachtbis,T22))-MAX(0,T.Nachtab-MAX(T21,T.Nachtbis))+(T21&gt;T22)*(1+T.Nachtbis-T.Nachtab),9), IF(AND(WEEKDAY(T$10,2)&lt;6,T$11&lt;&gt;0),ROUND(T36-T35+MAX(0,T.Nachtab-MAX(T.Nachtbis,T36))-MAX(0,T.Nachtab-MAX(T35,T.Nachtbis))+(T35&gt;T36)*(1+T.Nachtbis-T.Nachtab)+T38-T37+MAX(0,T.Nachtab-MAX(T.Nachtbis,T38))-MAX(0,T.Nachtab-MAX(T37,T.Nachtbis))+(T37&gt;T38)*(1+T.Nachtbis-T.Nachtab)+T40-T39+MAX(0,T.Nachtab-MAX(T.Nachtbis,T40))-MAX(0,T.Nachtab-MAX(T39,T.Nachtbis))+(T39&gt;T40)*(1+T.Nachtbis-T.Nachtab)+T42-T41+MAX(0,T.Nachtab-MAX(T.Nachtbis,T42))-MAX(0,T.Nachtab-MAX(T41,T.Nachtbis))+(T41&gt;T42)*(1+T.Nachtbis-T.Nachtab)+T44-T43+MAX(0,T.Nachtab-MAX(T.Nachtbis,T44))-MAX(0,T.Nachtab-MAX(T43,T.Nachtbis))+(T43&gt;T44)*(1+T.Nachtbis-T.Nachtab),9),0)))</f>
        <v>0</v>
      </c>
      <c r="U73" s="256" t="n">
        <f aca="false">IF(U$12=0,0,IF(OR(T.50_Vetsuisse,T.ServiceCenterIrchel),ROUND(U14-U13+MAX(0,T.Nachtab-MAX(T.Nachtbis,U14))-MAX(0,T.Nachtab-MAX(U13,T.Nachtbis))+(U13&gt;U14)*(1+T.Nachtbis-T.Nachtab)+U16-U15+MAX(0,T.Nachtab-MAX(T.Nachtbis,U16))-MAX(0,T.Nachtab-MAX(U15,T.Nachtbis))+(U15&gt;U16)*(1+T.Nachtbis-T.Nachtab)+U18-U17+MAX(0,T.Nachtab-MAX(T.Nachtbis,U18))-MAX(0,T.Nachtab-MAX(U17,T.Nachtbis))+(U17&gt;U18)*(1+T.Nachtbis-T.Nachtab)+U20-U19+MAX(0,T.Nachtab-MAX(T.Nachtbis,U20))-MAX(0,T.Nachtab-MAX(U19,T.Nachtbis))+(U19&gt;U20)*(1+T.Nachtbis-T.Nachtab)+U22-U21+MAX(0,T.Nachtab-MAX(T.Nachtbis,U22))-MAX(0,T.Nachtab-MAX(U21,T.Nachtbis))+(U21&gt;U22)*(1+T.Nachtbis-T.Nachtab),9), IF(AND(WEEKDAY(U$10,2)&lt;6,U$11&lt;&gt;0),ROUND(U36-U35+MAX(0,T.Nachtab-MAX(T.Nachtbis,U36))-MAX(0,T.Nachtab-MAX(U35,T.Nachtbis))+(U35&gt;U36)*(1+T.Nachtbis-T.Nachtab)+U38-U37+MAX(0,T.Nachtab-MAX(T.Nachtbis,U38))-MAX(0,T.Nachtab-MAX(U37,T.Nachtbis))+(U37&gt;U38)*(1+T.Nachtbis-T.Nachtab)+U40-U39+MAX(0,T.Nachtab-MAX(T.Nachtbis,U40))-MAX(0,T.Nachtab-MAX(U39,T.Nachtbis))+(U39&gt;U40)*(1+T.Nachtbis-T.Nachtab)+U42-U41+MAX(0,T.Nachtab-MAX(T.Nachtbis,U42))-MAX(0,T.Nachtab-MAX(U41,T.Nachtbis))+(U41&gt;U42)*(1+T.Nachtbis-T.Nachtab)+U44-U43+MAX(0,T.Nachtab-MAX(T.Nachtbis,U44))-MAX(0,T.Nachtab-MAX(U43,T.Nachtbis))+(U43&gt;U44)*(1+T.Nachtbis-T.Nachtab),9),0)))</f>
        <v>0</v>
      </c>
      <c r="V73" s="256" t="n">
        <f aca="false">IF(V$12=0,0,IF(OR(T.50_Vetsuisse,T.ServiceCenterIrchel),ROUND(V14-V13+MAX(0,T.Nachtab-MAX(T.Nachtbis,V14))-MAX(0,T.Nachtab-MAX(V13,T.Nachtbis))+(V13&gt;V14)*(1+T.Nachtbis-T.Nachtab)+V16-V15+MAX(0,T.Nachtab-MAX(T.Nachtbis,V16))-MAX(0,T.Nachtab-MAX(V15,T.Nachtbis))+(V15&gt;V16)*(1+T.Nachtbis-T.Nachtab)+V18-V17+MAX(0,T.Nachtab-MAX(T.Nachtbis,V18))-MAX(0,T.Nachtab-MAX(V17,T.Nachtbis))+(V17&gt;V18)*(1+T.Nachtbis-T.Nachtab)+V20-V19+MAX(0,T.Nachtab-MAX(T.Nachtbis,V20))-MAX(0,T.Nachtab-MAX(V19,T.Nachtbis))+(V19&gt;V20)*(1+T.Nachtbis-T.Nachtab)+V22-V21+MAX(0,T.Nachtab-MAX(T.Nachtbis,V22))-MAX(0,T.Nachtab-MAX(V21,T.Nachtbis))+(V21&gt;V22)*(1+T.Nachtbis-T.Nachtab),9), IF(AND(WEEKDAY(V$10,2)&lt;6,V$11&lt;&gt;0),ROUND(V36-V35+MAX(0,T.Nachtab-MAX(T.Nachtbis,V36))-MAX(0,T.Nachtab-MAX(V35,T.Nachtbis))+(V35&gt;V36)*(1+T.Nachtbis-T.Nachtab)+V38-V37+MAX(0,T.Nachtab-MAX(T.Nachtbis,V38))-MAX(0,T.Nachtab-MAX(V37,T.Nachtbis))+(V37&gt;V38)*(1+T.Nachtbis-T.Nachtab)+V40-V39+MAX(0,T.Nachtab-MAX(T.Nachtbis,V40))-MAX(0,T.Nachtab-MAX(V39,T.Nachtbis))+(V39&gt;V40)*(1+T.Nachtbis-T.Nachtab)+V42-V41+MAX(0,T.Nachtab-MAX(T.Nachtbis,V42))-MAX(0,T.Nachtab-MAX(V41,T.Nachtbis))+(V41&gt;V42)*(1+T.Nachtbis-T.Nachtab)+V44-V43+MAX(0,T.Nachtab-MAX(T.Nachtbis,V44))-MAX(0,T.Nachtab-MAX(V43,T.Nachtbis))+(V43&gt;V44)*(1+T.Nachtbis-T.Nachtab),9),0)))</f>
        <v>0</v>
      </c>
      <c r="W73" s="256" t="n">
        <f aca="false">IF(W$12=0,0,IF(OR(T.50_Vetsuisse,T.ServiceCenterIrchel),ROUND(W14-W13+MAX(0,T.Nachtab-MAX(T.Nachtbis,W14))-MAX(0,T.Nachtab-MAX(W13,T.Nachtbis))+(W13&gt;W14)*(1+T.Nachtbis-T.Nachtab)+W16-W15+MAX(0,T.Nachtab-MAX(T.Nachtbis,W16))-MAX(0,T.Nachtab-MAX(W15,T.Nachtbis))+(W15&gt;W16)*(1+T.Nachtbis-T.Nachtab)+W18-W17+MAX(0,T.Nachtab-MAX(T.Nachtbis,W18))-MAX(0,T.Nachtab-MAX(W17,T.Nachtbis))+(W17&gt;W18)*(1+T.Nachtbis-T.Nachtab)+W20-W19+MAX(0,T.Nachtab-MAX(T.Nachtbis,W20))-MAX(0,T.Nachtab-MAX(W19,T.Nachtbis))+(W19&gt;W20)*(1+T.Nachtbis-T.Nachtab)+W22-W21+MAX(0,T.Nachtab-MAX(T.Nachtbis,W22))-MAX(0,T.Nachtab-MAX(W21,T.Nachtbis))+(W21&gt;W22)*(1+T.Nachtbis-T.Nachtab),9), IF(AND(WEEKDAY(W$10,2)&lt;6,W$11&lt;&gt;0),ROUND(W36-W35+MAX(0,T.Nachtab-MAX(T.Nachtbis,W36))-MAX(0,T.Nachtab-MAX(W35,T.Nachtbis))+(W35&gt;W36)*(1+T.Nachtbis-T.Nachtab)+W38-W37+MAX(0,T.Nachtab-MAX(T.Nachtbis,W38))-MAX(0,T.Nachtab-MAX(W37,T.Nachtbis))+(W37&gt;W38)*(1+T.Nachtbis-T.Nachtab)+W40-W39+MAX(0,T.Nachtab-MAX(T.Nachtbis,W40))-MAX(0,T.Nachtab-MAX(W39,T.Nachtbis))+(W39&gt;W40)*(1+T.Nachtbis-T.Nachtab)+W42-W41+MAX(0,T.Nachtab-MAX(T.Nachtbis,W42))-MAX(0,T.Nachtab-MAX(W41,T.Nachtbis))+(W41&gt;W42)*(1+T.Nachtbis-T.Nachtab)+W44-W43+MAX(0,T.Nachtab-MAX(T.Nachtbis,W44))-MAX(0,T.Nachtab-MAX(W43,T.Nachtbis))+(W43&gt;W44)*(1+T.Nachtbis-T.Nachtab),9),0)))</f>
        <v>0</v>
      </c>
      <c r="X73" s="256" t="n">
        <f aca="false">IF(X$12=0,0,IF(OR(T.50_Vetsuisse,T.ServiceCenterIrchel),ROUND(X14-X13+MAX(0,T.Nachtab-MAX(T.Nachtbis,X14))-MAX(0,T.Nachtab-MAX(X13,T.Nachtbis))+(X13&gt;X14)*(1+T.Nachtbis-T.Nachtab)+X16-X15+MAX(0,T.Nachtab-MAX(T.Nachtbis,X16))-MAX(0,T.Nachtab-MAX(X15,T.Nachtbis))+(X15&gt;X16)*(1+T.Nachtbis-T.Nachtab)+X18-X17+MAX(0,T.Nachtab-MAX(T.Nachtbis,X18))-MAX(0,T.Nachtab-MAX(X17,T.Nachtbis))+(X17&gt;X18)*(1+T.Nachtbis-T.Nachtab)+X20-X19+MAX(0,T.Nachtab-MAX(T.Nachtbis,X20))-MAX(0,T.Nachtab-MAX(X19,T.Nachtbis))+(X19&gt;X20)*(1+T.Nachtbis-T.Nachtab)+X22-X21+MAX(0,T.Nachtab-MAX(T.Nachtbis,X22))-MAX(0,T.Nachtab-MAX(X21,T.Nachtbis))+(X21&gt;X22)*(1+T.Nachtbis-T.Nachtab),9), IF(AND(WEEKDAY(X$10,2)&lt;6,X$11&lt;&gt;0),ROUND(X36-X35+MAX(0,T.Nachtab-MAX(T.Nachtbis,X36))-MAX(0,T.Nachtab-MAX(X35,T.Nachtbis))+(X35&gt;X36)*(1+T.Nachtbis-T.Nachtab)+X38-X37+MAX(0,T.Nachtab-MAX(T.Nachtbis,X38))-MAX(0,T.Nachtab-MAX(X37,T.Nachtbis))+(X37&gt;X38)*(1+T.Nachtbis-T.Nachtab)+X40-X39+MAX(0,T.Nachtab-MAX(T.Nachtbis,X40))-MAX(0,T.Nachtab-MAX(X39,T.Nachtbis))+(X39&gt;X40)*(1+T.Nachtbis-T.Nachtab)+X42-X41+MAX(0,T.Nachtab-MAX(T.Nachtbis,X42))-MAX(0,T.Nachtab-MAX(X41,T.Nachtbis))+(X41&gt;X42)*(1+T.Nachtbis-T.Nachtab)+X44-X43+MAX(0,T.Nachtab-MAX(T.Nachtbis,X44))-MAX(0,T.Nachtab-MAX(X43,T.Nachtbis))+(X43&gt;X44)*(1+T.Nachtbis-T.Nachtab),9),0)))</f>
        <v>0</v>
      </c>
      <c r="Y73" s="256" t="n">
        <f aca="false">IF(Y$12=0,0,IF(OR(T.50_Vetsuisse,T.ServiceCenterIrchel),ROUND(Y14-Y13+MAX(0,T.Nachtab-MAX(T.Nachtbis,Y14))-MAX(0,T.Nachtab-MAX(Y13,T.Nachtbis))+(Y13&gt;Y14)*(1+T.Nachtbis-T.Nachtab)+Y16-Y15+MAX(0,T.Nachtab-MAX(T.Nachtbis,Y16))-MAX(0,T.Nachtab-MAX(Y15,T.Nachtbis))+(Y15&gt;Y16)*(1+T.Nachtbis-T.Nachtab)+Y18-Y17+MAX(0,T.Nachtab-MAX(T.Nachtbis,Y18))-MAX(0,T.Nachtab-MAX(Y17,T.Nachtbis))+(Y17&gt;Y18)*(1+T.Nachtbis-T.Nachtab)+Y20-Y19+MAX(0,T.Nachtab-MAX(T.Nachtbis,Y20))-MAX(0,T.Nachtab-MAX(Y19,T.Nachtbis))+(Y19&gt;Y20)*(1+T.Nachtbis-T.Nachtab)+Y22-Y21+MAX(0,T.Nachtab-MAX(T.Nachtbis,Y22))-MAX(0,T.Nachtab-MAX(Y21,T.Nachtbis))+(Y21&gt;Y22)*(1+T.Nachtbis-T.Nachtab),9), IF(AND(WEEKDAY(Y$10,2)&lt;6,Y$11&lt;&gt;0),ROUND(Y36-Y35+MAX(0,T.Nachtab-MAX(T.Nachtbis,Y36))-MAX(0,T.Nachtab-MAX(Y35,T.Nachtbis))+(Y35&gt;Y36)*(1+T.Nachtbis-T.Nachtab)+Y38-Y37+MAX(0,T.Nachtab-MAX(T.Nachtbis,Y38))-MAX(0,T.Nachtab-MAX(Y37,T.Nachtbis))+(Y37&gt;Y38)*(1+T.Nachtbis-T.Nachtab)+Y40-Y39+MAX(0,T.Nachtab-MAX(T.Nachtbis,Y40))-MAX(0,T.Nachtab-MAX(Y39,T.Nachtbis))+(Y39&gt;Y40)*(1+T.Nachtbis-T.Nachtab)+Y42-Y41+MAX(0,T.Nachtab-MAX(T.Nachtbis,Y42))-MAX(0,T.Nachtab-MAX(Y41,T.Nachtbis))+(Y41&gt;Y42)*(1+T.Nachtbis-T.Nachtab)+Y44-Y43+MAX(0,T.Nachtab-MAX(T.Nachtbis,Y44))-MAX(0,T.Nachtab-MAX(Y43,T.Nachtbis))+(Y43&gt;Y44)*(1+T.Nachtbis-T.Nachtab),9),0)))</f>
        <v>0</v>
      </c>
      <c r="Z73" s="256" t="n">
        <f aca="false">IF(Z$12=0,0,IF(OR(T.50_Vetsuisse,T.ServiceCenterIrchel),ROUND(Z14-Z13+MAX(0,T.Nachtab-MAX(T.Nachtbis,Z14))-MAX(0,T.Nachtab-MAX(Z13,T.Nachtbis))+(Z13&gt;Z14)*(1+T.Nachtbis-T.Nachtab)+Z16-Z15+MAX(0,T.Nachtab-MAX(T.Nachtbis,Z16))-MAX(0,T.Nachtab-MAX(Z15,T.Nachtbis))+(Z15&gt;Z16)*(1+T.Nachtbis-T.Nachtab)+Z18-Z17+MAX(0,T.Nachtab-MAX(T.Nachtbis,Z18))-MAX(0,T.Nachtab-MAX(Z17,T.Nachtbis))+(Z17&gt;Z18)*(1+T.Nachtbis-T.Nachtab)+Z20-Z19+MAX(0,T.Nachtab-MAX(T.Nachtbis,Z20))-MAX(0,T.Nachtab-MAX(Z19,T.Nachtbis))+(Z19&gt;Z20)*(1+T.Nachtbis-T.Nachtab)+Z22-Z21+MAX(0,T.Nachtab-MAX(T.Nachtbis,Z22))-MAX(0,T.Nachtab-MAX(Z21,T.Nachtbis))+(Z21&gt;Z22)*(1+T.Nachtbis-T.Nachtab),9), IF(AND(WEEKDAY(Z$10,2)&lt;6,Z$11&lt;&gt;0),ROUND(Z36-Z35+MAX(0,T.Nachtab-MAX(T.Nachtbis,Z36))-MAX(0,T.Nachtab-MAX(Z35,T.Nachtbis))+(Z35&gt;Z36)*(1+T.Nachtbis-T.Nachtab)+Z38-Z37+MAX(0,T.Nachtab-MAX(T.Nachtbis,Z38))-MAX(0,T.Nachtab-MAX(Z37,T.Nachtbis))+(Z37&gt;Z38)*(1+T.Nachtbis-T.Nachtab)+Z40-Z39+MAX(0,T.Nachtab-MAX(T.Nachtbis,Z40))-MAX(0,T.Nachtab-MAX(Z39,T.Nachtbis))+(Z39&gt;Z40)*(1+T.Nachtbis-T.Nachtab)+Z42-Z41+MAX(0,T.Nachtab-MAX(T.Nachtbis,Z42))-MAX(0,T.Nachtab-MAX(Z41,T.Nachtbis))+(Z41&gt;Z42)*(1+T.Nachtbis-T.Nachtab)+Z44-Z43+MAX(0,T.Nachtab-MAX(T.Nachtbis,Z44))-MAX(0,T.Nachtab-MAX(Z43,T.Nachtbis))+(Z43&gt;Z44)*(1+T.Nachtbis-T.Nachtab),9),0)))</f>
        <v>0</v>
      </c>
      <c r="AA73" s="256" t="n">
        <f aca="false">IF(AA$12=0,0,IF(OR(T.50_Vetsuisse,T.ServiceCenterIrchel),ROUND(AA14-AA13+MAX(0,T.Nachtab-MAX(T.Nachtbis,AA14))-MAX(0,T.Nachtab-MAX(AA13,T.Nachtbis))+(AA13&gt;AA14)*(1+T.Nachtbis-T.Nachtab)+AA16-AA15+MAX(0,T.Nachtab-MAX(T.Nachtbis,AA16))-MAX(0,T.Nachtab-MAX(AA15,T.Nachtbis))+(AA15&gt;AA16)*(1+T.Nachtbis-T.Nachtab)+AA18-AA17+MAX(0,T.Nachtab-MAX(T.Nachtbis,AA18))-MAX(0,T.Nachtab-MAX(AA17,T.Nachtbis))+(AA17&gt;AA18)*(1+T.Nachtbis-T.Nachtab)+AA20-AA19+MAX(0,T.Nachtab-MAX(T.Nachtbis,AA20))-MAX(0,T.Nachtab-MAX(AA19,T.Nachtbis))+(AA19&gt;AA20)*(1+T.Nachtbis-T.Nachtab)+AA22-AA21+MAX(0,T.Nachtab-MAX(T.Nachtbis,AA22))-MAX(0,T.Nachtab-MAX(AA21,T.Nachtbis))+(AA21&gt;AA22)*(1+T.Nachtbis-T.Nachtab),9), IF(AND(WEEKDAY(AA$10,2)&lt;6,AA$11&lt;&gt;0),ROUND(AA36-AA35+MAX(0,T.Nachtab-MAX(T.Nachtbis,AA36))-MAX(0,T.Nachtab-MAX(AA35,T.Nachtbis))+(AA35&gt;AA36)*(1+T.Nachtbis-T.Nachtab)+AA38-AA37+MAX(0,T.Nachtab-MAX(T.Nachtbis,AA38))-MAX(0,T.Nachtab-MAX(AA37,T.Nachtbis))+(AA37&gt;AA38)*(1+T.Nachtbis-T.Nachtab)+AA40-AA39+MAX(0,T.Nachtab-MAX(T.Nachtbis,AA40))-MAX(0,T.Nachtab-MAX(AA39,T.Nachtbis))+(AA39&gt;AA40)*(1+T.Nachtbis-T.Nachtab)+AA42-AA41+MAX(0,T.Nachtab-MAX(T.Nachtbis,AA42))-MAX(0,T.Nachtab-MAX(AA41,T.Nachtbis))+(AA41&gt;AA42)*(1+T.Nachtbis-T.Nachtab)+AA44-AA43+MAX(0,T.Nachtab-MAX(T.Nachtbis,AA44))-MAX(0,T.Nachtab-MAX(AA43,T.Nachtbis))+(AA43&gt;AA44)*(1+T.Nachtbis-T.Nachtab),9),0)))</f>
        <v>0</v>
      </c>
      <c r="AB73" s="256" t="n">
        <f aca="false">IF(AB$12=0,0,IF(OR(T.50_Vetsuisse,T.ServiceCenterIrchel),ROUND(AB14-AB13+MAX(0,T.Nachtab-MAX(T.Nachtbis,AB14))-MAX(0,T.Nachtab-MAX(AB13,T.Nachtbis))+(AB13&gt;AB14)*(1+T.Nachtbis-T.Nachtab)+AB16-AB15+MAX(0,T.Nachtab-MAX(T.Nachtbis,AB16))-MAX(0,T.Nachtab-MAX(AB15,T.Nachtbis))+(AB15&gt;AB16)*(1+T.Nachtbis-T.Nachtab)+AB18-AB17+MAX(0,T.Nachtab-MAX(T.Nachtbis,AB18))-MAX(0,T.Nachtab-MAX(AB17,T.Nachtbis))+(AB17&gt;AB18)*(1+T.Nachtbis-T.Nachtab)+AB20-AB19+MAX(0,T.Nachtab-MAX(T.Nachtbis,AB20))-MAX(0,T.Nachtab-MAX(AB19,T.Nachtbis))+(AB19&gt;AB20)*(1+T.Nachtbis-T.Nachtab)+AB22-AB21+MAX(0,T.Nachtab-MAX(T.Nachtbis,AB22))-MAX(0,T.Nachtab-MAX(AB21,T.Nachtbis))+(AB21&gt;AB22)*(1+T.Nachtbis-T.Nachtab),9), IF(AND(WEEKDAY(AB$10,2)&lt;6,AB$11&lt;&gt;0),ROUND(AB36-AB35+MAX(0,T.Nachtab-MAX(T.Nachtbis,AB36))-MAX(0,T.Nachtab-MAX(AB35,T.Nachtbis))+(AB35&gt;AB36)*(1+T.Nachtbis-T.Nachtab)+AB38-AB37+MAX(0,T.Nachtab-MAX(T.Nachtbis,AB38))-MAX(0,T.Nachtab-MAX(AB37,T.Nachtbis))+(AB37&gt;AB38)*(1+T.Nachtbis-T.Nachtab)+AB40-AB39+MAX(0,T.Nachtab-MAX(T.Nachtbis,AB40))-MAX(0,T.Nachtab-MAX(AB39,T.Nachtbis))+(AB39&gt;AB40)*(1+T.Nachtbis-T.Nachtab)+AB42-AB41+MAX(0,T.Nachtab-MAX(T.Nachtbis,AB42))-MAX(0,T.Nachtab-MAX(AB41,T.Nachtbis))+(AB41&gt;AB42)*(1+T.Nachtbis-T.Nachtab)+AB44-AB43+MAX(0,T.Nachtab-MAX(T.Nachtbis,AB44))-MAX(0,T.Nachtab-MAX(AB43,T.Nachtbis))+(AB43&gt;AB44)*(1+T.Nachtbis-T.Nachtab),9),0)))</f>
        <v>0</v>
      </c>
      <c r="AC73" s="256" t="n">
        <f aca="false">IF(AC$12=0,0,IF(OR(T.50_Vetsuisse,T.ServiceCenterIrchel),ROUND(AC14-AC13+MAX(0,T.Nachtab-MAX(T.Nachtbis,AC14))-MAX(0,T.Nachtab-MAX(AC13,T.Nachtbis))+(AC13&gt;AC14)*(1+T.Nachtbis-T.Nachtab)+AC16-AC15+MAX(0,T.Nachtab-MAX(T.Nachtbis,AC16))-MAX(0,T.Nachtab-MAX(AC15,T.Nachtbis))+(AC15&gt;AC16)*(1+T.Nachtbis-T.Nachtab)+AC18-AC17+MAX(0,T.Nachtab-MAX(T.Nachtbis,AC18))-MAX(0,T.Nachtab-MAX(AC17,T.Nachtbis))+(AC17&gt;AC18)*(1+T.Nachtbis-T.Nachtab)+AC20-AC19+MAX(0,T.Nachtab-MAX(T.Nachtbis,AC20))-MAX(0,T.Nachtab-MAX(AC19,T.Nachtbis))+(AC19&gt;AC20)*(1+T.Nachtbis-T.Nachtab)+AC22-AC21+MAX(0,T.Nachtab-MAX(T.Nachtbis,AC22))-MAX(0,T.Nachtab-MAX(AC21,T.Nachtbis))+(AC21&gt;AC22)*(1+T.Nachtbis-T.Nachtab),9), IF(AND(WEEKDAY(AC$10,2)&lt;6,AC$11&lt;&gt;0),ROUND(AC36-AC35+MAX(0,T.Nachtab-MAX(T.Nachtbis,AC36))-MAX(0,T.Nachtab-MAX(AC35,T.Nachtbis))+(AC35&gt;AC36)*(1+T.Nachtbis-T.Nachtab)+AC38-AC37+MAX(0,T.Nachtab-MAX(T.Nachtbis,AC38))-MAX(0,T.Nachtab-MAX(AC37,T.Nachtbis))+(AC37&gt;AC38)*(1+T.Nachtbis-T.Nachtab)+AC40-AC39+MAX(0,T.Nachtab-MAX(T.Nachtbis,AC40))-MAX(0,T.Nachtab-MAX(AC39,T.Nachtbis))+(AC39&gt;AC40)*(1+T.Nachtbis-T.Nachtab)+AC42-AC41+MAX(0,T.Nachtab-MAX(T.Nachtbis,AC42))-MAX(0,T.Nachtab-MAX(AC41,T.Nachtbis))+(AC41&gt;AC42)*(1+T.Nachtbis-T.Nachtab)+AC44-AC43+MAX(0,T.Nachtab-MAX(T.Nachtbis,AC44))-MAX(0,T.Nachtab-MAX(AC43,T.Nachtbis))+(AC43&gt;AC44)*(1+T.Nachtbis-T.Nachtab),9),0)))</f>
        <v>0</v>
      </c>
      <c r="AD73" s="256" t="n">
        <f aca="false">IF(AD$12=0,0,IF(OR(T.50_Vetsuisse,T.ServiceCenterIrchel),ROUND(AD14-AD13+MAX(0,T.Nachtab-MAX(T.Nachtbis,AD14))-MAX(0,T.Nachtab-MAX(AD13,T.Nachtbis))+(AD13&gt;AD14)*(1+T.Nachtbis-T.Nachtab)+AD16-AD15+MAX(0,T.Nachtab-MAX(T.Nachtbis,AD16))-MAX(0,T.Nachtab-MAX(AD15,T.Nachtbis))+(AD15&gt;AD16)*(1+T.Nachtbis-T.Nachtab)+AD18-AD17+MAX(0,T.Nachtab-MAX(T.Nachtbis,AD18))-MAX(0,T.Nachtab-MAX(AD17,T.Nachtbis))+(AD17&gt;AD18)*(1+T.Nachtbis-T.Nachtab)+AD20-AD19+MAX(0,T.Nachtab-MAX(T.Nachtbis,AD20))-MAX(0,T.Nachtab-MAX(AD19,T.Nachtbis))+(AD19&gt;AD20)*(1+T.Nachtbis-T.Nachtab)+AD22-AD21+MAX(0,T.Nachtab-MAX(T.Nachtbis,AD22))-MAX(0,T.Nachtab-MAX(AD21,T.Nachtbis))+(AD21&gt;AD22)*(1+T.Nachtbis-T.Nachtab),9), IF(AND(WEEKDAY(AD$10,2)&lt;6,AD$11&lt;&gt;0),ROUND(AD36-AD35+MAX(0,T.Nachtab-MAX(T.Nachtbis,AD36))-MAX(0,T.Nachtab-MAX(AD35,T.Nachtbis))+(AD35&gt;AD36)*(1+T.Nachtbis-T.Nachtab)+AD38-AD37+MAX(0,T.Nachtab-MAX(T.Nachtbis,AD38))-MAX(0,T.Nachtab-MAX(AD37,T.Nachtbis))+(AD37&gt;AD38)*(1+T.Nachtbis-T.Nachtab)+AD40-AD39+MAX(0,T.Nachtab-MAX(T.Nachtbis,AD40))-MAX(0,T.Nachtab-MAX(AD39,T.Nachtbis))+(AD39&gt;AD40)*(1+T.Nachtbis-T.Nachtab)+AD42-AD41+MAX(0,T.Nachtab-MAX(T.Nachtbis,AD42))-MAX(0,T.Nachtab-MAX(AD41,T.Nachtbis))+(AD41&gt;AD42)*(1+T.Nachtbis-T.Nachtab)+AD44-AD43+MAX(0,T.Nachtab-MAX(T.Nachtbis,AD44))-MAX(0,T.Nachtab-MAX(AD43,T.Nachtbis))+(AD43&gt;AD44)*(1+T.Nachtbis-T.Nachtab),9),0)))</f>
        <v>0</v>
      </c>
      <c r="AE73" s="256" t="n">
        <f aca="false">IF(AE$12=0,0,IF(OR(T.50_Vetsuisse,T.ServiceCenterIrchel),ROUND(AE14-AE13+MAX(0,T.Nachtab-MAX(T.Nachtbis,AE14))-MAX(0,T.Nachtab-MAX(AE13,T.Nachtbis))+(AE13&gt;AE14)*(1+T.Nachtbis-T.Nachtab)+AE16-AE15+MAX(0,T.Nachtab-MAX(T.Nachtbis,AE16))-MAX(0,T.Nachtab-MAX(AE15,T.Nachtbis))+(AE15&gt;AE16)*(1+T.Nachtbis-T.Nachtab)+AE18-AE17+MAX(0,T.Nachtab-MAX(T.Nachtbis,AE18))-MAX(0,T.Nachtab-MAX(AE17,T.Nachtbis))+(AE17&gt;AE18)*(1+T.Nachtbis-T.Nachtab)+AE20-AE19+MAX(0,T.Nachtab-MAX(T.Nachtbis,AE20))-MAX(0,T.Nachtab-MAX(AE19,T.Nachtbis))+(AE19&gt;AE20)*(1+T.Nachtbis-T.Nachtab)+AE22-AE21+MAX(0,T.Nachtab-MAX(T.Nachtbis,AE22))-MAX(0,T.Nachtab-MAX(AE21,T.Nachtbis))+(AE21&gt;AE22)*(1+T.Nachtbis-T.Nachtab),9), IF(AND(WEEKDAY(AE$10,2)&lt;6,AE$11&lt;&gt;0),ROUND(AE36-AE35+MAX(0,T.Nachtab-MAX(T.Nachtbis,AE36))-MAX(0,T.Nachtab-MAX(AE35,T.Nachtbis))+(AE35&gt;AE36)*(1+T.Nachtbis-T.Nachtab)+AE38-AE37+MAX(0,T.Nachtab-MAX(T.Nachtbis,AE38))-MAX(0,T.Nachtab-MAX(AE37,T.Nachtbis))+(AE37&gt;AE38)*(1+T.Nachtbis-T.Nachtab)+AE40-AE39+MAX(0,T.Nachtab-MAX(T.Nachtbis,AE40))-MAX(0,T.Nachtab-MAX(AE39,T.Nachtbis))+(AE39&gt;AE40)*(1+T.Nachtbis-T.Nachtab)+AE42-AE41+MAX(0,T.Nachtab-MAX(T.Nachtbis,AE42))-MAX(0,T.Nachtab-MAX(AE41,T.Nachtbis))+(AE41&gt;AE42)*(1+T.Nachtbis-T.Nachtab)+AE44-AE43+MAX(0,T.Nachtab-MAX(T.Nachtbis,AE44))-MAX(0,T.Nachtab-MAX(AE43,T.Nachtbis))+(AE43&gt;AE44)*(1+T.Nachtbis-T.Nachtab),9),0)))</f>
        <v>0</v>
      </c>
      <c r="AF73" s="256" t="n">
        <f aca="false">IF(AF$12=0,0,IF(OR(T.50_Vetsuisse,T.ServiceCenterIrchel),ROUND(AF14-AF13+MAX(0,T.Nachtab-MAX(T.Nachtbis,AF14))-MAX(0,T.Nachtab-MAX(AF13,T.Nachtbis))+(AF13&gt;AF14)*(1+T.Nachtbis-T.Nachtab)+AF16-AF15+MAX(0,T.Nachtab-MAX(T.Nachtbis,AF16))-MAX(0,T.Nachtab-MAX(AF15,T.Nachtbis))+(AF15&gt;AF16)*(1+T.Nachtbis-T.Nachtab)+AF18-AF17+MAX(0,T.Nachtab-MAX(T.Nachtbis,AF18))-MAX(0,T.Nachtab-MAX(AF17,T.Nachtbis))+(AF17&gt;AF18)*(1+T.Nachtbis-T.Nachtab)+AF20-AF19+MAX(0,T.Nachtab-MAX(T.Nachtbis,AF20))-MAX(0,T.Nachtab-MAX(AF19,T.Nachtbis))+(AF19&gt;AF20)*(1+T.Nachtbis-T.Nachtab)+AF22-AF21+MAX(0,T.Nachtab-MAX(T.Nachtbis,AF22))-MAX(0,T.Nachtab-MAX(AF21,T.Nachtbis))+(AF21&gt;AF22)*(1+T.Nachtbis-T.Nachtab),9), IF(AND(WEEKDAY(AF$10,2)&lt;6,AF$11&lt;&gt;0),ROUND(AF36-AF35+MAX(0,T.Nachtab-MAX(T.Nachtbis,AF36))-MAX(0,T.Nachtab-MAX(AF35,T.Nachtbis))+(AF35&gt;AF36)*(1+T.Nachtbis-T.Nachtab)+AF38-AF37+MAX(0,T.Nachtab-MAX(T.Nachtbis,AF38))-MAX(0,T.Nachtab-MAX(AF37,T.Nachtbis))+(AF37&gt;AF38)*(1+T.Nachtbis-T.Nachtab)+AF40-AF39+MAX(0,T.Nachtab-MAX(T.Nachtbis,AF40))-MAX(0,T.Nachtab-MAX(AF39,T.Nachtbis))+(AF39&gt;AF40)*(1+T.Nachtbis-T.Nachtab)+AF42-AF41+MAX(0,T.Nachtab-MAX(T.Nachtbis,AF42))-MAX(0,T.Nachtab-MAX(AF41,T.Nachtbis))+(AF41&gt;AF42)*(1+T.Nachtbis-T.Nachtab)+AF44-AF43+MAX(0,T.Nachtab-MAX(T.Nachtbis,AF44))-MAX(0,T.Nachtab-MAX(AF43,T.Nachtbis))+(AF43&gt;AF44)*(1+T.Nachtbis-T.Nachtab),9),0)))</f>
        <v>0</v>
      </c>
      <c r="AG73" s="168" t="str">
        <f aca="false">A73</f>
        <v>Night shift</v>
      </c>
      <c r="AH73" s="197"/>
      <c r="AI73" s="207" t="n">
        <f aca="false">SUM(B73:AF73)</f>
        <v>0</v>
      </c>
      <c r="AJ73" s="198" t="n">
        <f aca="false">IF(OR(T.50_Vetsuisse,T.ServiceCenterIrchel),AI69, IFERROR(SUMPRODUCT((B77:AF77&gt;0)*(B77:AF77&lt;&gt;"")),0))</f>
        <v>0</v>
      </c>
      <c r="AK73" s="192"/>
      <c r="AL73" s="216" t="n">
        <f aca="false">IF(EB.Anwendung&lt;&gt;"",IF(MONTH(Monat.Tag1)=1,0,IF(MONTH(Monat.Tag1)=2,January!Monat.NDUeVM,IF(MONTH(Monat.Tag1)=3,February!Monat.NDUeVM,IF(MONTH(Monat.Tag1)=4,March!Monat.NDUeVM,IF(MONTH(Monat.Tag1)=5,April!Monat.NDUeVM,IF(MONTH(Monat.Tag1)=6,May!Monat.NDUeVM,IF(MONTH(Monat.Tag1)=7,June!Monat.NDUeVM,IF(MONTH(Monat.Tag1)=8,Monat.NDUeVM,IF(MONTH(Monat.Tag1)=9,August!Monat.NDUeVM,IF(MONTH(Monat.Tag1)=10,September!Monat.NDUeVM,IF(MONTH(Monat.Tag1)=11,October!Monat.NDUeVM,IF(MONTH(Monat.Tag1)=12,November!Monat.NDUeVM,"")))))))))))),"")</f>
        <v>0</v>
      </c>
      <c r="AM73" s="172"/>
      <c r="AN73" s="217" t="n">
        <f aca="false">AI73+AL73</f>
        <v>0</v>
      </c>
      <c r="AO73" s="171"/>
      <c r="AP73" s="171"/>
      <c r="AQ73" s="39"/>
    </row>
    <row r="74" s="148" customFormat="true" ht="3.75" hidden="true" customHeight="true" outlineLevel="0" collapsed="false">
      <c r="A74" s="186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179"/>
      <c r="AG74" s="168"/>
      <c r="AH74" s="146"/>
      <c r="AI74" s="179"/>
      <c r="AJ74" s="180"/>
      <c r="AK74" s="172"/>
      <c r="AL74" s="172"/>
      <c r="AM74" s="172"/>
      <c r="AN74" s="171"/>
      <c r="AO74" s="172"/>
      <c r="AP74" s="172"/>
      <c r="AQ74" s="39"/>
    </row>
    <row r="75" s="148" customFormat="true" ht="16.5" hidden="true" customHeight="true" outlineLevel="1" collapsed="false">
      <c r="A75" s="181" t="s">
        <v>160</v>
      </c>
      <c r="B75" s="182" t="n">
        <f aca="false">IF(B73&gt;0,ROUND(B73- IF(B13&lt;T.Nachtbis,MIN(T.Nachtbis-B13,B14-B13)+IF(B15&lt;T.Nachtbis,MIN(T.Nachtbis-B15,B16-B15)+IF(B17&lt;T.Nachtbis,MIN(T.Nachtbis-B17,B18-B17)+IF(B19&lt;T.Nachtbis,MIN(T.Nachtbis-B19,B20-B19)+IF(B21&lt;T.Nachtbis,MIN(T.Nachtbis-B21,B22-B21),0),0),0),0),0),9),0)</f>
        <v>0</v>
      </c>
      <c r="C75" s="182" t="n">
        <f aca="false">IF(C73&gt;0,ROUND(C73- IF(C13&lt;T.Nachtbis,MIN(T.Nachtbis-C13,C14-C13)+IF(C15&lt;T.Nachtbis,MIN(T.Nachtbis-C15,C16-C15)+IF(C17&lt;T.Nachtbis,MIN(T.Nachtbis-C17,C18-C17)+IF(C19&lt;T.Nachtbis,MIN(T.Nachtbis-C19,C20-C19)+IF(C21&lt;T.Nachtbis,MIN(T.Nachtbis-C21,C22-C21),0),0),0),0),0),9),0)</f>
        <v>0</v>
      </c>
      <c r="D75" s="182" t="n">
        <f aca="false">IF(D73&gt;0,ROUND(D73- IF(D13&lt;T.Nachtbis,MIN(T.Nachtbis-D13,D14-D13)+IF(D15&lt;T.Nachtbis,MIN(T.Nachtbis-D15,D16-D15)+IF(D17&lt;T.Nachtbis,MIN(T.Nachtbis-D17,D18-D17)+IF(D19&lt;T.Nachtbis,MIN(T.Nachtbis-D19,D20-D19)+IF(D21&lt;T.Nachtbis,MIN(T.Nachtbis-D21,D22-D21),0),0),0),0),0),9),0)</f>
        <v>0</v>
      </c>
      <c r="E75" s="182" t="n">
        <f aca="false">IF(E73&gt;0,ROUND(E73- IF(E13&lt;T.Nachtbis,MIN(T.Nachtbis-E13,E14-E13)+IF(E15&lt;T.Nachtbis,MIN(T.Nachtbis-E15,E16-E15)+IF(E17&lt;T.Nachtbis,MIN(T.Nachtbis-E17,E18-E17)+IF(E19&lt;T.Nachtbis,MIN(T.Nachtbis-E19,E20-E19)+IF(E21&lt;T.Nachtbis,MIN(T.Nachtbis-E21,E22-E21),0),0),0),0),0),9),0)</f>
        <v>0</v>
      </c>
      <c r="F75" s="182" t="n">
        <f aca="false">IF(F73&gt;0,ROUND(F73- IF(F13&lt;T.Nachtbis,MIN(T.Nachtbis-F13,F14-F13)+IF(F15&lt;T.Nachtbis,MIN(T.Nachtbis-F15,F16-F15)+IF(F17&lt;T.Nachtbis,MIN(T.Nachtbis-F17,F18-F17)+IF(F19&lt;T.Nachtbis,MIN(T.Nachtbis-F19,F20-F19)+IF(F21&lt;T.Nachtbis,MIN(T.Nachtbis-F21,F22-F21),0),0),0),0),0),9),0)</f>
        <v>0</v>
      </c>
      <c r="G75" s="182" t="n">
        <f aca="false">IF(G73&gt;0,ROUND(G73- IF(G13&lt;T.Nachtbis,MIN(T.Nachtbis-G13,G14-G13)+IF(G15&lt;T.Nachtbis,MIN(T.Nachtbis-G15,G16-G15)+IF(G17&lt;T.Nachtbis,MIN(T.Nachtbis-G17,G18-G17)+IF(G19&lt;T.Nachtbis,MIN(T.Nachtbis-G19,G20-G19)+IF(G21&lt;T.Nachtbis,MIN(T.Nachtbis-G21,G22-G21),0),0),0),0),0),9),0)</f>
        <v>0</v>
      </c>
      <c r="H75" s="182" t="n">
        <f aca="false">IF(H73&gt;0,ROUND(H73- IF(H13&lt;T.Nachtbis,MIN(T.Nachtbis-H13,H14-H13)+IF(H15&lt;T.Nachtbis,MIN(T.Nachtbis-H15,H16-H15)+IF(H17&lt;T.Nachtbis,MIN(T.Nachtbis-H17,H18-H17)+IF(H19&lt;T.Nachtbis,MIN(T.Nachtbis-H19,H20-H19)+IF(H21&lt;T.Nachtbis,MIN(T.Nachtbis-H21,H22-H21),0),0),0),0),0),9),0)</f>
        <v>0</v>
      </c>
      <c r="I75" s="182" t="n">
        <f aca="false">IF(I73&gt;0,ROUND(I73- IF(I13&lt;T.Nachtbis,MIN(T.Nachtbis-I13,I14-I13)+IF(I15&lt;T.Nachtbis,MIN(T.Nachtbis-I15,I16-I15)+IF(I17&lt;T.Nachtbis,MIN(T.Nachtbis-I17,I18-I17)+IF(I19&lt;T.Nachtbis,MIN(T.Nachtbis-I19,I20-I19)+IF(I21&lt;T.Nachtbis,MIN(T.Nachtbis-I21,I22-I21),0),0),0),0),0),9),0)</f>
        <v>0</v>
      </c>
      <c r="J75" s="182" t="n">
        <f aca="false">IF(J73&gt;0,ROUND(J73- IF(J13&lt;T.Nachtbis,MIN(T.Nachtbis-J13,J14-J13)+IF(J15&lt;T.Nachtbis,MIN(T.Nachtbis-J15,J16-J15)+IF(J17&lt;T.Nachtbis,MIN(T.Nachtbis-J17,J18-J17)+IF(J19&lt;T.Nachtbis,MIN(T.Nachtbis-J19,J20-J19)+IF(J21&lt;T.Nachtbis,MIN(T.Nachtbis-J21,J22-J21),0),0),0),0),0),9),0)</f>
        <v>0</v>
      </c>
      <c r="K75" s="182" t="n">
        <f aca="false">IF(K73&gt;0,ROUND(K73- IF(K13&lt;T.Nachtbis,MIN(T.Nachtbis-K13,K14-K13)+IF(K15&lt;T.Nachtbis,MIN(T.Nachtbis-K15,K16-K15)+IF(K17&lt;T.Nachtbis,MIN(T.Nachtbis-K17,K18-K17)+IF(K19&lt;T.Nachtbis,MIN(T.Nachtbis-K19,K20-K19)+IF(K21&lt;T.Nachtbis,MIN(T.Nachtbis-K21,K22-K21),0),0),0),0),0),9),0)</f>
        <v>0</v>
      </c>
      <c r="L75" s="182" t="n">
        <f aca="false">IF(L73&gt;0,ROUND(L73- IF(L13&lt;T.Nachtbis,MIN(T.Nachtbis-L13,L14-L13)+IF(L15&lt;T.Nachtbis,MIN(T.Nachtbis-L15,L16-L15)+IF(L17&lt;T.Nachtbis,MIN(T.Nachtbis-L17,L18-L17)+IF(L19&lt;T.Nachtbis,MIN(T.Nachtbis-L19,L20-L19)+IF(L21&lt;T.Nachtbis,MIN(T.Nachtbis-L21,L22-L21),0),0),0),0),0),9),0)</f>
        <v>0</v>
      </c>
      <c r="M75" s="182" t="n">
        <f aca="false">IF(M73&gt;0,ROUND(M73- IF(M13&lt;T.Nachtbis,MIN(T.Nachtbis-M13,M14-M13)+IF(M15&lt;T.Nachtbis,MIN(T.Nachtbis-M15,M16-M15)+IF(M17&lt;T.Nachtbis,MIN(T.Nachtbis-M17,M18-M17)+IF(M19&lt;T.Nachtbis,MIN(T.Nachtbis-M19,M20-M19)+IF(M21&lt;T.Nachtbis,MIN(T.Nachtbis-M21,M22-M21),0),0),0),0),0),9),0)</f>
        <v>0</v>
      </c>
      <c r="N75" s="182" t="n">
        <f aca="false">IF(N73&gt;0,ROUND(N73- IF(N13&lt;T.Nachtbis,MIN(T.Nachtbis-N13,N14-N13)+IF(N15&lt;T.Nachtbis,MIN(T.Nachtbis-N15,N16-N15)+IF(N17&lt;T.Nachtbis,MIN(T.Nachtbis-N17,N18-N17)+IF(N19&lt;T.Nachtbis,MIN(T.Nachtbis-N19,N20-N19)+IF(N21&lt;T.Nachtbis,MIN(T.Nachtbis-N21,N22-N21),0),0),0),0),0),9),0)</f>
        <v>0</v>
      </c>
      <c r="O75" s="182" t="n">
        <f aca="false">IF(O73&gt;0,ROUND(O73- IF(O13&lt;T.Nachtbis,MIN(T.Nachtbis-O13,O14-O13)+IF(O15&lt;T.Nachtbis,MIN(T.Nachtbis-O15,O16-O15)+IF(O17&lt;T.Nachtbis,MIN(T.Nachtbis-O17,O18-O17)+IF(O19&lt;T.Nachtbis,MIN(T.Nachtbis-O19,O20-O19)+IF(O21&lt;T.Nachtbis,MIN(T.Nachtbis-O21,O22-O21),0),0),0),0),0),9),0)</f>
        <v>0</v>
      </c>
      <c r="P75" s="182" t="n">
        <f aca="false">IF(P73&gt;0,ROUND(P73- IF(P13&lt;T.Nachtbis,MIN(T.Nachtbis-P13,P14-P13)+IF(P15&lt;T.Nachtbis,MIN(T.Nachtbis-P15,P16-P15)+IF(P17&lt;T.Nachtbis,MIN(T.Nachtbis-P17,P18-P17)+IF(P19&lt;T.Nachtbis,MIN(T.Nachtbis-P19,P20-P19)+IF(P21&lt;T.Nachtbis,MIN(T.Nachtbis-P21,P22-P21),0),0),0),0),0),9),0)</f>
        <v>0</v>
      </c>
      <c r="Q75" s="182" t="n">
        <f aca="false">IF(Q73&gt;0,ROUND(Q73- IF(Q13&lt;T.Nachtbis,MIN(T.Nachtbis-Q13,Q14-Q13)+IF(Q15&lt;T.Nachtbis,MIN(T.Nachtbis-Q15,Q16-Q15)+IF(Q17&lt;T.Nachtbis,MIN(T.Nachtbis-Q17,Q18-Q17)+IF(Q19&lt;T.Nachtbis,MIN(T.Nachtbis-Q19,Q20-Q19)+IF(Q21&lt;T.Nachtbis,MIN(T.Nachtbis-Q21,Q22-Q21),0),0),0),0),0),9),0)</f>
        <v>0</v>
      </c>
      <c r="R75" s="182" t="n">
        <f aca="false">IF(R73&gt;0,ROUND(R73- IF(R13&lt;T.Nachtbis,MIN(T.Nachtbis-R13,R14-R13)+IF(R15&lt;T.Nachtbis,MIN(T.Nachtbis-R15,R16-R15)+IF(R17&lt;T.Nachtbis,MIN(T.Nachtbis-R17,R18-R17)+IF(R19&lt;T.Nachtbis,MIN(T.Nachtbis-R19,R20-R19)+IF(R21&lt;T.Nachtbis,MIN(T.Nachtbis-R21,R22-R21),0),0),0),0),0),9),0)</f>
        <v>0</v>
      </c>
      <c r="S75" s="182" t="n">
        <f aca="false">IF(S73&gt;0,ROUND(S73- IF(S13&lt;T.Nachtbis,MIN(T.Nachtbis-S13,S14-S13)+IF(S15&lt;T.Nachtbis,MIN(T.Nachtbis-S15,S16-S15)+IF(S17&lt;T.Nachtbis,MIN(T.Nachtbis-S17,S18-S17)+IF(S19&lt;T.Nachtbis,MIN(T.Nachtbis-S19,S20-S19)+IF(S21&lt;T.Nachtbis,MIN(T.Nachtbis-S21,S22-S21),0),0),0),0),0),9),0)</f>
        <v>0</v>
      </c>
      <c r="T75" s="182" t="n">
        <f aca="false">IF(T73&gt;0,ROUND(T73- IF(T13&lt;T.Nachtbis,MIN(T.Nachtbis-T13,T14-T13)+IF(T15&lt;T.Nachtbis,MIN(T.Nachtbis-T15,T16-T15)+IF(T17&lt;T.Nachtbis,MIN(T.Nachtbis-T17,T18-T17)+IF(T19&lt;T.Nachtbis,MIN(T.Nachtbis-T19,T20-T19)+IF(T21&lt;T.Nachtbis,MIN(T.Nachtbis-T21,T22-T21),0),0),0),0),0),9),0)</f>
        <v>0</v>
      </c>
      <c r="U75" s="182" t="n">
        <f aca="false">IF(U73&gt;0,ROUND(U73- IF(U13&lt;T.Nachtbis,MIN(T.Nachtbis-U13,U14-U13)+IF(U15&lt;T.Nachtbis,MIN(T.Nachtbis-U15,U16-U15)+IF(U17&lt;T.Nachtbis,MIN(T.Nachtbis-U17,U18-U17)+IF(U19&lt;T.Nachtbis,MIN(T.Nachtbis-U19,U20-U19)+IF(U21&lt;T.Nachtbis,MIN(T.Nachtbis-U21,U22-U21),0),0),0),0),0),9),0)</f>
        <v>0</v>
      </c>
      <c r="V75" s="182" t="n">
        <f aca="false">IF(V73&gt;0,ROUND(V73- IF(V13&lt;T.Nachtbis,MIN(T.Nachtbis-V13,V14-V13)+IF(V15&lt;T.Nachtbis,MIN(T.Nachtbis-V15,V16-V15)+IF(V17&lt;T.Nachtbis,MIN(T.Nachtbis-V17,V18-V17)+IF(V19&lt;T.Nachtbis,MIN(T.Nachtbis-V19,V20-V19)+IF(V21&lt;T.Nachtbis,MIN(T.Nachtbis-V21,V22-V21),0),0),0),0),0),9),0)</f>
        <v>0</v>
      </c>
      <c r="W75" s="182" t="n">
        <f aca="false">IF(W73&gt;0,ROUND(W73- IF(W13&lt;T.Nachtbis,MIN(T.Nachtbis-W13,W14-W13)+IF(W15&lt;T.Nachtbis,MIN(T.Nachtbis-W15,W16-W15)+IF(W17&lt;T.Nachtbis,MIN(T.Nachtbis-W17,W18-W17)+IF(W19&lt;T.Nachtbis,MIN(T.Nachtbis-W19,W20-W19)+IF(W21&lt;T.Nachtbis,MIN(T.Nachtbis-W21,W22-W21),0),0),0),0),0),9),0)</f>
        <v>0</v>
      </c>
      <c r="X75" s="182" t="n">
        <f aca="false">IF(X73&gt;0,ROUND(X73- IF(X13&lt;T.Nachtbis,MIN(T.Nachtbis-X13,X14-X13)+IF(X15&lt;T.Nachtbis,MIN(T.Nachtbis-X15,X16-X15)+IF(X17&lt;T.Nachtbis,MIN(T.Nachtbis-X17,X18-X17)+IF(X19&lt;T.Nachtbis,MIN(T.Nachtbis-X19,X20-X19)+IF(X21&lt;T.Nachtbis,MIN(T.Nachtbis-X21,X22-X21),0),0),0),0),0),9),0)</f>
        <v>0</v>
      </c>
      <c r="Y75" s="182" t="n">
        <f aca="false">IF(Y73&gt;0,ROUND(Y73- IF(Y13&lt;T.Nachtbis,MIN(T.Nachtbis-Y13,Y14-Y13)+IF(Y15&lt;T.Nachtbis,MIN(T.Nachtbis-Y15,Y16-Y15)+IF(Y17&lt;T.Nachtbis,MIN(T.Nachtbis-Y17,Y18-Y17)+IF(Y19&lt;T.Nachtbis,MIN(T.Nachtbis-Y19,Y20-Y19)+IF(Y21&lt;T.Nachtbis,MIN(T.Nachtbis-Y21,Y22-Y21),0),0),0),0),0),9),0)</f>
        <v>0</v>
      </c>
      <c r="Z75" s="182" t="n">
        <f aca="false">IF(Z73&gt;0,ROUND(Z73- IF(Z13&lt;T.Nachtbis,MIN(T.Nachtbis-Z13,Z14-Z13)+IF(Z15&lt;T.Nachtbis,MIN(T.Nachtbis-Z15,Z16-Z15)+IF(Z17&lt;T.Nachtbis,MIN(T.Nachtbis-Z17,Z18-Z17)+IF(Z19&lt;T.Nachtbis,MIN(T.Nachtbis-Z19,Z20-Z19)+IF(Z21&lt;T.Nachtbis,MIN(T.Nachtbis-Z21,Z22-Z21),0),0),0),0),0),9),0)</f>
        <v>0</v>
      </c>
      <c r="AA75" s="182" t="n">
        <f aca="false">IF(AA73&gt;0,ROUND(AA73- IF(AA13&lt;T.Nachtbis,MIN(T.Nachtbis-AA13,AA14-AA13)+IF(AA15&lt;T.Nachtbis,MIN(T.Nachtbis-AA15,AA16-AA15)+IF(AA17&lt;T.Nachtbis,MIN(T.Nachtbis-AA17,AA18-AA17)+IF(AA19&lt;T.Nachtbis,MIN(T.Nachtbis-AA19,AA20-AA19)+IF(AA21&lt;T.Nachtbis,MIN(T.Nachtbis-AA21,AA22-AA21),0),0),0),0),0),9),0)</f>
        <v>0</v>
      </c>
      <c r="AB75" s="182" t="n">
        <f aca="false">IF(AB73&gt;0,ROUND(AB73- IF(AB13&lt;T.Nachtbis,MIN(T.Nachtbis-AB13,AB14-AB13)+IF(AB15&lt;T.Nachtbis,MIN(T.Nachtbis-AB15,AB16-AB15)+IF(AB17&lt;T.Nachtbis,MIN(T.Nachtbis-AB17,AB18-AB17)+IF(AB19&lt;T.Nachtbis,MIN(T.Nachtbis-AB19,AB20-AB19)+IF(AB21&lt;T.Nachtbis,MIN(T.Nachtbis-AB21,AB22-AB21),0),0),0),0),0),9),0)</f>
        <v>0</v>
      </c>
      <c r="AC75" s="182" t="n">
        <f aca="false">IF(AC73&gt;0,ROUND(AC73- IF(AC13&lt;T.Nachtbis,MIN(T.Nachtbis-AC13,AC14-AC13)+IF(AC15&lt;T.Nachtbis,MIN(T.Nachtbis-AC15,AC16-AC15)+IF(AC17&lt;T.Nachtbis,MIN(T.Nachtbis-AC17,AC18-AC17)+IF(AC19&lt;T.Nachtbis,MIN(T.Nachtbis-AC19,AC20-AC19)+IF(AC21&lt;T.Nachtbis,MIN(T.Nachtbis-AC21,AC22-AC21),0),0),0),0),0),9),0)</f>
        <v>0</v>
      </c>
      <c r="AD75" s="182" t="n">
        <f aca="false">IF(AD73&gt;0,ROUND(AD73- IF(AD13&lt;T.Nachtbis,MIN(T.Nachtbis-AD13,AD14-AD13)+IF(AD15&lt;T.Nachtbis,MIN(T.Nachtbis-AD15,AD16-AD15)+IF(AD17&lt;T.Nachtbis,MIN(T.Nachtbis-AD17,AD18-AD17)+IF(AD19&lt;T.Nachtbis,MIN(T.Nachtbis-AD19,AD20-AD19)+IF(AD21&lt;T.Nachtbis,MIN(T.Nachtbis-AD21,AD22-AD21),0),0),0),0),0),9),0)</f>
        <v>0</v>
      </c>
      <c r="AE75" s="182" t="n">
        <f aca="false">IF(AE73&gt;0,ROUND(AE73- IF(AE13&lt;T.Nachtbis,MIN(T.Nachtbis-AE13,AE14-AE13)+IF(AE15&lt;T.Nachtbis,MIN(T.Nachtbis-AE15,AE16-AE15)+IF(AE17&lt;T.Nachtbis,MIN(T.Nachtbis-AE17,AE18-AE17)+IF(AE19&lt;T.Nachtbis,MIN(T.Nachtbis-AE19,AE20-AE19)+IF(AE21&lt;T.Nachtbis,MIN(T.Nachtbis-AE21,AE22-AE21),0),0),0),0),0),9),0)</f>
        <v>0</v>
      </c>
      <c r="AF75" s="182" t="n">
        <f aca="false">IF(AF73&gt;0,ROUND(AF73- IF(AF13&lt;T.Nachtbis,MIN(T.Nachtbis-AF13,AF14-AF13)+IF(AF15&lt;T.Nachtbis,MIN(T.Nachtbis-AF15,AF16-AF15)+IF(AF17&lt;T.Nachtbis,MIN(T.Nachtbis-AF17,AF18-AF17)+IF(AF19&lt;T.Nachtbis,MIN(T.Nachtbis-AF19,AF20-AF19)+IF(AF21&lt;T.Nachtbis,MIN(T.Nachtbis-AF21,AF22-AF21),0),0),0),0),0),9),0)</f>
        <v>0</v>
      </c>
      <c r="AG75" s="183" t="str">
        <f aca="false">A75</f>
        <v>Total NS hours today</v>
      </c>
      <c r="AH75" s="146"/>
      <c r="AI75" s="179"/>
      <c r="AJ75" s="180"/>
      <c r="AK75" s="172"/>
      <c r="AL75" s="172"/>
      <c r="AM75" s="172"/>
      <c r="AN75" s="171"/>
      <c r="AO75" s="172"/>
      <c r="AP75" s="172"/>
      <c r="AQ75" s="39"/>
    </row>
    <row r="76" s="148" customFormat="true" ht="16.5" hidden="true" customHeight="true" outlineLevel="1" collapsed="false">
      <c r="A76" s="181" t="s">
        <v>161</v>
      </c>
      <c r="B76" s="193" t="n">
        <f aca="false">B73-B75</f>
        <v>0</v>
      </c>
      <c r="C76" s="193" t="n">
        <f aca="false">C73-C75</f>
        <v>0</v>
      </c>
      <c r="D76" s="193" t="n">
        <f aca="false">D73-D75</f>
        <v>0</v>
      </c>
      <c r="E76" s="193" t="n">
        <f aca="false">E73-E75</f>
        <v>0</v>
      </c>
      <c r="F76" s="193" t="n">
        <f aca="false">F73-F75</f>
        <v>0</v>
      </c>
      <c r="G76" s="193" t="n">
        <f aca="false">G73-G75</f>
        <v>0</v>
      </c>
      <c r="H76" s="193" t="n">
        <f aca="false">H73-H75</f>
        <v>0</v>
      </c>
      <c r="I76" s="193" t="n">
        <f aca="false">I73-I75</f>
        <v>0</v>
      </c>
      <c r="J76" s="193" t="n">
        <f aca="false">J73-J75</f>
        <v>0</v>
      </c>
      <c r="K76" s="193" t="n">
        <f aca="false">K73-K75</f>
        <v>0</v>
      </c>
      <c r="L76" s="193" t="n">
        <f aca="false">L73-L75</f>
        <v>0</v>
      </c>
      <c r="M76" s="193" t="n">
        <f aca="false">M73-M75</f>
        <v>0</v>
      </c>
      <c r="N76" s="193" t="n">
        <f aca="false">N73-N75</f>
        <v>0</v>
      </c>
      <c r="O76" s="193" t="n">
        <f aca="false">O73-O75</f>
        <v>0</v>
      </c>
      <c r="P76" s="193" t="n">
        <f aca="false">P73-P75</f>
        <v>0</v>
      </c>
      <c r="Q76" s="193" t="n">
        <f aca="false">Q73-Q75</f>
        <v>0</v>
      </c>
      <c r="R76" s="193" t="n">
        <f aca="false">R73-R75</f>
        <v>0</v>
      </c>
      <c r="S76" s="193" t="n">
        <f aca="false">S73-S75</f>
        <v>0</v>
      </c>
      <c r="T76" s="193" t="n">
        <f aca="false">T73-T75</f>
        <v>0</v>
      </c>
      <c r="U76" s="193" t="n">
        <f aca="false">U73-U75</f>
        <v>0</v>
      </c>
      <c r="V76" s="193" t="n">
        <f aca="false">V73-V75</f>
        <v>0</v>
      </c>
      <c r="W76" s="193" t="n">
        <f aca="false">W73-W75</f>
        <v>0</v>
      </c>
      <c r="X76" s="193" t="n">
        <f aca="false">X73-X75</f>
        <v>0</v>
      </c>
      <c r="Y76" s="193" t="n">
        <f aca="false">Y73-Y75</f>
        <v>0</v>
      </c>
      <c r="Z76" s="193" t="n">
        <f aca="false">Z73-Z75</f>
        <v>0</v>
      </c>
      <c r="AA76" s="193" t="n">
        <f aca="false">AA73-AA75</f>
        <v>0</v>
      </c>
      <c r="AB76" s="193" t="n">
        <f aca="false">AB73-AB75</f>
        <v>0</v>
      </c>
      <c r="AC76" s="193" t="n">
        <f aca="false">AC73-AC75</f>
        <v>0</v>
      </c>
      <c r="AD76" s="193" t="n">
        <f aca="false">AD73-AD75</f>
        <v>0</v>
      </c>
      <c r="AE76" s="193" t="n">
        <f aca="false">AE73-AE75</f>
        <v>0</v>
      </c>
      <c r="AF76" s="193" t="n">
        <f aca="false">AF73-AF75</f>
        <v>0</v>
      </c>
      <c r="AG76" s="183" t="str">
        <f aca="false">A76</f>
        <v>Total NS hours yesterday</v>
      </c>
      <c r="AH76" s="146"/>
      <c r="AI76" s="179"/>
      <c r="AJ76" s="180"/>
      <c r="AK76" s="172"/>
      <c r="AL76" s="172"/>
      <c r="AM76" s="199" t="n">
        <f aca="false">IF(EB.Anwendung&lt;&gt;"",IF(MONTH(Monat.Tag1)=12,0,IF(MONTH(Monat.Tag1)=1,February!Monat.NDgesternTag1,IF(MONTH(Monat.Tag1)=2,March!Monat.NDgesternTag1,IF(MONTH(Monat.Tag1)=3,April!Monat.NDgesternTag1,IF(MONTH(Monat.Tag1)=4,May!Monat.NDgesternTag1,IF(MONTH(Monat.Tag1)=5,June!Monat.NDgesternTag1,IF(MONTH(Monat.Tag1)=6,Monat.NDgesternTag1,IF(MONTH(Monat.Tag1)=7,August!Monat.NDgesternTag1,IF(MONTH(Monat.Tag1)=8,September!Monat.NDgesternTag1,IF(MONTH(Monat.Tag1)=9,October!Monat.NDgesternTag1,IF(MONTH(Monat.Tag1)=10,November!Monat.NDgesternTag1,IF(MONTH(Monat.Tag1)=11,December!Monat.NDgesternTag1,"")))))))))))),"")</f>
        <v>0</v>
      </c>
      <c r="AN76" s="171"/>
      <c r="AO76" s="172"/>
      <c r="AP76" s="172"/>
      <c r="AQ76" s="39"/>
    </row>
    <row r="77" s="148" customFormat="true" ht="16.5" hidden="true" customHeight="true" outlineLevel="1" collapsed="false">
      <c r="A77" s="181" t="s">
        <v>162</v>
      </c>
      <c r="B77" s="182" t="n">
        <f aca="false">B75+IF(B$10=EOMONTH(B$10,0),$AM76,C76)</f>
        <v>0</v>
      </c>
      <c r="C77" s="182" t="n">
        <f aca="false">C75+IF(C$10=EOMONTH(C$10,0),$AM76,D76)</f>
        <v>0</v>
      </c>
      <c r="D77" s="182" t="n">
        <f aca="false">D75+IF(D$10=EOMONTH(D$10,0),$AM76,E76)</f>
        <v>0</v>
      </c>
      <c r="E77" s="182" t="n">
        <f aca="false">E75+IF(E$10=EOMONTH(E$10,0),$AM76,F76)</f>
        <v>0</v>
      </c>
      <c r="F77" s="182" t="n">
        <f aca="false">F75+IF(F$10=EOMONTH(F$10,0),$AM76,G76)</f>
        <v>0</v>
      </c>
      <c r="G77" s="182" t="n">
        <f aca="false">G75+IF(G$10=EOMONTH(G$10,0),$AM76,H76)</f>
        <v>0</v>
      </c>
      <c r="H77" s="182" t="n">
        <f aca="false">H75+IF(H$10=EOMONTH(H$10,0),$AM76,I76)</f>
        <v>0</v>
      </c>
      <c r="I77" s="182" t="n">
        <f aca="false">I75+IF(I$10=EOMONTH(I$10,0),$AM76,J76)</f>
        <v>0</v>
      </c>
      <c r="J77" s="182" t="n">
        <f aca="false">J75+IF(J$10=EOMONTH(J$10,0),$AM76,K76)</f>
        <v>0</v>
      </c>
      <c r="K77" s="182" t="n">
        <f aca="false">K75+IF(K$10=EOMONTH(K$10,0),$AM76,L76)</f>
        <v>0</v>
      </c>
      <c r="L77" s="182" t="n">
        <f aca="false">L75+IF(L$10=EOMONTH(L$10,0),$AM76,M76)</f>
        <v>0</v>
      </c>
      <c r="M77" s="182" t="n">
        <f aca="false">M75+IF(M$10=EOMONTH(M$10,0),$AM76,N76)</f>
        <v>0</v>
      </c>
      <c r="N77" s="182" t="n">
        <f aca="false">N75+IF(N$10=EOMONTH(N$10,0),$AM76,O76)</f>
        <v>0</v>
      </c>
      <c r="O77" s="182" t="n">
        <f aca="false">O75+IF(O$10=EOMONTH(O$10,0),$AM76,P76)</f>
        <v>0</v>
      </c>
      <c r="P77" s="182" t="n">
        <f aca="false">P75+IF(P$10=EOMONTH(P$10,0),$AM76,Q76)</f>
        <v>0</v>
      </c>
      <c r="Q77" s="182" t="n">
        <f aca="false">Q75+IF(Q$10=EOMONTH(Q$10,0),$AM76,R76)</f>
        <v>0</v>
      </c>
      <c r="R77" s="182" t="n">
        <f aca="false">R75+IF(R$10=EOMONTH(R$10,0),$AM76,S76)</f>
        <v>0</v>
      </c>
      <c r="S77" s="182" t="n">
        <f aca="false">S75+IF(S$10=EOMONTH(S$10,0),$AM76,T76)</f>
        <v>0</v>
      </c>
      <c r="T77" s="182" t="n">
        <f aca="false">T75+IF(T$10=EOMONTH(T$10,0),$AM76,U76)</f>
        <v>0</v>
      </c>
      <c r="U77" s="182" t="n">
        <f aca="false">U75+IF(U$10=EOMONTH(U$10,0),$AM76,V76)</f>
        <v>0</v>
      </c>
      <c r="V77" s="182" t="n">
        <f aca="false">V75+IF(V$10=EOMONTH(V$10,0),$AM76,W76)</f>
        <v>0</v>
      </c>
      <c r="W77" s="182" t="n">
        <f aca="false">W75+IF(W$10=EOMONTH(W$10,0),$AM76,X76)</f>
        <v>0</v>
      </c>
      <c r="X77" s="182" t="n">
        <f aca="false">X75+IF(X$10=EOMONTH(X$10,0),$AM76,Y76)</f>
        <v>0</v>
      </c>
      <c r="Y77" s="182" t="n">
        <f aca="false">Y75+IF(Y$10=EOMONTH(Y$10,0),$AM76,Z76)</f>
        <v>0</v>
      </c>
      <c r="Z77" s="182" t="n">
        <f aca="false">Z75+IF(Z$10=EOMONTH(Z$10,0),$AM76,AA76)</f>
        <v>0</v>
      </c>
      <c r="AA77" s="182" t="n">
        <f aca="false">AA75+IF(AA$10=EOMONTH(AA$10,0),$AM76,AB76)</f>
        <v>0</v>
      </c>
      <c r="AB77" s="182" t="n">
        <f aca="false">AB75+IF(AB$10=EOMONTH(AB$10,0),$AM76,AC76)</f>
        <v>0</v>
      </c>
      <c r="AC77" s="182" t="n">
        <f aca="false">AC75+IF(AC$10=EOMONTH(AC$10,0),$AM76,AD76)</f>
        <v>0</v>
      </c>
      <c r="AD77" s="182" t="n">
        <f aca="false">AD75+IF(AD$10=EOMONTH(AD$10,0),$AM76,AE76)</f>
        <v>0</v>
      </c>
      <c r="AE77" s="182" t="n">
        <f aca="false">AE75+IF(AE$10=EOMONTH(AE$10,0),$AM76,AF76)</f>
        <v>0</v>
      </c>
      <c r="AF77" s="182" t="n">
        <f aca="false">AF75+IF(AF$10=EOMONTH(AF$10,0),$AM76,AG76)</f>
        <v>0</v>
      </c>
      <c r="AG77" s="183" t="str">
        <f aca="false">A77</f>
        <v>Total NS hours</v>
      </c>
      <c r="AH77" s="184"/>
      <c r="AI77" s="185" t="n">
        <f aca="false">SUM(B77:AF77)</f>
        <v>0</v>
      </c>
      <c r="AJ77" s="180"/>
      <c r="AK77" s="172"/>
      <c r="AL77" s="172"/>
      <c r="AM77" s="172"/>
      <c r="AN77" s="171"/>
      <c r="AO77" s="172"/>
      <c r="AP77" s="172"/>
      <c r="AQ77" s="39"/>
    </row>
    <row r="78" s="148" customFormat="true" ht="3.75" hidden="true" customHeight="true" outlineLevel="0" collapsed="false">
      <c r="A78" s="186"/>
      <c r="B78" s="187"/>
      <c r="C78" s="187"/>
      <c r="D78" s="187"/>
      <c r="E78" s="187"/>
      <c r="F78" s="187"/>
      <c r="G78" s="187"/>
      <c r="H78" s="187"/>
      <c r="I78" s="187"/>
      <c r="J78" s="187"/>
      <c r="K78" s="187"/>
      <c r="L78" s="187"/>
      <c r="M78" s="187"/>
      <c r="N78" s="187"/>
      <c r="O78" s="187"/>
      <c r="P78" s="187"/>
      <c r="Q78" s="187"/>
      <c r="R78" s="187"/>
      <c r="S78" s="187"/>
      <c r="T78" s="187"/>
      <c r="U78" s="187"/>
      <c r="V78" s="187"/>
      <c r="W78" s="187"/>
      <c r="X78" s="187"/>
      <c r="Y78" s="187"/>
      <c r="Z78" s="187"/>
      <c r="AA78" s="187"/>
      <c r="AB78" s="187"/>
      <c r="AC78" s="187"/>
      <c r="AD78" s="187"/>
      <c r="AE78" s="187"/>
      <c r="AF78" s="188"/>
      <c r="AG78" s="168"/>
      <c r="AH78" s="202"/>
      <c r="AI78" s="188"/>
      <c r="AJ78" s="180"/>
      <c r="AK78" s="172"/>
      <c r="AL78" s="172"/>
      <c r="AM78" s="172"/>
      <c r="AN78" s="171"/>
      <c r="AO78" s="172"/>
      <c r="AP78" s="172"/>
      <c r="AQ78" s="39"/>
    </row>
    <row r="79" s="148" customFormat="true" ht="15" hidden="true" customHeight="true" outlineLevel="1" collapsed="false">
      <c r="A79" s="175" t="s">
        <v>84</v>
      </c>
      <c r="B79" s="256" t="n">
        <f aca="false">IF(AND(T.50_Vetsuisse,B70&gt;24),ROUND(B73*T.50_VetsuisseZZSND,9), IF(AND(T.ServiceCenterIrchel,B69&gt;0,B77&gt;=ROUND(1/24*8,9)),ROUND(B77*T.ServiceCenterIrchelZZSND,9),))</f>
        <v>0</v>
      </c>
      <c r="C79" s="256" t="n">
        <f aca="false">IF(AND(T.50_Vetsuisse,C70&gt;24),ROUND(C73*T.50_VetsuisseZZSND,9), IF(AND(T.ServiceCenterIrchel,C69&gt;0,C77&gt;=ROUND(1/24*8,9)),ROUND(C77*T.ServiceCenterIrchelZZSND,9),))</f>
        <v>0</v>
      </c>
      <c r="D79" s="256" t="n">
        <f aca="false">IF(AND(T.50_Vetsuisse,D70&gt;24),ROUND(D73*T.50_VetsuisseZZSND,9), IF(AND(T.ServiceCenterIrchel,D69&gt;0,D77&gt;=ROUND(1/24*8,9)),ROUND(D77*T.ServiceCenterIrchelZZSND,9),))</f>
        <v>0</v>
      </c>
      <c r="E79" s="256" t="n">
        <f aca="false">IF(AND(T.50_Vetsuisse,E70&gt;24),ROUND(E73*T.50_VetsuisseZZSND,9), IF(AND(T.ServiceCenterIrchel,E69&gt;0,E77&gt;=ROUND(1/24*8,9)),ROUND(E77*T.ServiceCenterIrchelZZSND,9),))</f>
        <v>0</v>
      </c>
      <c r="F79" s="256" t="n">
        <f aca="false">IF(AND(T.50_Vetsuisse,F70&gt;24),ROUND(F73*T.50_VetsuisseZZSND,9), IF(AND(T.ServiceCenterIrchel,F69&gt;0,F77&gt;=ROUND(1/24*8,9)),ROUND(F77*T.ServiceCenterIrchelZZSND,9),))</f>
        <v>0</v>
      </c>
      <c r="G79" s="256" t="n">
        <f aca="false">IF(AND(T.50_Vetsuisse,G70&gt;24),ROUND(G73*T.50_VetsuisseZZSND,9), IF(AND(T.ServiceCenterIrchel,G69&gt;0,G77&gt;=ROUND(1/24*8,9)),ROUND(G77*T.ServiceCenterIrchelZZSND,9),))</f>
        <v>0</v>
      </c>
      <c r="H79" s="256" t="n">
        <f aca="false">IF(AND(T.50_Vetsuisse,H70&gt;24),ROUND(H73*T.50_VetsuisseZZSND,9), IF(AND(T.ServiceCenterIrchel,H69&gt;0,H77&gt;=ROUND(1/24*8,9)),ROUND(H77*T.ServiceCenterIrchelZZSND,9),))</f>
        <v>0</v>
      </c>
      <c r="I79" s="256" t="n">
        <f aca="false">IF(AND(T.50_Vetsuisse,I70&gt;24),ROUND(I73*T.50_VetsuisseZZSND,9), IF(AND(T.ServiceCenterIrchel,I69&gt;0,I77&gt;=ROUND(1/24*8,9)),ROUND(I77*T.ServiceCenterIrchelZZSND,9),))</f>
        <v>0</v>
      </c>
      <c r="J79" s="256" t="n">
        <f aca="false">IF(AND(T.50_Vetsuisse,J70&gt;24),ROUND(J73*T.50_VetsuisseZZSND,9), IF(AND(T.ServiceCenterIrchel,J69&gt;0,J77&gt;=ROUND(1/24*8,9)),ROUND(J77*T.ServiceCenterIrchelZZSND,9),))</f>
        <v>0</v>
      </c>
      <c r="K79" s="256" t="n">
        <f aca="false">IF(AND(T.50_Vetsuisse,K70&gt;24),ROUND(K73*T.50_VetsuisseZZSND,9), IF(AND(T.ServiceCenterIrchel,K69&gt;0,K77&gt;=ROUND(1/24*8,9)),ROUND(K77*T.ServiceCenterIrchelZZSND,9),))</f>
        <v>0</v>
      </c>
      <c r="L79" s="256" t="n">
        <f aca="false">IF(AND(T.50_Vetsuisse,L70&gt;24),ROUND(L73*T.50_VetsuisseZZSND,9), IF(AND(T.ServiceCenterIrchel,L69&gt;0,L77&gt;=ROUND(1/24*8,9)),ROUND(L77*T.ServiceCenterIrchelZZSND,9),))</f>
        <v>0</v>
      </c>
      <c r="M79" s="256" t="n">
        <f aca="false">IF(AND(T.50_Vetsuisse,M70&gt;24),ROUND(M73*T.50_VetsuisseZZSND,9), IF(AND(T.ServiceCenterIrchel,M69&gt;0,M77&gt;=ROUND(1/24*8,9)),ROUND(M77*T.ServiceCenterIrchelZZSND,9),))</f>
        <v>0</v>
      </c>
      <c r="N79" s="256" t="n">
        <f aca="false">IF(AND(T.50_Vetsuisse,N70&gt;24),ROUND(N73*T.50_VetsuisseZZSND,9), IF(AND(T.ServiceCenterIrchel,N69&gt;0,N77&gt;=ROUND(1/24*8,9)),ROUND(N77*T.ServiceCenterIrchelZZSND,9),))</f>
        <v>0</v>
      </c>
      <c r="O79" s="256" t="n">
        <f aca="false">IF(AND(T.50_Vetsuisse,O70&gt;24),ROUND(O73*T.50_VetsuisseZZSND,9), IF(AND(T.ServiceCenterIrchel,O69&gt;0,O77&gt;=ROUND(1/24*8,9)),ROUND(O77*T.ServiceCenterIrchelZZSND,9),))</f>
        <v>0</v>
      </c>
      <c r="P79" s="256" t="n">
        <f aca="false">IF(AND(T.50_Vetsuisse,P70&gt;24),ROUND(P73*T.50_VetsuisseZZSND,9), IF(AND(T.ServiceCenterIrchel,P69&gt;0,P77&gt;=ROUND(1/24*8,9)),ROUND(P77*T.ServiceCenterIrchelZZSND,9),))</f>
        <v>0</v>
      </c>
      <c r="Q79" s="256" t="n">
        <f aca="false">IF(AND(T.50_Vetsuisse,Q70&gt;24),ROUND(Q73*T.50_VetsuisseZZSND,9), IF(AND(T.ServiceCenterIrchel,Q69&gt;0,Q77&gt;=ROUND(1/24*8,9)),ROUND(Q77*T.ServiceCenterIrchelZZSND,9),))</f>
        <v>0</v>
      </c>
      <c r="R79" s="256" t="n">
        <f aca="false">IF(AND(T.50_Vetsuisse,R70&gt;24),ROUND(R73*T.50_VetsuisseZZSND,9), IF(AND(T.ServiceCenterIrchel,R69&gt;0,R77&gt;=ROUND(1/24*8,9)),ROUND(R77*T.ServiceCenterIrchelZZSND,9),))</f>
        <v>0</v>
      </c>
      <c r="S79" s="256" t="n">
        <f aca="false">IF(AND(T.50_Vetsuisse,S70&gt;24),ROUND(S73*T.50_VetsuisseZZSND,9), IF(AND(T.ServiceCenterIrchel,S69&gt;0,S77&gt;=ROUND(1/24*8,9)),ROUND(S77*T.ServiceCenterIrchelZZSND,9),))</f>
        <v>0</v>
      </c>
      <c r="T79" s="256" t="n">
        <f aca="false">IF(AND(T.50_Vetsuisse,T70&gt;24),ROUND(T73*T.50_VetsuisseZZSND,9), IF(AND(T.ServiceCenterIrchel,T69&gt;0,T77&gt;=ROUND(1/24*8,9)),ROUND(T77*T.ServiceCenterIrchelZZSND,9),))</f>
        <v>0</v>
      </c>
      <c r="U79" s="256" t="n">
        <f aca="false">IF(AND(T.50_Vetsuisse,U70&gt;24),ROUND(U73*T.50_VetsuisseZZSND,9), IF(AND(T.ServiceCenterIrchel,U69&gt;0,U77&gt;=ROUND(1/24*8,9)),ROUND(U77*T.ServiceCenterIrchelZZSND,9),))</f>
        <v>0</v>
      </c>
      <c r="V79" s="256" t="n">
        <f aca="false">IF(AND(T.50_Vetsuisse,V70&gt;24),ROUND(V73*T.50_VetsuisseZZSND,9), IF(AND(T.ServiceCenterIrchel,V69&gt;0,V77&gt;=ROUND(1/24*8,9)),ROUND(V77*T.ServiceCenterIrchelZZSND,9),))</f>
        <v>0</v>
      </c>
      <c r="W79" s="256" t="n">
        <f aca="false">IF(AND(T.50_Vetsuisse,W70&gt;24),ROUND(W73*T.50_VetsuisseZZSND,9), IF(AND(T.ServiceCenterIrchel,W69&gt;0,W77&gt;=ROUND(1/24*8,9)),ROUND(W77*T.ServiceCenterIrchelZZSND,9),))</f>
        <v>0</v>
      </c>
      <c r="X79" s="256" t="n">
        <f aca="false">IF(AND(T.50_Vetsuisse,X70&gt;24),ROUND(X73*T.50_VetsuisseZZSND,9), IF(AND(T.ServiceCenterIrchel,X69&gt;0,X77&gt;=ROUND(1/24*8,9)),ROUND(X77*T.ServiceCenterIrchelZZSND,9),))</f>
        <v>0</v>
      </c>
      <c r="Y79" s="256" t="n">
        <f aca="false">IF(AND(T.50_Vetsuisse,Y70&gt;24),ROUND(Y73*T.50_VetsuisseZZSND,9), IF(AND(T.ServiceCenterIrchel,Y69&gt;0,Y77&gt;=ROUND(1/24*8,9)),ROUND(Y77*T.ServiceCenterIrchelZZSND,9),))</f>
        <v>0</v>
      </c>
      <c r="Z79" s="256" t="n">
        <f aca="false">IF(AND(T.50_Vetsuisse,Z70&gt;24),ROUND(Z73*T.50_VetsuisseZZSND,9), IF(AND(T.ServiceCenterIrchel,Z69&gt;0,Z77&gt;=ROUND(1/24*8,9)),ROUND(Z77*T.ServiceCenterIrchelZZSND,9),))</f>
        <v>0</v>
      </c>
      <c r="AA79" s="256" t="n">
        <f aca="false">IF(AND(T.50_Vetsuisse,AA70&gt;24),ROUND(AA73*T.50_VetsuisseZZSND,9), IF(AND(T.ServiceCenterIrchel,AA69&gt;0,AA77&gt;=ROUND(1/24*8,9)),ROUND(AA77*T.ServiceCenterIrchelZZSND,9),))</f>
        <v>0</v>
      </c>
      <c r="AB79" s="256" t="n">
        <f aca="false">IF(AND(T.50_Vetsuisse,AB70&gt;24),ROUND(AB73*T.50_VetsuisseZZSND,9), IF(AND(T.ServiceCenterIrchel,AB69&gt;0,AB77&gt;=ROUND(1/24*8,9)),ROUND(AB77*T.ServiceCenterIrchelZZSND,9),))</f>
        <v>0</v>
      </c>
      <c r="AC79" s="256" t="n">
        <f aca="false">IF(AND(T.50_Vetsuisse,AC70&gt;24),ROUND(AC73*T.50_VetsuisseZZSND,9), IF(AND(T.ServiceCenterIrchel,AC69&gt;0,AC77&gt;=ROUND(1/24*8,9)),ROUND(AC77*T.ServiceCenterIrchelZZSND,9),))</f>
        <v>0</v>
      </c>
      <c r="AD79" s="256" t="n">
        <f aca="false">IF(AND(T.50_Vetsuisse,AD70&gt;24),ROUND(AD73*T.50_VetsuisseZZSND,9), IF(AND(T.ServiceCenterIrchel,AD69&gt;0,AD77&gt;=ROUND(1/24*8,9)),ROUND(AD77*T.ServiceCenterIrchelZZSND,9),))</f>
        <v>0</v>
      </c>
      <c r="AE79" s="256" t="n">
        <f aca="false">IF(AND(T.50_Vetsuisse,AE70&gt;24),ROUND(AE73*T.50_VetsuisseZZSND,9), IF(AND(T.ServiceCenterIrchel,AE69&gt;0,AE77&gt;=ROUND(1/24*8,9)),ROUND(AE77*T.ServiceCenterIrchelZZSND,9),))</f>
        <v>0</v>
      </c>
      <c r="AF79" s="256" t="n">
        <f aca="false">IF(AND(T.50_Vetsuisse,AF70&gt;24),ROUND(AF73*T.50_VetsuisseZZSND,9), IF(AND(T.ServiceCenterIrchel,AF69&gt;0,AF77&gt;=ROUND(1/24*8,9)),ROUND(AF77*T.ServiceCenterIrchelZZSND,9),))</f>
        <v>0</v>
      </c>
      <c r="AG79" s="168" t="str">
        <f aca="false">A79</f>
        <v>Time supplement night shift</v>
      </c>
      <c r="AH79" s="250"/>
      <c r="AI79" s="207" t="n">
        <f aca="false">SUM(B79:AF79)</f>
        <v>0</v>
      </c>
      <c r="AJ79" s="33"/>
      <c r="AK79" s="192"/>
      <c r="AL79" s="216" t="n">
        <f aca="false">IF(EB.Anwendung&lt;&gt;"",IF(MONTH(Monat.Tag1)=1,EB.ZZNd,IF(MONTH(Monat.Tag1)=2,January!Monat.ZZNdUe,IF(MONTH(Monat.Tag1)=3,February!Monat.ZZNdUe,IF(MONTH(Monat.Tag1)=4,March!Monat.ZZNdUe,IF(MONTH(Monat.Tag1)=5,April!Monat.ZZNdUe,IF(MONTH(Monat.Tag1)=6,May!Monat.ZZNdUe,IF(MONTH(Monat.Tag1)=7,June!Monat.ZZNdUe,IF(MONTH(Monat.Tag1)=8,Monat.ZZNdUe,IF(MONTH(Monat.Tag1)=9,August!Monat.ZZNdUe,IF(MONTH(Monat.Tag1)=10,September!Monat.ZZNdUe,IF(MONTH(Monat.Tag1)=11,October!Monat.ZZNdUe,IF(MONTH(Monat.Tag1)=12,November!Monat.ZZNdUe,"")))))))))))),"")</f>
        <v>0</v>
      </c>
      <c r="AM79" s="172"/>
      <c r="AN79" s="217" t="n">
        <f aca="false">AI79+AL79-AI71</f>
        <v>0</v>
      </c>
      <c r="AO79" s="217" t="n">
        <f aca="true">OFFSET(Jahr.ZZSNDSaldo,-13+MONTH(Monat.Tag1),0,1,1)</f>
        <v>0</v>
      </c>
      <c r="AP79" s="217" t="n">
        <f aca="false">Jahr.ZZSNDSaldo</f>
        <v>0</v>
      </c>
      <c r="AQ79" s="39"/>
    </row>
    <row r="80" s="148" customFormat="true" ht="15" hidden="true" customHeight="true" outlineLevel="1" collapsed="false">
      <c r="A80" s="175" t="s">
        <v>163</v>
      </c>
      <c r="B80" s="256" t="str">
        <f aca="false">IF(T.50_Vetsuisse,IF(OR(B$12=0,B$11=0,WEEKDAY(B$10,2)&gt;5),0,ROUND(MAX(0,T.Abendbis-MAX(B13,T.Abendab))-MAX(0,T.Abendbis-MAX(T.Abendab,B14))+(B13&gt;B14)*(1+T.Abendab-T.Abendbis)+MAX(0,T.Abendbis-MAX(B15,T.Abendab))-MAX(0,T.Abendbis-MAX(T.Abendab,B16))+(B15&gt;B16)*(1+T.Abendab-T.Abendbis)+MAX(0,T.Abendbis-MAX(B17,T.Abendab))-MAX(0,T.Abendbis-MAX(T.Abendab,B18))+(B17&gt;B18)*(1+T.Abendab-T.Abendbis)+MAX(0,T.Abendbis-MAX(B19,T.Abendab))-MAX(0,T.Abendbis-MAX(T.Abendab,B20))+(B19&gt;B20)*(1+T.Abendab-T.Abendbis)+MAX(0,T.Abendbis-MAX(B21,T.Abendab))-MAX(0,T.Abendbis-MAX(T.Abendab,B22))+(B21&gt;B22)*(1+T.Abendab-T.Abendbis),9)),"")</f>
        <v/>
      </c>
      <c r="C80" s="256" t="str">
        <f aca="false">IF(T.50_Vetsuisse,IF(OR(C$12=0,C$11=0,WEEKDAY(C$10,2)&gt;5),0,ROUND(MAX(0,T.Abendbis-MAX(C13,T.Abendab))-MAX(0,T.Abendbis-MAX(T.Abendab,C14))+(C13&gt;C14)*(1+T.Abendab-T.Abendbis)+MAX(0,T.Abendbis-MAX(C15,T.Abendab))-MAX(0,T.Abendbis-MAX(T.Abendab,C16))+(C15&gt;C16)*(1+T.Abendab-T.Abendbis)+MAX(0,T.Abendbis-MAX(C17,T.Abendab))-MAX(0,T.Abendbis-MAX(T.Abendab,C18))+(C17&gt;C18)*(1+T.Abendab-T.Abendbis)+MAX(0,T.Abendbis-MAX(C19,T.Abendab))-MAX(0,T.Abendbis-MAX(T.Abendab,C20))+(C19&gt;C20)*(1+T.Abendab-T.Abendbis)+MAX(0,T.Abendbis-MAX(C21,T.Abendab))-MAX(0,T.Abendbis-MAX(T.Abendab,C22))+(C21&gt;C22)*(1+T.Abendab-T.Abendbis),9)),"")</f>
        <v/>
      </c>
      <c r="D80" s="256" t="str">
        <f aca="false">IF(T.50_Vetsuisse,IF(OR(D$12=0,D$11=0,WEEKDAY(D$10,2)&gt;5),0,ROUND(MAX(0,T.Abendbis-MAX(D13,T.Abendab))-MAX(0,T.Abendbis-MAX(T.Abendab,D14))+(D13&gt;D14)*(1+T.Abendab-T.Abendbis)+MAX(0,T.Abendbis-MAX(D15,T.Abendab))-MAX(0,T.Abendbis-MAX(T.Abendab,D16))+(D15&gt;D16)*(1+T.Abendab-T.Abendbis)+MAX(0,T.Abendbis-MAX(D17,T.Abendab))-MAX(0,T.Abendbis-MAX(T.Abendab,D18))+(D17&gt;D18)*(1+T.Abendab-T.Abendbis)+MAX(0,T.Abendbis-MAX(D19,T.Abendab))-MAX(0,T.Abendbis-MAX(T.Abendab,D20))+(D19&gt;D20)*(1+T.Abendab-T.Abendbis)+MAX(0,T.Abendbis-MAX(D21,T.Abendab))-MAX(0,T.Abendbis-MAX(T.Abendab,D22))+(D21&gt;D22)*(1+T.Abendab-T.Abendbis),9)),"")</f>
        <v/>
      </c>
      <c r="E80" s="256" t="str">
        <f aca="false">IF(T.50_Vetsuisse,IF(OR(E$12=0,E$11=0,WEEKDAY(E$10,2)&gt;5),0,ROUND(MAX(0,T.Abendbis-MAX(E13,T.Abendab))-MAX(0,T.Abendbis-MAX(T.Abendab,E14))+(E13&gt;E14)*(1+T.Abendab-T.Abendbis)+MAX(0,T.Abendbis-MAX(E15,T.Abendab))-MAX(0,T.Abendbis-MAX(T.Abendab,E16))+(E15&gt;E16)*(1+T.Abendab-T.Abendbis)+MAX(0,T.Abendbis-MAX(E17,T.Abendab))-MAX(0,T.Abendbis-MAX(T.Abendab,E18))+(E17&gt;E18)*(1+T.Abendab-T.Abendbis)+MAX(0,T.Abendbis-MAX(E19,T.Abendab))-MAX(0,T.Abendbis-MAX(T.Abendab,E20))+(E19&gt;E20)*(1+T.Abendab-T.Abendbis)+MAX(0,T.Abendbis-MAX(E21,T.Abendab))-MAX(0,T.Abendbis-MAX(T.Abendab,E22))+(E21&gt;E22)*(1+T.Abendab-T.Abendbis),9)),"")</f>
        <v/>
      </c>
      <c r="F80" s="256" t="str">
        <f aca="false">IF(T.50_Vetsuisse,IF(OR(F$12=0,F$11=0,WEEKDAY(F$10,2)&gt;5),0,ROUND(MAX(0,T.Abendbis-MAX(F13,T.Abendab))-MAX(0,T.Abendbis-MAX(T.Abendab,F14))+(F13&gt;F14)*(1+T.Abendab-T.Abendbis)+MAX(0,T.Abendbis-MAX(F15,T.Abendab))-MAX(0,T.Abendbis-MAX(T.Abendab,F16))+(F15&gt;F16)*(1+T.Abendab-T.Abendbis)+MAX(0,T.Abendbis-MAX(F17,T.Abendab))-MAX(0,T.Abendbis-MAX(T.Abendab,F18))+(F17&gt;F18)*(1+T.Abendab-T.Abendbis)+MAX(0,T.Abendbis-MAX(F19,T.Abendab))-MAX(0,T.Abendbis-MAX(T.Abendab,F20))+(F19&gt;F20)*(1+T.Abendab-T.Abendbis)+MAX(0,T.Abendbis-MAX(F21,T.Abendab))-MAX(0,T.Abendbis-MAX(T.Abendab,F22))+(F21&gt;F22)*(1+T.Abendab-T.Abendbis),9)),"")</f>
        <v/>
      </c>
      <c r="G80" s="256" t="str">
        <f aca="false">IF(T.50_Vetsuisse,IF(OR(G$12=0,G$11=0,WEEKDAY(G$10,2)&gt;5),0,ROUND(MAX(0,T.Abendbis-MAX(G13,T.Abendab))-MAX(0,T.Abendbis-MAX(T.Abendab,G14))+(G13&gt;G14)*(1+T.Abendab-T.Abendbis)+MAX(0,T.Abendbis-MAX(G15,T.Abendab))-MAX(0,T.Abendbis-MAX(T.Abendab,G16))+(G15&gt;G16)*(1+T.Abendab-T.Abendbis)+MAX(0,T.Abendbis-MAX(G17,T.Abendab))-MAX(0,T.Abendbis-MAX(T.Abendab,G18))+(G17&gt;G18)*(1+T.Abendab-T.Abendbis)+MAX(0,T.Abendbis-MAX(G19,T.Abendab))-MAX(0,T.Abendbis-MAX(T.Abendab,G20))+(G19&gt;G20)*(1+T.Abendab-T.Abendbis)+MAX(0,T.Abendbis-MAX(G21,T.Abendab))-MAX(0,T.Abendbis-MAX(T.Abendab,G22))+(G21&gt;G22)*(1+T.Abendab-T.Abendbis),9)),"")</f>
        <v/>
      </c>
      <c r="H80" s="256" t="str">
        <f aca="false">IF(T.50_Vetsuisse,IF(OR(H$12=0,H$11=0,WEEKDAY(H$10,2)&gt;5),0,ROUND(MAX(0,T.Abendbis-MAX(H13,T.Abendab))-MAX(0,T.Abendbis-MAX(T.Abendab,H14))+(H13&gt;H14)*(1+T.Abendab-T.Abendbis)+MAX(0,T.Abendbis-MAX(H15,T.Abendab))-MAX(0,T.Abendbis-MAX(T.Abendab,H16))+(H15&gt;H16)*(1+T.Abendab-T.Abendbis)+MAX(0,T.Abendbis-MAX(H17,T.Abendab))-MAX(0,T.Abendbis-MAX(T.Abendab,H18))+(H17&gt;H18)*(1+T.Abendab-T.Abendbis)+MAX(0,T.Abendbis-MAX(H19,T.Abendab))-MAX(0,T.Abendbis-MAX(T.Abendab,H20))+(H19&gt;H20)*(1+T.Abendab-T.Abendbis)+MAX(0,T.Abendbis-MAX(H21,T.Abendab))-MAX(0,T.Abendbis-MAX(T.Abendab,H22))+(H21&gt;H22)*(1+T.Abendab-T.Abendbis),9)),"")</f>
        <v/>
      </c>
      <c r="I80" s="256" t="str">
        <f aca="false">IF(T.50_Vetsuisse,IF(OR(I$12=0,I$11=0,WEEKDAY(I$10,2)&gt;5),0,ROUND(MAX(0,T.Abendbis-MAX(I13,T.Abendab))-MAX(0,T.Abendbis-MAX(T.Abendab,I14))+(I13&gt;I14)*(1+T.Abendab-T.Abendbis)+MAX(0,T.Abendbis-MAX(I15,T.Abendab))-MAX(0,T.Abendbis-MAX(T.Abendab,I16))+(I15&gt;I16)*(1+T.Abendab-T.Abendbis)+MAX(0,T.Abendbis-MAX(I17,T.Abendab))-MAX(0,T.Abendbis-MAX(T.Abendab,I18))+(I17&gt;I18)*(1+T.Abendab-T.Abendbis)+MAX(0,T.Abendbis-MAX(I19,T.Abendab))-MAX(0,T.Abendbis-MAX(T.Abendab,I20))+(I19&gt;I20)*(1+T.Abendab-T.Abendbis)+MAX(0,T.Abendbis-MAX(I21,T.Abendab))-MAX(0,T.Abendbis-MAX(T.Abendab,I22))+(I21&gt;I22)*(1+T.Abendab-T.Abendbis),9)),"")</f>
        <v/>
      </c>
      <c r="J80" s="256" t="str">
        <f aca="false">IF(T.50_Vetsuisse,IF(OR(J$12=0,J$11=0,WEEKDAY(J$10,2)&gt;5),0,ROUND(MAX(0,T.Abendbis-MAX(J13,T.Abendab))-MAX(0,T.Abendbis-MAX(T.Abendab,J14))+(J13&gt;J14)*(1+T.Abendab-T.Abendbis)+MAX(0,T.Abendbis-MAX(J15,T.Abendab))-MAX(0,T.Abendbis-MAX(T.Abendab,J16))+(J15&gt;J16)*(1+T.Abendab-T.Abendbis)+MAX(0,T.Abendbis-MAX(J17,T.Abendab))-MAX(0,T.Abendbis-MAX(T.Abendab,J18))+(J17&gt;J18)*(1+T.Abendab-T.Abendbis)+MAX(0,T.Abendbis-MAX(J19,T.Abendab))-MAX(0,T.Abendbis-MAX(T.Abendab,J20))+(J19&gt;J20)*(1+T.Abendab-T.Abendbis)+MAX(0,T.Abendbis-MAX(J21,T.Abendab))-MAX(0,T.Abendbis-MAX(T.Abendab,J22))+(J21&gt;J22)*(1+T.Abendab-T.Abendbis),9)),"")</f>
        <v/>
      </c>
      <c r="K80" s="256" t="str">
        <f aca="false">IF(T.50_Vetsuisse,IF(OR(K$12=0,K$11=0,WEEKDAY(K$10,2)&gt;5),0,ROUND(MAX(0,T.Abendbis-MAX(K13,T.Abendab))-MAX(0,T.Abendbis-MAX(T.Abendab,K14))+(K13&gt;K14)*(1+T.Abendab-T.Abendbis)+MAX(0,T.Abendbis-MAX(K15,T.Abendab))-MAX(0,T.Abendbis-MAX(T.Abendab,K16))+(K15&gt;K16)*(1+T.Abendab-T.Abendbis)+MAX(0,T.Abendbis-MAX(K17,T.Abendab))-MAX(0,T.Abendbis-MAX(T.Abendab,K18))+(K17&gt;K18)*(1+T.Abendab-T.Abendbis)+MAX(0,T.Abendbis-MAX(K19,T.Abendab))-MAX(0,T.Abendbis-MAX(T.Abendab,K20))+(K19&gt;K20)*(1+T.Abendab-T.Abendbis)+MAX(0,T.Abendbis-MAX(K21,T.Abendab))-MAX(0,T.Abendbis-MAX(T.Abendab,K22))+(K21&gt;K22)*(1+T.Abendab-T.Abendbis),9)),"")</f>
        <v/>
      </c>
      <c r="L80" s="256" t="str">
        <f aca="false">IF(T.50_Vetsuisse,IF(OR(L$12=0,L$11=0,WEEKDAY(L$10,2)&gt;5),0,ROUND(MAX(0,T.Abendbis-MAX(L13,T.Abendab))-MAX(0,T.Abendbis-MAX(T.Abendab,L14))+(L13&gt;L14)*(1+T.Abendab-T.Abendbis)+MAX(0,T.Abendbis-MAX(L15,T.Abendab))-MAX(0,T.Abendbis-MAX(T.Abendab,L16))+(L15&gt;L16)*(1+T.Abendab-T.Abendbis)+MAX(0,T.Abendbis-MAX(L17,T.Abendab))-MAX(0,T.Abendbis-MAX(T.Abendab,L18))+(L17&gt;L18)*(1+T.Abendab-T.Abendbis)+MAX(0,T.Abendbis-MAX(L19,T.Abendab))-MAX(0,T.Abendbis-MAX(T.Abendab,L20))+(L19&gt;L20)*(1+T.Abendab-T.Abendbis)+MAX(0,T.Abendbis-MAX(L21,T.Abendab))-MAX(0,T.Abendbis-MAX(T.Abendab,L22))+(L21&gt;L22)*(1+T.Abendab-T.Abendbis),9)),"")</f>
        <v/>
      </c>
      <c r="M80" s="256" t="str">
        <f aca="false">IF(T.50_Vetsuisse,IF(OR(M$12=0,M$11=0,WEEKDAY(M$10,2)&gt;5),0,ROUND(MAX(0,T.Abendbis-MAX(M13,T.Abendab))-MAX(0,T.Abendbis-MAX(T.Abendab,M14))+(M13&gt;M14)*(1+T.Abendab-T.Abendbis)+MAX(0,T.Abendbis-MAX(M15,T.Abendab))-MAX(0,T.Abendbis-MAX(T.Abendab,M16))+(M15&gt;M16)*(1+T.Abendab-T.Abendbis)+MAX(0,T.Abendbis-MAX(M17,T.Abendab))-MAX(0,T.Abendbis-MAX(T.Abendab,M18))+(M17&gt;M18)*(1+T.Abendab-T.Abendbis)+MAX(0,T.Abendbis-MAX(M19,T.Abendab))-MAX(0,T.Abendbis-MAX(T.Abendab,M20))+(M19&gt;M20)*(1+T.Abendab-T.Abendbis)+MAX(0,T.Abendbis-MAX(M21,T.Abendab))-MAX(0,T.Abendbis-MAX(T.Abendab,M22))+(M21&gt;M22)*(1+T.Abendab-T.Abendbis),9)),"")</f>
        <v/>
      </c>
      <c r="N80" s="256" t="str">
        <f aca="false">IF(T.50_Vetsuisse,IF(OR(N$12=0,N$11=0,WEEKDAY(N$10,2)&gt;5),0,ROUND(MAX(0,T.Abendbis-MAX(N13,T.Abendab))-MAX(0,T.Abendbis-MAX(T.Abendab,N14))+(N13&gt;N14)*(1+T.Abendab-T.Abendbis)+MAX(0,T.Abendbis-MAX(N15,T.Abendab))-MAX(0,T.Abendbis-MAX(T.Abendab,N16))+(N15&gt;N16)*(1+T.Abendab-T.Abendbis)+MAX(0,T.Abendbis-MAX(N17,T.Abendab))-MAX(0,T.Abendbis-MAX(T.Abendab,N18))+(N17&gt;N18)*(1+T.Abendab-T.Abendbis)+MAX(0,T.Abendbis-MAX(N19,T.Abendab))-MAX(0,T.Abendbis-MAX(T.Abendab,N20))+(N19&gt;N20)*(1+T.Abendab-T.Abendbis)+MAX(0,T.Abendbis-MAX(N21,T.Abendab))-MAX(0,T.Abendbis-MAX(T.Abendab,N22))+(N21&gt;N22)*(1+T.Abendab-T.Abendbis),9)),"")</f>
        <v/>
      </c>
      <c r="O80" s="256" t="str">
        <f aca="false">IF(T.50_Vetsuisse,IF(OR(O$12=0,O$11=0,WEEKDAY(O$10,2)&gt;5),0,ROUND(MAX(0,T.Abendbis-MAX(O13,T.Abendab))-MAX(0,T.Abendbis-MAX(T.Abendab,O14))+(O13&gt;O14)*(1+T.Abendab-T.Abendbis)+MAX(0,T.Abendbis-MAX(O15,T.Abendab))-MAX(0,T.Abendbis-MAX(T.Abendab,O16))+(O15&gt;O16)*(1+T.Abendab-T.Abendbis)+MAX(0,T.Abendbis-MAX(O17,T.Abendab))-MAX(0,T.Abendbis-MAX(T.Abendab,O18))+(O17&gt;O18)*(1+T.Abendab-T.Abendbis)+MAX(0,T.Abendbis-MAX(O19,T.Abendab))-MAX(0,T.Abendbis-MAX(T.Abendab,O20))+(O19&gt;O20)*(1+T.Abendab-T.Abendbis)+MAX(0,T.Abendbis-MAX(O21,T.Abendab))-MAX(0,T.Abendbis-MAX(T.Abendab,O22))+(O21&gt;O22)*(1+T.Abendab-T.Abendbis),9)),"")</f>
        <v/>
      </c>
      <c r="P80" s="256" t="str">
        <f aca="false">IF(T.50_Vetsuisse,IF(OR(P$12=0,P$11=0,WEEKDAY(P$10,2)&gt;5),0,ROUND(MAX(0,T.Abendbis-MAX(P13,T.Abendab))-MAX(0,T.Abendbis-MAX(T.Abendab,P14))+(P13&gt;P14)*(1+T.Abendab-T.Abendbis)+MAX(0,T.Abendbis-MAX(P15,T.Abendab))-MAX(0,T.Abendbis-MAX(T.Abendab,P16))+(P15&gt;P16)*(1+T.Abendab-T.Abendbis)+MAX(0,T.Abendbis-MAX(P17,T.Abendab))-MAX(0,T.Abendbis-MAX(T.Abendab,P18))+(P17&gt;P18)*(1+T.Abendab-T.Abendbis)+MAX(0,T.Abendbis-MAX(P19,T.Abendab))-MAX(0,T.Abendbis-MAX(T.Abendab,P20))+(P19&gt;P20)*(1+T.Abendab-T.Abendbis)+MAX(0,T.Abendbis-MAX(P21,T.Abendab))-MAX(0,T.Abendbis-MAX(T.Abendab,P22))+(P21&gt;P22)*(1+T.Abendab-T.Abendbis),9)),"")</f>
        <v/>
      </c>
      <c r="Q80" s="256" t="str">
        <f aca="false">IF(T.50_Vetsuisse,IF(OR(Q$12=0,Q$11=0,WEEKDAY(Q$10,2)&gt;5),0,ROUND(MAX(0,T.Abendbis-MAX(Q13,T.Abendab))-MAX(0,T.Abendbis-MAX(T.Abendab,Q14))+(Q13&gt;Q14)*(1+T.Abendab-T.Abendbis)+MAX(0,T.Abendbis-MAX(Q15,T.Abendab))-MAX(0,T.Abendbis-MAX(T.Abendab,Q16))+(Q15&gt;Q16)*(1+T.Abendab-T.Abendbis)+MAX(0,T.Abendbis-MAX(Q17,T.Abendab))-MAX(0,T.Abendbis-MAX(T.Abendab,Q18))+(Q17&gt;Q18)*(1+T.Abendab-T.Abendbis)+MAX(0,T.Abendbis-MAX(Q19,T.Abendab))-MAX(0,T.Abendbis-MAX(T.Abendab,Q20))+(Q19&gt;Q20)*(1+T.Abendab-T.Abendbis)+MAX(0,T.Abendbis-MAX(Q21,T.Abendab))-MAX(0,T.Abendbis-MAX(T.Abendab,Q22))+(Q21&gt;Q22)*(1+T.Abendab-T.Abendbis),9)),"")</f>
        <v/>
      </c>
      <c r="R80" s="256" t="str">
        <f aca="false">IF(T.50_Vetsuisse,IF(OR(R$12=0,R$11=0,WEEKDAY(R$10,2)&gt;5),0,ROUND(MAX(0,T.Abendbis-MAX(R13,T.Abendab))-MAX(0,T.Abendbis-MAX(T.Abendab,R14))+(R13&gt;R14)*(1+T.Abendab-T.Abendbis)+MAX(0,T.Abendbis-MAX(R15,T.Abendab))-MAX(0,T.Abendbis-MAX(T.Abendab,R16))+(R15&gt;R16)*(1+T.Abendab-T.Abendbis)+MAX(0,T.Abendbis-MAX(R17,T.Abendab))-MAX(0,T.Abendbis-MAX(T.Abendab,R18))+(R17&gt;R18)*(1+T.Abendab-T.Abendbis)+MAX(0,T.Abendbis-MAX(R19,T.Abendab))-MAX(0,T.Abendbis-MAX(T.Abendab,R20))+(R19&gt;R20)*(1+T.Abendab-T.Abendbis)+MAX(0,T.Abendbis-MAX(R21,T.Abendab))-MAX(0,T.Abendbis-MAX(T.Abendab,R22))+(R21&gt;R22)*(1+T.Abendab-T.Abendbis),9)),"")</f>
        <v/>
      </c>
      <c r="S80" s="256" t="str">
        <f aca="false">IF(T.50_Vetsuisse,IF(OR(S$12=0,S$11=0,WEEKDAY(S$10,2)&gt;5),0,ROUND(MAX(0,T.Abendbis-MAX(S13,T.Abendab))-MAX(0,T.Abendbis-MAX(T.Abendab,S14))+(S13&gt;S14)*(1+T.Abendab-T.Abendbis)+MAX(0,T.Abendbis-MAX(S15,T.Abendab))-MAX(0,T.Abendbis-MAX(T.Abendab,S16))+(S15&gt;S16)*(1+T.Abendab-T.Abendbis)+MAX(0,T.Abendbis-MAX(S17,T.Abendab))-MAX(0,T.Abendbis-MAX(T.Abendab,S18))+(S17&gt;S18)*(1+T.Abendab-T.Abendbis)+MAX(0,T.Abendbis-MAX(S19,T.Abendab))-MAX(0,T.Abendbis-MAX(T.Abendab,S20))+(S19&gt;S20)*(1+T.Abendab-T.Abendbis)+MAX(0,T.Abendbis-MAX(S21,T.Abendab))-MAX(0,T.Abendbis-MAX(T.Abendab,S22))+(S21&gt;S22)*(1+T.Abendab-T.Abendbis),9)),"")</f>
        <v/>
      </c>
      <c r="T80" s="256" t="str">
        <f aca="false">IF(T.50_Vetsuisse,IF(OR(T$12=0,T$11=0,WEEKDAY(T$10,2)&gt;5),0,ROUND(MAX(0,T.Abendbis-MAX(T13,T.Abendab))-MAX(0,T.Abendbis-MAX(T.Abendab,T14))+(T13&gt;T14)*(1+T.Abendab-T.Abendbis)+MAX(0,T.Abendbis-MAX(T15,T.Abendab))-MAX(0,T.Abendbis-MAX(T.Abendab,T16))+(T15&gt;T16)*(1+T.Abendab-T.Abendbis)+MAX(0,T.Abendbis-MAX(T17,T.Abendab))-MAX(0,T.Abendbis-MAX(T.Abendab,T18))+(T17&gt;T18)*(1+T.Abendab-T.Abendbis)+MAX(0,T.Abendbis-MAX(T19,T.Abendab))-MAX(0,T.Abendbis-MAX(T.Abendab,T20))+(T19&gt;T20)*(1+T.Abendab-T.Abendbis)+MAX(0,T.Abendbis-MAX(T21,T.Abendab))-MAX(0,T.Abendbis-MAX(T.Abendab,T22))+(T21&gt;T22)*(1+T.Abendab-T.Abendbis),9)),"")</f>
        <v/>
      </c>
      <c r="U80" s="256" t="str">
        <f aca="false">IF(T.50_Vetsuisse,IF(OR(U$12=0,U$11=0,WEEKDAY(U$10,2)&gt;5),0,ROUND(MAX(0,T.Abendbis-MAX(U13,T.Abendab))-MAX(0,T.Abendbis-MAX(T.Abendab,U14))+(U13&gt;U14)*(1+T.Abendab-T.Abendbis)+MAX(0,T.Abendbis-MAX(U15,T.Abendab))-MAX(0,T.Abendbis-MAX(T.Abendab,U16))+(U15&gt;U16)*(1+T.Abendab-T.Abendbis)+MAX(0,T.Abendbis-MAX(U17,T.Abendab))-MAX(0,T.Abendbis-MAX(T.Abendab,U18))+(U17&gt;U18)*(1+T.Abendab-T.Abendbis)+MAX(0,T.Abendbis-MAX(U19,T.Abendab))-MAX(0,T.Abendbis-MAX(T.Abendab,U20))+(U19&gt;U20)*(1+T.Abendab-T.Abendbis)+MAX(0,T.Abendbis-MAX(U21,T.Abendab))-MAX(0,T.Abendbis-MAX(T.Abendab,U22))+(U21&gt;U22)*(1+T.Abendab-T.Abendbis),9)),"")</f>
        <v/>
      </c>
      <c r="V80" s="256" t="str">
        <f aca="false">IF(T.50_Vetsuisse,IF(OR(V$12=0,V$11=0,WEEKDAY(V$10,2)&gt;5),0,ROUND(MAX(0,T.Abendbis-MAX(V13,T.Abendab))-MAX(0,T.Abendbis-MAX(T.Abendab,V14))+(V13&gt;V14)*(1+T.Abendab-T.Abendbis)+MAX(0,T.Abendbis-MAX(V15,T.Abendab))-MAX(0,T.Abendbis-MAX(T.Abendab,V16))+(V15&gt;V16)*(1+T.Abendab-T.Abendbis)+MAX(0,T.Abendbis-MAX(V17,T.Abendab))-MAX(0,T.Abendbis-MAX(T.Abendab,V18))+(V17&gt;V18)*(1+T.Abendab-T.Abendbis)+MAX(0,T.Abendbis-MAX(V19,T.Abendab))-MAX(0,T.Abendbis-MAX(T.Abendab,V20))+(V19&gt;V20)*(1+T.Abendab-T.Abendbis)+MAX(0,T.Abendbis-MAX(V21,T.Abendab))-MAX(0,T.Abendbis-MAX(T.Abendab,V22))+(V21&gt;V22)*(1+T.Abendab-T.Abendbis),9)),"")</f>
        <v/>
      </c>
      <c r="W80" s="256" t="str">
        <f aca="false">IF(T.50_Vetsuisse,IF(OR(W$12=0,W$11=0,WEEKDAY(W$10,2)&gt;5),0,ROUND(MAX(0,T.Abendbis-MAX(W13,T.Abendab))-MAX(0,T.Abendbis-MAX(T.Abendab,W14))+(W13&gt;W14)*(1+T.Abendab-T.Abendbis)+MAX(0,T.Abendbis-MAX(W15,T.Abendab))-MAX(0,T.Abendbis-MAX(T.Abendab,W16))+(W15&gt;W16)*(1+T.Abendab-T.Abendbis)+MAX(0,T.Abendbis-MAX(W17,T.Abendab))-MAX(0,T.Abendbis-MAX(T.Abendab,W18))+(W17&gt;W18)*(1+T.Abendab-T.Abendbis)+MAX(0,T.Abendbis-MAX(W19,T.Abendab))-MAX(0,T.Abendbis-MAX(T.Abendab,W20))+(W19&gt;W20)*(1+T.Abendab-T.Abendbis)+MAX(0,T.Abendbis-MAX(W21,T.Abendab))-MAX(0,T.Abendbis-MAX(T.Abendab,W22))+(W21&gt;W22)*(1+T.Abendab-T.Abendbis),9)),"")</f>
        <v/>
      </c>
      <c r="X80" s="256" t="str">
        <f aca="false">IF(T.50_Vetsuisse,IF(OR(X$12=0,X$11=0,WEEKDAY(X$10,2)&gt;5),0,ROUND(MAX(0,T.Abendbis-MAX(X13,T.Abendab))-MAX(0,T.Abendbis-MAX(T.Abendab,X14))+(X13&gt;X14)*(1+T.Abendab-T.Abendbis)+MAX(0,T.Abendbis-MAX(X15,T.Abendab))-MAX(0,T.Abendbis-MAX(T.Abendab,X16))+(X15&gt;X16)*(1+T.Abendab-T.Abendbis)+MAX(0,T.Abendbis-MAX(X17,T.Abendab))-MAX(0,T.Abendbis-MAX(T.Abendab,X18))+(X17&gt;X18)*(1+T.Abendab-T.Abendbis)+MAX(0,T.Abendbis-MAX(X19,T.Abendab))-MAX(0,T.Abendbis-MAX(T.Abendab,X20))+(X19&gt;X20)*(1+T.Abendab-T.Abendbis)+MAX(0,T.Abendbis-MAX(X21,T.Abendab))-MAX(0,T.Abendbis-MAX(T.Abendab,X22))+(X21&gt;X22)*(1+T.Abendab-T.Abendbis),9)),"")</f>
        <v/>
      </c>
      <c r="Y80" s="256" t="str">
        <f aca="false">IF(T.50_Vetsuisse,IF(OR(Y$12=0,Y$11=0,WEEKDAY(Y$10,2)&gt;5),0,ROUND(MAX(0,T.Abendbis-MAX(Y13,T.Abendab))-MAX(0,T.Abendbis-MAX(T.Abendab,Y14))+(Y13&gt;Y14)*(1+T.Abendab-T.Abendbis)+MAX(0,T.Abendbis-MAX(Y15,T.Abendab))-MAX(0,T.Abendbis-MAX(T.Abendab,Y16))+(Y15&gt;Y16)*(1+T.Abendab-T.Abendbis)+MAX(0,T.Abendbis-MAX(Y17,T.Abendab))-MAX(0,T.Abendbis-MAX(T.Abendab,Y18))+(Y17&gt;Y18)*(1+T.Abendab-T.Abendbis)+MAX(0,T.Abendbis-MAX(Y19,T.Abendab))-MAX(0,T.Abendbis-MAX(T.Abendab,Y20))+(Y19&gt;Y20)*(1+T.Abendab-T.Abendbis)+MAX(0,T.Abendbis-MAX(Y21,T.Abendab))-MAX(0,T.Abendbis-MAX(T.Abendab,Y22))+(Y21&gt;Y22)*(1+T.Abendab-T.Abendbis),9)),"")</f>
        <v/>
      </c>
      <c r="Z80" s="256" t="str">
        <f aca="false">IF(T.50_Vetsuisse,IF(OR(Z$12=0,Z$11=0,WEEKDAY(Z$10,2)&gt;5),0,ROUND(MAX(0,T.Abendbis-MAX(Z13,T.Abendab))-MAX(0,T.Abendbis-MAX(T.Abendab,Z14))+(Z13&gt;Z14)*(1+T.Abendab-T.Abendbis)+MAX(0,T.Abendbis-MAX(Z15,T.Abendab))-MAX(0,T.Abendbis-MAX(T.Abendab,Z16))+(Z15&gt;Z16)*(1+T.Abendab-T.Abendbis)+MAX(0,T.Abendbis-MAX(Z17,T.Abendab))-MAX(0,T.Abendbis-MAX(T.Abendab,Z18))+(Z17&gt;Z18)*(1+T.Abendab-T.Abendbis)+MAX(0,T.Abendbis-MAX(Z19,T.Abendab))-MAX(0,T.Abendbis-MAX(T.Abendab,Z20))+(Z19&gt;Z20)*(1+T.Abendab-T.Abendbis)+MAX(0,T.Abendbis-MAX(Z21,T.Abendab))-MAX(0,T.Abendbis-MAX(T.Abendab,Z22))+(Z21&gt;Z22)*(1+T.Abendab-T.Abendbis),9)),"")</f>
        <v/>
      </c>
      <c r="AA80" s="256" t="str">
        <f aca="false">IF(T.50_Vetsuisse,IF(OR(AA$12=0,AA$11=0,WEEKDAY(AA$10,2)&gt;5),0,ROUND(MAX(0,T.Abendbis-MAX(AA13,T.Abendab))-MAX(0,T.Abendbis-MAX(T.Abendab,AA14))+(AA13&gt;AA14)*(1+T.Abendab-T.Abendbis)+MAX(0,T.Abendbis-MAX(AA15,T.Abendab))-MAX(0,T.Abendbis-MAX(T.Abendab,AA16))+(AA15&gt;AA16)*(1+T.Abendab-T.Abendbis)+MAX(0,T.Abendbis-MAX(AA17,T.Abendab))-MAX(0,T.Abendbis-MAX(T.Abendab,AA18))+(AA17&gt;AA18)*(1+T.Abendab-T.Abendbis)+MAX(0,T.Abendbis-MAX(AA19,T.Abendab))-MAX(0,T.Abendbis-MAX(T.Abendab,AA20))+(AA19&gt;AA20)*(1+T.Abendab-T.Abendbis)+MAX(0,T.Abendbis-MAX(AA21,T.Abendab))-MAX(0,T.Abendbis-MAX(T.Abendab,AA22))+(AA21&gt;AA22)*(1+T.Abendab-T.Abendbis),9)),"")</f>
        <v/>
      </c>
      <c r="AB80" s="256" t="str">
        <f aca="false">IF(T.50_Vetsuisse,IF(OR(AB$12=0,AB$11=0,WEEKDAY(AB$10,2)&gt;5),0,ROUND(MAX(0,T.Abendbis-MAX(AB13,T.Abendab))-MAX(0,T.Abendbis-MAX(T.Abendab,AB14))+(AB13&gt;AB14)*(1+T.Abendab-T.Abendbis)+MAX(0,T.Abendbis-MAX(AB15,T.Abendab))-MAX(0,T.Abendbis-MAX(T.Abendab,AB16))+(AB15&gt;AB16)*(1+T.Abendab-T.Abendbis)+MAX(0,T.Abendbis-MAX(AB17,T.Abendab))-MAX(0,T.Abendbis-MAX(T.Abendab,AB18))+(AB17&gt;AB18)*(1+T.Abendab-T.Abendbis)+MAX(0,T.Abendbis-MAX(AB19,T.Abendab))-MAX(0,T.Abendbis-MAX(T.Abendab,AB20))+(AB19&gt;AB20)*(1+T.Abendab-T.Abendbis)+MAX(0,T.Abendbis-MAX(AB21,T.Abendab))-MAX(0,T.Abendbis-MAX(T.Abendab,AB22))+(AB21&gt;AB22)*(1+T.Abendab-T.Abendbis),9)),"")</f>
        <v/>
      </c>
      <c r="AC80" s="256" t="str">
        <f aca="false">IF(T.50_Vetsuisse,IF(OR(AC$12=0,AC$11=0,WEEKDAY(AC$10,2)&gt;5),0,ROUND(MAX(0,T.Abendbis-MAX(AC13,T.Abendab))-MAX(0,T.Abendbis-MAX(T.Abendab,AC14))+(AC13&gt;AC14)*(1+T.Abendab-T.Abendbis)+MAX(0,T.Abendbis-MAX(AC15,T.Abendab))-MAX(0,T.Abendbis-MAX(T.Abendab,AC16))+(AC15&gt;AC16)*(1+T.Abendab-T.Abendbis)+MAX(0,T.Abendbis-MAX(AC17,T.Abendab))-MAX(0,T.Abendbis-MAX(T.Abendab,AC18))+(AC17&gt;AC18)*(1+T.Abendab-T.Abendbis)+MAX(0,T.Abendbis-MAX(AC19,T.Abendab))-MAX(0,T.Abendbis-MAX(T.Abendab,AC20))+(AC19&gt;AC20)*(1+T.Abendab-T.Abendbis)+MAX(0,T.Abendbis-MAX(AC21,T.Abendab))-MAX(0,T.Abendbis-MAX(T.Abendab,AC22))+(AC21&gt;AC22)*(1+T.Abendab-T.Abendbis),9)),"")</f>
        <v/>
      </c>
      <c r="AD80" s="256" t="str">
        <f aca="false">IF(T.50_Vetsuisse,IF(OR(AD$12=0,AD$11=0,WEEKDAY(AD$10,2)&gt;5),0,ROUND(MAX(0,T.Abendbis-MAX(AD13,T.Abendab))-MAX(0,T.Abendbis-MAX(T.Abendab,AD14))+(AD13&gt;AD14)*(1+T.Abendab-T.Abendbis)+MAX(0,T.Abendbis-MAX(AD15,T.Abendab))-MAX(0,T.Abendbis-MAX(T.Abendab,AD16))+(AD15&gt;AD16)*(1+T.Abendab-T.Abendbis)+MAX(0,T.Abendbis-MAX(AD17,T.Abendab))-MAX(0,T.Abendbis-MAX(T.Abendab,AD18))+(AD17&gt;AD18)*(1+T.Abendab-T.Abendbis)+MAX(0,T.Abendbis-MAX(AD19,T.Abendab))-MAX(0,T.Abendbis-MAX(T.Abendab,AD20))+(AD19&gt;AD20)*(1+T.Abendab-T.Abendbis)+MAX(0,T.Abendbis-MAX(AD21,T.Abendab))-MAX(0,T.Abendbis-MAX(T.Abendab,AD22))+(AD21&gt;AD22)*(1+T.Abendab-T.Abendbis),9)),"")</f>
        <v/>
      </c>
      <c r="AE80" s="256" t="str">
        <f aca="false">IF(T.50_Vetsuisse,IF(OR(AE$12=0,AE$11=0,WEEKDAY(AE$10,2)&gt;5),0,ROUND(MAX(0,T.Abendbis-MAX(AE13,T.Abendab))-MAX(0,T.Abendbis-MAX(T.Abendab,AE14))+(AE13&gt;AE14)*(1+T.Abendab-T.Abendbis)+MAX(0,T.Abendbis-MAX(AE15,T.Abendab))-MAX(0,T.Abendbis-MAX(T.Abendab,AE16))+(AE15&gt;AE16)*(1+T.Abendab-T.Abendbis)+MAX(0,T.Abendbis-MAX(AE17,T.Abendab))-MAX(0,T.Abendbis-MAX(T.Abendab,AE18))+(AE17&gt;AE18)*(1+T.Abendab-T.Abendbis)+MAX(0,T.Abendbis-MAX(AE19,T.Abendab))-MAX(0,T.Abendbis-MAX(T.Abendab,AE20))+(AE19&gt;AE20)*(1+T.Abendab-T.Abendbis)+MAX(0,T.Abendbis-MAX(AE21,T.Abendab))-MAX(0,T.Abendbis-MAX(T.Abendab,AE22))+(AE21&gt;AE22)*(1+T.Abendab-T.Abendbis),9)),"")</f>
        <v/>
      </c>
      <c r="AF80" s="256" t="str">
        <f aca="false">IF(T.50_Vetsuisse,IF(OR(AF$12=0,AF$11=0,WEEKDAY(AF$10,2)&gt;5),0,ROUND(MAX(0,T.Abendbis-MAX(AF13,T.Abendab))-MAX(0,T.Abendbis-MAX(T.Abendab,AF14))+(AF13&gt;AF14)*(1+T.Abendab-T.Abendbis)+MAX(0,T.Abendbis-MAX(AF15,T.Abendab))-MAX(0,T.Abendbis-MAX(T.Abendab,AF16))+(AF15&gt;AF16)*(1+T.Abendab-T.Abendbis)+MAX(0,T.Abendbis-MAX(AF17,T.Abendab))-MAX(0,T.Abendbis-MAX(T.Abendab,AF18))+(AF17&gt;AF18)*(1+T.Abendab-T.Abendbis)+MAX(0,T.Abendbis-MAX(AF19,T.Abendab))-MAX(0,T.Abendbis-MAX(T.Abendab,AF20))+(AF19&gt;AF20)*(1+T.Abendab-T.Abendbis)+MAX(0,T.Abendbis-MAX(AF21,T.Abendab))-MAX(0,T.Abendbis-MAX(T.Abendab,AF22))+(AF21&gt;AF22)*(1+T.Abendab-T.Abendbis),9)),"")</f>
        <v/>
      </c>
      <c r="AG80" s="168" t="str">
        <f aca="false">A80</f>
        <v>Evening work</v>
      </c>
      <c r="AH80" s="250"/>
      <c r="AI80" s="207" t="n">
        <f aca="false">SUM(B80:AF80)</f>
        <v>0</v>
      </c>
      <c r="AJ80" s="33"/>
      <c r="AK80" s="192"/>
      <c r="AL80" s="216" t="n">
        <f aca="false">IF(EB.Anwendung&lt;&gt;"",IF(MONTH(Monat.Tag1)=1,0,IF(MONTH(Monat.Tag1)=2,January!Monat.AAUeVM,IF(MONTH(Monat.Tag1)=3,February!Monat.AAUeVM,IF(MONTH(Monat.Tag1)=4,March!Monat.AAUeVM,IF(MONTH(Monat.Tag1)=5,April!Monat.AAUeVM,IF(MONTH(Monat.Tag1)=6,May!Monat.AAUeVM,IF(MONTH(Monat.Tag1)=7,June!Monat.AAUeVM,IF(MONTH(Monat.Tag1)=8,Monat.AAUeVM,IF(MONTH(Monat.Tag1)=9,August!Monat.AAUeVM,IF(MONTH(Monat.Tag1)=10,September!Monat.AAUeVM,IF(MONTH(Monat.Tag1)=11,October!Monat.AAUeVM,IF(MONTH(Monat.Tag1)=12,November!Monat.AAUeVM,"")))))))))))),"")</f>
        <v>0</v>
      </c>
      <c r="AM80" s="172"/>
      <c r="AN80" s="217" t="n">
        <f aca="false">AI80+AL80</f>
        <v>0</v>
      </c>
      <c r="AO80" s="171"/>
      <c r="AP80" s="171"/>
      <c r="AQ80" s="39"/>
    </row>
    <row r="81" s="148" customFormat="true" ht="15" hidden="false" customHeight="true" outlineLevel="1" collapsed="false">
      <c r="A81" s="175" t="s">
        <v>164</v>
      </c>
      <c r="B81" s="256" t="n">
        <f aca="true">IF(EB.Wochenarbeitszeit=50/24,"",IF(B$12=0,0,IF(OR(WEEKDAY(B$10,2)&gt;5,B$11=0),IF(NOT(B$34=INDEX(T.Pikett.Bereich,1)),1,0),IF(WEEKDAY(B$10,2)&lt;6,IF(AND(OR(B$34=INDEX(T.Pikett.Bereich,2),B$34=INDEX(T.Pikett.Bereich,3)),B$11=1),8/24,0))+IF(WEEKDAY(B$10,2)&lt;6,IF(AND(OR(B$34=INDEX(T.Pikett.Bereich,2),B$34=INDEX(T.Pikett.Bereich,3)),B$11=6/8.4),10/24,0)) +IF(WEEKDAY(B$10,2)&lt;6,IF(AND(OR(B$34=INDEX(T.Pikett.Bereich,2),B$34=INDEX(T.Pikett.Bereich,3)),B$11=0.5),0.5,0)) +IF(AND(B$34=INDEX(T.Pikett.Bereich,4),B$11=6/8.4),0.75,0)+IF(AND(B$34=INDEX(T.Pikett.Bereich,4),B$11=1),16/24,0) +IF(AND(B$34=INDEX(T.Pikett.Bereich,4),B$11=0.5),20/24,0))))</f>
        <v>0</v>
      </c>
      <c r="C81" s="256" t="n">
        <f aca="true">IF(EB.Wochenarbeitszeit=50/24,"",IF(C$12=0,0,IF(OR(WEEKDAY(C$10,2)&gt;5,C$11=0),IF(NOT(C$34=INDEX(T.Pikett.Bereich,1)),1,0),IF(WEEKDAY(C$10,2)&lt;6,IF(AND(OR(C$34=INDEX(T.Pikett.Bereich,2),C$34=INDEX(T.Pikett.Bereich,3)),C$11=1),8/24,0))+IF(WEEKDAY(C$10,2)&lt;6,IF(AND(OR(C$34=INDEX(T.Pikett.Bereich,2),C$34=INDEX(T.Pikett.Bereich,3)),C$11=6/8.4),10/24,0)) +IF(WEEKDAY(C$10,2)&lt;6,IF(AND(OR(C$34=INDEX(T.Pikett.Bereich,2),C$34=INDEX(T.Pikett.Bereich,3)),C$11=0.5),0.5,0)) +IF(AND(C$34=INDEX(T.Pikett.Bereich,4),C$11=6/8.4),0.75,0)+IF(AND(C$34=INDEX(T.Pikett.Bereich,4),C$11=1),16/24,0) +IF(AND(C$34=INDEX(T.Pikett.Bereich,4),C$11=0.5),20/24,0))))</f>
        <v>0</v>
      </c>
      <c r="D81" s="256" t="n">
        <f aca="true">IF(EB.Wochenarbeitszeit=50/24,"",IF(D$12=0,0,IF(OR(WEEKDAY(D$10,2)&gt;5,D$11=0),IF(NOT(D$34=INDEX(T.Pikett.Bereich,1)),1,0),IF(WEEKDAY(D$10,2)&lt;6,IF(AND(OR(D$34=INDEX(T.Pikett.Bereich,2),D$34=INDEX(T.Pikett.Bereich,3)),D$11=1),8/24,0))+IF(WEEKDAY(D$10,2)&lt;6,IF(AND(OR(D$34=INDEX(T.Pikett.Bereich,2),D$34=INDEX(T.Pikett.Bereich,3)),D$11=6/8.4),10/24,0)) +IF(WEEKDAY(D$10,2)&lt;6,IF(AND(OR(D$34=INDEX(T.Pikett.Bereich,2),D$34=INDEX(T.Pikett.Bereich,3)),D$11=0.5),0.5,0)) +IF(AND(D$34=INDEX(T.Pikett.Bereich,4),D$11=6/8.4),0.75,0)+IF(AND(D$34=INDEX(T.Pikett.Bereich,4),D$11=1),16/24,0) +IF(AND(D$34=INDEX(T.Pikett.Bereich,4),D$11=0.5),20/24,0))))</f>
        <v>0</v>
      </c>
      <c r="E81" s="256" t="n">
        <f aca="true">IF(EB.Wochenarbeitszeit=50/24,"",IF(E$12=0,0,IF(OR(WEEKDAY(E$10,2)&gt;5,E$11=0),IF(NOT(E$34=INDEX(T.Pikett.Bereich,1)),1,0),IF(WEEKDAY(E$10,2)&lt;6,IF(AND(OR(E$34=INDEX(T.Pikett.Bereich,2),E$34=INDEX(T.Pikett.Bereich,3)),E$11=1),8/24,0))+IF(WEEKDAY(E$10,2)&lt;6,IF(AND(OR(E$34=INDEX(T.Pikett.Bereich,2),E$34=INDEX(T.Pikett.Bereich,3)),E$11=6/8.4),10/24,0)) +IF(WEEKDAY(E$10,2)&lt;6,IF(AND(OR(E$34=INDEX(T.Pikett.Bereich,2),E$34=INDEX(T.Pikett.Bereich,3)),E$11=0.5),0.5,0)) +IF(AND(E$34=INDEX(T.Pikett.Bereich,4),E$11=6/8.4),0.75,0)+IF(AND(E$34=INDEX(T.Pikett.Bereich,4),E$11=1),16/24,0) +IF(AND(E$34=INDEX(T.Pikett.Bereich,4),E$11=0.5),20/24,0))))</f>
        <v>0</v>
      </c>
      <c r="F81" s="256" t="n">
        <f aca="true">IF(EB.Wochenarbeitszeit=50/24,"",IF(F$12=0,0,IF(OR(WEEKDAY(F$10,2)&gt;5,F$11=0),IF(NOT(F$34=INDEX(T.Pikett.Bereich,1)),1,0),IF(WEEKDAY(F$10,2)&lt;6,IF(AND(OR(F$34=INDEX(T.Pikett.Bereich,2),F$34=INDEX(T.Pikett.Bereich,3)),F$11=1),8/24,0))+IF(WEEKDAY(F$10,2)&lt;6,IF(AND(OR(F$34=INDEX(T.Pikett.Bereich,2),F$34=INDEX(T.Pikett.Bereich,3)),F$11=6/8.4),10/24,0)) +IF(WEEKDAY(F$10,2)&lt;6,IF(AND(OR(F$34=INDEX(T.Pikett.Bereich,2),F$34=INDEX(T.Pikett.Bereich,3)),F$11=0.5),0.5,0)) +IF(AND(F$34=INDEX(T.Pikett.Bereich,4),F$11=6/8.4),0.75,0)+IF(AND(F$34=INDEX(T.Pikett.Bereich,4),F$11=1),16/24,0) +IF(AND(F$34=INDEX(T.Pikett.Bereich,4),F$11=0.5),20/24,0))))</f>
        <v>0</v>
      </c>
      <c r="G81" s="256" t="n">
        <f aca="true">IF(EB.Wochenarbeitszeit=50/24,"",IF(G$12=0,0,IF(OR(WEEKDAY(G$10,2)&gt;5,G$11=0),IF(NOT(G$34=INDEX(T.Pikett.Bereich,1)),1,0),IF(WEEKDAY(G$10,2)&lt;6,IF(AND(OR(G$34=INDEX(T.Pikett.Bereich,2),G$34=INDEX(T.Pikett.Bereich,3)),G$11=1),8/24,0))+IF(WEEKDAY(G$10,2)&lt;6,IF(AND(OR(G$34=INDEX(T.Pikett.Bereich,2),G$34=INDEX(T.Pikett.Bereich,3)),G$11=6/8.4),10/24,0)) +IF(WEEKDAY(G$10,2)&lt;6,IF(AND(OR(G$34=INDEX(T.Pikett.Bereich,2),G$34=INDEX(T.Pikett.Bereich,3)),G$11=0.5),0.5,0)) +IF(AND(G$34=INDEX(T.Pikett.Bereich,4),G$11=6/8.4),0.75,0)+IF(AND(G$34=INDEX(T.Pikett.Bereich,4),G$11=1),16/24,0) +IF(AND(G$34=INDEX(T.Pikett.Bereich,4),G$11=0.5),20/24,0))))</f>
        <v>0</v>
      </c>
      <c r="H81" s="256" t="n">
        <f aca="true">IF(EB.Wochenarbeitszeit=50/24,"",IF(H$12=0,0,IF(OR(WEEKDAY(H$10,2)&gt;5,H$11=0),IF(NOT(H$34=INDEX(T.Pikett.Bereich,1)),1,0),IF(WEEKDAY(H$10,2)&lt;6,IF(AND(OR(H$34=INDEX(T.Pikett.Bereich,2),H$34=INDEX(T.Pikett.Bereich,3)),H$11=1),8/24,0))+IF(WEEKDAY(H$10,2)&lt;6,IF(AND(OR(H$34=INDEX(T.Pikett.Bereich,2),H$34=INDEX(T.Pikett.Bereich,3)),H$11=6/8.4),10/24,0)) +IF(WEEKDAY(H$10,2)&lt;6,IF(AND(OR(H$34=INDEX(T.Pikett.Bereich,2),H$34=INDEX(T.Pikett.Bereich,3)),H$11=0.5),0.5,0)) +IF(AND(H$34=INDEX(T.Pikett.Bereich,4),H$11=6/8.4),0.75,0)+IF(AND(H$34=INDEX(T.Pikett.Bereich,4),H$11=1),16/24,0) +IF(AND(H$34=INDEX(T.Pikett.Bereich,4),H$11=0.5),20/24,0))))</f>
        <v>0</v>
      </c>
      <c r="I81" s="256" t="n">
        <f aca="true">IF(EB.Wochenarbeitszeit=50/24,"",IF(I$12=0,0,IF(OR(WEEKDAY(I$10,2)&gt;5,I$11=0),IF(NOT(I$34=INDEX(T.Pikett.Bereich,1)),1,0),IF(WEEKDAY(I$10,2)&lt;6,IF(AND(OR(I$34=INDEX(T.Pikett.Bereich,2),I$34=INDEX(T.Pikett.Bereich,3)),I$11=1),8/24,0))+IF(WEEKDAY(I$10,2)&lt;6,IF(AND(OR(I$34=INDEX(T.Pikett.Bereich,2),I$34=INDEX(T.Pikett.Bereich,3)),I$11=6/8.4),10/24,0)) +IF(WEEKDAY(I$10,2)&lt;6,IF(AND(OR(I$34=INDEX(T.Pikett.Bereich,2),I$34=INDEX(T.Pikett.Bereich,3)),I$11=0.5),0.5,0)) +IF(AND(I$34=INDEX(T.Pikett.Bereich,4),I$11=6/8.4),0.75,0)+IF(AND(I$34=INDEX(T.Pikett.Bereich,4),I$11=1),16/24,0) +IF(AND(I$34=INDEX(T.Pikett.Bereich,4),I$11=0.5),20/24,0))))</f>
        <v>0</v>
      </c>
      <c r="J81" s="256" t="n">
        <f aca="true">IF(EB.Wochenarbeitszeit=50/24,"",IF(J$12=0,0,IF(OR(WEEKDAY(J$10,2)&gt;5,J$11=0),IF(NOT(J$34=INDEX(T.Pikett.Bereich,1)),1,0),IF(WEEKDAY(J$10,2)&lt;6,IF(AND(OR(J$34=INDEX(T.Pikett.Bereich,2),J$34=INDEX(T.Pikett.Bereich,3)),J$11=1),8/24,0))+IF(WEEKDAY(J$10,2)&lt;6,IF(AND(OR(J$34=INDEX(T.Pikett.Bereich,2),J$34=INDEX(T.Pikett.Bereich,3)),J$11=6/8.4),10/24,0)) +IF(WEEKDAY(J$10,2)&lt;6,IF(AND(OR(J$34=INDEX(T.Pikett.Bereich,2),J$34=INDEX(T.Pikett.Bereich,3)),J$11=0.5),0.5,0)) +IF(AND(J$34=INDEX(T.Pikett.Bereich,4),J$11=6/8.4),0.75,0)+IF(AND(J$34=INDEX(T.Pikett.Bereich,4),J$11=1),16/24,0) +IF(AND(J$34=INDEX(T.Pikett.Bereich,4),J$11=0.5),20/24,0))))</f>
        <v>0</v>
      </c>
      <c r="K81" s="256" t="n">
        <f aca="true">IF(EB.Wochenarbeitszeit=50/24,"",IF(K$12=0,0,IF(OR(WEEKDAY(K$10,2)&gt;5,K$11=0),IF(NOT(K$34=INDEX(T.Pikett.Bereich,1)),1,0),IF(WEEKDAY(K$10,2)&lt;6,IF(AND(OR(K$34=INDEX(T.Pikett.Bereich,2),K$34=INDEX(T.Pikett.Bereich,3)),K$11=1),8/24,0))+IF(WEEKDAY(K$10,2)&lt;6,IF(AND(OR(K$34=INDEX(T.Pikett.Bereich,2),K$34=INDEX(T.Pikett.Bereich,3)),K$11=6/8.4),10/24,0)) +IF(WEEKDAY(K$10,2)&lt;6,IF(AND(OR(K$34=INDEX(T.Pikett.Bereich,2),K$34=INDEX(T.Pikett.Bereich,3)),K$11=0.5),0.5,0)) +IF(AND(K$34=INDEX(T.Pikett.Bereich,4),K$11=6/8.4),0.75,0)+IF(AND(K$34=INDEX(T.Pikett.Bereich,4),K$11=1),16/24,0) +IF(AND(K$34=INDEX(T.Pikett.Bereich,4),K$11=0.5),20/24,0))))</f>
        <v>0</v>
      </c>
      <c r="L81" s="256" t="n">
        <f aca="true">IF(EB.Wochenarbeitszeit=50/24,"",IF(L$12=0,0,IF(OR(WEEKDAY(L$10,2)&gt;5,L$11=0),IF(NOT(L$34=INDEX(T.Pikett.Bereich,1)),1,0),IF(WEEKDAY(L$10,2)&lt;6,IF(AND(OR(L$34=INDEX(T.Pikett.Bereich,2),L$34=INDEX(T.Pikett.Bereich,3)),L$11=1),8/24,0))+IF(WEEKDAY(L$10,2)&lt;6,IF(AND(OR(L$34=INDEX(T.Pikett.Bereich,2),L$34=INDEX(T.Pikett.Bereich,3)),L$11=6/8.4),10/24,0)) +IF(WEEKDAY(L$10,2)&lt;6,IF(AND(OR(L$34=INDEX(T.Pikett.Bereich,2),L$34=INDEX(T.Pikett.Bereich,3)),L$11=0.5),0.5,0)) +IF(AND(L$34=INDEX(T.Pikett.Bereich,4),L$11=6/8.4),0.75,0)+IF(AND(L$34=INDEX(T.Pikett.Bereich,4),L$11=1),16/24,0) +IF(AND(L$34=INDEX(T.Pikett.Bereich,4),L$11=0.5),20/24,0))))</f>
        <v>0</v>
      </c>
      <c r="M81" s="256" t="n">
        <f aca="true">IF(EB.Wochenarbeitszeit=50/24,"",IF(M$12=0,0,IF(OR(WEEKDAY(M$10,2)&gt;5,M$11=0),IF(NOT(M$34=INDEX(T.Pikett.Bereich,1)),1,0),IF(WEEKDAY(M$10,2)&lt;6,IF(AND(OR(M$34=INDEX(T.Pikett.Bereich,2),M$34=INDEX(T.Pikett.Bereich,3)),M$11=1),8/24,0))+IF(WEEKDAY(M$10,2)&lt;6,IF(AND(OR(M$34=INDEX(T.Pikett.Bereich,2),M$34=INDEX(T.Pikett.Bereich,3)),M$11=6/8.4),10/24,0)) +IF(WEEKDAY(M$10,2)&lt;6,IF(AND(OR(M$34=INDEX(T.Pikett.Bereich,2),M$34=INDEX(T.Pikett.Bereich,3)),M$11=0.5),0.5,0)) +IF(AND(M$34=INDEX(T.Pikett.Bereich,4),M$11=6/8.4),0.75,0)+IF(AND(M$34=INDEX(T.Pikett.Bereich,4),M$11=1),16/24,0) +IF(AND(M$34=INDEX(T.Pikett.Bereich,4),M$11=0.5),20/24,0))))</f>
        <v>0</v>
      </c>
      <c r="N81" s="256" t="n">
        <f aca="true">IF(EB.Wochenarbeitszeit=50/24,"",IF(N$12=0,0,IF(OR(WEEKDAY(N$10,2)&gt;5,N$11=0),IF(NOT(N$34=INDEX(T.Pikett.Bereich,1)),1,0),IF(WEEKDAY(N$10,2)&lt;6,IF(AND(OR(N$34=INDEX(T.Pikett.Bereich,2),N$34=INDEX(T.Pikett.Bereich,3)),N$11=1),8/24,0))+IF(WEEKDAY(N$10,2)&lt;6,IF(AND(OR(N$34=INDEX(T.Pikett.Bereich,2),N$34=INDEX(T.Pikett.Bereich,3)),N$11=6/8.4),10/24,0)) +IF(WEEKDAY(N$10,2)&lt;6,IF(AND(OR(N$34=INDEX(T.Pikett.Bereich,2),N$34=INDEX(T.Pikett.Bereich,3)),N$11=0.5),0.5,0)) +IF(AND(N$34=INDEX(T.Pikett.Bereich,4),N$11=6/8.4),0.75,0)+IF(AND(N$34=INDEX(T.Pikett.Bereich,4),N$11=1),16/24,0) +IF(AND(N$34=INDEX(T.Pikett.Bereich,4),N$11=0.5),20/24,0))))</f>
        <v>0</v>
      </c>
      <c r="O81" s="256" t="n">
        <f aca="true">IF(EB.Wochenarbeitszeit=50/24,"",IF(O$12=0,0,IF(OR(WEEKDAY(O$10,2)&gt;5,O$11=0),IF(NOT(O$34=INDEX(T.Pikett.Bereich,1)),1,0),IF(WEEKDAY(O$10,2)&lt;6,IF(AND(OR(O$34=INDEX(T.Pikett.Bereich,2),O$34=INDEX(T.Pikett.Bereich,3)),O$11=1),8/24,0))+IF(WEEKDAY(O$10,2)&lt;6,IF(AND(OR(O$34=INDEX(T.Pikett.Bereich,2),O$34=INDEX(T.Pikett.Bereich,3)),O$11=6/8.4),10/24,0)) +IF(WEEKDAY(O$10,2)&lt;6,IF(AND(OR(O$34=INDEX(T.Pikett.Bereich,2),O$34=INDEX(T.Pikett.Bereich,3)),O$11=0.5),0.5,0)) +IF(AND(O$34=INDEX(T.Pikett.Bereich,4),O$11=6/8.4),0.75,0)+IF(AND(O$34=INDEX(T.Pikett.Bereich,4),O$11=1),16/24,0) +IF(AND(O$34=INDEX(T.Pikett.Bereich,4),O$11=0.5),20/24,0))))</f>
        <v>0</v>
      </c>
      <c r="P81" s="256" t="n">
        <f aca="true">IF(EB.Wochenarbeitszeit=50/24,"",IF(P$12=0,0,IF(OR(WEEKDAY(P$10,2)&gt;5,P$11=0),IF(NOT(P$34=INDEX(T.Pikett.Bereich,1)),1,0),IF(WEEKDAY(P$10,2)&lt;6,IF(AND(OR(P$34=INDEX(T.Pikett.Bereich,2),P$34=INDEX(T.Pikett.Bereich,3)),P$11=1),8/24,0))+IF(WEEKDAY(P$10,2)&lt;6,IF(AND(OR(P$34=INDEX(T.Pikett.Bereich,2),P$34=INDEX(T.Pikett.Bereich,3)),P$11=6/8.4),10/24,0)) +IF(WEEKDAY(P$10,2)&lt;6,IF(AND(OR(P$34=INDEX(T.Pikett.Bereich,2),P$34=INDEX(T.Pikett.Bereich,3)),P$11=0.5),0.5,0)) +IF(AND(P$34=INDEX(T.Pikett.Bereich,4),P$11=6/8.4),0.75,0)+IF(AND(P$34=INDEX(T.Pikett.Bereich,4),P$11=1),16/24,0) +IF(AND(P$34=INDEX(T.Pikett.Bereich,4),P$11=0.5),20/24,0))))</f>
        <v>0</v>
      </c>
      <c r="Q81" s="256" t="n">
        <f aca="true">IF(EB.Wochenarbeitszeit=50/24,"",IF(Q$12=0,0,IF(OR(WEEKDAY(Q$10,2)&gt;5,Q$11=0),IF(NOT(Q$34=INDEX(T.Pikett.Bereich,1)),1,0),IF(WEEKDAY(Q$10,2)&lt;6,IF(AND(OR(Q$34=INDEX(T.Pikett.Bereich,2),Q$34=INDEX(T.Pikett.Bereich,3)),Q$11=1),8/24,0))+IF(WEEKDAY(Q$10,2)&lt;6,IF(AND(OR(Q$34=INDEX(T.Pikett.Bereich,2),Q$34=INDEX(T.Pikett.Bereich,3)),Q$11=6/8.4),10/24,0)) +IF(WEEKDAY(Q$10,2)&lt;6,IF(AND(OR(Q$34=INDEX(T.Pikett.Bereich,2),Q$34=INDEX(T.Pikett.Bereich,3)),Q$11=0.5),0.5,0)) +IF(AND(Q$34=INDEX(T.Pikett.Bereich,4),Q$11=6/8.4),0.75,0)+IF(AND(Q$34=INDEX(T.Pikett.Bereich,4),Q$11=1),16/24,0) +IF(AND(Q$34=INDEX(T.Pikett.Bereich,4),Q$11=0.5),20/24,0))))</f>
        <v>0</v>
      </c>
      <c r="R81" s="256" t="n">
        <f aca="true">IF(EB.Wochenarbeitszeit=50/24,"",IF(R$12=0,0,IF(OR(WEEKDAY(R$10,2)&gt;5,R$11=0),IF(NOT(R$34=INDEX(T.Pikett.Bereich,1)),1,0),IF(WEEKDAY(R$10,2)&lt;6,IF(AND(OR(R$34=INDEX(T.Pikett.Bereich,2),R$34=INDEX(T.Pikett.Bereich,3)),R$11=1),8/24,0))+IF(WEEKDAY(R$10,2)&lt;6,IF(AND(OR(R$34=INDEX(T.Pikett.Bereich,2),R$34=INDEX(T.Pikett.Bereich,3)),R$11=6/8.4),10/24,0)) +IF(WEEKDAY(R$10,2)&lt;6,IF(AND(OR(R$34=INDEX(T.Pikett.Bereich,2),R$34=INDEX(T.Pikett.Bereich,3)),R$11=0.5),0.5,0)) +IF(AND(R$34=INDEX(T.Pikett.Bereich,4),R$11=6/8.4),0.75,0)+IF(AND(R$34=INDEX(T.Pikett.Bereich,4),R$11=1),16/24,0) +IF(AND(R$34=INDEX(T.Pikett.Bereich,4),R$11=0.5),20/24,0))))</f>
        <v>0</v>
      </c>
      <c r="S81" s="256" t="n">
        <f aca="true">IF(EB.Wochenarbeitszeit=50/24,"",IF(S$12=0,0,IF(OR(WEEKDAY(S$10,2)&gt;5,S$11=0),IF(NOT(S$34=INDEX(T.Pikett.Bereich,1)),1,0),IF(WEEKDAY(S$10,2)&lt;6,IF(AND(OR(S$34=INDEX(T.Pikett.Bereich,2),S$34=INDEX(T.Pikett.Bereich,3)),S$11=1),8/24,0))+IF(WEEKDAY(S$10,2)&lt;6,IF(AND(OR(S$34=INDEX(T.Pikett.Bereich,2),S$34=INDEX(T.Pikett.Bereich,3)),S$11=6/8.4),10/24,0)) +IF(WEEKDAY(S$10,2)&lt;6,IF(AND(OR(S$34=INDEX(T.Pikett.Bereich,2),S$34=INDEX(T.Pikett.Bereich,3)),S$11=0.5),0.5,0)) +IF(AND(S$34=INDEX(T.Pikett.Bereich,4),S$11=6/8.4),0.75,0)+IF(AND(S$34=INDEX(T.Pikett.Bereich,4),S$11=1),16/24,0) +IF(AND(S$34=INDEX(T.Pikett.Bereich,4),S$11=0.5),20/24,0))))</f>
        <v>0</v>
      </c>
      <c r="T81" s="256" t="n">
        <f aca="true">IF(EB.Wochenarbeitszeit=50/24,"",IF(T$12=0,0,IF(OR(WEEKDAY(T$10,2)&gt;5,T$11=0),IF(NOT(T$34=INDEX(T.Pikett.Bereich,1)),1,0),IF(WEEKDAY(T$10,2)&lt;6,IF(AND(OR(T$34=INDEX(T.Pikett.Bereich,2),T$34=INDEX(T.Pikett.Bereich,3)),T$11=1),8/24,0))+IF(WEEKDAY(T$10,2)&lt;6,IF(AND(OR(T$34=INDEX(T.Pikett.Bereich,2),T$34=INDEX(T.Pikett.Bereich,3)),T$11=6/8.4),10/24,0)) +IF(WEEKDAY(T$10,2)&lt;6,IF(AND(OR(T$34=INDEX(T.Pikett.Bereich,2),T$34=INDEX(T.Pikett.Bereich,3)),T$11=0.5),0.5,0)) +IF(AND(T$34=INDEX(T.Pikett.Bereich,4),T$11=6/8.4),0.75,0)+IF(AND(T$34=INDEX(T.Pikett.Bereich,4),T$11=1),16/24,0) +IF(AND(T$34=INDEX(T.Pikett.Bereich,4),T$11=0.5),20/24,0))))</f>
        <v>0</v>
      </c>
      <c r="U81" s="256" t="n">
        <f aca="true">IF(EB.Wochenarbeitszeit=50/24,"",IF(U$12=0,0,IF(OR(WEEKDAY(U$10,2)&gt;5,U$11=0),IF(NOT(U$34=INDEX(T.Pikett.Bereich,1)),1,0),IF(WEEKDAY(U$10,2)&lt;6,IF(AND(OR(U$34=INDEX(T.Pikett.Bereich,2),U$34=INDEX(T.Pikett.Bereich,3)),U$11=1),8/24,0))+IF(WEEKDAY(U$10,2)&lt;6,IF(AND(OR(U$34=INDEX(T.Pikett.Bereich,2),U$34=INDEX(T.Pikett.Bereich,3)),U$11=6/8.4),10/24,0)) +IF(WEEKDAY(U$10,2)&lt;6,IF(AND(OR(U$34=INDEX(T.Pikett.Bereich,2),U$34=INDEX(T.Pikett.Bereich,3)),U$11=0.5),0.5,0)) +IF(AND(U$34=INDEX(T.Pikett.Bereich,4),U$11=6/8.4),0.75,0)+IF(AND(U$34=INDEX(T.Pikett.Bereich,4),U$11=1),16/24,0) +IF(AND(U$34=INDEX(T.Pikett.Bereich,4),U$11=0.5),20/24,0))))</f>
        <v>0</v>
      </c>
      <c r="V81" s="256" t="n">
        <f aca="true">IF(EB.Wochenarbeitszeit=50/24,"",IF(V$12=0,0,IF(OR(WEEKDAY(V$10,2)&gt;5,V$11=0),IF(NOT(V$34=INDEX(T.Pikett.Bereich,1)),1,0),IF(WEEKDAY(V$10,2)&lt;6,IF(AND(OR(V$34=INDEX(T.Pikett.Bereich,2),V$34=INDEX(T.Pikett.Bereich,3)),V$11=1),8/24,0))+IF(WEEKDAY(V$10,2)&lt;6,IF(AND(OR(V$34=INDEX(T.Pikett.Bereich,2),V$34=INDEX(T.Pikett.Bereich,3)),V$11=6/8.4),10/24,0)) +IF(WEEKDAY(V$10,2)&lt;6,IF(AND(OR(V$34=INDEX(T.Pikett.Bereich,2),V$34=INDEX(T.Pikett.Bereich,3)),V$11=0.5),0.5,0)) +IF(AND(V$34=INDEX(T.Pikett.Bereich,4),V$11=6/8.4),0.75,0)+IF(AND(V$34=INDEX(T.Pikett.Bereich,4),V$11=1),16/24,0) +IF(AND(V$34=INDEX(T.Pikett.Bereich,4),V$11=0.5),20/24,0))))</f>
        <v>0</v>
      </c>
      <c r="W81" s="256" t="n">
        <f aca="true">IF(EB.Wochenarbeitszeit=50/24,"",IF(W$12=0,0,IF(OR(WEEKDAY(W$10,2)&gt;5,W$11=0),IF(NOT(W$34=INDEX(T.Pikett.Bereich,1)),1,0),IF(WEEKDAY(W$10,2)&lt;6,IF(AND(OR(W$34=INDEX(T.Pikett.Bereich,2),W$34=INDEX(T.Pikett.Bereich,3)),W$11=1),8/24,0))+IF(WEEKDAY(W$10,2)&lt;6,IF(AND(OR(W$34=INDEX(T.Pikett.Bereich,2),W$34=INDEX(T.Pikett.Bereich,3)),W$11=6/8.4),10/24,0)) +IF(WEEKDAY(W$10,2)&lt;6,IF(AND(OR(W$34=INDEX(T.Pikett.Bereich,2),W$34=INDEX(T.Pikett.Bereich,3)),W$11=0.5),0.5,0)) +IF(AND(W$34=INDEX(T.Pikett.Bereich,4),W$11=6/8.4),0.75,0)+IF(AND(W$34=INDEX(T.Pikett.Bereich,4),W$11=1),16/24,0) +IF(AND(W$34=INDEX(T.Pikett.Bereich,4),W$11=0.5),20/24,0))))</f>
        <v>0</v>
      </c>
      <c r="X81" s="256" t="n">
        <f aca="true">IF(EB.Wochenarbeitszeit=50/24,"",IF(X$12=0,0,IF(OR(WEEKDAY(X$10,2)&gt;5,X$11=0),IF(NOT(X$34=INDEX(T.Pikett.Bereich,1)),1,0),IF(WEEKDAY(X$10,2)&lt;6,IF(AND(OR(X$34=INDEX(T.Pikett.Bereich,2),X$34=INDEX(T.Pikett.Bereich,3)),X$11=1),8/24,0))+IF(WEEKDAY(X$10,2)&lt;6,IF(AND(OR(X$34=INDEX(T.Pikett.Bereich,2),X$34=INDEX(T.Pikett.Bereich,3)),X$11=6/8.4),10/24,0)) +IF(WEEKDAY(X$10,2)&lt;6,IF(AND(OR(X$34=INDEX(T.Pikett.Bereich,2),X$34=INDEX(T.Pikett.Bereich,3)),X$11=0.5),0.5,0)) +IF(AND(X$34=INDEX(T.Pikett.Bereich,4),X$11=6/8.4),0.75,0)+IF(AND(X$34=INDEX(T.Pikett.Bereich,4),X$11=1),16/24,0) +IF(AND(X$34=INDEX(T.Pikett.Bereich,4),X$11=0.5),20/24,0))))</f>
        <v>0</v>
      </c>
      <c r="Y81" s="256" t="n">
        <f aca="true">IF(EB.Wochenarbeitszeit=50/24,"",IF(Y$12=0,0,IF(OR(WEEKDAY(Y$10,2)&gt;5,Y$11=0),IF(NOT(Y$34=INDEX(T.Pikett.Bereich,1)),1,0),IF(WEEKDAY(Y$10,2)&lt;6,IF(AND(OR(Y$34=INDEX(T.Pikett.Bereich,2),Y$34=INDEX(T.Pikett.Bereich,3)),Y$11=1),8/24,0))+IF(WEEKDAY(Y$10,2)&lt;6,IF(AND(OR(Y$34=INDEX(T.Pikett.Bereich,2),Y$34=INDEX(T.Pikett.Bereich,3)),Y$11=6/8.4),10/24,0)) +IF(WEEKDAY(Y$10,2)&lt;6,IF(AND(OR(Y$34=INDEX(T.Pikett.Bereich,2),Y$34=INDEX(T.Pikett.Bereich,3)),Y$11=0.5),0.5,0)) +IF(AND(Y$34=INDEX(T.Pikett.Bereich,4),Y$11=6/8.4),0.75,0)+IF(AND(Y$34=INDEX(T.Pikett.Bereich,4),Y$11=1),16/24,0) +IF(AND(Y$34=INDEX(T.Pikett.Bereich,4),Y$11=0.5),20/24,0))))</f>
        <v>0</v>
      </c>
      <c r="Z81" s="256" t="n">
        <f aca="true">IF(EB.Wochenarbeitszeit=50/24,"",IF(Z$12=0,0,IF(OR(WEEKDAY(Z$10,2)&gt;5,Z$11=0),IF(NOT(Z$34=INDEX(T.Pikett.Bereich,1)),1,0),IF(WEEKDAY(Z$10,2)&lt;6,IF(AND(OR(Z$34=INDEX(T.Pikett.Bereich,2),Z$34=INDEX(T.Pikett.Bereich,3)),Z$11=1),8/24,0))+IF(WEEKDAY(Z$10,2)&lt;6,IF(AND(OR(Z$34=INDEX(T.Pikett.Bereich,2),Z$34=INDEX(T.Pikett.Bereich,3)),Z$11=6/8.4),10/24,0)) +IF(WEEKDAY(Z$10,2)&lt;6,IF(AND(OR(Z$34=INDEX(T.Pikett.Bereich,2),Z$34=INDEX(T.Pikett.Bereich,3)),Z$11=0.5),0.5,0)) +IF(AND(Z$34=INDEX(T.Pikett.Bereich,4),Z$11=6/8.4),0.75,0)+IF(AND(Z$34=INDEX(T.Pikett.Bereich,4),Z$11=1),16/24,0) +IF(AND(Z$34=INDEX(T.Pikett.Bereich,4),Z$11=0.5),20/24,0))))</f>
        <v>0</v>
      </c>
      <c r="AA81" s="256" t="n">
        <f aca="true">IF(EB.Wochenarbeitszeit=50/24,"",IF(AA$12=0,0,IF(OR(WEEKDAY(AA$10,2)&gt;5,AA$11=0),IF(NOT(AA$34=INDEX(T.Pikett.Bereich,1)),1,0),IF(WEEKDAY(AA$10,2)&lt;6,IF(AND(OR(AA$34=INDEX(T.Pikett.Bereich,2),AA$34=INDEX(T.Pikett.Bereich,3)),AA$11=1),8/24,0))+IF(WEEKDAY(AA$10,2)&lt;6,IF(AND(OR(AA$34=INDEX(T.Pikett.Bereich,2),AA$34=INDEX(T.Pikett.Bereich,3)),AA$11=6/8.4),10/24,0)) +IF(WEEKDAY(AA$10,2)&lt;6,IF(AND(OR(AA$34=INDEX(T.Pikett.Bereich,2),AA$34=INDEX(T.Pikett.Bereich,3)),AA$11=0.5),0.5,0)) +IF(AND(AA$34=INDEX(T.Pikett.Bereich,4),AA$11=6/8.4),0.75,0)+IF(AND(AA$34=INDEX(T.Pikett.Bereich,4),AA$11=1),16/24,0) +IF(AND(AA$34=INDEX(T.Pikett.Bereich,4),AA$11=0.5),20/24,0))))</f>
        <v>0</v>
      </c>
      <c r="AB81" s="256" t="n">
        <f aca="true">IF(EB.Wochenarbeitszeit=50/24,"",IF(AB$12=0,0,IF(OR(WEEKDAY(AB$10,2)&gt;5,AB$11=0),IF(NOT(AB$34=INDEX(T.Pikett.Bereich,1)),1,0),IF(WEEKDAY(AB$10,2)&lt;6,IF(AND(OR(AB$34=INDEX(T.Pikett.Bereich,2),AB$34=INDEX(T.Pikett.Bereich,3)),AB$11=1),8/24,0))+IF(WEEKDAY(AB$10,2)&lt;6,IF(AND(OR(AB$34=INDEX(T.Pikett.Bereich,2),AB$34=INDEX(T.Pikett.Bereich,3)),AB$11=6/8.4),10/24,0)) +IF(WEEKDAY(AB$10,2)&lt;6,IF(AND(OR(AB$34=INDEX(T.Pikett.Bereich,2),AB$34=INDEX(T.Pikett.Bereich,3)),AB$11=0.5),0.5,0)) +IF(AND(AB$34=INDEX(T.Pikett.Bereich,4),AB$11=6/8.4),0.75,0)+IF(AND(AB$34=INDEX(T.Pikett.Bereich,4),AB$11=1),16/24,0) +IF(AND(AB$34=INDEX(T.Pikett.Bereich,4),AB$11=0.5),20/24,0))))</f>
        <v>0</v>
      </c>
      <c r="AC81" s="256" t="n">
        <f aca="true">IF(EB.Wochenarbeitszeit=50/24,"",IF(AC$12=0,0,IF(OR(WEEKDAY(AC$10,2)&gt;5,AC$11=0),IF(NOT(AC$34=INDEX(T.Pikett.Bereich,1)),1,0),IF(WEEKDAY(AC$10,2)&lt;6,IF(AND(OR(AC$34=INDEX(T.Pikett.Bereich,2),AC$34=INDEX(T.Pikett.Bereich,3)),AC$11=1),8/24,0))+IF(WEEKDAY(AC$10,2)&lt;6,IF(AND(OR(AC$34=INDEX(T.Pikett.Bereich,2),AC$34=INDEX(T.Pikett.Bereich,3)),AC$11=6/8.4),10/24,0)) +IF(WEEKDAY(AC$10,2)&lt;6,IF(AND(OR(AC$34=INDEX(T.Pikett.Bereich,2),AC$34=INDEX(T.Pikett.Bereich,3)),AC$11=0.5),0.5,0)) +IF(AND(AC$34=INDEX(T.Pikett.Bereich,4),AC$11=6/8.4),0.75,0)+IF(AND(AC$34=INDEX(T.Pikett.Bereich,4),AC$11=1),16/24,0) +IF(AND(AC$34=INDEX(T.Pikett.Bereich,4),AC$11=0.5),20/24,0))))</f>
        <v>0</v>
      </c>
      <c r="AD81" s="256" t="n">
        <f aca="true">IF(EB.Wochenarbeitszeit=50/24,"",IF(AD$12=0,0,IF(OR(WEEKDAY(AD$10,2)&gt;5,AD$11=0),IF(NOT(AD$34=INDEX(T.Pikett.Bereich,1)),1,0),IF(WEEKDAY(AD$10,2)&lt;6,IF(AND(OR(AD$34=INDEX(T.Pikett.Bereich,2),AD$34=INDEX(T.Pikett.Bereich,3)),AD$11=1),8/24,0))+IF(WEEKDAY(AD$10,2)&lt;6,IF(AND(OR(AD$34=INDEX(T.Pikett.Bereich,2),AD$34=INDEX(T.Pikett.Bereich,3)),AD$11=6/8.4),10/24,0)) +IF(WEEKDAY(AD$10,2)&lt;6,IF(AND(OR(AD$34=INDEX(T.Pikett.Bereich,2),AD$34=INDEX(T.Pikett.Bereich,3)),AD$11=0.5),0.5,0)) +IF(AND(AD$34=INDEX(T.Pikett.Bereich,4),AD$11=6/8.4),0.75,0)+IF(AND(AD$34=INDEX(T.Pikett.Bereich,4),AD$11=1),16/24,0) +IF(AND(AD$34=INDEX(T.Pikett.Bereich,4),AD$11=0.5),20/24,0))))</f>
        <v>0</v>
      </c>
      <c r="AE81" s="256" t="n">
        <f aca="true">IF(EB.Wochenarbeitszeit=50/24,"",IF(AE$12=0,0,IF(OR(WEEKDAY(AE$10,2)&gt;5,AE$11=0),IF(NOT(AE$34=INDEX(T.Pikett.Bereich,1)),1,0),IF(WEEKDAY(AE$10,2)&lt;6,IF(AND(OR(AE$34=INDEX(T.Pikett.Bereich,2),AE$34=INDEX(T.Pikett.Bereich,3)),AE$11=1),8/24,0))+IF(WEEKDAY(AE$10,2)&lt;6,IF(AND(OR(AE$34=INDEX(T.Pikett.Bereich,2),AE$34=INDEX(T.Pikett.Bereich,3)),AE$11=6/8.4),10/24,0)) +IF(WEEKDAY(AE$10,2)&lt;6,IF(AND(OR(AE$34=INDEX(T.Pikett.Bereich,2),AE$34=INDEX(T.Pikett.Bereich,3)),AE$11=0.5),0.5,0)) +IF(AND(AE$34=INDEX(T.Pikett.Bereich,4),AE$11=6/8.4),0.75,0)+IF(AND(AE$34=INDEX(T.Pikett.Bereich,4),AE$11=1),16/24,0) +IF(AND(AE$34=INDEX(T.Pikett.Bereich,4),AE$11=0.5),20/24,0))))</f>
        <v>0</v>
      </c>
      <c r="AF81" s="256" t="n">
        <f aca="true">IF(EB.Wochenarbeitszeit=50/24,"",IF(AF$12=0,0,IF(OR(WEEKDAY(AF$10,2)&gt;5,AF$11=0),IF(NOT(AF$34=INDEX(T.Pikett.Bereich,1)),1,0),IF(WEEKDAY(AF$10,2)&lt;6,IF(AND(OR(AF$34=INDEX(T.Pikett.Bereich,2),AF$34=INDEX(T.Pikett.Bereich,3)),AF$11=1),8/24,0))+IF(WEEKDAY(AF$10,2)&lt;6,IF(AND(OR(AF$34=INDEX(T.Pikett.Bereich,2),AF$34=INDEX(T.Pikett.Bereich,3)),AF$11=6/8.4),10/24,0)) +IF(WEEKDAY(AF$10,2)&lt;6,IF(AND(OR(AF$34=INDEX(T.Pikett.Bereich,2),AF$34=INDEX(T.Pikett.Bereich,3)),AF$11=0.5),0.5,0)) +IF(AND(AF$34=INDEX(T.Pikett.Bereich,4),AF$11=6/8.4),0.75,0)+IF(AND(AF$34=INDEX(T.Pikett.Bereich,4),AF$11=1),16/24,0) +IF(AND(AF$34=INDEX(T.Pikett.Bereich,4),AF$11=0.5),20/24,0))))</f>
        <v>0</v>
      </c>
      <c r="AG81" s="168" t="str">
        <f aca="false">A81</f>
        <v>On-call duty</v>
      </c>
      <c r="AH81" s="250"/>
      <c r="AI81" s="207" t="n">
        <f aca="false">SUM(B81:AF81)</f>
        <v>0</v>
      </c>
      <c r="AJ81" s="33"/>
      <c r="AK81" s="192"/>
      <c r="AL81" s="216" t="n">
        <f aca="false">IF(EB.Anwendung&lt;&gt;"",IF(MONTH(Monat.Tag1)=1,0,IF(MONTH(Monat.Tag1)=2,January!Monat.BDUeVM,IF(MONTH(Monat.Tag1)=3,February!Monat.BDUeVM,IF(MONTH(Monat.Tag1)=4,March!Monat.BDUeVM,IF(MONTH(Monat.Tag1)=5,April!Monat.BDUeVM,IF(MONTH(Monat.Tag1)=6,May!Monat.BDUeVM,IF(MONTH(Monat.Tag1)=7,June!Monat.BDUeVM,IF(MONTH(Monat.Tag1)=8,Monat.BDUeVM,IF(MONTH(Monat.Tag1)=9,August!Monat.BDUeVM,IF(MONTH(Monat.Tag1)=10,September!Monat.BDUeVM,IF(MONTH(Monat.Tag1)=11,October!Monat.BDUeVM,IF(MONTH(Monat.Tag1)=12,November!Monat.BDUeVM,"")))))))))))),"")</f>
        <v>0</v>
      </c>
      <c r="AM81" s="172"/>
      <c r="AN81" s="217" t="n">
        <f aca="false">AI81+AL81</f>
        <v>0</v>
      </c>
      <c r="AO81" s="171"/>
      <c r="AP81" s="171"/>
      <c r="AQ81" s="39"/>
    </row>
    <row r="82" s="148" customFormat="true" ht="15" hidden="false" customHeight="true" outlineLevel="1" collapsed="false">
      <c r="A82" s="175" t="s">
        <v>165</v>
      </c>
      <c r="B82" s="256" t="str">
        <f aca="false">IF(B$12=0,"",IF(OR(WEEKDAY(B$10,2)&gt;5,B$11=0), IF(T.50_NoVetsuisse,B45, IF(T.50_Vetsuisse,IF(B23-B73=0,"",B23-B73), IF(T.ServiceCenterIrchel,B23, B60))),))</f>
        <v/>
      </c>
      <c r="C82" s="256" t="n">
        <f aca="false">IF(C$12=0,"",IF(OR(WEEKDAY(C$10,2)&gt;5,C$11=0), IF(T.50_NoVetsuisse,C45, IF(T.50_Vetsuisse,IF(C23-C73=0,"",C23-C73), IF(T.ServiceCenterIrchel,C23, C60))),))</f>
        <v>0</v>
      </c>
      <c r="D82" s="257" t="n">
        <f aca="false">IF(D$12=0,"",IF(OR(WEEKDAY(D$10,2)&gt;5,D$11=0), IF(T.50_NoVetsuisse,D45, IF(T.50_Vetsuisse,IF(D23-D73=0,"",D23-D73), IF(T.ServiceCenterIrchel,D23, D60))),))</f>
        <v>0</v>
      </c>
      <c r="E82" s="256" t="n">
        <f aca="false">IF(E$12=0,"",IF(OR(WEEKDAY(E$10,2)&gt;5,E$11=0), IF(T.50_NoVetsuisse,E45, IF(T.50_Vetsuisse,IF(E23-E73=0,"",E23-E73), IF(T.ServiceCenterIrchel,E23, E60))),))</f>
        <v>0</v>
      </c>
      <c r="F82" s="257" t="n">
        <f aca="false">IF(F$12=0,"",IF(OR(WEEKDAY(F$10,2)&gt;5,F$11=0), IF(T.50_NoVetsuisse,F45, IF(T.50_Vetsuisse,IF(F23-F73=0,"",F23-F73), IF(T.ServiceCenterIrchel,F23, F60))),))</f>
        <v>0</v>
      </c>
      <c r="G82" s="257" t="n">
        <f aca="false">IF(G$12=0,"",IF(OR(WEEKDAY(G$10,2)&gt;5,G$11=0), IF(T.50_NoVetsuisse,G45, IF(T.50_Vetsuisse,IF(G23-G73=0,"",G23-G73), IF(T.ServiceCenterIrchel,G23, G60))),))</f>
        <v>0</v>
      </c>
      <c r="H82" s="257" t="str">
        <f aca="false">IF(H$12=0,"",IF(OR(WEEKDAY(H$10,2)&gt;5,H$11=0), IF(T.50_NoVetsuisse,H45, IF(T.50_Vetsuisse,IF(H23-H73=0,"",H23-H73), IF(T.ServiceCenterIrchel,H23, H60))),))</f>
        <v/>
      </c>
      <c r="I82" s="257" t="str">
        <f aca="false">IF(I$12=0,"",IF(OR(WEEKDAY(I$10,2)&gt;5,I$11=0), IF(T.50_NoVetsuisse,I45, IF(T.50_Vetsuisse,IF(I23-I73=0,"",I23-I73), IF(T.ServiceCenterIrchel,I23, I60))),))</f>
        <v/>
      </c>
      <c r="J82" s="256" t="n">
        <f aca="false">IF(J$12=0,"",IF(OR(WEEKDAY(J$10,2)&gt;5,J$11=0), IF(T.50_NoVetsuisse,J45, IF(T.50_Vetsuisse,IF(J23-J73=0,"",J23-J73), IF(T.ServiceCenterIrchel,J23, J60))),))</f>
        <v>0</v>
      </c>
      <c r="K82" s="257" t="n">
        <f aca="false">IF(K$12=0,"",IF(OR(WEEKDAY(K$10,2)&gt;5,K$11=0), IF(T.50_NoVetsuisse,K45, IF(T.50_Vetsuisse,IF(K23-K73=0,"",K23-K73), IF(T.ServiceCenterIrchel,K23, K60))),))</f>
        <v>0</v>
      </c>
      <c r="L82" s="256" t="n">
        <f aca="false">IF(L$12=0,"",IF(OR(WEEKDAY(L$10,2)&gt;5,L$11=0), IF(T.50_NoVetsuisse,L45, IF(T.50_Vetsuisse,IF(L23-L73=0,"",L23-L73), IF(T.ServiceCenterIrchel,L23, L60))),))</f>
        <v>0</v>
      </c>
      <c r="M82" s="257" t="n">
        <f aca="false">IF(M$12=0,"",IF(OR(WEEKDAY(M$10,2)&gt;5,M$11=0), IF(T.50_NoVetsuisse,M45, IF(T.50_Vetsuisse,IF(M23-M73=0,"",M23-M73), IF(T.ServiceCenterIrchel,M23, M60))),))</f>
        <v>0</v>
      </c>
      <c r="N82" s="257" t="n">
        <f aca="false">IF(N$12=0,"",IF(OR(WEEKDAY(N$10,2)&gt;5,N$11=0), IF(T.50_NoVetsuisse,N45, IF(T.50_Vetsuisse,IF(N23-N73=0,"",N23-N73), IF(T.ServiceCenterIrchel,N23, N60))),))</f>
        <v>0</v>
      </c>
      <c r="O82" s="257" t="str">
        <f aca="false">IF(O$12=0,"",IF(OR(WEEKDAY(O$10,2)&gt;5,O$11=0), IF(T.50_NoVetsuisse,O45, IF(T.50_Vetsuisse,IF(O23-O73=0,"",O23-O73), IF(T.ServiceCenterIrchel,O23, O60))),))</f>
        <v/>
      </c>
      <c r="P82" s="257" t="str">
        <f aca="false">IF(P$12=0,"",IF(OR(WEEKDAY(P$10,2)&gt;5,P$11=0), IF(T.50_NoVetsuisse,P45, IF(T.50_Vetsuisse,IF(P23-P73=0,"",P23-P73), IF(T.ServiceCenterIrchel,P23, P60))),))</f>
        <v/>
      </c>
      <c r="Q82" s="256" t="n">
        <f aca="false">IF(Q$12=0,"",IF(OR(WEEKDAY(Q$10,2)&gt;5,Q$11=0), IF(T.50_NoVetsuisse,Q45, IF(T.50_Vetsuisse,IF(Q23-Q73=0,"",Q23-Q73), IF(T.ServiceCenterIrchel,Q23, Q60))),))</f>
        <v>0</v>
      </c>
      <c r="R82" s="257" t="n">
        <f aca="false">IF(R$12=0,"",IF(OR(WEEKDAY(R$10,2)&gt;5,R$11=0), IF(T.50_NoVetsuisse,R45, IF(T.50_Vetsuisse,IF(R23-R73=0,"",R23-R73), IF(T.ServiceCenterIrchel,R23, R60))),))</f>
        <v>0</v>
      </c>
      <c r="S82" s="256" t="n">
        <f aca="false">IF(S$12=0,"",IF(OR(WEEKDAY(S$10,2)&gt;5,S$11=0), IF(T.50_NoVetsuisse,S45, IF(T.50_Vetsuisse,IF(S23-S73=0,"",S23-S73), IF(T.ServiceCenterIrchel,S23, S60))),))</f>
        <v>0</v>
      </c>
      <c r="T82" s="256" t="n">
        <f aca="false">IF(T$12=0,"",IF(OR(WEEKDAY(T$10,2)&gt;5,T$11=0), IF(T.50_NoVetsuisse,T45, IF(T.50_Vetsuisse,IF(T23-T73=0,"",T23-T73), IF(T.ServiceCenterIrchel,T23, T60))),))</f>
        <v>0</v>
      </c>
      <c r="U82" s="257" t="n">
        <f aca="false">IF(U$12=0,"",IF(OR(WEEKDAY(U$10,2)&gt;5,U$11=0), IF(T.50_NoVetsuisse,U45, IF(T.50_Vetsuisse,IF(U23-U73=0,"",U23-U73), IF(T.ServiceCenterIrchel,U23, U60))),))</f>
        <v>0</v>
      </c>
      <c r="V82" s="257" t="str">
        <f aca="false">IF(V$12=0,"",IF(OR(WEEKDAY(V$10,2)&gt;5,V$11=0), IF(T.50_NoVetsuisse,V45, IF(T.50_Vetsuisse,IF(V23-V73=0,"",V23-V73), IF(T.ServiceCenterIrchel,V23, V60))),))</f>
        <v/>
      </c>
      <c r="W82" s="257" t="str">
        <f aca="false">IF(W$12=0,"",IF(OR(WEEKDAY(W$10,2)&gt;5,W$11=0), IF(T.50_NoVetsuisse,W45, IF(T.50_Vetsuisse,IF(W23-W73=0,"",W23-W73), IF(T.ServiceCenterIrchel,W23, W60))),))</f>
        <v/>
      </c>
      <c r="X82" s="256" t="n">
        <f aca="false">IF(X$12=0,"",IF(OR(WEEKDAY(X$10,2)&gt;5,X$11=0), IF(T.50_NoVetsuisse,X45, IF(T.50_Vetsuisse,IF(X23-X73=0,"",X23-X73), IF(T.ServiceCenterIrchel,X23, X60))),))</f>
        <v>0</v>
      </c>
      <c r="Y82" s="257" t="n">
        <f aca="false">IF(Y$12=0,"",IF(OR(WEEKDAY(Y$10,2)&gt;5,Y$11=0), IF(T.50_NoVetsuisse,Y45, IF(T.50_Vetsuisse,IF(Y23-Y73=0,"",Y23-Y73), IF(T.ServiceCenterIrchel,Y23, Y60))),))</f>
        <v>0</v>
      </c>
      <c r="Z82" s="258" t="n">
        <f aca="false">IF(Z$12=0,"",IF(OR(WEEKDAY(Z$10,2)&gt;5,Z$11=0), IF(T.50_NoVetsuisse,Z45, IF(T.50_Vetsuisse,IF(Z23-Z73=0,"",Z23-Z73), IF(T.ServiceCenterIrchel,Z23, Z60))),))</f>
        <v>0</v>
      </c>
      <c r="AA82" s="257" t="n">
        <f aca="false">IF(AA$12=0,"",IF(OR(WEEKDAY(AA$10,2)&gt;5,AA$11=0), IF(T.50_NoVetsuisse,AA45, IF(T.50_Vetsuisse,IF(AA23-AA73=0,"",AA23-AA73), IF(T.ServiceCenterIrchel,AA23, AA60))),))</f>
        <v>0</v>
      </c>
      <c r="AB82" s="257" t="n">
        <f aca="false">IF(AB$12=0,"",IF(OR(WEEKDAY(AB$10,2)&gt;5,AB$11=0), IF(T.50_NoVetsuisse,AB45, IF(T.50_Vetsuisse,IF(AB23-AB73=0,"",AB23-AB73), IF(T.ServiceCenterIrchel,AB23, AB60))),))</f>
        <v>0</v>
      </c>
      <c r="AC82" s="257" t="str">
        <f aca="false">IF(AC$12=0,"",IF(OR(WEEKDAY(AC$10,2)&gt;5,AC$11=0), IF(T.50_NoVetsuisse,AC45, IF(T.50_Vetsuisse,IF(AC23-AC73=0,"",AC23-AC73), IF(T.ServiceCenterIrchel,AC23, AC60))),))</f>
        <v/>
      </c>
      <c r="AD82" s="257" t="str">
        <f aca="false">IF(AD$12=0,"",IF(OR(WEEKDAY(AD$10,2)&gt;5,AD$11=0), IF(T.50_NoVetsuisse,AD45, IF(T.50_Vetsuisse,IF(AD23-AD73=0,"",AD23-AD73), IF(T.ServiceCenterIrchel,AD23, AD60))),))</f>
        <v/>
      </c>
      <c r="AE82" s="256" t="n">
        <f aca="false">IF(AE$12=0,"",IF(OR(WEEKDAY(AE$10,2)&gt;5,AE$11=0), IF(T.50_NoVetsuisse,AE45, IF(T.50_Vetsuisse,IF(AE23-AE73=0,"",AE23-AE73), IF(T.ServiceCenterIrchel,AE23, AE60))),))</f>
        <v>0</v>
      </c>
      <c r="AF82" s="257" t="n">
        <f aca="false">IF(AF$12=0,"",IF(OR(WEEKDAY(AF$10,2)&gt;5,AF$11=0), IF(T.50_NoVetsuisse,AF45, IF(T.50_Vetsuisse,IF(AF23-AF73=0,"",AF23-AF73), IF(T.ServiceCenterIrchel,AF23, AF60))),))</f>
        <v>0</v>
      </c>
      <c r="AG82" s="168" t="str">
        <f aca="false">A82</f>
        <v>Saturday/Sunday shift</v>
      </c>
      <c r="AH82" s="197"/>
      <c r="AI82" s="207" t="n">
        <f aca="false">SUM(B82:AF82)</f>
        <v>0</v>
      </c>
      <c r="AJ82" s="198" t="n">
        <f aca="false">IFERROR(SUMPRODUCT((B82:AF82&gt;0)*(B82:AF82&lt;&gt;"")),0)</f>
        <v>0</v>
      </c>
      <c r="AK82" s="192"/>
      <c r="AL82" s="216" t="n">
        <f aca="false">IF(EB.Anwendung&lt;&gt;"",IF(MONTH(Monat.Tag1)=1,0,IF(MONTH(Monat.Tag1)=2,January!Monat.SDUeVM,IF(MONTH(Monat.Tag1)=3,February!Monat.SDUeVM,IF(MONTH(Monat.Tag1)=4,March!Monat.SDUeVM,IF(MONTH(Monat.Tag1)=5,April!Monat.SDUeVM,IF(MONTH(Monat.Tag1)=6,May!Monat.SDUeVM,IF(MONTH(Monat.Tag1)=7,June!Monat.SDUeVM,IF(MONTH(Monat.Tag1)=8,Monat.SDUeVM,IF(MONTH(Monat.Tag1)=9,August!Monat.SDUeVM,IF(MONTH(Monat.Tag1)=10,September!Monat.SDUeVM,IF(MONTH(Monat.Tag1)=11,October!Monat.SDUeVM,IF(MONTH(Monat.Tag1)=12,November!Monat.SDUeVM,"")))))))))))),"")</f>
        <v>0</v>
      </c>
      <c r="AM82" s="172"/>
      <c r="AN82" s="217" t="n">
        <f aca="false">AI82+AL82</f>
        <v>0</v>
      </c>
      <c r="AO82" s="171"/>
      <c r="AP82" s="171"/>
      <c r="AQ82" s="39"/>
    </row>
    <row r="83" s="148" customFormat="true" ht="11.25" hidden="false" customHeight="true" outlineLevel="1" collapsed="false">
      <c r="A83" s="186"/>
      <c r="B83" s="194"/>
      <c r="C83" s="194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4"/>
      <c r="O83" s="194"/>
      <c r="P83" s="194"/>
      <c r="Q83" s="194"/>
      <c r="R83" s="194"/>
      <c r="S83" s="194"/>
      <c r="T83" s="194"/>
      <c r="U83" s="194"/>
      <c r="V83" s="194"/>
      <c r="W83" s="194"/>
      <c r="X83" s="194"/>
      <c r="Y83" s="194"/>
      <c r="Z83" s="194"/>
      <c r="AA83" s="194"/>
      <c r="AB83" s="194"/>
      <c r="AC83" s="194"/>
      <c r="AD83" s="194"/>
      <c r="AE83" s="194"/>
      <c r="AF83" s="195"/>
      <c r="AG83" s="168"/>
      <c r="AH83" s="197"/>
      <c r="AI83" s="192"/>
      <c r="AJ83" s="27"/>
      <c r="AK83" s="235"/>
      <c r="AL83" s="235"/>
      <c r="AM83" s="172"/>
      <c r="AN83" s="254"/>
      <c r="AO83" s="259"/>
      <c r="AP83" s="259"/>
      <c r="AQ83" s="39"/>
    </row>
    <row r="84" s="148" customFormat="true" ht="15" hidden="false" customHeight="true" outlineLevel="0" collapsed="false">
      <c r="A84" s="175" t="s">
        <v>166</v>
      </c>
      <c r="B84" s="176"/>
      <c r="C84" s="176"/>
      <c r="D84" s="176"/>
      <c r="E84" s="176"/>
      <c r="F84" s="176"/>
      <c r="G84" s="176"/>
      <c r="H84" s="176"/>
      <c r="I84" s="176"/>
      <c r="J84" s="176"/>
      <c r="K84" s="176"/>
      <c r="L84" s="176"/>
      <c r="M84" s="176"/>
      <c r="N84" s="176"/>
      <c r="O84" s="176"/>
      <c r="P84" s="176"/>
      <c r="Q84" s="176"/>
      <c r="R84" s="176"/>
      <c r="S84" s="176"/>
      <c r="T84" s="176"/>
      <c r="U84" s="176"/>
      <c r="V84" s="176"/>
      <c r="W84" s="176"/>
      <c r="X84" s="176"/>
      <c r="Y84" s="176"/>
      <c r="Z84" s="190"/>
      <c r="AA84" s="176"/>
      <c r="AB84" s="176"/>
      <c r="AC84" s="176"/>
      <c r="AD84" s="176"/>
      <c r="AE84" s="176"/>
      <c r="AF84" s="176"/>
      <c r="AG84" s="168" t="str">
        <f aca="false">A84</f>
        <v>Vacation</v>
      </c>
      <c r="AH84" s="184"/>
      <c r="AI84" s="207" t="n">
        <f aca="false">SUM(B84:AF84)</f>
        <v>0</v>
      </c>
      <c r="AJ84" s="33"/>
      <c r="AK84" s="216" t="n">
        <f aca="true">OFFSET(EB.MFAStd.Knoten,MONTH(Monat.Tag1),0,1,1)</f>
        <v>0.583333333333333</v>
      </c>
      <c r="AL84" s="216" t="n">
        <f aca="false">IF(EB.Anwendung&lt;&gt;"",IF(MONTH(Monat.Tag1)=1,EB.FerienBer,IF(MONTH(Monat.Tag1)=2,January!Monat.FerienUeVM,IF(MONTH(Monat.Tag1)=3,February!Monat.FerienUeVM,IF(MONTH(Monat.Tag1)=4,March!Monat.FerienUeVM,IF(MONTH(Monat.Tag1)=5,April!Monat.FerienUeVM,IF(MONTH(Monat.Tag1)=6,May!Monat.FerienUeVM,IF(MONTH(Monat.Tag1)=7,June!Monat.FerienUeVM,IF(MONTH(Monat.Tag1)=8,Monat.FerienUeVM,IF(MONTH(Monat.Tag1)=9,August!Monat.FerienUeVM,IF(MONTH(Monat.Tag1)=10,September!Monat.FerienUeVM,IF(MONTH(Monat.Tag1)=11,October!Monat.FerienUeVM,IF(MONTH(Monat.Tag1)=12,November!Monat.FerienUeVM,"")))))))))))),"")</f>
        <v>1.75</v>
      </c>
      <c r="AM84" s="172"/>
      <c r="AN84" s="217" t="n">
        <f aca="false">IF(AH85="+",(AK84+AL84-Monat.Ferien.Total+AI85),(AK84+AL84-Monat.Ferien.Total-AI85))</f>
        <v>2.33333333333333</v>
      </c>
      <c r="AO84" s="217" t="n">
        <f aca="true">SUM(Jahresabrechnung!AC12:AC13)-SUM(OFFSET(Jahresabrechnung!AC15,0,0,MONTH(Monat.Tag1),1))</f>
        <v>5.25</v>
      </c>
      <c r="AP84" s="217" t="n">
        <f aca="false">J.FerienUE.Total</f>
        <v>5.25</v>
      </c>
      <c r="AQ84" s="39"/>
    </row>
    <row r="85" s="148" customFormat="true" ht="15" hidden="false" customHeight="true" outlineLevel="0" collapsed="false">
      <c r="A85" s="186"/>
      <c r="B85" s="191"/>
      <c r="C85" s="191"/>
      <c r="D85" s="191"/>
      <c r="E85" s="191"/>
      <c r="F85" s="191"/>
      <c r="G85" s="191"/>
      <c r="H85" s="191"/>
      <c r="I85" s="191"/>
      <c r="J85" s="191"/>
      <c r="K85" s="191"/>
      <c r="L85" s="191"/>
      <c r="M85" s="191"/>
      <c r="N85" s="191"/>
      <c r="O85" s="191"/>
      <c r="P85" s="191"/>
      <c r="Q85" s="191"/>
      <c r="R85" s="191"/>
      <c r="S85" s="191"/>
      <c r="T85" s="191"/>
      <c r="U85" s="191"/>
      <c r="V85" s="191"/>
      <c r="W85" s="191"/>
      <c r="X85" s="191"/>
      <c r="Y85" s="191"/>
      <c r="Z85" s="191"/>
      <c r="AA85" s="191"/>
      <c r="AB85" s="191"/>
      <c r="AC85" s="191"/>
      <c r="AD85" s="191"/>
      <c r="AE85" s="191"/>
      <c r="AF85" s="192"/>
      <c r="AG85" s="175" t="s">
        <v>167</v>
      </c>
      <c r="AH85" s="244" t="s">
        <v>146</v>
      </c>
      <c r="AI85" s="260"/>
      <c r="AJ85" s="246"/>
      <c r="AK85" s="172"/>
      <c r="AL85" s="172"/>
      <c r="AM85" s="172"/>
      <c r="AN85" s="171"/>
      <c r="AO85" s="261"/>
      <c r="AP85" s="261"/>
      <c r="AQ85" s="39"/>
    </row>
    <row r="86" s="148" customFormat="true" ht="15" hidden="false" customHeight="true" outlineLevel="0" collapsed="false">
      <c r="A86" s="175" t="s">
        <v>168</v>
      </c>
      <c r="B86" s="176"/>
      <c r="C86" s="176"/>
      <c r="D86" s="176"/>
      <c r="E86" s="177"/>
      <c r="F86" s="176"/>
      <c r="G86" s="176"/>
      <c r="H86" s="176"/>
      <c r="I86" s="176"/>
      <c r="J86" s="177"/>
      <c r="K86" s="176"/>
      <c r="L86" s="177"/>
      <c r="M86" s="176"/>
      <c r="N86" s="176"/>
      <c r="O86" s="176"/>
      <c r="P86" s="176"/>
      <c r="Q86" s="177"/>
      <c r="R86" s="176"/>
      <c r="S86" s="177"/>
      <c r="T86" s="177"/>
      <c r="U86" s="176"/>
      <c r="V86" s="176"/>
      <c r="W86" s="176"/>
      <c r="X86" s="177"/>
      <c r="Y86" s="176"/>
      <c r="Z86" s="178"/>
      <c r="AA86" s="176"/>
      <c r="AB86" s="176"/>
      <c r="AC86" s="176"/>
      <c r="AD86" s="176"/>
      <c r="AE86" s="177"/>
      <c r="AF86" s="176"/>
      <c r="AG86" s="168" t="str">
        <f aca="false">A86</f>
        <v>Consultation</v>
      </c>
      <c r="AH86" s="184"/>
      <c r="AI86" s="207" t="n">
        <f aca="false">SUM(B86:AF86)</f>
        <v>0</v>
      </c>
      <c r="AJ86" s="33"/>
      <c r="AK86" s="235"/>
      <c r="AL86" s="216" t="n">
        <f aca="false">IF(EB.Anwendung&lt;&gt;"",IF(MONTH(Monat.Tag1)=1,0,IF(MONTH(Monat.Tag1)=2,January!Monat.ArztUeVM,IF(MONTH(Monat.Tag1)=3,February!Monat.ArztUeVM,IF(MONTH(Monat.Tag1)=4,March!Monat.ArztUeVM,IF(MONTH(Monat.Tag1)=5,April!Monat.ArztUeVM,IF(MONTH(Monat.Tag1)=6,May!Monat.ArztUeVM,IF(MONTH(Monat.Tag1)=7,June!Monat.ArztUeVM,IF(MONTH(Monat.Tag1)=8,Monat.ArztUeVM,IF(MONTH(Monat.Tag1)=9,August!Monat.ArztUeVM,IF(MONTH(Monat.Tag1)=10,September!Monat.ArztUeVM,IF(MONTH(Monat.Tag1)=11,October!Monat.ArztUeVM,IF(MONTH(Monat.Tag1)=12,November!Monat.ArztUeVM,"")))))))))))),"")</f>
        <v>0</v>
      </c>
      <c r="AM86" s="172"/>
      <c r="AN86" s="217" t="n">
        <f aca="false">AI86+AL86</f>
        <v>0</v>
      </c>
      <c r="AO86" s="171"/>
      <c r="AP86" s="171"/>
      <c r="AQ86" s="39"/>
    </row>
    <row r="87" s="148" customFormat="true" ht="15" hidden="false" customHeight="true" outlineLevel="0" collapsed="false">
      <c r="A87" s="175" t="s">
        <v>169</v>
      </c>
      <c r="B87" s="176"/>
      <c r="C87" s="176"/>
      <c r="D87" s="176"/>
      <c r="E87" s="177"/>
      <c r="F87" s="176"/>
      <c r="G87" s="176"/>
      <c r="H87" s="176"/>
      <c r="I87" s="176"/>
      <c r="J87" s="177"/>
      <c r="K87" s="176"/>
      <c r="L87" s="177"/>
      <c r="M87" s="176"/>
      <c r="N87" s="176"/>
      <c r="O87" s="176"/>
      <c r="P87" s="176"/>
      <c r="Q87" s="177"/>
      <c r="R87" s="176"/>
      <c r="S87" s="177"/>
      <c r="T87" s="177"/>
      <c r="U87" s="176"/>
      <c r="V87" s="176"/>
      <c r="W87" s="176"/>
      <c r="X87" s="177"/>
      <c r="Y87" s="176"/>
      <c r="Z87" s="178"/>
      <c r="AA87" s="176"/>
      <c r="AB87" s="176"/>
      <c r="AC87" s="176"/>
      <c r="AD87" s="176"/>
      <c r="AE87" s="177"/>
      <c r="AF87" s="176"/>
      <c r="AG87" s="168" t="str">
        <f aca="false">A87</f>
        <v>Illness</v>
      </c>
      <c r="AH87" s="184"/>
      <c r="AI87" s="207" t="n">
        <f aca="false">SUM(B87:AF87)</f>
        <v>0</v>
      </c>
      <c r="AJ87" s="33"/>
      <c r="AK87" s="235"/>
      <c r="AL87" s="216" t="n">
        <f aca="false">IF(EB.Anwendung&lt;&gt;"",IF(MONTH(Monat.Tag1)=1,0,IF(MONTH(Monat.Tag1)=2,January!Monat.KrankUeVM,IF(MONTH(Monat.Tag1)=3,February!Monat.KrankUeVM,IF(MONTH(Monat.Tag1)=4,March!Monat.KrankUeVM,IF(MONTH(Monat.Tag1)=5,April!Monat.KrankUeVM,IF(MONTH(Monat.Tag1)=6,May!Monat.KrankUeVM,IF(MONTH(Monat.Tag1)=7,June!Monat.KrankUeVM,IF(MONTH(Monat.Tag1)=8,Monat.KrankUeVM,IF(MONTH(Monat.Tag1)=9,August!Monat.KrankUeVM,IF(MONTH(Monat.Tag1)=10,September!Monat.KrankUeVM,IF(MONTH(Monat.Tag1)=11,October!Monat.KrankUeVM,IF(MONTH(Monat.Tag1)=12,November!Monat.KrankUeVM,"")))))))))))),"")</f>
        <v>0</v>
      </c>
      <c r="AM87" s="172"/>
      <c r="AN87" s="217" t="n">
        <f aca="false">AI87+AL87</f>
        <v>0</v>
      </c>
      <c r="AO87" s="171"/>
      <c r="AP87" s="171"/>
      <c r="AQ87" s="39"/>
    </row>
    <row r="88" s="148" customFormat="true" ht="15" hidden="false" customHeight="true" outlineLevel="0" collapsed="false">
      <c r="A88" s="175" t="s">
        <v>170</v>
      </c>
      <c r="B88" s="176"/>
      <c r="C88" s="176"/>
      <c r="D88" s="176"/>
      <c r="E88" s="177"/>
      <c r="F88" s="176"/>
      <c r="G88" s="176"/>
      <c r="H88" s="176"/>
      <c r="I88" s="176"/>
      <c r="J88" s="177"/>
      <c r="K88" s="176"/>
      <c r="L88" s="177"/>
      <c r="M88" s="176"/>
      <c r="N88" s="176"/>
      <c r="O88" s="176"/>
      <c r="P88" s="176"/>
      <c r="Q88" s="177"/>
      <c r="R88" s="176"/>
      <c r="S88" s="177"/>
      <c r="T88" s="177"/>
      <c r="U88" s="176"/>
      <c r="V88" s="176"/>
      <c r="W88" s="176"/>
      <c r="X88" s="177"/>
      <c r="Y88" s="176"/>
      <c r="Z88" s="178"/>
      <c r="AA88" s="176"/>
      <c r="AB88" s="176"/>
      <c r="AC88" s="176"/>
      <c r="AD88" s="176"/>
      <c r="AE88" s="177"/>
      <c r="AF88" s="176"/>
      <c r="AG88" s="168" t="str">
        <f aca="false">A88</f>
        <v>Work-related accident</v>
      </c>
      <c r="AH88" s="184"/>
      <c r="AI88" s="207" t="n">
        <f aca="false">SUM(B88:AF88)</f>
        <v>0</v>
      </c>
      <c r="AJ88" s="33"/>
      <c r="AK88" s="235"/>
      <c r="AL88" s="216" t="n">
        <f aca="false">IF(EB.Anwendung&lt;&gt;"",IF(MONTH(Monat.Tag1)=1,0,IF(MONTH(Monat.Tag1)=2,January!Monat.BUUeVM,IF(MONTH(Monat.Tag1)=3,February!Monat.BUUeVM,IF(MONTH(Monat.Tag1)=4,March!Monat.BUUeVM,IF(MONTH(Monat.Tag1)=5,April!Monat.BUUeVM,IF(MONTH(Monat.Tag1)=6,May!Monat.BUUeVM,IF(MONTH(Monat.Tag1)=7,June!Monat.BUUeVM,IF(MONTH(Monat.Tag1)=8,Monat.BUUeVM,IF(MONTH(Monat.Tag1)=9,August!Monat.BUUeVM,IF(MONTH(Monat.Tag1)=10,September!Monat.BUUeVM,IF(MONTH(Monat.Tag1)=11,October!Monat.BUUeVM,IF(MONTH(Monat.Tag1)=12,November!Monat.BUUeVM,"")))))))))))),"")</f>
        <v>0</v>
      </c>
      <c r="AM88" s="172"/>
      <c r="AN88" s="217" t="n">
        <f aca="false">AI88+AL88</f>
        <v>0</v>
      </c>
      <c r="AO88" s="171"/>
      <c r="AP88" s="171"/>
      <c r="AQ88" s="39"/>
    </row>
    <row r="89" s="148" customFormat="true" ht="15" hidden="false" customHeight="true" outlineLevel="0" collapsed="false">
      <c r="A89" s="175" t="s">
        <v>171</v>
      </c>
      <c r="B89" s="176"/>
      <c r="C89" s="176"/>
      <c r="D89" s="176"/>
      <c r="E89" s="177"/>
      <c r="F89" s="176"/>
      <c r="G89" s="176"/>
      <c r="H89" s="176"/>
      <c r="I89" s="176"/>
      <c r="J89" s="177"/>
      <c r="K89" s="176"/>
      <c r="L89" s="177"/>
      <c r="M89" s="176"/>
      <c r="N89" s="176"/>
      <c r="O89" s="176"/>
      <c r="P89" s="176"/>
      <c r="Q89" s="177"/>
      <c r="R89" s="176"/>
      <c r="S89" s="177"/>
      <c r="T89" s="177"/>
      <c r="U89" s="176"/>
      <c r="V89" s="176"/>
      <c r="W89" s="176"/>
      <c r="X89" s="177"/>
      <c r="Y89" s="176"/>
      <c r="Z89" s="178"/>
      <c r="AA89" s="176"/>
      <c r="AB89" s="176"/>
      <c r="AC89" s="176"/>
      <c r="AD89" s="176"/>
      <c r="AE89" s="177"/>
      <c r="AF89" s="176"/>
      <c r="AG89" s="168" t="str">
        <f aca="false">A89</f>
        <v>Non-work-related accident</v>
      </c>
      <c r="AH89" s="184"/>
      <c r="AI89" s="207" t="n">
        <f aca="false">SUM(B89:AF89)</f>
        <v>0</v>
      </c>
      <c r="AJ89" s="33"/>
      <c r="AK89" s="235"/>
      <c r="AL89" s="216" t="n">
        <f aca="false">IF(EB.Anwendung&lt;&gt;"",IF(MONTH(Monat.Tag1)=1,0,IF(MONTH(Monat.Tag1)=2,January!Monat.NBUUeVM,IF(MONTH(Monat.Tag1)=3,February!Monat.NBUUeVM,IF(MONTH(Monat.Tag1)=4,March!Monat.NBUUeVM,IF(MONTH(Monat.Tag1)=5,April!Monat.NBUUeVM,IF(MONTH(Monat.Tag1)=6,May!Monat.NBUUeVM,IF(MONTH(Monat.Tag1)=7,June!Monat.NBUUeVM,IF(MONTH(Monat.Tag1)=8,Monat.NBUUeVM,IF(MONTH(Monat.Tag1)=9,August!Monat.NBUUeVM,IF(MONTH(Monat.Tag1)=10,September!Monat.NBUUeVM,IF(MONTH(Monat.Tag1)=11,October!Monat.NBUUeVM,IF(MONTH(Monat.Tag1)=12,November!Monat.NBUUeVM,"")))))))))))),"")</f>
        <v>0</v>
      </c>
      <c r="AM89" s="172"/>
      <c r="AN89" s="217" t="n">
        <f aca="false">AI89+AL89</f>
        <v>0</v>
      </c>
      <c r="AO89" s="171"/>
      <c r="AP89" s="171"/>
      <c r="AQ89" s="39"/>
    </row>
    <row r="90" s="148" customFormat="true" ht="15" hidden="false" customHeight="true" outlineLevel="0" collapsed="false">
      <c r="A90" s="175" t="s">
        <v>172</v>
      </c>
      <c r="B90" s="176"/>
      <c r="C90" s="176"/>
      <c r="D90" s="176"/>
      <c r="E90" s="177"/>
      <c r="F90" s="176"/>
      <c r="G90" s="176"/>
      <c r="H90" s="176"/>
      <c r="I90" s="176"/>
      <c r="J90" s="177"/>
      <c r="K90" s="176"/>
      <c r="L90" s="177"/>
      <c r="M90" s="176"/>
      <c r="N90" s="176"/>
      <c r="O90" s="176"/>
      <c r="P90" s="176"/>
      <c r="Q90" s="177"/>
      <c r="R90" s="176"/>
      <c r="S90" s="177"/>
      <c r="T90" s="177"/>
      <c r="U90" s="176"/>
      <c r="V90" s="176"/>
      <c r="W90" s="176"/>
      <c r="X90" s="177"/>
      <c r="Y90" s="176"/>
      <c r="Z90" s="178"/>
      <c r="AA90" s="176"/>
      <c r="AB90" s="176"/>
      <c r="AC90" s="176"/>
      <c r="AD90" s="176"/>
      <c r="AE90" s="177"/>
      <c r="AF90" s="176"/>
      <c r="AG90" s="168" t="str">
        <f aca="false">A90</f>
        <v>Military/civilian service</v>
      </c>
      <c r="AH90" s="184"/>
      <c r="AI90" s="207" t="n">
        <f aca="false">SUM(B90:AF90)</f>
        <v>0</v>
      </c>
      <c r="AJ90" s="33"/>
      <c r="AK90" s="235"/>
      <c r="AL90" s="216" t="n">
        <f aca="false">IF(EB.Anwendung&lt;&gt;"",IF(MONTH(Monat.Tag1)=1,0,IF(MONTH(Monat.Tag1)=2,January!Monat.MZSUeVM,IF(MONTH(Monat.Tag1)=3,February!Monat.MZSUeVM,IF(MONTH(Monat.Tag1)=4,March!Monat.MZSUeVM,IF(MONTH(Monat.Tag1)=5,April!Monat.MZSUeVM,IF(MONTH(Monat.Tag1)=6,May!Monat.MZSUeVM,IF(MONTH(Monat.Tag1)=7,June!Monat.MZSUeVM,IF(MONTH(Monat.Tag1)=8,Monat.MZSUeVM,IF(MONTH(Monat.Tag1)=9,August!Monat.MZSUeVM,IF(MONTH(Monat.Tag1)=10,September!Monat.MZSUeVM,IF(MONTH(Monat.Tag1)=11,October!Monat.MZSUeVM,IF(MONTH(Monat.Tag1)=12,November!Monat.MZSUeVM,"")))))))))))),"")</f>
        <v>0</v>
      </c>
      <c r="AM90" s="172"/>
      <c r="AN90" s="217" t="n">
        <f aca="false">AI90+AL90</f>
        <v>0</v>
      </c>
      <c r="AO90" s="171"/>
      <c r="AP90" s="171"/>
      <c r="AQ90" s="39"/>
    </row>
    <row r="91" s="148" customFormat="true" ht="15" hidden="false" customHeight="true" outlineLevel="0" collapsed="false">
      <c r="A91" s="175" t="s">
        <v>173</v>
      </c>
      <c r="B91" s="176"/>
      <c r="C91" s="176"/>
      <c r="D91" s="176"/>
      <c r="E91" s="177"/>
      <c r="F91" s="176"/>
      <c r="G91" s="176"/>
      <c r="H91" s="176"/>
      <c r="I91" s="176"/>
      <c r="J91" s="177"/>
      <c r="K91" s="176"/>
      <c r="L91" s="177"/>
      <c r="M91" s="176"/>
      <c r="N91" s="176"/>
      <c r="O91" s="176"/>
      <c r="P91" s="176"/>
      <c r="Q91" s="177"/>
      <c r="R91" s="176"/>
      <c r="S91" s="177"/>
      <c r="T91" s="177"/>
      <c r="U91" s="176"/>
      <c r="V91" s="176"/>
      <c r="W91" s="176"/>
      <c r="X91" s="177"/>
      <c r="Y91" s="176"/>
      <c r="Z91" s="178"/>
      <c r="AA91" s="176"/>
      <c r="AB91" s="176"/>
      <c r="AC91" s="176"/>
      <c r="AD91" s="176"/>
      <c r="AE91" s="177"/>
      <c r="AF91" s="176"/>
      <c r="AG91" s="168" t="str">
        <f aca="false">A91</f>
        <v>Continuing education</v>
      </c>
      <c r="AH91" s="184"/>
      <c r="AI91" s="207" t="n">
        <f aca="false">SUM(B91:AF91)</f>
        <v>0</v>
      </c>
      <c r="AJ91" s="33"/>
      <c r="AK91" s="235"/>
      <c r="AL91" s="216" t="n">
        <f aca="false">IF(EB.Anwendung&lt;&gt;"",IF(MONTH(Monat.Tag1)=1,0,IF(MONTH(Monat.Tag1)=2,January!Monat.WBUeVM,IF(MONTH(Monat.Tag1)=3,February!Monat.WBUeVM,IF(MONTH(Monat.Tag1)=4,March!Monat.WBUeVM,IF(MONTH(Monat.Tag1)=5,April!Monat.WBUeVM,IF(MONTH(Monat.Tag1)=6,May!Monat.WBUeVM,IF(MONTH(Monat.Tag1)=7,June!Monat.WBUeVM,IF(MONTH(Monat.Tag1)=8,Monat.WBUeVM,IF(MONTH(Monat.Tag1)=9,August!Monat.WBUeVM,IF(MONTH(Monat.Tag1)=10,September!Monat.WBUeVM,IF(MONTH(Monat.Tag1)=11,October!Monat.WBUeVM,IF(MONTH(Monat.Tag1)=12,November!Monat.WBUeVM,"")))))))))))),"")</f>
        <v>0</v>
      </c>
      <c r="AM91" s="172"/>
      <c r="AN91" s="217" t="n">
        <f aca="false">AI91+AL91</f>
        <v>0</v>
      </c>
      <c r="AO91" s="171"/>
      <c r="AP91" s="171"/>
      <c r="AQ91" s="39"/>
    </row>
    <row r="92" s="148" customFormat="true" ht="15" hidden="false" customHeight="true" outlineLevel="0" collapsed="false">
      <c r="A92" s="175" t="s">
        <v>174</v>
      </c>
      <c r="B92" s="176"/>
      <c r="C92" s="176"/>
      <c r="D92" s="176"/>
      <c r="E92" s="177"/>
      <c r="F92" s="176"/>
      <c r="G92" s="176"/>
      <c r="H92" s="176"/>
      <c r="I92" s="176"/>
      <c r="J92" s="177"/>
      <c r="K92" s="176"/>
      <c r="L92" s="177"/>
      <c r="M92" s="176"/>
      <c r="N92" s="176"/>
      <c r="O92" s="176"/>
      <c r="P92" s="176"/>
      <c r="Q92" s="177"/>
      <c r="R92" s="176"/>
      <c r="S92" s="177"/>
      <c r="T92" s="177"/>
      <c r="U92" s="176"/>
      <c r="V92" s="176"/>
      <c r="W92" s="176"/>
      <c r="X92" s="177"/>
      <c r="Y92" s="176"/>
      <c r="Z92" s="178"/>
      <c r="AA92" s="176"/>
      <c r="AB92" s="176"/>
      <c r="AC92" s="176"/>
      <c r="AD92" s="176"/>
      <c r="AE92" s="177"/>
      <c r="AF92" s="176"/>
      <c r="AG92" s="168" t="str">
        <f aca="false">A92</f>
        <v>Paid leave</v>
      </c>
      <c r="AH92" s="184"/>
      <c r="AI92" s="207" t="n">
        <f aca="false">SUM(B92:AF92)</f>
        <v>0</v>
      </c>
      <c r="AJ92" s="33"/>
      <c r="AK92" s="235"/>
      <c r="AL92" s="216" t="n">
        <f aca="false">IF(EB.Anwendung&lt;&gt;"",IF(MONTH(Monat.Tag1)=1,0,IF(MONTH(Monat.Tag1)=2,January!Monat.BesUrlaubUeVM,IF(MONTH(Monat.Tag1)=3,February!Monat.BesUrlaubUeVM,IF(MONTH(Monat.Tag1)=4,March!Monat.BesUrlaubUeVM,IF(MONTH(Monat.Tag1)=5,April!Monat.BesUrlaubUeVM,IF(MONTH(Monat.Tag1)=6,May!Monat.BesUrlaubUeVM,IF(MONTH(Monat.Tag1)=7,June!Monat.BesUrlaubUeVM,IF(MONTH(Monat.Tag1)=8,Monat.BesUrlaubUeVM,IF(MONTH(Monat.Tag1)=9,August!Monat.BesUrlaubUeVM,IF(MONTH(Monat.Tag1)=10,September!Monat.BesUrlaubUeVM,IF(MONTH(Monat.Tag1)=11,October!Monat.BesUrlaubUeVM,IF(MONTH(Monat.Tag1)=12,November!Monat.BesUrlaubUeVM,"")))))))))))),"")</f>
        <v>0</v>
      </c>
      <c r="AM92" s="172"/>
      <c r="AN92" s="217" t="n">
        <f aca="false">AI92+AL92</f>
        <v>0</v>
      </c>
      <c r="AO92" s="171"/>
      <c r="AP92" s="171"/>
      <c r="AQ92" s="39"/>
    </row>
    <row r="93" s="148" customFormat="true" ht="15" hidden="false" customHeight="true" outlineLevel="0" collapsed="false">
      <c r="A93" s="175" t="s">
        <v>175</v>
      </c>
      <c r="B93" s="176"/>
      <c r="C93" s="176"/>
      <c r="D93" s="176"/>
      <c r="E93" s="177"/>
      <c r="F93" s="176"/>
      <c r="G93" s="176"/>
      <c r="H93" s="176"/>
      <c r="I93" s="176"/>
      <c r="J93" s="177"/>
      <c r="K93" s="176"/>
      <c r="L93" s="177"/>
      <c r="M93" s="176"/>
      <c r="N93" s="176"/>
      <c r="O93" s="176"/>
      <c r="P93" s="176"/>
      <c r="Q93" s="177"/>
      <c r="R93" s="176"/>
      <c r="S93" s="177"/>
      <c r="T93" s="177"/>
      <c r="U93" s="176"/>
      <c r="V93" s="176"/>
      <c r="W93" s="176"/>
      <c r="X93" s="177"/>
      <c r="Y93" s="176"/>
      <c r="Z93" s="178"/>
      <c r="AA93" s="176"/>
      <c r="AB93" s="176"/>
      <c r="AC93" s="176"/>
      <c r="AD93" s="176"/>
      <c r="AE93" s="177"/>
      <c r="AF93" s="176"/>
      <c r="AG93" s="168" t="str">
        <f aca="false">A93</f>
        <v>Unpaid leave</v>
      </c>
      <c r="AH93" s="184"/>
      <c r="AI93" s="207" t="n">
        <f aca="false">SUM(B93:AF93)</f>
        <v>0</v>
      </c>
      <c r="AJ93" s="33"/>
      <c r="AK93" s="235"/>
      <c r="AL93" s="216" t="n">
        <f aca="false">IF(EB.Anwendung&lt;&gt;"",IF(MONTH(Monat.Tag1)=1,0,IF(MONTH(Monat.Tag1)=2,January!Monat.UnbesUrlaubUeVM,IF(MONTH(Monat.Tag1)=3,February!Monat.UnbesUrlaubUeVM,IF(MONTH(Monat.Tag1)=4,March!Monat.UnbesUrlaubUeVM,IF(MONTH(Monat.Tag1)=5,April!Monat.UnbesUrlaubUeVM,IF(MONTH(Monat.Tag1)=6,May!Monat.UnbesUrlaubUeVM,IF(MONTH(Monat.Tag1)=7,June!Monat.UnbesUrlaubUeVM,IF(MONTH(Monat.Tag1)=8,Monat.UnbesUrlaubUeVM,IF(MONTH(Monat.Tag1)=9,August!Monat.UnbesUrlaubUeVM,IF(MONTH(Monat.Tag1)=10,September!Monat.UnbesUrlaubUeVM,IF(MONTH(Monat.Tag1)=11,October!Monat.UnbesUrlaubUeVM,IF(MONTH(Monat.Tag1)=12,November!Monat.UnbesUrlaubUeVM,"")))))))))))),"")</f>
        <v>0</v>
      </c>
      <c r="AM93" s="172"/>
      <c r="AN93" s="217" t="n">
        <f aca="false">AI93+AL93</f>
        <v>0</v>
      </c>
      <c r="AO93" s="171"/>
      <c r="AP93" s="171"/>
      <c r="AQ93" s="39"/>
    </row>
    <row r="94" s="148" customFormat="true" ht="15" hidden="true" customHeight="true" outlineLevel="1" collapsed="false">
      <c r="A94" s="175" t="s">
        <v>176</v>
      </c>
      <c r="B94" s="176"/>
      <c r="C94" s="176"/>
      <c r="D94" s="176"/>
      <c r="E94" s="177"/>
      <c r="F94" s="176"/>
      <c r="G94" s="176"/>
      <c r="H94" s="176"/>
      <c r="I94" s="176"/>
      <c r="J94" s="177"/>
      <c r="K94" s="176"/>
      <c r="L94" s="177"/>
      <c r="M94" s="176"/>
      <c r="N94" s="176"/>
      <c r="O94" s="176"/>
      <c r="P94" s="176"/>
      <c r="Q94" s="177"/>
      <c r="R94" s="176"/>
      <c r="S94" s="177"/>
      <c r="T94" s="177"/>
      <c r="U94" s="176"/>
      <c r="V94" s="176"/>
      <c r="W94" s="176"/>
      <c r="X94" s="177"/>
      <c r="Y94" s="176"/>
      <c r="Z94" s="178"/>
      <c r="AA94" s="176"/>
      <c r="AB94" s="176"/>
      <c r="AC94" s="176"/>
      <c r="AD94" s="176"/>
      <c r="AE94" s="177"/>
      <c r="AF94" s="176"/>
      <c r="AG94" s="168" t="str">
        <f aca="false">A94</f>
        <v>Secondary employment</v>
      </c>
      <c r="AH94" s="184"/>
      <c r="AI94" s="207" t="n">
        <f aca="false">SUM(B94:AF94)</f>
        <v>0</v>
      </c>
      <c r="AJ94" s="33"/>
      <c r="AK94" s="235"/>
      <c r="AL94" s="216" t="n">
        <f aca="false">IF(EB.Anwendung&lt;&gt;"",IF(MONTH(Monat.Tag1)=1,0,IF(MONTH(Monat.Tag1)=2,January!Monat.NBUeVM,IF(MONTH(Monat.Tag1)=3,February!Monat.NBUeVM,IF(MONTH(Monat.Tag1)=4,March!Monat.NBUeVM,IF(MONTH(Monat.Tag1)=5,April!Monat.NBUeVM,IF(MONTH(Monat.Tag1)=6,May!Monat.NBUeVM,IF(MONTH(Monat.Tag1)=7,June!Monat.NBUeVM,IF(MONTH(Monat.Tag1)=8,Monat.NBUeVM,IF(MONTH(Monat.Tag1)=9,August!Monat.NBUeVM,IF(MONTH(Monat.Tag1)=10,September!Monat.NBUeVM,IF(MONTH(Monat.Tag1)=11,October!Monat.NBUeVM,IF(MONTH(Monat.Tag1)=12,November!Monat.NBUeVM,"")))))))))))),"")</f>
        <v>0</v>
      </c>
      <c r="AM94" s="172"/>
      <c r="AN94" s="217" t="n">
        <f aca="false">AI94+AL94</f>
        <v>0</v>
      </c>
      <c r="AO94" s="171"/>
      <c r="AP94" s="171"/>
      <c r="AQ94" s="39"/>
    </row>
    <row r="95" s="148" customFormat="true" ht="15" hidden="false" customHeight="true" outlineLevel="0" collapsed="false">
      <c r="A95" s="175" t="s">
        <v>86</v>
      </c>
      <c r="B95" s="176"/>
      <c r="C95" s="176"/>
      <c r="D95" s="176"/>
      <c r="E95" s="177"/>
      <c r="F95" s="176"/>
      <c r="G95" s="176"/>
      <c r="H95" s="176"/>
      <c r="I95" s="176"/>
      <c r="J95" s="177"/>
      <c r="K95" s="176"/>
      <c r="L95" s="177"/>
      <c r="M95" s="176"/>
      <c r="N95" s="176"/>
      <c r="O95" s="176"/>
      <c r="P95" s="176"/>
      <c r="Q95" s="177"/>
      <c r="R95" s="176"/>
      <c r="S95" s="177"/>
      <c r="T95" s="177"/>
      <c r="U95" s="176"/>
      <c r="V95" s="176"/>
      <c r="W95" s="176"/>
      <c r="X95" s="177"/>
      <c r="Y95" s="176"/>
      <c r="Z95" s="178"/>
      <c r="AA95" s="176"/>
      <c r="AB95" s="176"/>
      <c r="AC95" s="176"/>
      <c r="AD95" s="176"/>
      <c r="AE95" s="177"/>
      <c r="AF95" s="176"/>
      <c r="AG95" s="168" t="str">
        <f aca="false">A95</f>
        <v>Seniority allowance</v>
      </c>
      <c r="AH95" s="184"/>
      <c r="AI95" s="207" t="n">
        <f aca="false">SUM(B95:AF95)</f>
        <v>0</v>
      </c>
      <c r="AJ95" s="33"/>
      <c r="AK95" s="235"/>
      <c r="AL95" s="216" t="n">
        <f aca="false">IF(EB.Anwendung&lt;&gt;"",IF(MONTH(Monat.Tag1)=1,EB.DAG,IF(MONTH(Monat.Tag1)=2,January!Monat.DAGUeVM,IF(MONTH(Monat.Tag1)=3,February!Monat.DAGUeVM,IF(MONTH(Monat.Tag1)=4,March!Monat.DAGUeVM,IF(MONTH(Monat.Tag1)=5,April!Monat.DAGUeVM,IF(MONTH(Monat.Tag1)=6,May!Monat.DAGUeVM,IF(MONTH(Monat.Tag1)=7,June!Monat.DAGUeVM,IF(MONTH(Monat.Tag1)=8,Monat.DAGUeVM,IF(MONTH(Monat.Tag1)=9,August!Monat.DAGUeVM,IF(MONTH(Monat.Tag1)=10,September!Monat.DAGUeVM,IF(MONTH(Monat.Tag1)=11,October!Monat.DAGUeVM,IF(MONTH(Monat.Tag1)=12,November!Monat.DAGUeVM,"")))))))))))),"")</f>
        <v>0</v>
      </c>
      <c r="AM95" s="172"/>
      <c r="AN95" s="217" t="n">
        <f aca="false">AL95-AI95</f>
        <v>0</v>
      </c>
      <c r="AO95" s="171"/>
      <c r="AP95" s="171"/>
      <c r="AQ95" s="39"/>
    </row>
    <row r="96" s="148" customFormat="true" ht="11.25" hidden="false" customHeight="true" outlineLevel="0" collapsed="false">
      <c r="A96" s="186"/>
      <c r="B96" s="191"/>
      <c r="C96" s="191"/>
      <c r="D96" s="191"/>
      <c r="E96" s="191"/>
      <c r="F96" s="191"/>
      <c r="G96" s="191"/>
      <c r="H96" s="191"/>
      <c r="I96" s="191"/>
      <c r="J96" s="191"/>
      <c r="K96" s="191"/>
      <c r="L96" s="191"/>
      <c r="M96" s="191"/>
      <c r="N96" s="191"/>
      <c r="O96" s="191"/>
      <c r="P96" s="191"/>
      <c r="Q96" s="191"/>
      <c r="R96" s="191"/>
      <c r="S96" s="191"/>
      <c r="T96" s="191"/>
      <c r="U96" s="191"/>
      <c r="V96" s="191"/>
      <c r="W96" s="191"/>
      <c r="X96" s="191"/>
      <c r="Y96" s="191"/>
      <c r="Z96" s="191"/>
      <c r="AA96" s="191"/>
      <c r="AB96" s="191"/>
      <c r="AC96" s="191"/>
      <c r="AD96" s="191"/>
      <c r="AE96" s="191"/>
      <c r="AF96" s="192"/>
      <c r="AG96" s="168"/>
      <c r="AH96" s="197"/>
      <c r="AI96" s="192"/>
      <c r="AJ96" s="27"/>
      <c r="AK96" s="235"/>
      <c r="AL96" s="235"/>
      <c r="AM96" s="172"/>
      <c r="AN96" s="254"/>
      <c r="AO96" s="179"/>
      <c r="AP96" s="179"/>
      <c r="AQ96" s="39"/>
    </row>
    <row r="97" s="148" customFormat="true" ht="15" hidden="false" customHeight="true" outlineLevel="0" collapsed="false">
      <c r="A97" s="181" t="str">
        <f aca="true">IF(ROW(A97)-ROW(INDEX(Monat.Projekte.Zeilen,1))+1&gt;EB.AnzProjekte,"",OFFSET(EB.Projekte.Knoten,ROW(A97)-ROW(INDEX(Monat.Projekte.Zeilen,1))+1,0,1,1))</f>
        <v/>
      </c>
      <c r="B97" s="176"/>
      <c r="C97" s="176"/>
      <c r="D97" s="176"/>
      <c r="E97" s="177"/>
      <c r="F97" s="176"/>
      <c r="G97" s="176"/>
      <c r="H97" s="176"/>
      <c r="I97" s="176"/>
      <c r="J97" s="177"/>
      <c r="K97" s="176"/>
      <c r="L97" s="177"/>
      <c r="M97" s="176"/>
      <c r="N97" s="176"/>
      <c r="O97" s="176"/>
      <c r="P97" s="176"/>
      <c r="Q97" s="177"/>
      <c r="R97" s="176"/>
      <c r="S97" s="177"/>
      <c r="T97" s="177"/>
      <c r="U97" s="176"/>
      <c r="V97" s="176"/>
      <c r="W97" s="176"/>
      <c r="X97" s="177"/>
      <c r="Y97" s="176"/>
      <c r="Z97" s="178"/>
      <c r="AA97" s="176"/>
      <c r="AB97" s="176"/>
      <c r="AC97" s="176"/>
      <c r="AD97" s="176"/>
      <c r="AE97" s="177"/>
      <c r="AF97" s="176"/>
      <c r="AG97" s="168" t="str">
        <f aca="false">A97</f>
        <v/>
      </c>
      <c r="AH97" s="202"/>
      <c r="AI97" s="262" t="n">
        <f aca="false">SUM(B97:AF97)</f>
        <v>0</v>
      </c>
      <c r="AJ97" s="33"/>
      <c r="AK97" s="192"/>
      <c r="AL97" s="216" t="n">
        <f aca="false">IF(EB.Anwendung&lt;&gt;"",IF(MONTH(Monat.Tag1)=1,0,IF(MONTH(Monat.Tag1)=2,January!Monat.P1UeVM,IF(MONTH(Monat.Tag1)=3,February!Monat.P1UeVM,IF(MONTH(Monat.Tag1)=4,March!Monat.P1UeVM,IF(MONTH(Monat.Tag1)=5,April!Monat.P1UeVM,IF(MONTH(Monat.Tag1)=6,May!Monat.P1UeVM,IF(MONTH(Monat.Tag1)=7,June!Monat.P1UeVM,IF(MONTH(Monat.Tag1)=8,Monat.P1UeVM,IF(MONTH(Monat.Tag1)=9,August!Monat.P1UeVM,IF(MONTH(Monat.Tag1)=10,September!Monat.P1UeVM,IF(MONTH(Monat.Tag1)=11,October!Monat.P1UeVM,IF(MONTH(Monat.Tag1)=12,November!Monat.P1UeVM,"")))))))))))),"")</f>
        <v>0</v>
      </c>
      <c r="AM97" s="172"/>
      <c r="AN97" s="217" t="n">
        <f aca="false">AI97+AL97</f>
        <v>0</v>
      </c>
      <c r="AO97" s="171"/>
      <c r="AP97" s="171"/>
      <c r="AQ97" s="39"/>
    </row>
    <row r="98" s="148" customFormat="true" ht="15" hidden="false" customHeight="true" outlineLevel="0" collapsed="false">
      <c r="A98" s="181" t="str">
        <f aca="true">IF(ROW(A98)-ROW(INDEX(Monat.Projekte.Zeilen,1))+1&gt;EB.AnzProjekte,"",OFFSET(EB.Projekte.Knoten,ROW(A98)-ROW(INDEX(Monat.Projekte.Zeilen,1))+1,0,1,1))</f>
        <v/>
      </c>
      <c r="B98" s="176"/>
      <c r="C98" s="176"/>
      <c r="D98" s="176"/>
      <c r="E98" s="177"/>
      <c r="F98" s="176"/>
      <c r="G98" s="176"/>
      <c r="H98" s="176"/>
      <c r="I98" s="176"/>
      <c r="J98" s="177"/>
      <c r="K98" s="176"/>
      <c r="L98" s="177"/>
      <c r="M98" s="176"/>
      <c r="N98" s="176"/>
      <c r="O98" s="176"/>
      <c r="P98" s="176"/>
      <c r="Q98" s="177"/>
      <c r="R98" s="176"/>
      <c r="S98" s="177"/>
      <c r="T98" s="177"/>
      <c r="U98" s="176"/>
      <c r="V98" s="176"/>
      <c r="W98" s="176"/>
      <c r="X98" s="177"/>
      <c r="Y98" s="176"/>
      <c r="Z98" s="178"/>
      <c r="AA98" s="176"/>
      <c r="AB98" s="176"/>
      <c r="AC98" s="176"/>
      <c r="AD98" s="176"/>
      <c r="AE98" s="177"/>
      <c r="AF98" s="176"/>
      <c r="AG98" s="168" t="str">
        <f aca="false">A98</f>
        <v/>
      </c>
      <c r="AH98" s="184"/>
      <c r="AI98" s="207" t="n">
        <f aca="false">SUM(B98:AF98)</f>
        <v>0</v>
      </c>
      <c r="AJ98" s="33"/>
      <c r="AK98" s="192"/>
      <c r="AL98" s="216" t="n">
        <f aca="false">IF(EB.Anwendung&lt;&gt;"",IF(MONTH(Monat.Tag1)=1,0,IF(MONTH(Monat.Tag1)=2,January!Monat.P2UeVM,IF(MONTH(Monat.Tag1)=3,February!Monat.P2UeVM,IF(MONTH(Monat.Tag1)=4,March!Monat.P2UeVM,IF(MONTH(Monat.Tag1)=5,April!Monat.P2UeVM,IF(MONTH(Monat.Tag1)=6,May!Monat.P2UeVM,IF(MONTH(Monat.Tag1)=7,June!Monat.P2UeVM,IF(MONTH(Monat.Tag1)=8,Monat.P2UeVM,IF(MONTH(Monat.Tag1)=9,August!Monat.P2UeVM,IF(MONTH(Monat.Tag1)=10,September!Monat.P2UeVM,IF(MONTH(Monat.Tag1)=11,October!Monat.P2UeVM,IF(MONTH(Monat.Tag1)=12,November!Monat.P2UeVM,"")))))))))))),"")</f>
        <v>0</v>
      </c>
      <c r="AM98" s="172"/>
      <c r="AN98" s="217" t="n">
        <f aca="false">AI98+AL98</f>
        <v>0</v>
      </c>
      <c r="AO98" s="171"/>
      <c r="AP98" s="171"/>
      <c r="AQ98" s="39"/>
    </row>
    <row r="99" s="148" customFormat="true" ht="15" hidden="false" customHeight="true" outlineLevel="0" collapsed="false">
      <c r="A99" s="181" t="str">
        <f aca="true">IF(ROW(A99)-ROW(INDEX(Monat.Projekte.Zeilen,1))+1&gt;EB.AnzProjekte,"",OFFSET(EB.Projekte.Knoten,ROW(A99)-ROW(INDEX(Monat.Projekte.Zeilen,1))+1,0,1,1))</f>
        <v/>
      </c>
      <c r="B99" s="176"/>
      <c r="C99" s="176"/>
      <c r="D99" s="176"/>
      <c r="E99" s="177"/>
      <c r="F99" s="176"/>
      <c r="G99" s="176"/>
      <c r="H99" s="176"/>
      <c r="I99" s="176"/>
      <c r="J99" s="177"/>
      <c r="K99" s="176"/>
      <c r="L99" s="177"/>
      <c r="M99" s="176"/>
      <c r="N99" s="176"/>
      <c r="O99" s="176"/>
      <c r="P99" s="176"/>
      <c r="Q99" s="177"/>
      <c r="R99" s="176"/>
      <c r="S99" s="177"/>
      <c r="T99" s="177"/>
      <c r="U99" s="176"/>
      <c r="V99" s="176"/>
      <c r="W99" s="176"/>
      <c r="X99" s="177"/>
      <c r="Y99" s="176"/>
      <c r="Z99" s="178"/>
      <c r="AA99" s="176"/>
      <c r="AB99" s="176"/>
      <c r="AC99" s="176"/>
      <c r="AD99" s="176"/>
      <c r="AE99" s="177"/>
      <c r="AF99" s="176"/>
      <c r="AG99" s="168" t="str">
        <f aca="false">A99</f>
        <v/>
      </c>
      <c r="AH99" s="263"/>
      <c r="AI99" s="207" t="n">
        <f aca="false">SUM(B99:AF99)</f>
        <v>0</v>
      </c>
      <c r="AJ99" s="33"/>
      <c r="AK99" s="192"/>
      <c r="AL99" s="216" t="n">
        <f aca="false">IF(EB.Anwendung&lt;&gt;"",IF(MONTH(Monat.Tag1)=1,0,IF(MONTH(Monat.Tag1)=2,January!Monat.P3UeVM,IF(MONTH(Monat.Tag1)=3,February!Monat.P3UeVM,IF(MONTH(Monat.Tag1)=4,March!Monat.P3UeVM,IF(MONTH(Monat.Tag1)=5,April!Monat.P3UeVM,IF(MONTH(Monat.Tag1)=6,May!Monat.P3UeVM,IF(MONTH(Monat.Tag1)=7,June!Monat.P3UeVM,IF(MONTH(Monat.Tag1)=8,Monat.P3UeVM,IF(MONTH(Monat.Tag1)=9,August!Monat.P3UeVM,IF(MONTH(Monat.Tag1)=10,September!Monat.P3UeVM,IF(MONTH(Monat.Tag1)=11,October!Monat.P3UeVM,IF(MONTH(Monat.Tag1)=12,November!Monat.P3UeVM,"")))))))))))),"")</f>
        <v>0</v>
      </c>
      <c r="AM99" s="172"/>
      <c r="AN99" s="217" t="n">
        <f aca="false">AI99+AL99</f>
        <v>0</v>
      </c>
      <c r="AO99" s="171"/>
      <c r="AP99" s="171"/>
      <c r="AQ99" s="39"/>
    </row>
    <row r="100" s="148" customFormat="true" ht="15" hidden="false" customHeight="true" outlineLevel="0" collapsed="false">
      <c r="A100" s="181" t="str">
        <f aca="true">IF(ROW(A100)-ROW(INDEX(Monat.Projekte.Zeilen,1))+1&gt;EB.AnzProjekte,"",OFFSET(EB.Projekte.Knoten,ROW(A100)-ROW(INDEX(Monat.Projekte.Zeilen,1))+1,0,1,1))</f>
        <v/>
      </c>
      <c r="B100" s="176"/>
      <c r="C100" s="176"/>
      <c r="D100" s="176"/>
      <c r="E100" s="177"/>
      <c r="F100" s="176"/>
      <c r="G100" s="176"/>
      <c r="H100" s="176"/>
      <c r="I100" s="176"/>
      <c r="J100" s="177"/>
      <c r="K100" s="176"/>
      <c r="L100" s="177"/>
      <c r="M100" s="176"/>
      <c r="N100" s="176"/>
      <c r="O100" s="176"/>
      <c r="P100" s="176"/>
      <c r="Q100" s="177"/>
      <c r="R100" s="176"/>
      <c r="S100" s="177"/>
      <c r="T100" s="177"/>
      <c r="U100" s="176"/>
      <c r="V100" s="176"/>
      <c r="W100" s="176"/>
      <c r="X100" s="177"/>
      <c r="Y100" s="176"/>
      <c r="Z100" s="178"/>
      <c r="AA100" s="176"/>
      <c r="AB100" s="176"/>
      <c r="AC100" s="176"/>
      <c r="AD100" s="176"/>
      <c r="AE100" s="177"/>
      <c r="AF100" s="176"/>
      <c r="AG100" s="168" t="str">
        <f aca="false">A100</f>
        <v/>
      </c>
      <c r="AH100" s="197"/>
      <c r="AI100" s="207" t="n">
        <f aca="false">SUM(B100:AF100)</f>
        <v>0</v>
      </c>
      <c r="AJ100" s="33"/>
      <c r="AK100" s="192"/>
      <c r="AL100" s="216" t="n">
        <f aca="false">IF(EB.Anwendung&lt;&gt;"",IF(MONTH(Monat.Tag1)=1,0,IF(MONTH(Monat.Tag1)=2,January!Monat.P4UeVM,IF(MONTH(Monat.Tag1)=3,February!Monat.P4UeVM,IF(MONTH(Monat.Tag1)=4,March!Monat.P4UeVM,IF(MONTH(Monat.Tag1)=5,April!Monat.P4UeVM,IF(MONTH(Monat.Tag1)=6,May!Monat.P4UeVM,IF(MONTH(Monat.Tag1)=7,June!Monat.P4UeVM,IF(MONTH(Monat.Tag1)=8,Monat.P4UeVM,IF(MONTH(Monat.Tag1)=9,August!Monat.P4UeVM,IF(MONTH(Monat.Tag1)=10,September!Monat.P4UeVM,IF(MONTH(Monat.Tag1)=11,October!Monat.P4UeVM,IF(MONTH(Monat.Tag1)=12,November!Monat.P4UeVM,"")))))))))))),"")</f>
        <v>0</v>
      </c>
      <c r="AM100" s="172"/>
      <c r="AN100" s="217" t="n">
        <f aca="false">AI100+AL100</f>
        <v>0</v>
      </c>
      <c r="AO100" s="171"/>
      <c r="AP100" s="171"/>
      <c r="AQ100" s="39"/>
    </row>
    <row r="101" s="148" customFormat="true" ht="15" hidden="false" customHeight="true" outlineLevel="0" collapsed="false">
      <c r="A101" s="181" t="str">
        <f aca="true">IF(ROW(A101)-ROW(INDEX(Monat.Projekte.Zeilen,1))+1&gt;EB.AnzProjekte,"",OFFSET(EB.Projekte.Knoten,ROW(A101)-ROW(INDEX(Monat.Projekte.Zeilen,1))+1,0,1,1))</f>
        <v/>
      </c>
      <c r="B101" s="176"/>
      <c r="C101" s="176"/>
      <c r="D101" s="176"/>
      <c r="E101" s="177"/>
      <c r="F101" s="176"/>
      <c r="G101" s="176"/>
      <c r="H101" s="176"/>
      <c r="I101" s="176"/>
      <c r="J101" s="177"/>
      <c r="K101" s="176"/>
      <c r="L101" s="177"/>
      <c r="M101" s="176"/>
      <c r="N101" s="176"/>
      <c r="O101" s="176"/>
      <c r="P101" s="176"/>
      <c r="Q101" s="177"/>
      <c r="R101" s="176"/>
      <c r="S101" s="177"/>
      <c r="T101" s="177"/>
      <c r="U101" s="176"/>
      <c r="V101" s="176"/>
      <c r="W101" s="176"/>
      <c r="X101" s="177"/>
      <c r="Y101" s="176"/>
      <c r="Z101" s="178"/>
      <c r="AA101" s="176"/>
      <c r="AB101" s="176"/>
      <c r="AC101" s="176"/>
      <c r="AD101" s="176"/>
      <c r="AE101" s="177"/>
      <c r="AF101" s="176"/>
      <c r="AG101" s="168" t="str">
        <f aca="false">A101</f>
        <v/>
      </c>
      <c r="AH101" s="184"/>
      <c r="AI101" s="207" t="n">
        <f aca="false">SUM(B101:AF101)</f>
        <v>0</v>
      </c>
      <c r="AJ101" s="33"/>
      <c r="AK101" s="192"/>
      <c r="AL101" s="216" t="n">
        <f aca="false">IF(EB.Anwendung&lt;&gt;"",IF(MONTH(Monat.Tag1)=1,0,IF(MONTH(Monat.Tag1)=2,January!Monat.P5UeVM,IF(MONTH(Monat.Tag1)=3,February!Monat.P5UeVM,IF(MONTH(Monat.Tag1)=4,March!Monat.P5UeVM,IF(MONTH(Monat.Tag1)=5,April!Monat.P5UeVM,IF(MONTH(Monat.Tag1)=6,May!Monat.P5UeVM,IF(MONTH(Monat.Tag1)=7,June!Monat.P5UeVM,IF(MONTH(Monat.Tag1)=8,Monat.P5UeVM,IF(MONTH(Monat.Tag1)=9,August!Monat.P5UeVM,IF(MONTH(Monat.Tag1)=10,September!Monat.P5UeVM,IF(MONTH(Monat.Tag1)=11,October!Monat.P5UeVM,IF(MONTH(Monat.Tag1)=12,November!Monat.P5UeVM,"")))))))))))),"")</f>
        <v>0</v>
      </c>
      <c r="AM101" s="172"/>
      <c r="AN101" s="217" t="n">
        <f aca="false">AI101+AL101</f>
        <v>0</v>
      </c>
      <c r="AO101" s="171"/>
      <c r="AP101" s="171"/>
      <c r="AQ101" s="39"/>
    </row>
    <row r="102" s="148" customFormat="true" ht="15" hidden="true" customHeight="true" outlineLevel="1" collapsed="false">
      <c r="A102" s="181" t="str">
        <f aca="true">IF(ROW(A102)-ROW(INDEX(Monat.Projekte.Zeilen,1))+1&gt;EB.AnzProjekte,"",OFFSET(EB.Projekte.Knoten,ROW(A102)-ROW(INDEX(Monat.Projekte.Zeilen,1))+1,0,1,1))</f>
        <v/>
      </c>
      <c r="B102" s="176"/>
      <c r="C102" s="176"/>
      <c r="D102" s="176"/>
      <c r="E102" s="177"/>
      <c r="F102" s="176"/>
      <c r="G102" s="176"/>
      <c r="H102" s="176"/>
      <c r="I102" s="176"/>
      <c r="J102" s="177"/>
      <c r="K102" s="176"/>
      <c r="L102" s="177"/>
      <c r="M102" s="176"/>
      <c r="N102" s="176"/>
      <c r="O102" s="176"/>
      <c r="P102" s="176"/>
      <c r="Q102" s="177"/>
      <c r="R102" s="176"/>
      <c r="S102" s="177"/>
      <c r="T102" s="177"/>
      <c r="U102" s="176"/>
      <c r="V102" s="176"/>
      <c r="W102" s="176"/>
      <c r="X102" s="177"/>
      <c r="Y102" s="176"/>
      <c r="Z102" s="178"/>
      <c r="AA102" s="176"/>
      <c r="AB102" s="176"/>
      <c r="AC102" s="176"/>
      <c r="AD102" s="176"/>
      <c r="AE102" s="177"/>
      <c r="AF102" s="176"/>
      <c r="AG102" s="168" t="str">
        <f aca="false">A102</f>
        <v/>
      </c>
      <c r="AH102" s="263"/>
      <c r="AI102" s="207" t="n">
        <f aca="false">SUM(B102:AF102)</f>
        <v>0</v>
      </c>
      <c r="AJ102" s="33"/>
      <c r="AK102" s="192"/>
      <c r="AL102" s="216" t="n">
        <f aca="false">IF(EB.Anwendung&lt;&gt;"",IF(MONTH(Monat.Tag1)=1,0,IF(MONTH(Monat.Tag1)=2,January!Monat.P6UeVM,IF(MONTH(Monat.Tag1)=3,February!Monat.P6UeVM,IF(MONTH(Monat.Tag1)=4,March!Monat.P6UeVM,IF(MONTH(Monat.Tag1)=5,April!Monat.P6UeVM,IF(MONTH(Monat.Tag1)=6,May!Monat.P6UeVM,IF(MONTH(Monat.Tag1)=7,June!Monat.P6UeVM,IF(MONTH(Monat.Tag1)=8,Monat.P6UeVM,IF(MONTH(Monat.Tag1)=9,August!Monat.P6UeVM,IF(MONTH(Monat.Tag1)=10,September!Monat.P6UeVM,IF(MONTH(Monat.Tag1)=11,October!Monat.P6UeVM,IF(MONTH(Monat.Tag1)=12,November!Monat.P6UeVM,"")))))))))))),"")</f>
        <v>0</v>
      </c>
      <c r="AM102" s="172"/>
      <c r="AN102" s="217" t="n">
        <f aca="false">AI102+AL102</f>
        <v>0</v>
      </c>
      <c r="AO102" s="171"/>
      <c r="AP102" s="171"/>
      <c r="AQ102" s="39"/>
    </row>
    <row r="103" s="148" customFormat="true" ht="15" hidden="true" customHeight="true" outlineLevel="1" collapsed="false">
      <c r="A103" s="181" t="str">
        <f aca="true">IF(ROW(A103)-ROW(INDEX(Monat.Projekte.Zeilen,1))+1&gt;EB.AnzProjekte,"",OFFSET(EB.Projekte.Knoten,ROW(A103)-ROW(INDEX(Monat.Projekte.Zeilen,1))+1,0,1,1))</f>
        <v/>
      </c>
      <c r="B103" s="176"/>
      <c r="C103" s="176"/>
      <c r="D103" s="176"/>
      <c r="E103" s="177"/>
      <c r="F103" s="176"/>
      <c r="G103" s="176"/>
      <c r="H103" s="176"/>
      <c r="I103" s="176"/>
      <c r="J103" s="177"/>
      <c r="K103" s="176"/>
      <c r="L103" s="177"/>
      <c r="M103" s="176"/>
      <c r="N103" s="176"/>
      <c r="O103" s="176"/>
      <c r="P103" s="176"/>
      <c r="Q103" s="177"/>
      <c r="R103" s="176"/>
      <c r="S103" s="177"/>
      <c r="T103" s="177"/>
      <c r="U103" s="176"/>
      <c r="V103" s="176"/>
      <c r="W103" s="176"/>
      <c r="X103" s="177"/>
      <c r="Y103" s="176"/>
      <c r="Z103" s="178"/>
      <c r="AA103" s="176"/>
      <c r="AB103" s="176"/>
      <c r="AC103" s="176"/>
      <c r="AD103" s="176"/>
      <c r="AE103" s="177"/>
      <c r="AF103" s="176"/>
      <c r="AG103" s="168" t="str">
        <f aca="false">A103</f>
        <v/>
      </c>
      <c r="AH103" s="197"/>
      <c r="AI103" s="207" t="n">
        <f aca="false">SUM(B103:AF103)</f>
        <v>0</v>
      </c>
      <c r="AJ103" s="33"/>
      <c r="AK103" s="192"/>
      <c r="AL103" s="216" t="n">
        <f aca="false">IF(EB.Anwendung&lt;&gt;"",IF(MONTH(Monat.Tag1)=1,0,IF(MONTH(Monat.Tag1)=2,January!Monat.P7UeVM,IF(MONTH(Monat.Tag1)=3,February!Monat.P7UeVM,IF(MONTH(Monat.Tag1)=4,March!Monat.P7UeVM,IF(MONTH(Monat.Tag1)=5,April!Monat.P7UeVM,IF(MONTH(Monat.Tag1)=6,May!Monat.P7UeVM,IF(MONTH(Monat.Tag1)=7,June!Monat.P7UeVM,IF(MONTH(Monat.Tag1)=8,Monat.P7UeVM,IF(MONTH(Monat.Tag1)=9,August!Monat.P7UeVM,IF(MONTH(Monat.Tag1)=10,September!Monat.P7UeVM,IF(MONTH(Monat.Tag1)=11,October!Monat.P7UeVM,IF(MONTH(Monat.Tag1)=12,November!Monat.P7UeVM,"")))))))))))),"")</f>
        <v>0</v>
      </c>
      <c r="AM103" s="172"/>
      <c r="AN103" s="217" t="n">
        <f aca="false">AI103+AL103</f>
        <v>0</v>
      </c>
      <c r="AO103" s="171"/>
      <c r="AP103" s="171"/>
      <c r="AQ103" s="39"/>
    </row>
    <row r="104" s="148" customFormat="true" ht="15" hidden="true" customHeight="true" outlineLevel="1" collapsed="false">
      <c r="A104" s="181" t="str">
        <f aca="true">IF(ROW(A104)-ROW(INDEX(Monat.Projekte.Zeilen,1))+1&gt;EB.AnzProjekte,"",OFFSET(EB.Projekte.Knoten,ROW(A104)-ROW(INDEX(Monat.Projekte.Zeilen,1))+1,0,1,1))</f>
        <v/>
      </c>
      <c r="B104" s="176"/>
      <c r="C104" s="176"/>
      <c r="D104" s="176"/>
      <c r="E104" s="177"/>
      <c r="F104" s="176"/>
      <c r="G104" s="176"/>
      <c r="H104" s="176"/>
      <c r="I104" s="176"/>
      <c r="J104" s="177"/>
      <c r="K104" s="176"/>
      <c r="L104" s="177"/>
      <c r="M104" s="176"/>
      <c r="N104" s="176"/>
      <c r="O104" s="176"/>
      <c r="P104" s="176"/>
      <c r="Q104" s="177"/>
      <c r="R104" s="176"/>
      <c r="S104" s="177"/>
      <c r="T104" s="177"/>
      <c r="U104" s="176"/>
      <c r="V104" s="176"/>
      <c r="W104" s="176"/>
      <c r="X104" s="177"/>
      <c r="Y104" s="176"/>
      <c r="Z104" s="178"/>
      <c r="AA104" s="176"/>
      <c r="AB104" s="176"/>
      <c r="AC104" s="176"/>
      <c r="AD104" s="176"/>
      <c r="AE104" s="177"/>
      <c r="AF104" s="176"/>
      <c r="AG104" s="168" t="str">
        <f aca="false">A104</f>
        <v/>
      </c>
      <c r="AH104" s="202"/>
      <c r="AI104" s="207" t="n">
        <f aca="false">SUM(B104:AF104)</f>
        <v>0</v>
      </c>
      <c r="AJ104" s="33"/>
      <c r="AK104" s="192"/>
      <c r="AL104" s="216" t="n">
        <f aca="false">IF(EB.Anwendung&lt;&gt;"",IF(MONTH(Monat.Tag1)=1,0,IF(MONTH(Monat.Tag1)=2,January!Monat.P8UeVM,IF(MONTH(Monat.Tag1)=3,February!Monat.P8UeVM,IF(MONTH(Monat.Tag1)=4,March!Monat.P8UeVM,IF(MONTH(Monat.Tag1)=5,April!Monat.P8UeVM,IF(MONTH(Monat.Tag1)=6,May!Monat.P8UeVM,IF(MONTH(Monat.Tag1)=7,June!Monat.P8UeVM,IF(MONTH(Monat.Tag1)=8,Monat.P8UeVM,IF(MONTH(Monat.Tag1)=9,August!Monat.P8UeVM,IF(MONTH(Monat.Tag1)=10,September!Monat.P8UeVM,IF(MONTH(Monat.Tag1)=11,October!Monat.P8UeVM,IF(MONTH(Monat.Tag1)=12,November!Monat.P8UeVM,"")))))))))))),"")</f>
        <v>0</v>
      </c>
      <c r="AM104" s="172"/>
      <c r="AN104" s="217" t="n">
        <f aca="false">AI104+AL104</f>
        <v>0</v>
      </c>
      <c r="AO104" s="171"/>
      <c r="AP104" s="171"/>
      <c r="AQ104" s="39"/>
    </row>
    <row r="105" s="148" customFormat="true" ht="15" hidden="true" customHeight="true" outlineLevel="1" collapsed="false">
      <c r="A105" s="181" t="str">
        <f aca="true">IF(ROW(A105)-ROW(INDEX(Monat.Projekte.Zeilen,1))+1&gt;EB.AnzProjekte,"",OFFSET(EB.Projekte.Knoten,ROW(A105)-ROW(INDEX(Monat.Projekte.Zeilen,1))+1,0,1,1))</f>
        <v/>
      </c>
      <c r="B105" s="176"/>
      <c r="C105" s="176"/>
      <c r="D105" s="176"/>
      <c r="E105" s="177"/>
      <c r="F105" s="176"/>
      <c r="G105" s="176"/>
      <c r="H105" s="176"/>
      <c r="I105" s="176"/>
      <c r="J105" s="177"/>
      <c r="K105" s="176"/>
      <c r="L105" s="177"/>
      <c r="M105" s="176"/>
      <c r="N105" s="176"/>
      <c r="O105" s="176"/>
      <c r="P105" s="176"/>
      <c r="Q105" s="177"/>
      <c r="R105" s="176"/>
      <c r="S105" s="177"/>
      <c r="T105" s="177"/>
      <c r="U105" s="176"/>
      <c r="V105" s="176"/>
      <c r="W105" s="176"/>
      <c r="X105" s="177"/>
      <c r="Y105" s="176"/>
      <c r="Z105" s="178"/>
      <c r="AA105" s="176"/>
      <c r="AB105" s="176"/>
      <c r="AC105" s="176"/>
      <c r="AD105" s="176"/>
      <c r="AE105" s="177"/>
      <c r="AF105" s="176"/>
      <c r="AG105" s="168" t="str">
        <f aca="false">A105</f>
        <v/>
      </c>
      <c r="AH105" s="184"/>
      <c r="AI105" s="207" t="n">
        <f aca="false">SUM(B105:AF105)</f>
        <v>0</v>
      </c>
      <c r="AJ105" s="33"/>
      <c r="AK105" s="192"/>
      <c r="AL105" s="216" t="n">
        <f aca="false">IF(EB.Anwendung&lt;&gt;"",IF(MONTH(Monat.Tag1)=1,0,IF(MONTH(Monat.Tag1)=2,January!Monat.P9UeVM,IF(MONTH(Monat.Tag1)=3,February!Monat.P9UeVM,IF(MONTH(Monat.Tag1)=4,March!Monat.P9UeVM,IF(MONTH(Monat.Tag1)=5,April!Monat.P9UeVM,IF(MONTH(Monat.Tag1)=6,May!Monat.P9UeVM,IF(MONTH(Monat.Tag1)=7,June!Monat.P9UeVM,IF(MONTH(Monat.Tag1)=8,Monat.P9UeVM,IF(MONTH(Monat.Tag1)=9,August!Monat.P9UeVM,IF(MONTH(Monat.Tag1)=10,September!Monat.P9UeVM,IF(MONTH(Monat.Tag1)=11,October!Monat.P9UeVM,IF(MONTH(Monat.Tag1)=12,November!Monat.P9UeVM,"")))))))))))),"")</f>
        <v>0</v>
      </c>
      <c r="AM105" s="172"/>
      <c r="AN105" s="217" t="n">
        <f aca="false">AI105+AL105</f>
        <v>0</v>
      </c>
      <c r="AO105" s="171"/>
      <c r="AP105" s="171"/>
      <c r="AQ105" s="39"/>
    </row>
    <row r="106" s="148" customFormat="true" ht="15" hidden="true" customHeight="true" outlineLevel="1" collapsed="false">
      <c r="A106" s="181" t="str">
        <f aca="true">IF(ROW(A106)-ROW(INDEX(Monat.Projekte.Zeilen,1))+1&gt;EB.AnzProjekte,"",OFFSET(EB.Projekte.Knoten,ROW(A106)-ROW(INDEX(Monat.Projekte.Zeilen,1))+1,0,1,1))</f>
        <v/>
      </c>
      <c r="B106" s="176"/>
      <c r="C106" s="176"/>
      <c r="D106" s="176"/>
      <c r="E106" s="177"/>
      <c r="F106" s="176"/>
      <c r="G106" s="176"/>
      <c r="H106" s="176"/>
      <c r="I106" s="176"/>
      <c r="J106" s="177"/>
      <c r="K106" s="176"/>
      <c r="L106" s="177"/>
      <c r="M106" s="176"/>
      <c r="N106" s="176"/>
      <c r="O106" s="176"/>
      <c r="P106" s="176"/>
      <c r="Q106" s="177"/>
      <c r="R106" s="176"/>
      <c r="S106" s="177"/>
      <c r="T106" s="177"/>
      <c r="U106" s="176"/>
      <c r="V106" s="176"/>
      <c r="W106" s="176"/>
      <c r="X106" s="177"/>
      <c r="Y106" s="176"/>
      <c r="Z106" s="178"/>
      <c r="AA106" s="176"/>
      <c r="AB106" s="176"/>
      <c r="AC106" s="176"/>
      <c r="AD106" s="176"/>
      <c r="AE106" s="177"/>
      <c r="AF106" s="176"/>
      <c r="AG106" s="168" t="str">
        <f aca="false">A106</f>
        <v/>
      </c>
      <c r="AH106" s="184"/>
      <c r="AI106" s="207" t="n">
        <f aca="false">SUM(B106:AF106)</f>
        <v>0</v>
      </c>
      <c r="AJ106" s="33"/>
      <c r="AK106" s="192"/>
      <c r="AL106" s="216" t="n">
        <f aca="false">IF(EB.Anwendung&lt;&gt;"",IF(MONTH(Monat.Tag1)=1,0,IF(MONTH(Monat.Tag1)=2,January!Monat.P10UeVM,IF(MONTH(Monat.Tag1)=3,February!Monat.P10UeVM,IF(MONTH(Monat.Tag1)=4,March!Monat.P10UeVM,IF(MONTH(Monat.Tag1)=5,April!Monat.P10UeVM,IF(MONTH(Monat.Tag1)=6,May!Monat.P10UeVM,IF(MONTH(Monat.Tag1)=7,June!Monat.P10UeVM,IF(MONTH(Monat.Tag1)=8,Monat.P10UeVM,IF(MONTH(Monat.Tag1)=9,August!Monat.P10UeVM,IF(MONTH(Monat.Tag1)=10,September!Monat.P10UeVM,IF(MONTH(Monat.Tag1)=11,October!Monat.P10UeVM,IF(MONTH(Monat.Tag1)=12,November!Monat.P10UeVM,"")))))))))))),"")</f>
        <v>0</v>
      </c>
      <c r="AM106" s="172"/>
      <c r="AN106" s="217" t="n">
        <f aca="false">AI106+AL106</f>
        <v>0</v>
      </c>
      <c r="AO106" s="171"/>
      <c r="AP106" s="171"/>
      <c r="AQ106" s="39"/>
    </row>
    <row r="107" s="148" customFormat="true" ht="15" hidden="true" customHeight="true" outlineLevel="1" collapsed="false">
      <c r="A107" s="181" t="str">
        <f aca="true">IF(ROW(A107)-ROW(INDEX(Monat.Projekte.Zeilen,1))+1&gt;EB.AnzProjekte,"",OFFSET(EB.Projekte.Knoten,ROW(A107)-ROW(INDEX(Monat.Projekte.Zeilen,1))+1,0,1,1))</f>
        <v/>
      </c>
      <c r="B107" s="176"/>
      <c r="C107" s="176"/>
      <c r="D107" s="176"/>
      <c r="E107" s="177"/>
      <c r="F107" s="176"/>
      <c r="G107" s="176"/>
      <c r="H107" s="176"/>
      <c r="I107" s="176"/>
      <c r="J107" s="177"/>
      <c r="K107" s="176"/>
      <c r="L107" s="177"/>
      <c r="M107" s="176"/>
      <c r="N107" s="176"/>
      <c r="O107" s="176"/>
      <c r="P107" s="176"/>
      <c r="Q107" s="177"/>
      <c r="R107" s="176"/>
      <c r="S107" s="177"/>
      <c r="T107" s="177"/>
      <c r="U107" s="176"/>
      <c r="V107" s="176"/>
      <c r="W107" s="176"/>
      <c r="X107" s="177"/>
      <c r="Y107" s="176"/>
      <c r="Z107" s="178"/>
      <c r="AA107" s="176"/>
      <c r="AB107" s="176"/>
      <c r="AC107" s="176"/>
      <c r="AD107" s="176"/>
      <c r="AE107" s="177"/>
      <c r="AF107" s="176"/>
      <c r="AG107" s="168" t="str">
        <f aca="false">A107</f>
        <v/>
      </c>
      <c r="AH107" s="202"/>
      <c r="AI107" s="207" t="n">
        <f aca="false">SUM(B107:AF107)</f>
        <v>0</v>
      </c>
      <c r="AJ107" s="33"/>
      <c r="AK107" s="192"/>
      <c r="AL107" s="216" t="n">
        <f aca="false">IF(EB.Anwendung&lt;&gt;"",IF(MONTH(Monat.Tag1)=1,0,IF(MONTH(Monat.Tag1)=2,January!Monat.P11UeVM,IF(MONTH(Monat.Tag1)=3,February!Monat.P11UeVM,IF(MONTH(Monat.Tag1)=4,March!Monat.P11UeVM,IF(MONTH(Monat.Tag1)=5,April!Monat.P11UeVM,IF(MONTH(Monat.Tag1)=6,May!Monat.P11UeVM,IF(MONTH(Monat.Tag1)=7,June!Monat.P11UeVM,IF(MONTH(Monat.Tag1)=8,Monat.P11UeVM,IF(MONTH(Monat.Tag1)=9,August!Monat.P11UeVM,IF(MONTH(Monat.Tag1)=10,September!Monat.P11UeVM,IF(MONTH(Monat.Tag1)=11,October!Monat.P11UeVM,IF(MONTH(Monat.Tag1)=12,November!Monat.P11UeVM,"")))))))))))),"")</f>
        <v>0</v>
      </c>
      <c r="AM107" s="172"/>
      <c r="AN107" s="217" t="n">
        <f aca="false">AI107+AL107</f>
        <v>0</v>
      </c>
      <c r="AO107" s="264"/>
      <c r="AP107" s="264"/>
      <c r="AQ107" s="39"/>
    </row>
    <row r="108" s="266" customFormat="true" ht="15" hidden="true" customHeight="true" outlineLevel="1" collapsed="false">
      <c r="A108" s="181" t="str">
        <f aca="true">IF(ROW(A108)-ROW(INDEX(Monat.Projekte.Zeilen,1))+1&gt;EB.AnzProjekte,"",OFFSET(EB.Projekte.Knoten,ROW(A108)-ROW(INDEX(Monat.Projekte.Zeilen,1))+1,0,1,1))</f>
        <v/>
      </c>
      <c r="B108" s="176"/>
      <c r="C108" s="176"/>
      <c r="D108" s="176"/>
      <c r="E108" s="177"/>
      <c r="F108" s="176"/>
      <c r="G108" s="176"/>
      <c r="H108" s="176"/>
      <c r="I108" s="176"/>
      <c r="J108" s="177"/>
      <c r="K108" s="176"/>
      <c r="L108" s="177"/>
      <c r="M108" s="176"/>
      <c r="N108" s="176"/>
      <c r="O108" s="176"/>
      <c r="P108" s="176"/>
      <c r="Q108" s="177"/>
      <c r="R108" s="176"/>
      <c r="S108" s="177"/>
      <c r="T108" s="177"/>
      <c r="U108" s="176"/>
      <c r="V108" s="176"/>
      <c r="W108" s="176"/>
      <c r="X108" s="177"/>
      <c r="Y108" s="176"/>
      <c r="Z108" s="178"/>
      <c r="AA108" s="176"/>
      <c r="AB108" s="176"/>
      <c r="AC108" s="176"/>
      <c r="AD108" s="176"/>
      <c r="AE108" s="177"/>
      <c r="AF108" s="176"/>
      <c r="AG108" s="168" t="str">
        <f aca="false">A108</f>
        <v/>
      </c>
      <c r="AH108" s="202"/>
      <c r="AI108" s="207" t="n">
        <f aca="false">SUM(B108:AF108)</f>
        <v>0</v>
      </c>
      <c r="AJ108" s="33"/>
      <c r="AK108" s="192"/>
      <c r="AL108" s="216" t="n">
        <f aca="false">IF(EB.Anwendung&lt;&gt;"",IF(MONTH(Monat.Tag1)=1,0,IF(MONTH(Monat.Tag1)=2,January!Monat.P12UeVM,IF(MONTH(Monat.Tag1)=3,February!Monat.P12UeVM,IF(MONTH(Monat.Tag1)=4,March!Monat.P12UeVM,IF(MONTH(Monat.Tag1)=5,April!Monat.P12UeVM,IF(MONTH(Monat.Tag1)=6,May!Monat.P12UeVM,IF(MONTH(Monat.Tag1)=7,June!Monat.P12UeVM,IF(MONTH(Monat.Tag1)=8,Monat.P12UeVM,IF(MONTH(Monat.Tag1)=9,August!Monat.P12UeVM,IF(MONTH(Monat.Tag1)=10,September!Monat.P12UeVM,IF(MONTH(Monat.Tag1)=11,October!Monat.P12UeVM,IF(MONTH(Monat.Tag1)=12,November!Monat.P12UeVM,"")))))))))))),"")</f>
        <v>0</v>
      </c>
      <c r="AM108" s="172"/>
      <c r="AN108" s="217" t="n">
        <f aca="false">AI108+AL108</f>
        <v>0</v>
      </c>
      <c r="AO108" s="264"/>
      <c r="AP108" s="264"/>
      <c r="AQ108" s="265"/>
    </row>
    <row r="109" s="266" customFormat="true" ht="15" hidden="true" customHeight="true" outlineLevel="1" collapsed="false">
      <c r="A109" s="181" t="str">
        <f aca="true">IF(ROW(A109)-ROW(INDEX(Monat.Projekte.Zeilen,1))+1&gt;EB.AnzProjekte,"",OFFSET(EB.Projekte.Knoten,ROW(A109)-ROW(INDEX(Monat.Projekte.Zeilen,1))+1,0,1,1))</f>
        <v/>
      </c>
      <c r="B109" s="176"/>
      <c r="C109" s="176"/>
      <c r="D109" s="176"/>
      <c r="E109" s="177"/>
      <c r="F109" s="176"/>
      <c r="G109" s="176"/>
      <c r="H109" s="176"/>
      <c r="I109" s="176"/>
      <c r="J109" s="177"/>
      <c r="K109" s="176"/>
      <c r="L109" s="177"/>
      <c r="M109" s="176"/>
      <c r="N109" s="176"/>
      <c r="O109" s="176"/>
      <c r="P109" s="176"/>
      <c r="Q109" s="177"/>
      <c r="R109" s="176"/>
      <c r="S109" s="177"/>
      <c r="T109" s="177"/>
      <c r="U109" s="176"/>
      <c r="V109" s="176"/>
      <c r="W109" s="176"/>
      <c r="X109" s="177"/>
      <c r="Y109" s="176"/>
      <c r="Z109" s="178"/>
      <c r="AA109" s="176"/>
      <c r="AB109" s="176"/>
      <c r="AC109" s="176"/>
      <c r="AD109" s="176"/>
      <c r="AE109" s="177"/>
      <c r="AF109" s="176"/>
      <c r="AG109" s="168" t="str">
        <f aca="false">A109</f>
        <v/>
      </c>
      <c r="AH109" s="184"/>
      <c r="AI109" s="207" t="n">
        <f aca="false">SUM(B109:AF109)</f>
        <v>0</v>
      </c>
      <c r="AJ109" s="33"/>
      <c r="AK109" s="192"/>
      <c r="AL109" s="216" t="n">
        <f aca="false">IF(EB.Anwendung&lt;&gt;"",IF(MONTH(Monat.Tag1)=1,0,IF(MONTH(Monat.Tag1)=2,January!Monat.P13UeVM,IF(MONTH(Monat.Tag1)=3,February!Monat.P13UeVM,IF(MONTH(Monat.Tag1)=4,March!Monat.P13UeVM,IF(MONTH(Monat.Tag1)=5,April!Monat.P13UeVM,IF(MONTH(Monat.Tag1)=6,May!Monat.P13UeVM,IF(MONTH(Monat.Tag1)=7,June!Monat.P13UeVM,IF(MONTH(Monat.Tag1)=8,Monat.P13UeVM,IF(MONTH(Monat.Tag1)=9,August!Monat.P13UeVM,IF(MONTH(Monat.Tag1)=10,September!Monat.P13UeVM,IF(MONTH(Monat.Tag1)=11,October!Monat.P13UeVM,IF(MONTH(Monat.Tag1)=12,November!Monat.P13UeVM,"")))))))))))),"")</f>
        <v>0</v>
      </c>
      <c r="AM109" s="172"/>
      <c r="AN109" s="217" t="n">
        <f aca="false">AI109+AL109</f>
        <v>0</v>
      </c>
      <c r="AO109" s="264"/>
      <c r="AP109" s="264"/>
      <c r="AQ109" s="265"/>
    </row>
    <row r="110" customFormat="false" ht="15" hidden="true" customHeight="true" outlineLevel="1" collapsed="false">
      <c r="A110" s="181" t="str">
        <f aca="true">IF(ROW(A110)-ROW(INDEX(Monat.Projekte.Zeilen,1))+1&gt;EB.AnzProjekte,"",OFFSET(EB.Projekte.Knoten,ROW(A110)-ROW(INDEX(Monat.Projekte.Zeilen,1))+1,0,1,1))</f>
        <v/>
      </c>
      <c r="B110" s="176"/>
      <c r="C110" s="176"/>
      <c r="D110" s="176"/>
      <c r="E110" s="177"/>
      <c r="F110" s="176"/>
      <c r="G110" s="176"/>
      <c r="H110" s="176"/>
      <c r="I110" s="176"/>
      <c r="J110" s="177"/>
      <c r="K110" s="176"/>
      <c r="L110" s="177"/>
      <c r="M110" s="176"/>
      <c r="N110" s="176"/>
      <c r="O110" s="176"/>
      <c r="P110" s="176"/>
      <c r="Q110" s="177"/>
      <c r="R110" s="176"/>
      <c r="S110" s="177"/>
      <c r="T110" s="177"/>
      <c r="U110" s="176"/>
      <c r="V110" s="176"/>
      <c r="W110" s="176"/>
      <c r="X110" s="177"/>
      <c r="Y110" s="176"/>
      <c r="Z110" s="178"/>
      <c r="AA110" s="176"/>
      <c r="AB110" s="176"/>
      <c r="AC110" s="176"/>
      <c r="AD110" s="176"/>
      <c r="AE110" s="177"/>
      <c r="AF110" s="176"/>
      <c r="AG110" s="168" t="str">
        <f aca="false">A110</f>
        <v/>
      </c>
      <c r="AH110" s="184"/>
      <c r="AI110" s="207" t="n">
        <f aca="false">SUM(B110:AF110)</f>
        <v>0</v>
      </c>
      <c r="AJ110" s="33"/>
      <c r="AK110" s="192"/>
      <c r="AL110" s="216" t="n">
        <f aca="false">IF(EB.Anwendung&lt;&gt;"",IF(MONTH(Monat.Tag1)=1,0,IF(MONTH(Monat.Tag1)=2,January!Monat.P14UeVM,IF(MONTH(Monat.Tag1)=3,February!Monat.P14UeVM,IF(MONTH(Monat.Tag1)=4,March!Monat.P14UeVM,IF(MONTH(Monat.Tag1)=5,April!Monat.P14UeVM,IF(MONTH(Monat.Tag1)=6,May!Monat.P14UeVM,IF(MONTH(Monat.Tag1)=7,June!Monat.P14UeVM,IF(MONTH(Monat.Tag1)=8,Monat.P14UeVM,IF(MONTH(Monat.Tag1)=9,August!Monat.P14UeVM,IF(MONTH(Monat.Tag1)=10,September!Monat.P14UeVM,IF(MONTH(Monat.Tag1)=11,October!Monat.P14UeVM,IF(MONTH(Monat.Tag1)=12,November!Monat.P14UeVM,"")))))))))))),"")</f>
        <v>0</v>
      </c>
      <c r="AM110" s="172"/>
      <c r="AN110" s="217" t="n">
        <f aca="false">AI110+AL110</f>
        <v>0</v>
      </c>
      <c r="AO110" s="264"/>
      <c r="AP110" s="264"/>
      <c r="AQ110" s="43"/>
    </row>
    <row r="111" customFormat="false" ht="15" hidden="true" customHeight="true" outlineLevel="1" collapsed="false">
      <c r="A111" s="181" t="str">
        <f aca="true">IF(ROW(A111)-ROW(INDEX(Monat.Projekte.Zeilen,1))+1&gt;EB.AnzProjekte,"",OFFSET(EB.Projekte.Knoten,ROW(A111)-ROW(INDEX(Monat.Projekte.Zeilen,1))+1,0,1,1))</f>
        <v/>
      </c>
      <c r="B111" s="176"/>
      <c r="C111" s="176"/>
      <c r="D111" s="176"/>
      <c r="E111" s="176"/>
      <c r="F111" s="176"/>
      <c r="G111" s="176"/>
      <c r="H111" s="176"/>
      <c r="I111" s="176"/>
      <c r="J111" s="176"/>
      <c r="K111" s="176"/>
      <c r="L111" s="176"/>
      <c r="M111" s="176"/>
      <c r="N111" s="176"/>
      <c r="O111" s="176"/>
      <c r="P111" s="176"/>
      <c r="Q111" s="176"/>
      <c r="R111" s="176"/>
      <c r="S111" s="176"/>
      <c r="T111" s="176"/>
      <c r="U111" s="176"/>
      <c r="V111" s="176"/>
      <c r="W111" s="176"/>
      <c r="X111" s="176"/>
      <c r="Y111" s="176"/>
      <c r="Z111" s="190"/>
      <c r="AA111" s="176"/>
      <c r="AB111" s="176"/>
      <c r="AC111" s="176"/>
      <c r="AD111" s="176"/>
      <c r="AE111" s="176"/>
      <c r="AF111" s="176"/>
      <c r="AG111" s="168" t="str">
        <f aca="false">A111</f>
        <v/>
      </c>
      <c r="AH111" s="184"/>
      <c r="AI111" s="207" t="n">
        <f aca="false">SUM(B111:AF111)</f>
        <v>0</v>
      </c>
      <c r="AJ111" s="33"/>
      <c r="AK111" s="192"/>
      <c r="AL111" s="216" t="n">
        <f aca="false">IF(EB.Anwendung&lt;&gt;"",IF(MONTH(Monat.Tag1)=1,0,IF(MONTH(Monat.Tag1)=2,January!Monat.P15UeVM,IF(MONTH(Monat.Tag1)=3,February!Monat.P15UeVM,IF(MONTH(Monat.Tag1)=4,March!Monat.P15UeVM,IF(MONTH(Monat.Tag1)=5,April!Monat.P15UeVM,IF(MONTH(Monat.Tag1)=6,May!Monat.P15UeVM,IF(MONTH(Monat.Tag1)=7,June!Monat.P15UeVM,IF(MONTH(Monat.Tag1)=8,Monat.P15UeVM,IF(MONTH(Monat.Tag1)=9,August!Monat.P15UeVM,IF(MONTH(Monat.Tag1)=10,September!Monat.P15UeVM,IF(MONTH(Monat.Tag1)=11,October!Monat.P15UeVM,IF(MONTH(Monat.Tag1)=12,November!Monat.P15UeVM,"")))))))))))),"")</f>
        <v>0</v>
      </c>
      <c r="AM111" s="172"/>
      <c r="AN111" s="217" t="n">
        <f aca="false">AI111+AL111</f>
        <v>0</v>
      </c>
      <c r="AO111" s="264"/>
      <c r="AP111" s="264"/>
      <c r="AQ111" s="43"/>
    </row>
    <row r="112" customFormat="false" ht="15" hidden="false" customHeight="true" outlineLevel="0" collapsed="false">
      <c r="A112" s="181" t="s">
        <v>177</v>
      </c>
      <c r="B112" s="205" t="n">
        <f aca="false">SUM(B97:B111)</f>
        <v>0</v>
      </c>
      <c r="C112" s="205" t="n">
        <f aca="false">SUM(C97:C111)</f>
        <v>0</v>
      </c>
      <c r="D112" s="205" t="n">
        <f aca="false">SUM(D97:D111)</f>
        <v>0</v>
      </c>
      <c r="E112" s="205" t="n">
        <f aca="false">SUM(E97:E111)</f>
        <v>0</v>
      </c>
      <c r="F112" s="205" t="n">
        <f aca="false">SUM(F97:F111)</f>
        <v>0</v>
      </c>
      <c r="G112" s="205" t="n">
        <f aca="false">SUM(G97:G111)</f>
        <v>0</v>
      </c>
      <c r="H112" s="205" t="n">
        <f aca="false">SUM(H97:H111)</f>
        <v>0</v>
      </c>
      <c r="I112" s="205" t="n">
        <f aca="false">SUM(I97:I111)</f>
        <v>0</v>
      </c>
      <c r="J112" s="205" t="n">
        <f aca="false">SUM(J97:J111)</f>
        <v>0</v>
      </c>
      <c r="K112" s="205" t="n">
        <f aca="false">SUM(K97:K111)</f>
        <v>0</v>
      </c>
      <c r="L112" s="205" t="n">
        <f aca="false">SUM(L97:L111)</f>
        <v>0</v>
      </c>
      <c r="M112" s="205" t="n">
        <f aca="false">SUM(M97:M111)</f>
        <v>0</v>
      </c>
      <c r="N112" s="205" t="n">
        <f aca="false">SUM(N97:N111)</f>
        <v>0</v>
      </c>
      <c r="O112" s="205" t="n">
        <f aca="false">SUM(O97:O111)</f>
        <v>0</v>
      </c>
      <c r="P112" s="205" t="n">
        <f aca="false">SUM(P97:P111)</f>
        <v>0</v>
      </c>
      <c r="Q112" s="205" t="n">
        <f aca="false">SUM(Q97:Q111)</f>
        <v>0</v>
      </c>
      <c r="R112" s="205" t="n">
        <f aca="false">SUM(R97:R111)</f>
        <v>0</v>
      </c>
      <c r="S112" s="205" t="n">
        <f aca="false">SUM(S97:S111)</f>
        <v>0</v>
      </c>
      <c r="T112" s="205" t="n">
        <f aca="false">SUM(T97:T111)</f>
        <v>0</v>
      </c>
      <c r="U112" s="205" t="n">
        <f aca="false">SUM(U97:U111)</f>
        <v>0</v>
      </c>
      <c r="V112" s="205" t="n">
        <f aca="false">SUM(V97:V111)</f>
        <v>0</v>
      </c>
      <c r="W112" s="205" t="n">
        <f aca="false">SUM(W97:W111)</f>
        <v>0</v>
      </c>
      <c r="X112" s="205" t="n">
        <f aca="false">SUM(X97:X111)</f>
        <v>0</v>
      </c>
      <c r="Y112" s="205" t="n">
        <f aca="false">SUM(Y97:Y111)</f>
        <v>0</v>
      </c>
      <c r="Z112" s="205" t="n">
        <f aca="false">SUM(Z97:Z111)</f>
        <v>0</v>
      </c>
      <c r="AA112" s="205" t="n">
        <f aca="false">SUM(AA97:AA111)</f>
        <v>0</v>
      </c>
      <c r="AB112" s="205" t="n">
        <f aca="false">SUM(AB97:AB111)</f>
        <v>0</v>
      </c>
      <c r="AC112" s="205" t="n">
        <f aca="false">SUM(AC97:AC111)</f>
        <v>0</v>
      </c>
      <c r="AD112" s="205" t="n">
        <f aca="false">SUM(AD97:AD111)</f>
        <v>0</v>
      </c>
      <c r="AE112" s="205" t="n">
        <f aca="false">SUM(AE97:AE111)</f>
        <v>0</v>
      </c>
      <c r="AF112" s="205" t="n">
        <f aca="false">SUM(AF97:AF111)</f>
        <v>0</v>
      </c>
      <c r="AG112" s="183" t="str">
        <f aca="false">A112</f>
        <v>Hours worked for projects</v>
      </c>
      <c r="AH112" s="184"/>
      <c r="AI112" s="207" t="n">
        <f aca="false">SUM(B112:AF112)</f>
        <v>0</v>
      </c>
      <c r="AJ112" s="33"/>
      <c r="AK112" s="192"/>
      <c r="AL112" s="216" t="n">
        <f aca="false">IF(EB.Anwendung&lt;&gt;"",IF(MONTH(Monat.Tag1)=1,0,IF(MONTH(Monat.Tag1)=2,January!Monat.PTotalUeVM,IF(MONTH(Monat.Tag1)=3,February!Monat.PTotalUeVM,IF(MONTH(Monat.Tag1)=4,March!Monat.PTotalUeVM,IF(MONTH(Monat.Tag1)=5,April!Monat.PTotalUeVM,IF(MONTH(Monat.Tag1)=6,May!Monat.PTotalUeVM,IF(MONTH(Monat.Tag1)=7,June!Monat.PTotalUeVM,IF(MONTH(Monat.Tag1)=8,Monat.PTotalUeVM,IF(MONTH(Monat.Tag1)=9,August!Monat.PTotalUeVM,IF(MONTH(Monat.Tag1)=10,September!Monat.PTotalUeVM,IF(MONTH(Monat.Tag1)=11,October!Monat.PTotalUeVM,IF(MONTH(Monat.Tag1)=12,November!Monat.PTotalUeVM,"")))))))))))),"")</f>
        <v>0</v>
      </c>
      <c r="AM112" s="172"/>
      <c r="AN112" s="217" t="n">
        <f aca="false">AI112+AL112</f>
        <v>0</v>
      </c>
      <c r="AO112" s="267"/>
      <c r="AP112" s="267"/>
      <c r="AQ112" s="43"/>
    </row>
    <row r="113" s="148" customFormat="true" ht="11.25" hidden="false" customHeight="true" outlineLevel="0" collapsed="false">
      <c r="A113" s="268"/>
      <c r="B113" s="194"/>
      <c r="C113" s="194"/>
      <c r="D113" s="194"/>
      <c r="E113" s="194"/>
      <c r="F113" s="194"/>
      <c r="G113" s="194"/>
      <c r="H113" s="194"/>
      <c r="I113" s="194"/>
      <c r="J113" s="194"/>
      <c r="K113" s="194"/>
      <c r="L113" s="194"/>
      <c r="M113" s="194"/>
      <c r="N113" s="194"/>
      <c r="O113" s="194"/>
      <c r="P113" s="194"/>
      <c r="Q113" s="194"/>
      <c r="R113" s="194"/>
      <c r="S113" s="194"/>
      <c r="T113" s="194"/>
      <c r="U113" s="194"/>
      <c r="V113" s="194"/>
      <c r="W113" s="194"/>
      <c r="X113" s="194"/>
      <c r="Y113" s="194"/>
      <c r="Z113" s="194"/>
      <c r="AA113" s="194"/>
      <c r="AB113" s="194"/>
      <c r="AC113" s="194"/>
      <c r="AD113" s="194"/>
      <c r="AE113" s="194"/>
      <c r="AF113" s="194"/>
      <c r="AG113" s="269"/>
      <c r="AH113" s="263"/>
      <c r="AI113" s="194"/>
      <c r="AJ113" s="16"/>
      <c r="AK113" s="194"/>
      <c r="AL113" s="194"/>
      <c r="AM113" s="194"/>
      <c r="AN113" s="50"/>
      <c r="AO113" s="194"/>
      <c r="AP113" s="194"/>
      <c r="AQ113" s="39"/>
    </row>
    <row r="114" s="148" customFormat="true" ht="15" hidden="true" customHeight="true" outlineLevel="1" collapsed="false">
      <c r="A114" s="181" t="s">
        <v>178</v>
      </c>
      <c r="B114" s="213" t="n">
        <f aca="false">ROUND((B23+B45+B91)-SUMPRODUCT((B97:B111)*(EB.Projektart.Bereich=6)),9)</f>
        <v>0</v>
      </c>
      <c r="C114" s="213" t="n">
        <f aca="false">ROUND((C23+C45+C91)-SUMPRODUCT((C97:C111)*(EB.Projektart.Bereich=6)),9)</f>
        <v>0</v>
      </c>
      <c r="D114" s="213" t="n">
        <f aca="false">ROUND((D23+D45+D91)-SUMPRODUCT((D97:D111)*(EB.Projektart.Bereich=6)),9)</f>
        <v>0</v>
      </c>
      <c r="E114" s="213" t="n">
        <f aca="false">ROUND((E23+E45+E91)-SUMPRODUCT((E97:E111)*(EB.Projektart.Bereich=6)),9)</f>
        <v>0</v>
      </c>
      <c r="F114" s="213" t="n">
        <f aca="false">ROUND((F23+F45+F91)-SUMPRODUCT((F97:F111)*(EB.Projektart.Bereich=6)),9)</f>
        <v>0</v>
      </c>
      <c r="G114" s="213" t="n">
        <f aca="false">ROUND((G23+G45+G91)-SUMPRODUCT((G97:G111)*(EB.Projektart.Bereich=6)),9)</f>
        <v>0</v>
      </c>
      <c r="H114" s="213" t="n">
        <f aca="false">ROUND((H23+H45+H91)-SUMPRODUCT((H97:H111)*(EB.Projektart.Bereich=6)),9)</f>
        <v>0</v>
      </c>
      <c r="I114" s="213" t="n">
        <f aca="false">ROUND((I23+I45+I91)-SUMPRODUCT((I97:I111)*(EB.Projektart.Bereich=6)),9)</f>
        <v>0</v>
      </c>
      <c r="J114" s="213" t="n">
        <f aca="false">ROUND((J23+J45+J91)-SUMPRODUCT((J97:J111)*(EB.Projektart.Bereich=6)),9)</f>
        <v>0</v>
      </c>
      <c r="K114" s="213" t="n">
        <f aca="false">ROUND((K23+K45+K91)-SUMPRODUCT((K97:K111)*(EB.Projektart.Bereich=6)),9)</f>
        <v>0</v>
      </c>
      <c r="L114" s="213" t="n">
        <f aca="false">ROUND((L23+L45+L91)-SUMPRODUCT((L97:L111)*(EB.Projektart.Bereich=6)),9)</f>
        <v>0</v>
      </c>
      <c r="M114" s="213" t="n">
        <f aca="false">ROUND((M23+M45+M91)-SUMPRODUCT((M97:M111)*(EB.Projektart.Bereich=6)),9)</f>
        <v>0</v>
      </c>
      <c r="N114" s="213" t="n">
        <f aca="false">ROUND((N23+N45+N91)-SUMPRODUCT((N97:N111)*(EB.Projektart.Bereich=6)),9)</f>
        <v>0</v>
      </c>
      <c r="O114" s="213" t="n">
        <f aca="false">ROUND((O23+O45+O91)-SUMPRODUCT((O97:O111)*(EB.Projektart.Bereich=6)),9)</f>
        <v>0</v>
      </c>
      <c r="P114" s="213" t="n">
        <f aca="false">ROUND((P23+P45+P91)-SUMPRODUCT((P97:P111)*(EB.Projektart.Bereich=6)),9)</f>
        <v>0</v>
      </c>
      <c r="Q114" s="213" t="n">
        <f aca="false">ROUND((Q23+Q45+Q91)-SUMPRODUCT((Q97:Q111)*(EB.Projektart.Bereich=6)),9)</f>
        <v>0</v>
      </c>
      <c r="R114" s="213" t="n">
        <f aca="false">ROUND((R23+R45+R91)-SUMPRODUCT((R97:R111)*(EB.Projektart.Bereich=6)),9)</f>
        <v>0</v>
      </c>
      <c r="S114" s="213" t="n">
        <f aca="false">ROUND((S23+S45+S91)-SUMPRODUCT((S97:S111)*(EB.Projektart.Bereich=6)),9)</f>
        <v>0</v>
      </c>
      <c r="T114" s="213" t="n">
        <f aca="false">ROUND((T23+T45+T91)-SUMPRODUCT((T97:T111)*(EB.Projektart.Bereich=6)),9)</f>
        <v>0</v>
      </c>
      <c r="U114" s="213" t="n">
        <f aca="false">ROUND((U23+U45+U91)-SUMPRODUCT((U97:U111)*(EB.Projektart.Bereich=6)),9)</f>
        <v>0</v>
      </c>
      <c r="V114" s="213" t="n">
        <f aca="false">ROUND((V23+V45+V91)-SUMPRODUCT((V97:V111)*(EB.Projektart.Bereich=6)),9)</f>
        <v>0</v>
      </c>
      <c r="W114" s="213" t="n">
        <f aca="false">ROUND((W23+W45+W91)-SUMPRODUCT((W97:W111)*(EB.Projektart.Bereich=6)),9)</f>
        <v>0</v>
      </c>
      <c r="X114" s="213" t="n">
        <f aca="false">ROUND((X23+X45+X91)-SUMPRODUCT((X97:X111)*(EB.Projektart.Bereich=6)),9)</f>
        <v>0</v>
      </c>
      <c r="Y114" s="213" t="n">
        <f aca="false">ROUND((Y23+Y45+Y91)-SUMPRODUCT((Y97:Y111)*(EB.Projektart.Bereich=6)),9)</f>
        <v>0</v>
      </c>
      <c r="Z114" s="213" t="n">
        <f aca="false">ROUND((Z23+Z45+Z91)-SUMPRODUCT((Z97:Z111)*(EB.Projektart.Bereich=6)),9)</f>
        <v>0</v>
      </c>
      <c r="AA114" s="213" t="n">
        <f aca="false">ROUND((AA23+AA45+AA91)-SUMPRODUCT((AA97:AA111)*(EB.Projektart.Bereich=6)),9)</f>
        <v>0</v>
      </c>
      <c r="AB114" s="213" t="n">
        <f aca="false">ROUND((AB23+AB45+AB91)-SUMPRODUCT((AB97:AB111)*(EB.Projektart.Bereich=6)),9)</f>
        <v>0</v>
      </c>
      <c r="AC114" s="213" t="n">
        <f aca="false">ROUND((AC23+AC45+AC91)-SUMPRODUCT((AC97:AC111)*(EB.Projektart.Bereich=6)),9)</f>
        <v>0</v>
      </c>
      <c r="AD114" s="213" t="n">
        <f aca="false">ROUND((AD23+AD45+AD91)-SUMPRODUCT((AD97:AD111)*(EB.Projektart.Bereich=6)),9)</f>
        <v>0</v>
      </c>
      <c r="AE114" s="213" t="n">
        <f aca="false">ROUND((AE23+AE45+AE91)-SUMPRODUCT((AE97:AE111)*(EB.Projektart.Bereich=6)),9)</f>
        <v>0</v>
      </c>
      <c r="AF114" s="213" t="n">
        <f aca="false">ROUND((AF23+AF45+AF91)-SUMPRODUCT((AF97:AF111)*(EB.Projektart.Bereich=6)),9)</f>
        <v>0</v>
      </c>
      <c r="AG114" s="183" t="str">
        <f aca="false">A114</f>
        <v>Difference WH-Project type 6</v>
      </c>
      <c r="AH114" s="197"/>
      <c r="AI114" s="207" t="n">
        <f aca="false">SUM(B114:AF114)</f>
        <v>0</v>
      </c>
      <c r="AJ114" s="33"/>
      <c r="AK114" s="235"/>
      <c r="AL114" s="216" t="n">
        <f aca="false">IF(EB.Anwendung&lt;&gt;"",IF(MONTH(Monat.Tag1)=1,0,IF(MONTH(Monat.Tag1)=2,January!Monat.PDiffUeVM,IF(MONTH(Monat.Tag1)=3,February!Monat.PDiffUeVM,IF(MONTH(Monat.Tag1)=4,March!Monat.PDiffUeVM,IF(MONTH(Monat.Tag1)=5,April!Monat.PDiffUeVM,IF(MONTH(Monat.Tag1)=6,May!Monat.PDiffUeVM,IF(MONTH(Monat.Tag1)=7,June!Monat.PDiffUeVM,IF(MONTH(Monat.Tag1)=8,Monat.PDiffUeVM,IF(MONTH(Monat.Tag1)=9,August!Monat.PDiffUeVM,IF(MONTH(Monat.Tag1)=10,September!Monat.PDiffUeVM,IF(MONTH(Monat.Tag1)=11,October!Monat.PDiffUeVM,IF(MONTH(Monat.Tag1)=12,November!Monat.PDiffUeVM,"")))))))))))),"")</f>
        <v>10.506944445</v>
      </c>
      <c r="AM114" s="235"/>
      <c r="AN114" s="217" t="n">
        <f aca="false">AI114+AL114</f>
        <v>10.506944445</v>
      </c>
      <c r="AO114" s="235"/>
      <c r="AP114" s="235"/>
      <c r="AQ114" s="39"/>
    </row>
    <row r="115" customFormat="false" ht="11.25" hidden="true" customHeight="true" outlineLevel="1" collapsed="false">
      <c r="A115" s="43"/>
      <c r="B115" s="270"/>
      <c r="C115" s="270"/>
      <c r="D115" s="270"/>
      <c r="E115" s="270"/>
      <c r="F115" s="270"/>
      <c r="G115" s="270"/>
      <c r="H115" s="270"/>
      <c r="I115" s="270"/>
      <c r="J115" s="271"/>
      <c r="K115" s="270"/>
      <c r="L115" s="270"/>
      <c r="M115" s="270"/>
      <c r="N115" s="270"/>
      <c r="O115" s="270"/>
      <c r="P115" s="270"/>
      <c r="Q115" s="270"/>
      <c r="R115" s="270"/>
      <c r="S115" s="270"/>
      <c r="T115" s="270"/>
      <c r="U115" s="270"/>
      <c r="V115" s="270"/>
      <c r="W115" s="270"/>
      <c r="X115" s="270"/>
      <c r="Y115" s="270"/>
      <c r="Z115" s="270"/>
      <c r="AA115" s="270"/>
      <c r="AB115" s="270"/>
      <c r="AC115" s="270"/>
      <c r="AD115" s="270"/>
      <c r="AE115" s="270"/>
      <c r="AF115" s="270"/>
      <c r="AG115" s="272"/>
      <c r="AH115" s="273"/>
      <c r="AI115" s="43"/>
      <c r="AJ115" s="43"/>
      <c r="AK115" s="43"/>
      <c r="AL115" s="43"/>
      <c r="AM115" s="43"/>
      <c r="AN115" s="274"/>
      <c r="AO115" s="43"/>
      <c r="AP115" s="43"/>
      <c r="AQ115" s="43"/>
    </row>
    <row r="116" customFormat="false" ht="11.25" hidden="false" customHeight="true" outlineLevel="0" collapsed="false">
      <c r="A116" s="43"/>
      <c r="B116" s="270"/>
      <c r="C116" s="270"/>
      <c r="D116" s="270"/>
      <c r="E116" s="270"/>
      <c r="F116" s="270"/>
      <c r="G116" s="270"/>
      <c r="H116" s="270"/>
      <c r="I116" s="270"/>
      <c r="J116" s="270"/>
      <c r="K116" s="270"/>
      <c r="L116" s="270"/>
      <c r="M116" s="270"/>
      <c r="N116" s="270"/>
      <c r="O116" s="270"/>
      <c r="P116" s="270"/>
      <c r="Q116" s="270"/>
      <c r="R116" s="270"/>
      <c r="S116" s="270"/>
      <c r="T116" s="270"/>
      <c r="U116" s="270"/>
      <c r="V116" s="270"/>
      <c r="W116" s="270"/>
      <c r="X116" s="270"/>
      <c r="Y116" s="270"/>
      <c r="Z116" s="270"/>
      <c r="AA116" s="270"/>
      <c r="AB116" s="270"/>
      <c r="AC116" s="270"/>
      <c r="AD116" s="270"/>
      <c r="AE116" s="270"/>
      <c r="AF116" s="270"/>
      <c r="AG116" s="272"/>
      <c r="AH116" s="273"/>
      <c r="AI116" s="43"/>
      <c r="AJ116" s="43"/>
      <c r="AK116" s="43"/>
      <c r="AL116" s="43"/>
      <c r="AM116" s="43"/>
      <c r="AN116" s="274"/>
      <c r="AO116" s="43"/>
      <c r="AP116" s="43"/>
      <c r="AQ116" s="43"/>
    </row>
    <row r="117" customFormat="false" ht="12" hidden="false" customHeight="true" outlineLevel="0" collapsed="false">
      <c r="A117" s="43"/>
      <c r="B117" s="275" t="s">
        <v>179</v>
      </c>
      <c r="C117" s="275"/>
      <c r="D117" s="275"/>
      <c r="E117" s="275"/>
      <c r="F117" s="275"/>
      <c r="G117" s="275"/>
      <c r="H117" s="275"/>
      <c r="I117" s="275"/>
      <c r="J117" s="275"/>
      <c r="K117" s="275"/>
      <c r="L117" s="275"/>
      <c r="M117" s="275"/>
      <c r="N117" s="275"/>
      <c r="O117" s="275"/>
      <c r="P117" s="275"/>
      <c r="Q117" s="275"/>
      <c r="R117" s="276"/>
      <c r="S117" s="276"/>
      <c r="T117" s="276"/>
      <c r="U117" s="276"/>
      <c r="V117" s="276"/>
      <c r="W117" s="276"/>
      <c r="X117" s="276"/>
      <c r="Y117" s="276"/>
      <c r="Z117" s="276"/>
      <c r="AA117" s="276"/>
      <c r="AB117" s="276"/>
      <c r="AC117" s="276"/>
      <c r="AD117" s="276"/>
      <c r="AE117" s="276"/>
      <c r="AF117" s="276"/>
      <c r="AG117" s="277"/>
      <c r="AH117" s="278"/>
      <c r="AI117" s="276"/>
      <c r="AJ117" s="276"/>
      <c r="AK117" s="276"/>
      <c r="AL117" s="276"/>
      <c r="AM117" s="276"/>
      <c r="AN117" s="279"/>
      <c r="AO117" s="265"/>
      <c r="AP117" s="265"/>
      <c r="AQ117" s="43"/>
    </row>
    <row r="118" customFormat="false" ht="11.25" hidden="false" customHeight="true" outlineLevel="0" collapsed="false">
      <c r="A118" s="280"/>
      <c r="B118" s="280"/>
      <c r="C118" s="280"/>
      <c r="D118" s="280"/>
      <c r="E118" s="280"/>
      <c r="F118" s="280"/>
      <c r="G118" s="280"/>
      <c r="H118" s="280"/>
      <c r="I118" s="280"/>
      <c r="J118" s="280"/>
      <c r="K118" s="280"/>
      <c r="L118" s="280"/>
      <c r="M118" s="276"/>
      <c r="N118" s="276"/>
      <c r="O118" s="276"/>
      <c r="P118" s="276"/>
      <c r="Q118" s="276"/>
      <c r="R118" s="276"/>
      <c r="S118" s="276"/>
      <c r="T118" s="276"/>
      <c r="U118" s="276"/>
      <c r="V118" s="276"/>
      <c r="W118" s="276"/>
      <c r="X118" s="276"/>
      <c r="Y118" s="276"/>
      <c r="Z118" s="276"/>
      <c r="AA118" s="276"/>
      <c r="AB118" s="276"/>
      <c r="AC118" s="276"/>
      <c r="AD118" s="276"/>
      <c r="AE118" s="276"/>
      <c r="AF118" s="276"/>
      <c r="AG118" s="276"/>
      <c r="AH118" s="276"/>
      <c r="AI118" s="276"/>
      <c r="AJ118" s="276"/>
      <c r="AK118" s="276"/>
      <c r="AL118" s="276"/>
      <c r="AM118" s="276"/>
      <c r="AN118" s="276"/>
      <c r="AO118" s="276"/>
      <c r="AP118" s="276"/>
      <c r="AQ118" s="43"/>
    </row>
    <row r="119" customFormat="false" ht="39" hidden="false" customHeight="true" outlineLevel="0" collapsed="false">
      <c r="A119" s="55" t="s">
        <v>180</v>
      </c>
      <c r="B119" s="281"/>
      <c r="C119" s="281"/>
      <c r="D119" s="281"/>
      <c r="E119" s="281"/>
      <c r="F119" s="281"/>
      <c r="G119" s="281"/>
      <c r="H119" s="281"/>
      <c r="I119" s="281"/>
      <c r="J119" s="281"/>
      <c r="K119" s="281"/>
      <c r="L119" s="281"/>
      <c r="M119" s="281"/>
      <c r="N119" s="281"/>
      <c r="O119" s="281"/>
      <c r="P119" s="281"/>
      <c r="Q119" s="281"/>
      <c r="R119" s="276"/>
      <c r="S119" s="276"/>
      <c r="T119" s="276"/>
      <c r="U119" s="276"/>
      <c r="V119" s="276"/>
      <c r="W119" s="276"/>
      <c r="X119" s="276"/>
      <c r="Y119" s="282"/>
      <c r="Z119" s="282"/>
      <c r="AA119" s="282"/>
      <c r="AB119" s="282"/>
      <c r="AC119" s="282"/>
      <c r="AD119" s="282"/>
      <c r="AE119" s="282"/>
      <c r="AF119" s="282"/>
      <c r="AG119" s="283"/>
      <c r="AH119" s="283"/>
      <c r="AI119" s="283"/>
      <c r="AJ119" s="283"/>
      <c r="AK119" s="265"/>
      <c r="AL119" s="265"/>
      <c r="AM119" s="265"/>
      <c r="AN119" s="284"/>
      <c r="AO119" s="265"/>
      <c r="AP119" s="265"/>
      <c r="AQ119" s="43"/>
    </row>
    <row r="120" customFormat="false" ht="12" hidden="false" customHeight="true" outlineLevel="0" collapsed="false">
      <c r="A120" s="285" t="s">
        <v>181</v>
      </c>
      <c r="B120" s="286"/>
      <c r="C120" s="286"/>
      <c r="D120" s="286"/>
      <c r="E120" s="286"/>
      <c r="F120" s="286"/>
      <c r="G120" s="286"/>
      <c r="H120" s="286"/>
      <c r="I120" s="286"/>
      <c r="J120" s="286"/>
      <c r="K120" s="286"/>
      <c r="L120" s="286"/>
      <c r="M120" s="286"/>
      <c r="N120" s="286"/>
      <c r="O120" s="286"/>
      <c r="P120" s="286"/>
      <c r="Q120" s="286"/>
      <c r="R120" s="276"/>
      <c r="S120" s="276"/>
      <c r="T120" s="287" t="s">
        <v>182</v>
      </c>
      <c r="U120" s="287"/>
      <c r="V120" s="287"/>
      <c r="W120" s="287"/>
      <c r="X120" s="287"/>
      <c r="Y120" s="282"/>
      <c r="Z120" s="282"/>
      <c r="AA120" s="282"/>
      <c r="AB120" s="282"/>
      <c r="AC120" s="282"/>
      <c r="AD120" s="282"/>
      <c r="AE120" s="282"/>
      <c r="AF120" s="282"/>
      <c r="AG120" s="283"/>
      <c r="AH120" s="283"/>
      <c r="AI120" s="283"/>
      <c r="AJ120" s="283"/>
      <c r="AK120" s="43"/>
      <c r="AL120" s="43"/>
      <c r="AM120" s="43"/>
      <c r="AN120" s="274"/>
      <c r="AO120" s="43"/>
      <c r="AP120" s="43"/>
      <c r="AQ120" s="43"/>
    </row>
    <row r="121" customFormat="false" ht="11.25" hidden="false" customHeight="true" outlineLevel="0" collapsed="false">
      <c r="A121" s="288"/>
      <c r="B121" s="289"/>
      <c r="C121" s="289"/>
      <c r="D121" s="289"/>
      <c r="E121" s="289"/>
      <c r="F121" s="289"/>
      <c r="G121" s="289"/>
      <c r="H121" s="289"/>
      <c r="I121" s="289"/>
      <c r="J121" s="289"/>
      <c r="K121" s="289"/>
      <c r="L121" s="289"/>
      <c r="M121" s="270"/>
      <c r="N121" s="270"/>
      <c r="O121" s="270"/>
      <c r="P121" s="270"/>
      <c r="Q121" s="270"/>
      <c r="R121" s="270"/>
      <c r="S121" s="276"/>
      <c r="T121" s="270"/>
      <c r="U121" s="270"/>
      <c r="V121" s="270"/>
      <c r="W121" s="270"/>
      <c r="X121" s="270"/>
      <c r="Y121" s="270"/>
      <c r="Z121" s="270"/>
      <c r="AA121" s="270"/>
      <c r="AB121" s="270"/>
      <c r="AC121" s="270"/>
      <c r="AD121" s="270"/>
      <c r="AE121" s="270"/>
      <c r="AF121" s="270"/>
      <c r="AG121" s="272"/>
      <c r="AH121" s="273"/>
      <c r="AI121" s="43"/>
      <c r="AJ121" s="43"/>
      <c r="AK121" s="43"/>
      <c r="AL121" s="43"/>
      <c r="AM121" s="43"/>
      <c r="AN121" s="274"/>
      <c r="AO121" s="43"/>
      <c r="AP121" s="43"/>
      <c r="AQ121" s="43"/>
    </row>
    <row r="122" customFormat="false" ht="12" hidden="false" customHeight="true" outlineLevel="0" collapsed="false">
      <c r="A122" s="43"/>
      <c r="B122" s="290" t="s">
        <v>183</v>
      </c>
      <c r="C122" s="290"/>
      <c r="D122" s="290"/>
      <c r="E122" s="290"/>
      <c r="F122" s="290"/>
      <c r="G122" s="290"/>
      <c r="H122" s="290"/>
      <c r="I122" s="290"/>
      <c r="J122" s="290"/>
      <c r="K122" s="290"/>
      <c r="L122" s="290"/>
      <c r="M122" s="290"/>
      <c r="N122" s="290"/>
      <c r="O122" s="290"/>
      <c r="P122" s="290"/>
      <c r="Q122" s="290"/>
      <c r="R122" s="270"/>
      <c r="S122" s="270"/>
      <c r="T122" s="270"/>
      <c r="U122" s="270"/>
      <c r="V122" s="270"/>
      <c r="W122" s="270"/>
      <c r="X122" s="270"/>
      <c r="Y122" s="270"/>
      <c r="Z122" s="270"/>
      <c r="AA122" s="270"/>
      <c r="AB122" s="270"/>
      <c r="AC122" s="270"/>
      <c r="AD122" s="270"/>
      <c r="AE122" s="270"/>
      <c r="AF122" s="270"/>
      <c r="AG122" s="272"/>
      <c r="AH122" s="273"/>
      <c r="AI122" s="43"/>
      <c r="AJ122" s="43"/>
      <c r="AK122" s="43"/>
      <c r="AL122" s="43"/>
      <c r="AM122" s="43"/>
      <c r="AN122" s="274"/>
      <c r="AO122" s="43"/>
      <c r="AP122" s="43"/>
      <c r="AQ122" s="43"/>
    </row>
    <row r="123" customFormat="false" ht="11.25" hidden="false" customHeight="true" outlineLevel="0" collapsed="false">
      <c r="A123" s="43"/>
      <c r="B123" s="270"/>
      <c r="C123" s="270"/>
      <c r="D123" s="270"/>
      <c r="E123" s="270"/>
      <c r="F123" s="270"/>
      <c r="G123" s="270"/>
      <c r="H123" s="270"/>
      <c r="I123" s="270"/>
      <c r="J123" s="270"/>
      <c r="K123" s="270"/>
      <c r="L123" s="270"/>
      <c r="M123" s="270"/>
      <c r="N123" s="270"/>
      <c r="O123" s="270"/>
      <c r="P123" s="270"/>
      <c r="Q123" s="270"/>
      <c r="R123" s="270"/>
      <c r="S123" s="270"/>
      <c r="T123" s="270"/>
      <c r="U123" s="270"/>
      <c r="V123" s="270"/>
      <c r="W123" s="270"/>
      <c r="X123" s="270"/>
      <c r="Y123" s="270"/>
      <c r="Z123" s="270"/>
      <c r="AA123" s="270"/>
      <c r="AB123" s="270"/>
      <c r="AC123" s="270"/>
      <c r="AD123" s="270"/>
      <c r="AE123" s="270"/>
      <c r="AF123" s="270"/>
      <c r="AG123" s="272"/>
      <c r="AH123" s="273"/>
      <c r="AI123" s="43"/>
      <c r="AJ123" s="43"/>
      <c r="AK123" s="43"/>
      <c r="AL123" s="43"/>
      <c r="AM123" s="43"/>
      <c r="AN123" s="274"/>
      <c r="AO123" s="43"/>
      <c r="AP123" s="43"/>
      <c r="AQ123" s="43"/>
    </row>
    <row r="124" customFormat="false" ht="11.25" hidden="false" customHeight="true" outlineLevel="0" collapsed="false">
      <c r="A124" s="276"/>
      <c r="B124" s="276"/>
      <c r="C124" s="276"/>
      <c r="D124" s="276"/>
      <c r="E124" s="276"/>
      <c r="F124" s="276"/>
      <c r="G124" s="276"/>
      <c r="H124" s="276"/>
      <c r="I124" s="276"/>
      <c r="J124" s="276"/>
      <c r="K124" s="276"/>
      <c r="L124" s="276"/>
      <c r="M124" s="276"/>
      <c r="N124" s="276"/>
      <c r="O124" s="276"/>
      <c r="P124" s="276"/>
      <c r="Q124" s="276"/>
      <c r="R124" s="276"/>
      <c r="S124" s="276"/>
      <c r="T124" s="276"/>
      <c r="U124" s="276"/>
      <c r="V124" s="276"/>
      <c r="W124" s="276"/>
      <c r="X124" s="276"/>
      <c r="Y124" s="276"/>
      <c r="Z124" s="276"/>
      <c r="AA124" s="276"/>
      <c r="AB124" s="276"/>
      <c r="AC124" s="276"/>
      <c r="AD124" s="276"/>
      <c r="AE124" s="276"/>
      <c r="AF124" s="276"/>
      <c r="AG124" s="276"/>
      <c r="AH124" s="276"/>
      <c r="AI124" s="276"/>
      <c r="AJ124" s="276"/>
      <c r="AK124" s="276"/>
      <c r="AL124" s="276"/>
      <c r="AM124" s="276"/>
      <c r="AN124" s="276"/>
      <c r="AO124" s="276"/>
      <c r="AP124" s="276"/>
      <c r="AQ124" s="43"/>
    </row>
  </sheetData>
  <sheetProtection sheet="true" objects="true" scenarios="true"/>
  <mergeCells count="25">
    <mergeCell ref="B1:L1"/>
    <mergeCell ref="AO1:AP1"/>
    <mergeCell ref="B2:E2"/>
    <mergeCell ref="F2:N2"/>
    <mergeCell ref="P2:U2"/>
    <mergeCell ref="B3:E3"/>
    <mergeCell ref="F3:N3"/>
    <mergeCell ref="P3:U3"/>
    <mergeCell ref="B4:E4"/>
    <mergeCell ref="F4:N4"/>
    <mergeCell ref="P4:U4"/>
    <mergeCell ref="B5:E5"/>
    <mergeCell ref="F5:N5"/>
    <mergeCell ref="B6:E6"/>
    <mergeCell ref="F6:N6"/>
    <mergeCell ref="B7:E7"/>
    <mergeCell ref="F7:N7"/>
    <mergeCell ref="AH10:AI10"/>
    <mergeCell ref="AO10:AP10"/>
    <mergeCell ref="B117:Q117"/>
    <mergeCell ref="B119:Q119"/>
    <mergeCell ref="Y119:AF120"/>
    <mergeCell ref="B120:Q120"/>
    <mergeCell ref="T120:X120"/>
    <mergeCell ref="B122:Q122"/>
  </mergeCells>
  <conditionalFormatting sqref="B114:AF114 AI114">
    <cfRule type="expression" priority="2" aboveAverage="0" equalAverage="0" bottom="0" percent="0" rank="0" text="" dxfId="0">
      <formula>ABS(B$114)&gt;=ROUND(1/24/60,9)</formula>
    </cfRule>
  </conditionalFormatting>
  <conditionalFormatting sqref="B13:AF22 B34:AF44 B25:AF30 B60:AF61 B67:AF67 B71:AF72 B84:AF84 B86:AF95 B97:AF111">
    <cfRule type="expression" priority="3" aboveAverage="0" equalAverage="0" bottom="0" percent="0" rank="0" text="" dxfId="1">
      <formula>WEEKDAY(B$10,2)&gt;5</formula>
    </cfRule>
    <cfRule type="expression" priority="4" aboveAverage="0" equalAverage="0" bottom="0" percent="0" rank="0" text="" dxfId="2">
      <formula>AND(NOT(ISERROR(MATCH(B$10,T.Feiertage.Bereich,0))),OFFSET(T.Feiertage.Bereich,MATCH(B$10,T.Feiertage.Bereich,0)-1,1,1,1)&gt;0)</formula>
    </cfRule>
    <cfRule type="expression" priority="5" aboveAverage="0" equalAverage="0" bottom="0" percent="0" rank="0" text="" dxfId="3">
      <formula>B$11=0</formula>
    </cfRule>
  </conditionalFormatting>
  <conditionalFormatting sqref="AN60:AO60">
    <cfRule type="expression" priority="6" aboveAverage="0" equalAverage="0" bottom="0" percent="0" rank="0" text="" dxfId="4">
      <formula>AND(T.50_Vetsuisse,AN60&gt;=T.GrenzeAngÜZ50_Vetsuisse)</formula>
    </cfRule>
    <cfRule type="expression" priority="7" aboveAverage="0" equalAverage="0" bottom="0" percent="0" rank="0" text="" dxfId="5">
      <formula>AND(T.50_Vetsuisse,AN60&gt;T.GrenzeAngÜZ50_Vetsuisse*T.AngÜZ50_Vetsuisse_orange)</formula>
    </cfRule>
  </conditionalFormatting>
  <conditionalFormatting sqref="B56:AF56">
    <cfRule type="expression" priority="8" aboveAverage="0" equalAverage="0" bottom="0" percent="0" rank="0" text="" dxfId="6">
      <formula>B$10&gt;TODAY()</formula>
    </cfRule>
    <cfRule type="expression" priority="9" aboveAverage="0" equalAverage="0" bottom="0" percent="0" rank="0" text="" dxfId="7">
      <formula>B$56&gt;99.99/24</formula>
    </cfRule>
    <cfRule type="expression" priority="10" aboveAverage="0" equalAverage="0" bottom="0" percent="0" rank="0" text="" dxfId="0">
      <formula>B$56&lt;99.99/24*-1</formula>
    </cfRule>
  </conditionalFormatting>
  <conditionalFormatting sqref="AO55:AP55">
    <cfRule type="cellIs" priority="11" operator="greaterThan" aboveAverage="0" equalAverage="0" bottom="0" percent="0" rank="0" text="" dxfId="1">
      <formula>1/24/60</formula>
    </cfRule>
    <cfRule type="expression" priority="12" aboveAverage="0" equalAverage="0" bottom="0" percent="0" rank="0" text="" dxfId="2">
      <formula>AND(AO55&lt;=1/24/60*-1,TODAY()&gt;=DATE(EB.Jahr,MONTH(12),DAY(31)))</formula>
    </cfRule>
  </conditionalFormatting>
  <conditionalFormatting sqref="B56:AF56 AI58">
    <cfRule type="expression" priority="13" aboveAverage="0" equalAverage="0" bottom="0" percent="0" rank="0" text="" dxfId="3">
      <formula>B$56&gt;1/24/60</formula>
    </cfRule>
    <cfRule type="expression" priority="14" aboveAverage="0" equalAverage="0" bottom="0" percent="0" rank="0" text="" dxfId="4">
      <formula>AND(B$56&lt;=1/24/60*-1,B$56)</formula>
    </cfRule>
  </conditionalFormatting>
  <conditionalFormatting sqref="B14:AF22 B36:AF44 B26:AF30">
    <cfRule type="expression" priority="15" aboveAverage="0" equalAverage="0" bottom="0" percent="0" rank="0" text="" dxfId="5">
      <formula>AND(B14&lt;B13,B14&lt;&gt;"")</formula>
    </cfRule>
  </conditionalFormatting>
  <conditionalFormatting sqref="B72:AF73">
    <cfRule type="expression" priority="16" aboveAverage="0" equalAverage="0" bottom="0" percent="0" rank="0" text="" dxfId="6">
      <formula>AND(T.50_Vetsuisse,OR(AND(B$72&lt;&gt;INDEX(T.JaNein.Bereich,1,1),B$72&lt;&gt;INDEX(T.JaNein.Bereich,2,1),B$73&lt;&gt;0,MOD(IFERROR(MATCH(1,B$13:B$22,0),1),2)=0),AND(B$72=INDEX(T.JaNein.Bereich,1,1),OR(B$73=0,MOD(IFERROR(MATCH(1,B$13:B$22,0),1),2)&lt;&gt;0))))</formula>
    </cfRule>
  </conditionalFormatting>
  <conditionalFormatting sqref="P4:U4">
    <cfRule type="expression" priority="17" aboveAverage="0" equalAverage="0" bottom="0" percent="0" rank="0" text="" dxfId="7">
      <formula>$P$4&lt;&gt;""</formula>
    </cfRule>
  </conditionalFormatting>
  <conditionalFormatting sqref="V4">
    <cfRule type="expression" priority="18" aboveAverage="0" equalAverage="0" bottom="0" percent="0" rank="0" text="" dxfId="8">
      <formula>$V$4&lt;&gt;""</formula>
    </cfRule>
  </conditionalFormatting>
  <conditionalFormatting sqref="AP60">
    <cfRule type="expression" priority="19" aboveAverage="0" equalAverage="0" bottom="0" percent="0" rank="0" text="" dxfId="9">
      <formula>AND(T.50_Vetsuisse,AP60&gt;=T.GrenzeAngÜZ50_Vetsuisse)</formula>
    </cfRule>
    <cfRule type="expression" priority="20" aboveAverage="0" equalAverage="0" bottom="0" percent="0" rank="0" text="" dxfId="10">
      <formula>AND(T.50_Vetsuisse,AP60&gt;T.GrenzeAngÜZ50_Vetsuisse*T.AngÜZ50_Vetsuisse_orange)</formula>
    </cfRule>
  </conditionalFormatting>
  <conditionalFormatting sqref="AJ72:AJ73">
    <cfRule type="expression" priority="21" aboveAverage="0" equalAverage="0" bottom="0" percent="0" rank="0" text="" dxfId="11">
      <formula>AND(T.50_Vetsuisse,$AJ$72&lt;&gt;$AJ$73)</formula>
    </cfRule>
    <cfRule type="expression" priority="22" aboveAverage="0" equalAverage="0" bottom="0" percent="0" rank="0" text="" dxfId="12">
      <formula>$AJ$72&gt;$AJ$73</formula>
    </cfRule>
  </conditionalFormatting>
  <dataValidations count="2">
    <dataValidation allowBlank="true" error="Please choose a value from the drop-down list." errorTitle="Start pl. night shift" operator="between" showDropDown="false" showErrorMessage="true" showInputMessage="true" sqref="B72:AF72" type="list">
      <formula1>T.JaNein.Bereich</formula1>
      <formula2>0</formula2>
    </dataValidation>
    <dataValidation allowBlank="true" error="Bitte wählen Sie einen Wert aus der Liste." errorTitle="Pikett Bereitschaft" operator="between" showDropDown="false" showErrorMessage="true" showInputMessage="true" sqref="B34:AF34" type="list">
      <formula1>T.Pikett.Bereich</formula1>
      <formula2>0</formula2>
    </dataValidation>
  </dataValidations>
  <printOptions headings="false" gridLines="false" gridLinesSet="true" horizontalCentered="true" verticalCentered="false"/>
  <pageMargins left="0.196527777777778" right="0.196527777777778" top="0.39375" bottom="0.393055555555556" header="0.511805555555555" footer="0.196527777777778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&amp;L&amp;"Arial,Regular"&amp;11Monatsabrechnung &amp;A&amp;C&amp;"Arial,Regular"&amp;11&amp;D&amp;R&amp;"Arial,Regular"&amp;11&amp;P / &amp;N</oddFooter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Q124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" ySplit="10" topLeftCell="B11" activePane="bottomRight" state="frozen"/>
      <selection pane="topLeft" activeCell="A1" activeCellId="0" sqref="A1"/>
      <selection pane="topRight" activeCell="B1" activeCellId="0" sqref="B1"/>
      <selection pane="bottomLeft" activeCell="A11" activeCellId="0" sqref="A11"/>
      <selection pane="bottomRight" activeCell="B13" activeCellId="0" sqref="B13"/>
    </sheetView>
  </sheetViews>
  <sheetFormatPr defaultRowHeight="13" zeroHeight="false" outlineLevelRow="1" outlineLevelCol="1"/>
  <cols>
    <col collapsed="false" customWidth="true" hidden="false" outlineLevel="0" max="1" min="1" style="132" width="24.5"/>
    <col collapsed="false" customWidth="true" hidden="false" outlineLevel="0" max="32" min="2" style="132" width="5.66"/>
    <col collapsed="false" customWidth="true" hidden="false" outlineLevel="0" max="33" min="33" style="133" width="24.5"/>
    <col collapsed="false" customWidth="true" hidden="false" outlineLevel="0" max="34" min="34" style="134" width="2.17"/>
    <col collapsed="false" customWidth="true" hidden="false" outlineLevel="0" max="36" min="35" style="132" width="8.17"/>
    <col collapsed="false" customWidth="true" hidden="true" outlineLevel="1" max="37" min="37" style="132" width="15.83"/>
    <col collapsed="false" customWidth="true" hidden="true" outlineLevel="1" max="39" min="38" style="132" width="14.33"/>
    <col collapsed="false" customWidth="true" hidden="false" outlineLevel="0" max="40" min="40" style="135" width="9.5"/>
    <col collapsed="false" customWidth="true" hidden="false" outlineLevel="0" max="42" min="41" style="132" width="8.17"/>
    <col collapsed="false" customWidth="true" hidden="false" outlineLevel="0" max="43" min="43" style="132" width="3.66"/>
    <col collapsed="false" customWidth="true" hidden="false" outlineLevel="0" max="1025" min="44" style="0" width="10.66"/>
  </cols>
  <sheetData>
    <row r="1" s="142" customFormat="true" ht="22.5" hidden="false" customHeight="true" outlineLevel="0" collapsed="false">
      <c r="A1" s="136" t="str">
        <f aca="false">INDEX(EB.Monate.Bereich,MONTH(Monat.Tag1)) &amp; " " &amp; EB.Jahr</f>
        <v>August 2018</v>
      </c>
      <c r="B1" s="137" t="str">
        <f aca="false">Eingabeblatt!B1</f>
        <v>Employee Time Sheet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6"/>
      <c r="N1" s="6"/>
      <c r="O1" s="6"/>
      <c r="P1" s="6"/>
      <c r="Q1" s="6"/>
      <c r="R1" s="138"/>
      <c r="S1" s="6"/>
      <c r="T1" s="6"/>
      <c r="U1" s="6"/>
      <c r="V1" s="139"/>
      <c r="W1" s="139"/>
      <c r="X1" s="6"/>
      <c r="Y1" s="138"/>
      <c r="Z1" s="6"/>
      <c r="AA1" s="6"/>
      <c r="AB1" s="6"/>
      <c r="AC1" s="6"/>
      <c r="AD1" s="6"/>
      <c r="AE1" s="6"/>
      <c r="AF1" s="6"/>
      <c r="AG1" s="140"/>
      <c r="AH1" s="141"/>
      <c r="AI1" s="6"/>
      <c r="AJ1" s="6"/>
      <c r="AK1" s="6"/>
      <c r="AL1" s="6"/>
      <c r="AM1" s="6"/>
      <c r="AN1" s="7"/>
      <c r="AO1" s="7" t="str">
        <f aca="false">EB.Version</f>
        <v>Version 01.18</v>
      </c>
      <c r="AP1" s="7"/>
      <c r="AQ1" s="8" t="str">
        <f aca="false">EB.Sprache</f>
        <v>EN</v>
      </c>
    </row>
    <row r="2" s="148" customFormat="true" ht="15" hidden="false" customHeight="true" outlineLevel="0" collapsed="false">
      <c r="A2" s="55"/>
      <c r="B2" s="11" t="str">
        <f aca="false">Eingabeblatt!A3</f>
        <v>Name</v>
      </c>
      <c r="C2" s="11"/>
      <c r="D2" s="11"/>
      <c r="E2" s="11"/>
      <c r="F2" s="143" t="str">
        <f aca="false">IF(EB.Name="","?",EB.Name)</f>
        <v>Christopher Gwilliams</v>
      </c>
      <c r="G2" s="143"/>
      <c r="H2" s="143"/>
      <c r="I2" s="143"/>
      <c r="J2" s="143"/>
      <c r="K2" s="143"/>
      <c r="L2" s="143"/>
      <c r="M2" s="143"/>
      <c r="N2" s="143"/>
      <c r="O2" s="144"/>
      <c r="P2" s="11" t="str">
        <f aca="false">Eingabeblatt!J7</f>
        <v>Employment Level (FTE) in %</v>
      </c>
      <c r="Q2" s="11"/>
      <c r="R2" s="11"/>
      <c r="S2" s="11"/>
      <c r="T2" s="11"/>
      <c r="U2" s="11"/>
      <c r="V2" s="58" t="n">
        <f aca="false">IF(INDEX(EB.EffBG.Bereich,MONTH(Monat.Tag1))="","-     ",INDEX(EB.EffBG.Bereich,MONTH(Monat.Tag1)))</f>
        <v>100</v>
      </c>
      <c r="W2" s="145"/>
      <c r="X2" s="145"/>
      <c r="Y2" s="16"/>
      <c r="Z2" s="39"/>
      <c r="AA2" s="39"/>
      <c r="AB2" s="39"/>
      <c r="AC2" s="39"/>
      <c r="AD2" s="39"/>
      <c r="AE2" s="39"/>
      <c r="AF2" s="39"/>
      <c r="AG2" s="13"/>
      <c r="AH2" s="146"/>
      <c r="AI2" s="39"/>
      <c r="AJ2" s="39"/>
      <c r="AK2" s="39"/>
      <c r="AL2" s="39"/>
      <c r="AM2" s="39"/>
      <c r="AN2" s="147"/>
      <c r="AO2" s="39"/>
      <c r="AP2" s="39"/>
      <c r="AQ2" s="39"/>
    </row>
    <row r="3" s="148" customFormat="true" ht="15" hidden="false" customHeight="true" outlineLevel="0" collapsed="false">
      <c r="A3" s="149"/>
      <c r="B3" s="11" t="str">
        <f aca="false">Eingabeblatt!H2</f>
        <v>Function</v>
      </c>
      <c r="C3" s="11"/>
      <c r="D3" s="11"/>
      <c r="E3" s="11"/>
      <c r="F3" s="150" t="str">
        <f aca="false">EB.Funktion</f>
        <v>Description of Function</v>
      </c>
      <c r="G3" s="150"/>
      <c r="H3" s="150"/>
      <c r="I3" s="150"/>
      <c r="J3" s="150"/>
      <c r="K3" s="150"/>
      <c r="L3" s="150"/>
      <c r="M3" s="150"/>
      <c r="N3" s="150"/>
      <c r="O3" s="13"/>
      <c r="P3" s="11" t="str">
        <f aca="false">Eingabeblatt!J12</f>
        <v>ø Hours per day at FTE</v>
      </c>
      <c r="Q3" s="11"/>
      <c r="R3" s="11"/>
      <c r="S3" s="11"/>
      <c r="T3" s="11"/>
      <c r="U3" s="11"/>
      <c r="V3" s="151" t="n">
        <f aca="false">IF(INDEX(EB.DurchSollTAZStd.Bereich,MONTH(Monat.Tag1))="","-     ",INDEX(EB.DurchSollTAZStd.Bereich,MONTH(Monat.Tag1)))</f>
        <v>0.35</v>
      </c>
      <c r="W3" s="152"/>
      <c r="X3" s="152"/>
      <c r="Y3" s="39"/>
      <c r="Z3" s="39"/>
      <c r="AA3" s="39"/>
      <c r="AB3" s="39"/>
      <c r="AC3" s="39"/>
      <c r="AD3" s="39"/>
      <c r="AE3" s="39"/>
      <c r="AF3" s="39"/>
      <c r="AG3" s="13"/>
      <c r="AH3" s="146"/>
      <c r="AI3" s="39"/>
      <c r="AJ3" s="39"/>
      <c r="AK3" s="39"/>
      <c r="AL3" s="39"/>
      <c r="AM3" s="39"/>
      <c r="AN3" s="147"/>
      <c r="AO3" s="39"/>
      <c r="AP3" s="39"/>
      <c r="AQ3" s="39"/>
    </row>
    <row r="4" s="148" customFormat="true" ht="15" hidden="false" customHeight="true" outlineLevel="0" collapsed="false">
      <c r="A4" s="149"/>
      <c r="B4" s="11" t="str">
        <f aca="false">Eingabeblatt!H3</f>
        <v>Institute/Department</v>
      </c>
      <c r="C4" s="11"/>
      <c r="D4" s="11"/>
      <c r="E4" s="11"/>
      <c r="F4" s="150" t="str">
        <f aca="false">EB.Institut</f>
        <v>Institute/Department Name</v>
      </c>
      <c r="G4" s="150"/>
      <c r="H4" s="150"/>
      <c r="I4" s="150"/>
      <c r="J4" s="150"/>
      <c r="K4" s="150"/>
      <c r="L4" s="150"/>
      <c r="M4" s="150"/>
      <c r="N4" s="150"/>
      <c r="O4" s="13"/>
      <c r="P4" s="47" t="str">
        <f aca="true">IF(EB.ÜZZSBerechtigt=INDEX(T.JaNein.Bereich,1,1),IF(AND(OR(AND(EB.LKgr16=INDEX(T.JaNein.Bereich,1,1),EB.LKgr16ab&gt;EOMONTH(Monat.Tag1,0)),EB.LKgr16&lt;&gt;INDEX(T.JaNein.Bereich,1,1)),Monat.AZSoll.Total&gt;0),Eingabeblatt!J6,""),"")</f>
        <v/>
      </c>
      <c r="Q4" s="47"/>
      <c r="R4" s="47"/>
      <c r="S4" s="47"/>
      <c r="T4" s="47"/>
      <c r="U4" s="47"/>
      <c r="V4" s="153" t="str">
        <f aca="false">IF(P4&lt;&gt;"",EB.ÜZZSBerechtigt,"")</f>
        <v/>
      </c>
      <c r="W4" s="39"/>
      <c r="X4" s="39"/>
      <c r="Y4" s="39"/>
      <c r="Z4" s="39"/>
      <c r="AA4" s="39"/>
      <c r="AB4" s="39"/>
      <c r="AC4" s="39"/>
      <c r="AD4" s="39"/>
      <c r="AE4" s="39"/>
      <c r="AF4" s="39"/>
      <c r="AG4" s="13"/>
      <c r="AH4" s="146"/>
      <c r="AI4" s="39"/>
      <c r="AJ4" s="39"/>
      <c r="AK4" s="39"/>
      <c r="AL4" s="39"/>
      <c r="AM4" s="39"/>
      <c r="AN4" s="147"/>
      <c r="AO4" s="39"/>
      <c r="AP4" s="39"/>
      <c r="AQ4" s="39"/>
    </row>
    <row r="5" s="148" customFormat="true" ht="15" hidden="false" customHeight="true" outlineLevel="0" collapsed="false">
      <c r="A5" s="149"/>
      <c r="B5" s="11" t="str">
        <f aca="false">Eingabeblatt!A5</f>
        <v>Employee Number</v>
      </c>
      <c r="C5" s="11"/>
      <c r="D5" s="11"/>
      <c r="E5" s="11"/>
      <c r="F5" s="150" t="str">
        <f aca="false">IF(EB.Personalnummer="","?",EB.Personalnummer)</f>
        <v>?</v>
      </c>
      <c r="G5" s="150"/>
      <c r="H5" s="150"/>
      <c r="I5" s="150"/>
      <c r="J5" s="150"/>
      <c r="K5" s="150"/>
      <c r="L5" s="150"/>
      <c r="M5" s="150"/>
      <c r="N5" s="150"/>
      <c r="O5" s="13"/>
      <c r="P5" s="19" t="str">
        <f aca="false">Eingabeblatt!A38</f>
        <v>Standard working hours</v>
      </c>
      <c r="Q5" s="13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 t="s">
        <v>120</v>
      </c>
      <c r="AG5" s="13"/>
      <c r="AH5" s="146"/>
      <c r="AI5" s="39"/>
      <c r="AJ5" s="39"/>
      <c r="AK5" s="39"/>
      <c r="AL5" s="39"/>
      <c r="AM5" s="39"/>
      <c r="AN5" s="147"/>
      <c r="AO5" s="39"/>
      <c r="AP5" s="39"/>
      <c r="AQ5" s="39"/>
    </row>
    <row r="6" s="148" customFormat="true" ht="15" hidden="false" customHeight="true" outlineLevel="0" collapsed="false">
      <c r="A6" s="149"/>
      <c r="B6" s="11" t="str">
        <f aca="false">Eingabeblatt!H4</f>
        <v>Faculty</v>
      </c>
      <c r="C6" s="11"/>
      <c r="D6" s="11"/>
      <c r="E6" s="11"/>
      <c r="F6" s="150" t="str">
        <f aca="false">EB.Fakultaet</f>
        <v>Select Faculty</v>
      </c>
      <c r="G6" s="150"/>
      <c r="H6" s="150"/>
      <c r="I6" s="150"/>
      <c r="J6" s="150"/>
      <c r="K6" s="150"/>
      <c r="L6" s="150"/>
      <c r="M6" s="150"/>
      <c r="N6" s="150"/>
      <c r="O6" s="13"/>
      <c r="P6" s="154" t="str">
        <f aca="false">LEFT(INDEX(EB.RAZ_Wochentage.Bereich,1),2)</f>
        <v>Mo</v>
      </c>
      <c r="Q6" s="154" t="str">
        <f aca="false">LEFT(INDEX(EB.RAZ_Wochentage.Bereich,2),2)</f>
        <v>Tu</v>
      </c>
      <c r="R6" s="154" t="str">
        <f aca="false">LEFT(INDEX(EB.RAZ_Wochentage.Bereich,3),2)</f>
        <v>We</v>
      </c>
      <c r="S6" s="154" t="str">
        <f aca="false">LEFT(INDEX(EB.RAZ_Wochentage.Bereich,4),2)</f>
        <v>Th</v>
      </c>
      <c r="T6" s="154" t="str">
        <f aca="false">LEFT(INDEX(EB.RAZ_Wochentage.Bereich,5),2)</f>
        <v>Fr</v>
      </c>
      <c r="U6" s="154" t="str">
        <f aca="false">LEFT(INDEX(EB.RAZ_Wochentage.Bereich,6),2)</f>
        <v>Sa</v>
      </c>
      <c r="V6" s="154" t="str">
        <f aca="false">LEFT(INDEX(EB.RAZ_Wochentage.Bereich,7),2)</f>
        <v>Su</v>
      </c>
      <c r="W6" s="39"/>
      <c r="X6" s="39"/>
      <c r="Y6" s="39"/>
      <c r="Z6" s="39"/>
      <c r="AA6" s="39"/>
      <c r="AB6" s="39"/>
      <c r="AC6" s="39"/>
      <c r="AD6" s="39"/>
      <c r="AE6" s="39"/>
      <c r="AF6" s="39"/>
      <c r="AG6" s="13"/>
      <c r="AH6" s="146"/>
      <c r="AI6" s="39"/>
      <c r="AJ6" s="39"/>
      <c r="AK6" s="39"/>
      <c r="AL6" s="39"/>
      <c r="AM6" s="39"/>
      <c r="AN6" s="147"/>
      <c r="AO6" s="39"/>
      <c r="AP6" s="39"/>
      <c r="AQ6" s="39"/>
    </row>
    <row r="7" s="148" customFormat="true" ht="15" hidden="false" customHeight="true" outlineLevel="0" collapsed="false">
      <c r="A7" s="149"/>
      <c r="B7" s="11" t="str">
        <f aca="false">Eingabeblatt!H5</f>
        <v>Employee Category</v>
      </c>
      <c r="C7" s="11"/>
      <c r="D7" s="11"/>
      <c r="E7" s="11"/>
      <c r="F7" s="150" t="str">
        <f aca="false">EB.Personalkategorie</f>
        <v>Select Employee Category</v>
      </c>
      <c r="G7" s="150"/>
      <c r="H7" s="150"/>
      <c r="I7" s="150"/>
      <c r="J7" s="150"/>
      <c r="K7" s="150"/>
      <c r="L7" s="150"/>
      <c r="M7" s="150"/>
      <c r="N7" s="150"/>
      <c r="O7" s="13"/>
      <c r="P7" s="155" t="n">
        <f aca="false">IF(EB.Anwendung&lt;&gt;"",IF(MONTH(Monat.Tag1)=1,INDEX(EB.RAZ1_7.Bereich,1),INDEX(IF(MONTH(Monat.Tag1)=2,January!Monat.RAZ1_7.Bereich,IF(MONTH(Monat.Tag1)=3,February!Monat.RAZ1_7.Bereich,IF(MONTH(Monat.Tag1)=4,March!Monat.RAZ1_7.Bereich,IF(MONTH(Monat.Tag1)=5,April!Monat.RAZ1_7.Bereich,IF(MONTH(Monat.Tag1)=6,May!Monat.RAZ1_7.Bereich,IF(MONTH(Monat.Tag1)=7,June!Monat.RAZ1_7.Bereich,IF(MONTH(Monat.Tag1)=8,July!Monat.RAZ1_7.Bereich,IF(MONTH(Monat.Tag1)=9,Monat.RAZ1_7.Bereich,IF(MONTH(Monat.Tag1)=10,September!Monat.RAZ1_7.Bereich,IF(MONTH(Monat.Tag1)=11,October!Monat.RAZ1_7.Bereich,IF(MONTH(Monat.Tag1)=12,November!Monat.RAZ1_7.Bereich,""))))))))))),1)),"")</f>
        <v>0.35</v>
      </c>
      <c r="Q7" s="155" t="n">
        <f aca="false">IF(EB.Anwendung&lt;&gt;"",IF(MONTH(Monat.Tag1)=1,INDEX(EB.RAZ1_7.Bereich,2),INDEX(IF(MONTH(Monat.Tag1)=2,January!Monat.RAZ1_7.Bereich,IF(MONTH(Monat.Tag1)=3,February!Monat.RAZ1_7.Bereich,IF(MONTH(Monat.Tag1)=4,March!Monat.RAZ1_7.Bereich,IF(MONTH(Monat.Tag1)=5,April!Monat.RAZ1_7.Bereich,IF(MONTH(Monat.Tag1)=6,May!Monat.RAZ1_7.Bereich,IF(MONTH(Monat.Tag1)=7,June!Monat.RAZ1_7.Bereich,IF(MONTH(Monat.Tag1)=8,July!Monat.RAZ1_7.Bereich,IF(MONTH(Monat.Tag1)=9,Monat.RAZ1_7.Bereich,IF(MONTH(Monat.Tag1)=10,September!Monat.RAZ1_7.Bereich,IF(MONTH(Monat.Tag1)=11,October!Monat.RAZ1_7.Bereich,IF(MONTH(Monat.Tag1)=12,November!Monat.RAZ1_7.Bereich,""))))))))))),2)),"")</f>
        <v>0.35</v>
      </c>
      <c r="R7" s="155" t="n">
        <f aca="false">IF(EB.Anwendung&lt;&gt;"",IF(MONTH(Monat.Tag1)=1,INDEX(EB.RAZ1_7.Bereich,3),INDEX(IF(MONTH(Monat.Tag1)=2,January!Monat.RAZ1_7.Bereich,IF(MONTH(Monat.Tag1)=3,February!Monat.RAZ1_7.Bereich,IF(MONTH(Monat.Tag1)=4,March!Monat.RAZ1_7.Bereich,IF(MONTH(Monat.Tag1)=5,April!Monat.RAZ1_7.Bereich,IF(MONTH(Monat.Tag1)=6,May!Monat.RAZ1_7.Bereich,IF(MONTH(Monat.Tag1)=7,June!Monat.RAZ1_7.Bereich,IF(MONTH(Monat.Tag1)=8,July!Monat.RAZ1_7.Bereich,IF(MONTH(Monat.Tag1)=9,Monat.RAZ1_7.Bereich,IF(MONTH(Monat.Tag1)=10,September!Monat.RAZ1_7.Bereich,IF(MONTH(Monat.Tag1)=11,October!Monat.RAZ1_7.Bereich,IF(MONTH(Monat.Tag1)=12,November!Monat.RAZ1_7.Bereich,""))))))))))),3)),"")</f>
        <v>0.35</v>
      </c>
      <c r="S7" s="155" t="n">
        <f aca="false">IF(EB.Anwendung&lt;&gt;"",IF(MONTH(Monat.Tag1)=1,INDEX(EB.RAZ1_7.Bereich,4),INDEX(IF(MONTH(Monat.Tag1)=2,January!Monat.RAZ1_7.Bereich,IF(MONTH(Monat.Tag1)=3,February!Monat.RAZ1_7.Bereich,IF(MONTH(Monat.Tag1)=4,March!Monat.RAZ1_7.Bereich,IF(MONTH(Monat.Tag1)=5,April!Monat.RAZ1_7.Bereich,IF(MONTH(Monat.Tag1)=6,May!Monat.RAZ1_7.Bereich,IF(MONTH(Monat.Tag1)=7,June!Monat.RAZ1_7.Bereich,IF(MONTH(Monat.Tag1)=8,July!Monat.RAZ1_7.Bereich,IF(MONTH(Monat.Tag1)=9,Monat.RAZ1_7.Bereich,IF(MONTH(Monat.Tag1)=10,September!Monat.RAZ1_7.Bereich,IF(MONTH(Monat.Tag1)=11,October!Monat.RAZ1_7.Bereich,IF(MONTH(Monat.Tag1)=12,November!Monat.RAZ1_7.Bereich,""))))))))))),4)),"")</f>
        <v>0.35</v>
      </c>
      <c r="T7" s="155" t="n">
        <f aca="false">IF(EB.Anwendung&lt;&gt;"",IF(MONTH(Monat.Tag1)=1,INDEX(EB.RAZ1_7.Bereich,5),INDEX(IF(MONTH(Monat.Tag1)=2,January!Monat.RAZ1_7.Bereich,IF(MONTH(Monat.Tag1)=3,February!Monat.RAZ1_7.Bereich,IF(MONTH(Monat.Tag1)=4,March!Monat.RAZ1_7.Bereich,IF(MONTH(Monat.Tag1)=5,April!Monat.RAZ1_7.Bereich,IF(MONTH(Monat.Tag1)=6,May!Monat.RAZ1_7.Bereich,IF(MONTH(Monat.Tag1)=7,June!Monat.RAZ1_7.Bereich,IF(MONTH(Monat.Tag1)=8,July!Monat.RAZ1_7.Bereich,IF(MONTH(Monat.Tag1)=9,Monat.RAZ1_7.Bereich,IF(MONTH(Monat.Tag1)=10,September!Monat.RAZ1_7.Bereich,IF(MONTH(Monat.Tag1)=11,October!Monat.RAZ1_7.Bereich,IF(MONTH(Monat.Tag1)=12,November!Monat.RAZ1_7.Bereich,""))))))))))),5)),"")</f>
        <v>0.35</v>
      </c>
      <c r="U7" s="155" t="n">
        <f aca="false">IF(EB.Anwendung&lt;&gt;"",IF(MONTH(Monat.Tag1)=1,INDEX(EB.RAZ1_7.Bereich,6),INDEX(IF(MONTH(Monat.Tag1)=2,January!Monat.RAZ1_7.Bereich,IF(MONTH(Monat.Tag1)=3,February!Monat.RAZ1_7.Bereich,IF(MONTH(Monat.Tag1)=4,March!Monat.RAZ1_7.Bereich,IF(MONTH(Monat.Tag1)=5,April!Monat.RAZ1_7.Bereich,IF(MONTH(Monat.Tag1)=6,May!Monat.RAZ1_7.Bereich,IF(MONTH(Monat.Tag1)=7,June!Monat.RAZ1_7.Bereich,IF(MONTH(Monat.Tag1)=8,July!Monat.RAZ1_7.Bereich,IF(MONTH(Monat.Tag1)=9,Monat.RAZ1_7.Bereich,IF(MONTH(Monat.Tag1)=10,September!Monat.RAZ1_7.Bereich,IF(MONTH(Monat.Tag1)=11,October!Monat.RAZ1_7.Bereich,IF(MONTH(Monat.Tag1)=12,November!Monat.RAZ1_7.Bereich,""))))))))))),6)),"")</f>
        <v>0</v>
      </c>
      <c r="V7" s="155" t="n">
        <f aca="false">IF(EB.Anwendung&lt;&gt;"",IF(MONTH(Monat.Tag1)=1,INDEX(EB.RAZ1_7.Bereich,7),INDEX(IF(MONTH(Monat.Tag1)=2,January!Monat.RAZ1_7.Bereich,IF(MONTH(Monat.Tag1)=3,February!Monat.RAZ1_7.Bereich,IF(MONTH(Monat.Tag1)=4,March!Monat.RAZ1_7.Bereich,IF(MONTH(Monat.Tag1)=5,April!Monat.RAZ1_7.Bereich,IF(MONTH(Monat.Tag1)=6,May!Monat.RAZ1_7.Bereich,IF(MONTH(Monat.Tag1)=7,June!Monat.RAZ1_7.Bereich,IF(MONTH(Monat.Tag1)=8,July!Monat.RAZ1_7.Bereich,IF(MONTH(Monat.Tag1)=9,Monat.RAZ1_7.Bereich,IF(MONTH(Monat.Tag1)=10,September!Monat.RAZ1_7.Bereich,IF(MONTH(Monat.Tag1)=11,October!Monat.RAZ1_7.Bereich,IF(MONTH(Monat.Tag1)=12,November!Monat.RAZ1_7.Bereich,""))))))))))),7)),"")</f>
        <v>0</v>
      </c>
      <c r="W7" s="39"/>
      <c r="X7" s="39"/>
      <c r="Y7" s="39"/>
      <c r="Z7" s="39"/>
      <c r="AA7" s="39"/>
      <c r="AB7" s="39"/>
      <c r="AC7" s="39"/>
      <c r="AD7" s="39"/>
      <c r="AE7" s="39"/>
      <c r="AF7" s="39"/>
      <c r="AG7" s="13"/>
      <c r="AH7" s="146"/>
      <c r="AI7" s="39"/>
      <c r="AJ7" s="39"/>
      <c r="AK7" s="39"/>
      <c r="AL7" s="39"/>
      <c r="AM7" s="39"/>
      <c r="AN7" s="147"/>
      <c r="AO7" s="39"/>
      <c r="AP7" s="39"/>
      <c r="AQ7" s="39"/>
    </row>
    <row r="8" s="148" customFormat="true" ht="11.25" hidden="false" customHeight="true" outlineLevel="0" collapsed="false">
      <c r="A8" s="55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13"/>
      <c r="AH8" s="146"/>
      <c r="AI8" s="39"/>
      <c r="AJ8" s="39"/>
      <c r="AK8" s="39"/>
      <c r="AL8" s="39"/>
      <c r="AM8" s="39"/>
      <c r="AN8" s="147"/>
      <c r="AO8" s="39"/>
      <c r="AP8" s="39"/>
      <c r="AQ8" s="39"/>
    </row>
    <row r="9" s="148" customFormat="true" ht="15" hidden="false" customHeight="true" outlineLevel="0" collapsed="false">
      <c r="A9" s="55"/>
      <c r="B9" s="156" t="str">
        <f aca="false">INDEX(Monat.Wochentage.Bereich,1,WEEKDAY(B10,2))</f>
        <v>We</v>
      </c>
      <c r="C9" s="156" t="str">
        <f aca="false">INDEX(Monat.Wochentage.Bereich,1,WEEKDAY(C10,2))</f>
        <v>Th</v>
      </c>
      <c r="D9" s="156" t="str">
        <f aca="false">INDEX(Monat.Wochentage.Bereich,1,WEEKDAY(D10,2))</f>
        <v>Fr</v>
      </c>
      <c r="E9" s="156" t="str">
        <f aca="false">INDEX(Monat.Wochentage.Bereich,1,WEEKDAY(E10,2))</f>
        <v>Sa</v>
      </c>
      <c r="F9" s="156" t="str">
        <f aca="false">INDEX(Monat.Wochentage.Bereich,1,WEEKDAY(F10,2))</f>
        <v>Su</v>
      </c>
      <c r="G9" s="156" t="str">
        <f aca="false">INDEX(Monat.Wochentage.Bereich,1,WEEKDAY(G10,2))</f>
        <v>Mo</v>
      </c>
      <c r="H9" s="156" t="str">
        <f aca="false">INDEX(Monat.Wochentage.Bereich,1,WEEKDAY(H10,2))</f>
        <v>Tu</v>
      </c>
      <c r="I9" s="156" t="str">
        <f aca="false">INDEX(Monat.Wochentage.Bereich,1,WEEKDAY(I10,2))</f>
        <v>We</v>
      </c>
      <c r="J9" s="156" t="str">
        <f aca="false">INDEX(Monat.Wochentage.Bereich,1,WEEKDAY(J10,2))</f>
        <v>Th</v>
      </c>
      <c r="K9" s="156" t="str">
        <f aca="false">INDEX(Monat.Wochentage.Bereich,1,WEEKDAY(K10,2))</f>
        <v>Fr</v>
      </c>
      <c r="L9" s="156" t="str">
        <f aca="false">INDEX(Monat.Wochentage.Bereich,1,WEEKDAY(L10,2))</f>
        <v>Sa</v>
      </c>
      <c r="M9" s="156" t="str">
        <f aca="false">INDEX(Monat.Wochentage.Bereich,1,WEEKDAY(M10,2))</f>
        <v>Su</v>
      </c>
      <c r="N9" s="156" t="str">
        <f aca="false">INDEX(Monat.Wochentage.Bereich,1,WEEKDAY(N10,2))</f>
        <v>Mo</v>
      </c>
      <c r="O9" s="156" t="str">
        <f aca="false">INDEX(Monat.Wochentage.Bereich,1,WEEKDAY(O10,2))</f>
        <v>Tu</v>
      </c>
      <c r="P9" s="156" t="str">
        <f aca="false">INDEX(Monat.Wochentage.Bereich,1,WEEKDAY(P10,2))</f>
        <v>We</v>
      </c>
      <c r="Q9" s="156" t="str">
        <f aca="false">INDEX(Monat.Wochentage.Bereich,1,WEEKDAY(Q10,2))</f>
        <v>Th</v>
      </c>
      <c r="R9" s="156" t="str">
        <f aca="false">INDEX(Monat.Wochentage.Bereich,1,WEEKDAY(R10,2))</f>
        <v>Fr</v>
      </c>
      <c r="S9" s="156" t="str">
        <f aca="false">INDEX(Monat.Wochentage.Bereich,1,WEEKDAY(S10,2))</f>
        <v>Sa</v>
      </c>
      <c r="T9" s="156" t="str">
        <f aca="false">INDEX(Monat.Wochentage.Bereich,1,WEEKDAY(T10,2))</f>
        <v>Su</v>
      </c>
      <c r="U9" s="156" t="str">
        <f aca="false">INDEX(Monat.Wochentage.Bereich,1,WEEKDAY(U10,2))</f>
        <v>Mo</v>
      </c>
      <c r="V9" s="156" t="str">
        <f aca="false">INDEX(Monat.Wochentage.Bereich,1,WEEKDAY(V10,2))</f>
        <v>Tu</v>
      </c>
      <c r="W9" s="156" t="str">
        <f aca="false">INDEX(Monat.Wochentage.Bereich,1,WEEKDAY(W10,2))</f>
        <v>We</v>
      </c>
      <c r="X9" s="156" t="str">
        <f aca="false">INDEX(Monat.Wochentage.Bereich,1,WEEKDAY(X10,2))</f>
        <v>Th</v>
      </c>
      <c r="Y9" s="156" t="str">
        <f aca="false">INDEX(Monat.Wochentage.Bereich,1,WEEKDAY(Y10,2))</f>
        <v>Fr</v>
      </c>
      <c r="Z9" s="156" t="str">
        <f aca="false">INDEX(Monat.Wochentage.Bereich,1,WEEKDAY(Z10,2))</f>
        <v>Sa</v>
      </c>
      <c r="AA9" s="156" t="str">
        <f aca="false">INDEX(Monat.Wochentage.Bereich,1,WEEKDAY(AA10,2))</f>
        <v>Su</v>
      </c>
      <c r="AB9" s="156" t="str">
        <f aca="false">INDEX(Monat.Wochentage.Bereich,1,WEEKDAY(AB10,2))</f>
        <v>Mo</v>
      </c>
      <c r="AC9" s="156" t="str">
        <f aca="false">INDEX(Monat.Wochentage.Bereich,1,WEEKDAY(AC10,2))</f>
        <v>Tu</v>
      </c>
      <c r="AD9" s="156" t="str">
        <f aca="false">INDEX(Monat.Wochentage.Bereich,1,WEEKDAY(AD10,2))</f>
        <v>We</v>
      </c>
      <c r="AE9" s="156" t="str">
        <f aca="false">INDEX(Monat.Wochentage.Bereich,1,WEEKDAY(AE10,2))</f>
        <v>Th</v>
      </c>
      <c r="AF9" s="156" t="str">
        <f aca="false">INDEX(Monat.Wochentage.Bereich,1,WEEKDAY(AF10,2))</f>
        <v>Fr</v>
      </c>
      <c r="AG9" s="13"/>
      <c r="AH9" s="146"/>
      <c r="AI9" s="39"/>
      <c r="AJ9" s="39"/>
      <c r="AK9" s="39"/>
      <c r="AL9" s="39"/>
      <c r="AM9" s="39"/>
      <c r="AN9" s="147"/>
      <c r="AO9" s="39"/>
      <c r="AP9" s="39"/>
      <c r="AQ9" s="39"/>
    </row>
    <row r="10" s="164" customFormat="true" ht="39" hidden="false" customHeight="false" outlineLevel="0" collapsed="false">
      <c r="A10" s="157" t="s">
        <v>121</v>
      </c>
      <c r="B10" s="158" t="n">
        <v>41851</v>
      </c>
      <c r="C10" s="158" t="n">
        <f aca="false">B10+1</f>
        <v>41852</v>
      </c>
      <c r="D10" s="158" t="n">
        <f aca="false">C10+1</f>
        <v>41853</v>
      </c>
      <c r="E10" s="158" t="n">
        <f aca="false">D10+1</f>
        <v>41854</v>
      </c>
      <c r="F10" s="158" t="n">
        <f aca="false">E10+1</f>
        <v>41855</v>
      </c>
      <c r="G10" s="158" t="n">
        <f aca="false">F10+1</f>
        <v>41856</v>
      </c>
      <c r="H10" s="158" t="n">
        <f aca="false">G10+1</f>
        <v>41857</v>
      </c>
      <c r="I10" s="158" t="n">
        <f aca="false">H10+1</f>
        <v>41858</v>
      </c>
      <c r="J10" s="158" t="n">
        <f aca="false">I10+1</f>
        <v>41859</v>
      </c>
      <c r="K10" s="158" t="n">
        <f aca="false">J10+1</f>
        <v>41860</v>
      </c>
      <c r="L10" s="158" t="n">
        <f aca="false">K10+1</f>
        <v>41861</v>
      </c>
      <c r="M10" s="158" t="n">
        <f aca="false">L10+1</f>
        <v>41862</v>
      </c>
      <c r="N10" s="158" t="n">
        <f aca="false">M10+1</f>
        <v>41863</v>
      </c>
      <c r="O10" s="158" t="n">
        <f aca="false">N10+1</f>
        <v>41864</v>
      </c>
      <c r="P10" s="158" t="n">
        <f aca="false">O10+1</f>
        <v>41865</v>
      </c>
      <c r="Q10" s="158" t="n">
        <f aca="false">P10+1</f>
        <v>41866</v>
      </c>
      <c r="R10" s="158" t="n">
        <f aca="false">Q10+1</f>
        <v>41867</v>
      </c>
      <c r="S10" s="158" t="n">
        <f aca="false">R10+1</f>
        <v>41868</v>
      </c>
      <c r="T10" s="158" t="n">
        <f aca="false">S10+1</f>
        <v>41869</v>
      </c>
      <c r="U10" s="158" t="n">
        <f aca="false">T10+1</f>
        <v>41870</v>
      </c>
      <c r="V10" s="158" t="n">
        <f aca="false">U10+1</f>
        <v>41871</v>
      </c>
      <c r="W10" s="158" t="n">
        <f aca="false">V10+1</f>
        <v>41872</v>
      </c>
      <c r="X10" s="158" t="n">
        <f aca="false">W10+1</f>
        <v>41873</v>
      </c>
      <c r="Y10" s="158" t="n">
        <f aca="false">X10+1</f>
        <v>41874</v>
      </c>
      <c r="Z10" s="158" t="n">
        <f aca="false">Y10+1</f>
        <v>41875</v>
      </c>
      <c r="AA10" s="158" t="n">
        <f aca="false">Z10+1</f>
        <v>41876</v>
      </c>
      <c r="AB10" s="158" t="n">
        <f aca="false">AA10+1</f>
        <v>41877</v>
      </c>
      <c r="AC10" s="158" t="n">
        <f aca="false">AB10+1</f>
        <v>41878</v>
      </c>
      <c r="AD10" s="158" t="n">
        <f aca="false">AC10+1</f>
        <v>41879</v>
      </c>
      <c r="AE10" s="158" t="n">
        <f aca="false">AD10+1</f>
        <v>41880</v>
      </c>
      <c r="AF10" s="158" t="n">
        <f aca="false">AE10+1</f>
        <v>41881</v>
      </c>
      <c r="AG10" s="159" t="str">
        <f aca="false">A10</f>
        <v>Day</v>
      </c>
      <c r="AH10" s="160" t="str">
        <f aca="false">"Total " &amp; INDEX(EB.Monate.Bereich,MONTH(Monat.Tag1))</f>
        <v>Total August</v>
      </c>
      <c r="AI10" s="160"/>
      <c r="AJ10" s="160" t="s">
        <v>122</v>
      </c>
      <c r="AK10" s="161" t="s">
        <v>123</v>
      </c>
      <c r="AL10" s="161" t="s">
        <v>124</v>
      </c>
      <c r="AM10" s="161" t="s">
        <v>125</v>
      </c>
      <c r="AN10" s="162" t="s">
        <v>68</v>
      </c>
      <c r="AO10" s="156" t="str">
        <f aca="true">IF(EB.Sprache="DE","Jahressaldo per" &amp; CHAR(10) &amp; "    ME       " &amp; IFERROR(TEXT(TODAY(),"[$-0007]"&amp;"TT.MM.JJ"),TEXT(TODAY(),"[$-0007]"&amp;"DD.MM.YY")), "Yearly balance by" &amp; CHAR(10) &amp; "   eom      " &amp; IFERROR(TEXT(TODAY(),"[$-0809]"&amp;"DD.MM.YY"),TEXT(TODAY(),"[$-0809]"&amp;"TT.MM.JJ")))</f>
        <v>Yearly balance by
   eom      22.05.18</v>
      </c>
      <c r="AP10" s="156"/>
      <c r="AQ10" s="163"/>
    </row>
    <row r="11" s="164" customFormat="true" ht="12" hidden="true" customHeight="true" outlineLevel="0" collapsed="false">
      <c r="A11" s="157" t="s">
        <v>126</v>
      </c>
      <c r="B11" s="165" t="n">
        <f aca="true">IFERROR(OFFSET(T.Feiertage.Bereich,MATCH(B$10,T.Feiertage.Bereich,0)-1,1,1,1),1)</f>
        <v>0</v>
      </c>
      <c r="C11" s="165" t="n">
        <f aca="true">IFERROR(OFFSET(T.Feiertage.Bereich,MATCH(C$10,T.Feiertage.Bereich,0)-1,1,1,1),1)</f>
        <v>1</v>
      </c>
      <c r="D11" s="165" t="n">
        <f aca="true">IFERROR(OFFSET(T.Feiertage.Bereich,MATCH(D$10,T.Feiertage.Bereich,0)-1,1,1,1),1)</f>
        <v>1</v>
      </c>
      <c r="E11" s="166" t="n">
        <f aca="true">IFERROR(OFFSET(T.Feiertage.Bereich,MATCH(E$10,T.Feiertage.Bereich,0)-1,1,1,1),1)</f>
        <v>1</v>
      </c>
      <c r="F11" s="165" t="n">
        <f aca="true">IFERROR(OFFSET(T.Feiertage.Bereich,MATCH(F$10,T.Feiertage.Bereich,0)-1,1,1,1),1)</f>
        <v>1</v>
      </c>
      <c r="G11" s="165" t="n">
        <f aca="true">IFERROR(OFFSET(T.Feiertage.Bereich,MATCH(G$10,T.Feiertage.Bereich,0)-1,1,1,1),1)</f>
        <v>1</v>
      </c>
      <c r="H11" s="165" t="n">
        <f aca="true">IFERROR(OFFSET(T.Feiertage.Bereich,MATCH(H$10,T.Feiertage.Bereich,0)-1,1,1,1),1)</f>
        <v>1</v>
      </c>
      <c r="I11" s="165" t="n">
        <f aca="true">IFERROR(OFFSET(T.Feiertage.Bereich,MATCH(I$10,T.Feiertage.Bereich,0)-1,1,1,1),1)</f>
        <v>1</v>
      </c>
      <c r="J11" s="166" t="n">
        <f aca="true">IFERROR(OFFSET(T.Feiertage.Bereich,MATCH(J$10,T.Feiertage.Bereich,0)-1,1,1,1),1)</f>
        <v>1</v>
      </c>
      <c r="K11" s="165" t="n">
        <f aca="true">IFERROR(OFFSET(T.Feiertage.Bereich,MATCH(K$10,T.Feiertage.Bereich,0)-1,1,1,1),1)</f>
        <v>1</v>
      </c>
      <c r="L11" s="166" t="n">
        <f aca="true">IFERROR(OFFSET(T.Feiertage.Bereich,MATCH(L$10,T.Feiertage.Bereich,0)-1,1,1,1),1)</f>
        <v>1</v>
      </c>
      <c r="M11" s="165" t="n">
        <f aca="true">IFERROR(OFFSET(T.Feiertage.Bereich,MATCH(M$10,T.Feiertage.Bereich,0)-1,1,1,1),1)</f>
        <v>1</v>
      </c>
      <c r="N11" s="165" t="n">
        <f aca="true">IFERROR(OFFSET(T.Feiertage.Bereich,MATCH(N$10,T.Feiertage.Bereich,0)-1,1,1,1),1)</f>
        <v>1</v>
      </c>
      <c r="O11" s="165" t="n">
        <f aca="true">IFERROR(OFFSET(T.Feiertage.Bereich,MATCH(O$10,T.Feiertage.Bereich,0)-1,1,1,1),1)</f>
        <v>1</v>
      </c>
      <c r="P11" s="165" t="n">
        <f aca="true">IFERROR(OFFSET(T.Feiertage.Bereich,MATCH(P$10,T.Feiertage.Bereich,0)-1,1,1,1),1)</f>
        <v>1</v>
      </c>
      <c r="Q11" s="166" t="n">
        <f aca="true">IFERROR(OFFSET(T.Feiertage.Bereich,MATCH(Q$10,T.Feiertage.Bereich,0)-1,1,1,1),1)</f>
        <v>1</v>
      </c>
      <c r="R11" s="165" t="n">
        <f aca="true">IFERROR(OFFSET(T.Feiertage.Bereich,MATCH(R$10,T.Feiertage.Bereich,0)-1,1,1,1),1)</f>
        <v>1</v>
      </c>
      <c r="S11" s="166" t="n">
        <f aca="true">IFERROR(OFFSET(T.Feiertage.Bereich,MATCH(S$10,T.Feiertage.Bereich,0)-1,1,1,1),1)</f>
        <v>1</v>
      </c>
      <c r="T11" s="166" t="n">
        <f aca="true">IFERROR(OFFSET(T.Feiertage.Bereich,MATCH(T$10,T.Feiertage.Bereich,0)-1,1,1,1),1)</f>
        <v>1</v>
      </c>
      <c r="U11" s="165" t="n">
        <f aca="true">IFERROR(OFFSET(T.Feiertage.Bereich,MATCH(U$10,T.Feiertage.Bereich,0)-1,1,1,1),1)</f>
        <v>1</v>
      </c>
      <c r="V11" s="165" t="n">
        <f aca="true">IFERROR(OFFSET(T.Feiertage.Bereich,MATCH(V$10,T.Feiertage.Bereich,0)-1,1,1,1),1)</f>
        <v>1</v>
      </c>
      <c r="W11" s="165" t="n">
        <f aca="true">IFERROR(OFFSET(T.Feiertage.Bereich,MATCH(W$10,T.Feiertage.Bereich,0)-1,1,1,1),1)</f>
        <v>1</v>
      </c>
      <c r="X11" s="166" t="n">
        <f aca="true">IFERROR(OFFSET(T.Feiertage.Bereich,MATCH(X$10,T.Feiertage.Bereich,0)-1,1,1,1),1)</f>
        <v>1</v>
      </c>
      <c r="Y11" s="165" t="n">
        <f aca="true">IFERROR(OFFSET(T.Feiertage.Bereich,MATCH(Y$10,T.Feiertage.Bereich,0)-1,1,1,1),1)</f>
        <v>1</v>
      </c>
      <c r="Z11" s="167" t="n">
        <f aca="true">IFERROR(OFFSET(T.Feiertage.Bereich,MATCH(Z$10,T.Feiertage.Bereich,0)-1,1,1,1),1)</f>
        <v>1</v>
      </c>
      <c r="AA11" s="165" t="n">
        <f aca="true">IFERROR(OFFSET(T.Feiertage.Bereich,MATCH(AA$10,T.Feiertage.Bereich,0)-1,1,1,1),1)</f>
        <v>1</v>
      </c>
      <c r="AB11" s="165" t="n">
        <f aca="true">IFERROR(OFFSET(T.Feiertage.Bereich,MATCH(AB$10,T.Feiertage.Bereich,0)-1,1,1,1),1)</f>
        <v>1</v>
      </c>
      <c r="AC11" s="165" t="n">
        <f aca="true">IFERROR(OFFSET(T.Feiertage.Bereich,MATCH(AC$10,T.Feiertage.Bereich,0)-1,1,1,1),1)</f>
        <v>1</v>
      </c>
      <c r="AD11" s="165" t="n">
        <f aca="true">IFERROR(OFFSET(T.Feiertage.Bereich,MATCH(AD$10,T.Feiertage.Bereich,0)-1,1,1,1),1)</f>
        <v>1</v>
      </c>
      <c r="AE11" s="166" t="n">
        <f aca="true">IFERROR(OFFSET(T.Feiertage.Bereich,MATCH(AE$10,T.Feiertage.Bereich,0)-1,1,1,1),1)</f>
        <v>1</v>
      </c>
      <c r="AF11" s="165" t="n">
        <f aca="true">IFERROR(OFFSET(T.Feiertage.Bereich,MATCH(AF$10,T.Feiertage.Bereich,0)-1,1,1,1),1)</f>
        <v>1</v>
      </c>
      <c r="AG11" s="168"/>
      <c r="AH11" s="146"/>
      <c r="AI11" s="169"/>
      <c r="AJ11" s="170"/>
      <c r="AK11" s="171"/>
      <c r="AL11" s="172"/>
      <c r="AM11" s="172"/>
      <c r="AN11" s="171"/>
      <c r="AO11" s="172"/>
      <c r="AP11" s="172"/>
      <c r="AQ11" s="163"/>
    </row>
    <row r="12" s="164" customFormat="true" ht="12" hidden="true" customHeight="true" outlineLevel="0" collapsed="false">
      <c r="A12" s="157" t="s">
        <v>127</v>
      </c>
      <c r="B12" s="173" t="n">
        <f aca="false">IF(OR(AND(ISNUMBER(EB.UJEintritt),EB.UJEintritt&gt;=B$10+1),AND(ISNUMBER(EB.UJAustritt),EB.UJAustritt&lt;=B$10-1)),0,1)</f>
        <v>1</v>
      </c>
      <c r="C12" s="173" t="n">
        <f aca="false">IF(OR(AND(ISNUMBER(EB.UJEintritt),EB.UJEintritt&gt;=C$10+1),AND(ISNUMBER(EB.UJAustritt),EB.UJAustritt&lt;=C$10-1)),0,1)</f>
        <v>1</v>
      </c>
      <c r="D12" s="173" t="n">
        <f aca="false">IF(OR(AND(ISNUMBER(EB.UJEintritt),EB.UJEintritt&gt;=D$10+1),AND(ISNUMBER(EB.UJAustritt),EB.UJAustritt&lt;=D$10-1)),0,1)</f>
        <v>1</v>
      </c>
      <c r="E12" s="156" t="n">
        <f aca="false">IF(OR(AND(ISNUMBER(EB.UJEintritt),EB.UJEintritt&gt;=E$10+1),AND(ISNUMBER(EB.UJAustritt),EB.UJAustritt&lt;=E$10-1)),0,1)</f>
        <v>1</v>
      </c>
      <c r="F12" s="173" t="n">
        <f aca="false">IF(OR(AND(ISNUMBER(EB.UJEintritt),EB.UJEintritt&gt;=F$10+1),AND(ISNUMBER(EB.UJAustritt),EB.UJAustritt&lt;=F$10-1)),0,1)</f>
        <v>1</v>
      </c>
      <c r="G12" s="173" t="n">
        <f aca="false">IF(OR(AND(ISNUMBER(EB.UJEintritt),EB.UJEintritt&gt;=G$10+1),AND(ISNUMBER(EB.UJAustritt),EB.UJAustritt&lt;=G$10-1)),0,1)</f>
        <v>1</v>
      </c>
      <c r="H12" s="173" t="n">
        <f aca="false">IF(OR(AND(ISNUMBER(EB.UJEintritt),EB.UJEintritt&gt;=H$10+1),AND(ISNUMBER(EB.UJAustritt),EB.UJAustritt&lt;=H$10-1)),0,1)</f>
        <v>1</v>
      </c>
      <c r="I12" s="173" t="n">
        <f aca="false">IF(OR(AND(ISNUMBER(EB.UJEintritt),EB.UJEintritt&gt;=I$10+1),AND(ISNUMBER(EB.UJAustritt),EB.UJAustritt&lt;=I$10-1)),0,1)</f>
        <v>1</v>
      </c>
      <c r="J12" s="156" t="n">
        <f aca="false">IF(OR(AND(ISNUMBER(EB.UJEintritt),EB.UJEintritt&gt;=J$10+1),AND(ISNUMBER(EB.UJAustritt),EB.UJAustritt&lt;=J$10-1)),0,1)</f>
        <v>1</v>
      </c>
      <c r="K12" s="173" t="n">
        <f aca="false">IF(OR(AND(ISNUMBER(EB.UJEintritt),EB.UJEintritt&gt;=K$10+1),AND(ISNUMBER(EB.UJAustritt),EB.UJAustritt&lt;=K$10-1)),0,1)</f>
        <v>1</v>
      </c>
      <c r="L12" s="156" t="n">
        <f aca="false">IF(OR(AND(ISNUMBER(EB.UJEintritt),EB.UJEintritt&gt;=L$10+1),AND(ISNUMBER(EB.UJAustritt),EB.UJAustritt&lt;=L$10-1)),0,1)</f>
        <v>1</v>
      </c>
      <c r="M12" s="173" t="n">
        <f aca="false">IF(OR(AND(ISNUMBER(EB.UJEintritt),EB.UJEintritt&gt;=M$10+1),AND(ISNUMBER(EB.UJAustritt),EB.UJAustritt&lt;=M$10-1)),0,1)</f>
        <v>1</v>
      </c>
      <c r="N12" s="173" t="n">
        <f aca="false">IF(OR(AND(ISNUMBER(EB.UJEintritt),EB.UJEintritt&gt;=N$10+1),AND(ISNUMBER(EB.UJAustritt),EB.UJAustritt&lt;=N$10-1)),0,1)</f>
        <v>1</v>
      </c>
      <c r="O12" s="173" t="n">
        <f aca="false">IF(OR(AND(ISNUMBER(EB.UJEintritt),EB.UJEintritt&gt;=O$10+1),AND(ISNUMBER(EB.UJAustritt),EB.UJAustritt&lt;=O$10-1)),0,1)</f>
        <v>1</v>
      </c>
      <c r="P12" s="173" t="n">
        <f aca="false">IF(OR(AND(ISNUMBER(EB.UJEintritt),EB.UJEintritt&gt;=P$10+1),AND(ISNUMBER(EB.UJAustritt),EB.UJAustritt&lt;=P$10-1)),0,1)</f>
        <v>1</v>
      </c>
      <c r="Q12" s="156" t="n">
        <f aca="false">IF(OR(AND(ISNUMBER(EB.UJEintritt),EB.UJEintritt&gt;=Q$10+1),AND(ISNUMBER(EB.UJAustritt),EB.UJAustritt&lt;=Q$10-1)),0,1)</f>
        <v>1</v>
      </c>
      <c r="R12" s="173" t="n">
        <f aca="false">IF(OR(AND(ISNUMBER(EB.UJEintritt),EB.UJEintritt&gt;=R$10+1),AND(ISNUMBER(EB.UJAustritt),EB.UJAustritt&lt;=R$10-1)),0,1)</f>
        <v>1</v>
      </c>
      <c r="S12" s="156" t="n">
        <f aca="false">IF(OR(AND(ISNUMBER(EB.UJEintritt),EB.UJEintritt&gt;=S$10+1),AND(ISNUMBER(EB.UJAustritt),EB.UJAustritt&lt;=S$10-1)),0,1)</f>
        <v>1</v>
      </c>
      <c r="T12" s="156" t="n">
        <f aca="false">IF(OR(AND(ISNUMBER(EB.UJEintritt),EB.UJEintritt&gt;=T$10+1),AND(ISNUMBER(EB.UJAustritt),EB.UJAustritt&lt;=T$10-1)),0,1)</f>
        <v>1</v>
      </c>
      <c r="U12" s="173" t="n">
        <f aca="false">IF(OR(AND(ISNUMBER(EB.UJEintritt),EB.UJEintritt&gt;=U$10+1),AND(ISNUMBER(EB.UJAustritt),EB.UJAustritt&lt;=U$10-1)),0,1)</f>
        <v>1</v>
      </c>
      <c r="V12" s="173" t="n">
        <f aca="false">IF(OR(AND(ISNUMBER(EB.UJEintritt),EB.UJEintritt&gt;=V$10+1),AND(ISNUMBER(EB.UJAustritt),EB.UJAustritt&lt;=V$10-1)),0,1)</f>
        <v>1</v>
      </c>
      <c r="W12" s="173" t="n">
        <f aca="false">IF(OR(AND(ISNUMBER(EB.UJEintritt),EB.UJEintritt&gt;=W$10+1),AND(ISNUMBER(EB.UJAustritt),EB.UJAustritt&lt;=W$10-1)),0,1)</f>
        <v>1</v>
      </c>
      <c r="X12" s="156" t="n">
        <f aca="false">IF(OR(AND(ISNUMBER(EB.UJEintritt),EB.UJEintritt&gt;=X$10+1),AND(ISNUMBER(EB.UJAustritt),EB.UJAustritt&lt;=X$10-1)),0,1)</f>
        <v>1</v>
      </c>
      <c r="Y12" s="173" t="n">
        <f aca="false">IF(OR(AND(ISNUMBER(EB.UJEintritt),EB.UJEintritt&gt;=Y$10+1),AND(ISNUMBER(EB.UJAustritt),EB.UJAustritt&lt;=Y$10-1)),0,1)</f>
        <v>1</v>
      </c>
      <c r="Z12" s="174" t="n">
        <f aca="false">IF(OR(AND(ISNUMBER(EB.UJEintritt),EB.UJEintritt&gt;=Z$10+1),AND(ISNUMBER(EB.UJAustritt),EB.UJAustritt&lt;=Z$10-1)),0,1)</f>
        <v>1</v>
      </c>
      <c r="AA12" s="173" t="n">
        <f aca="false">IF(OR(AND(ISNUMBER(EB.UJEintritt),EB.UJEintritt&gt;=AA$10+1),AND(ISNUMBER(EB.UJAustritt),EB.UJAustritt&lt;=AA$10-1)),0,1)</f>
        <v>1</v>
      </c>
      <c r="AB12" s="173" t="n">
        <f aca="false">IF(OR(AND(ISNUMBER(EB.UJEintritt),EB.UJEintritt&gt;=AB$10+1),AND(ISNUMBER(EB.UJAustritt),EB.UJAustritt&lt;=AB$10-1)),0,1)</f>
        <v>1</v>
      </c>
      <c r="AC12" s="173" t="n">
        <f aca="false">IF(OR(AND(ISNUMBER(EB.UJEintritt),EB.UJEintritt&gt;=AC$10+1),AND(ISNUMBER(EB.UJAustritt),EB.UJAustritt&lt;=AC$10-1)),0,1)</f>
        <v>1</v>
      </c>
      <c r="AD12" s="173" t="n">
        <f aca="false">IF(OR(AND(ISNUMBER(EB.UJEintritt),EB.UJEintritt&gt;=AD$10+1),AND(ISNUMBER(EB.UJAustritt),EB.UJAustritt&lt;=AD$10-1)),0,1)</f>
        <v>1</v>
      </c>
      <c r="AE12" s="156" t="n">
        <f aca="false">IF(OR(AND(ISNUMBER(EB.UJEintritt),EB.UJEintritt&gt;=AE$10+1),AND(ISNUMBER(EB.UJAustritt),EB.UJAustritt&lt;=AE$10-1)),0,1)</f>
        <v>1</v>
      </c>
      <c r="AF12" s="173" t="n">
        <f aca="false">IF(OR(AND(ISNUMBER(EB.UJEintritt),EB.UJEintritt&gt;=AF$10+1),AND(ISNUMBER(EB.UJAustritt),EB.UJAustritt&lt;=AF$10-1)),0,1)</f>
        <v>1</v>
      </c>
      <c r="AG12" s="168"/>
      <c r="AH12" s="146"/>
      <c r="AI12" s="169"/>
      <c r="AJ12" s="170"/>
      <c r="AK12" s="171"/>
      <c r="AL12" s="172"/>
      <c r="AM12" s="172"/>
      <c r="AN12" s="171"/>
      <c r="AO12" s="172"/>
      <c r="AP12" s="172"/>
      <c r="AQ12" s="163"/>
    </row>
    <row r="13" s="148" customFormat="true" ht="15" hidden="false" customHeight="true" outlineLevel="0" collapsed="false">
      <c r="A13" s="175" t="s">
        <v>128</v>
      </c>
      <c r="B13" s="176"/>
      <c r="C13" s="176"/>
      <c r="D13" s="176"/>
      <c r="E13" s="177"/>
      <c r="F13" s="176"/>
      <c r="G13" s="176"/>
      <c r="H13" s="176"/>
      <c r="I13" s="176"/>
      <c r="J13" s="177"/>
      <c r="K13" s="176"/>
      <c r="L13" s="177"/>
      <c r="M13" s="176"/>
      <c r="N13" s="176"/>
      <c r="O13" s="176"/>
      <c r="P13" s="176"/>
      <c r="Q13" s="177"/>
      <c r="R13" s="176"/>
      <c r="S13" s="177"/>
      <c r="T13" s="177"/>
      <c r="U13" s="176"/>
      <c r="V13" s="176"/>
      <c r="W13" s="176"/>
      <c r="X13" s="177"/>
      <c r="Y13" s="176"/>
      <c r="Z13" s="178"/>
      <c r="AA13" s="176"/>
      <c r="AB13" s="176"/>
      <c r="AC13" s="176"/>
      <c r="AD13" s="176"/>
      <c r="AE13" s="177"/>
      <c r="AF13" s="176"/>
      <c r="AG13" s="168" t="str">
        <f aca="false">A13</f>
        <v>in</v>
      </c>
      <c r="AH13" s="146"/>
      <c r="AI13" s="169"/>
      <c r="AJ13" s="170"/>
      <c r="AK13" s="171"/>
      <c r="AL13" s="172"/>
      <c r="AM13" s="172"/>
      <c r="AN13" s="171"/>
      <c r="AO13" s="172"/>
      <c r="AP13" s="172"/>
      <c r="AQ13" s="39"/>
    </row>
    <row r="14" s="148" customFormat="true" ht="15" hidden="false" customHeight="true" outlineLevel="0" collapsed="false">
      <c r="A14" s="175" t="s">
        <v>129</v>
      </c>
      <c r="B14" s="176"/>
      <c r="C14" s="176"/>
      <c r="D14" s="176"/>
      <c r="E14" s="177"/>
      <c r="F14" s="176"/>
      <c r="G14" s="176"/>
      <c r="H14" s="176"/>
      <c r="I14" s="176"/>
      <c r="J14" s="177"/>
      <c r="K14" s="176"/>
      <c r="L14" s="177"/>
      <c r="M14" s="176"/>
      <c r="N14" s="176"/>
      <c r="O14" s="176"/>
      <c r="P14" s="176"/>
      <c r="Q14" s="177"/>
      <c r="R14" s="176"/>
      <c r="S14" s="177"/>
      <c r="T14" s="177"/>
      <c r="U14" s="176"/>
      <c r="V14" s="176"/>
      <c r="W14" s="176"/>
      <c r="X14" s="177"/>
      <c r="Y14" s="176"/>
      <c r="Z14" s="178"/>
      <c r="AA14" s="176"/>
      <c r="AB14" s="176"/>
      <c r="AC14" s="176"/>
      <c r="AD14" s="176"/>
      <c r="AE14" s="177"/>
      <c r="AF14" s="176"/>
      <c r="AG14" s="168" t="str">
        <f aca="false">A14</f>
        <v>out</v>
      </c>
      <c r="AH14" s="146"/>
      <c r="AI14" s="169"/>
      <c r="AJ14" s="170"/>
      <c r="AK14" s="171"/>
      <c r="AL14" s="172"/>
      <c r="AM14" s="172"/>
      <c r="AN14" s="171"/>
      <c r="AO14" s="172"/>
      <c r="AP14" s="172"/>
      <c r="AQ14" s="39"/>
    </row>
    <row r="15" s="148" customFormat="true" ht="15" hidden="false" customHeight="true" outlineLevel="0" collapsed="false">
      <c r="A15" s="175" t="s">
        <v>128</v>
      </c>
      <c r="B15" s="176"/>
      <c r="C15" s="176"/>
      <c r="D15" s="176"/>
      <c r="E15" s="177"/>
      <c r="F15" s="176"/>
      <c r="G15" s="176"/>
      <c r="H15" s="176"/>
      <c r="I15" s="176"/>
      <c r="J15" s="177"/>
      <c r="K15" s="176"/>
      <c r="L15" s="177"/>
      <c r="M15" s="176"/>
      <c r="N15" s="176"/>
      <c r="O15" s="176"/>
      <c r="P15" s="176"/>
      <c r="Q15" s="177"/>
      <c r="R15" s="176"/>
      <c r="S15" s="177"/>
      <c r="T15" s="177"/>
      <c r="U15" s="176"/>
      <c r="V15" s="176"/>
      <c r="W15" s="176"/>
      <c r="X15" s="177"/>
      <c r="Y15" s="176"/>
      <c r="Z15" s="178"/>
      <c r="AA15" s="176"/>
      <c r="AB15" s="176"/>
      <c r="AC15" s="176"/>
      <c r="AD15" s="176"/>
      <c r="AE15" s="177"/>
      <c r="AF15" s="176"/>
      <c r="AG15" s="168" t="str">
        <f aca="false">A15</f>
        <v>in</v>
      </c>
      <c r="AH15" s="146"/>
      <c r="AI15" s="169"/>
      <c r="AJ15" s="170"/>
      <c r="AK15" s="171"/>
      <c r="AL15" s="172"/>
      <c r="AM15" s="172"/>
      <c r="AN15" s="171"/>
      <c r="AO15" s="172"/>
      <c r="AP15" s="172"/>
      <c r="AQ15" s="39"/>
    </row>
    <row r="16" s="148" customFormat="true" ht="15" hidden="false" customHeight="true" outlineLevel="0" collapsed="false">
      <c r="A16" s="175" t="s">
        <v>129</v>
      </c>
      <c r="B16" s="176"/>
      <c r="C16" s="176"/>
      <c r="D16" s="176"/>
      <c r="E16" s="177"/>
      <c r="F16" s="176"/>
      <c r="G16" s="176"/>
      <c r="H16" s="176"/>
      <c r="I16" s="176"/>
      <c r="J16" s="177"/>
      <c r="K16" s="176"/>
      <c r="L16" s="177"/>
      <c r="M16" s="176"/>
      <c r="N16" s="176"/>
      <c r="O16" s="176"/>
      <c r="P16" s="176"/>
      <c r="Q16" s="177"/>
      <c r="R16" s="176"/>
      <c r="S16" s="177"/>
      <c r="T16" s="177"/>
      <c r="U16" s="176"/>
      <c r="V16" s="176"/>
      <c r="W16" s="176"/>
      <c r="X16" s="177"/>
      <c r="Y16" s="176"/>
      <c r="Z16" s="178"/>
      <c r="AA16" s="176"/>
      <c r="AB16" s="176"/>
      <c r="AC16" s="176"/>
      <c r="AD16" s="176"/>
      <c r="AE16" s="177"/>
      <c r="AF16" s="176"/>
      <c r="AG16" s="168" t="str">
        <f aca="false">A16</f>
        <v>out</v>
      </c>
      <c r="AH16" s="146"/>
      <c r="AI16" s="179"/>
      <c r="AJ16" s="180"/>
      <c r="AK16" s="172"/>
      <c r="AL16" s="172"/>
      <c r="AM16" s="172"/>
      <c r="AN16" s="171"/>
      <c r="AO16" s="172"/>
      <c r="AP16" s="172"/>
      <c r="AQ16" s="39"/>
    </row>
    <row r="17" s="148" customFormat="true" ht="15" hidden="false" customHeight="true" outlineLevel="0" collapsed="false">
      <c r="A17" s="175" t="s">
        <v>128</v>
      </c>
      <c r="B17" s="176"/>
      <c r="C17" s="176"/>
      <c r="D17" s="176"/>
      <c r="E17" s="177"/>
      <c r="F17" s="176"/>
      <c r="G17" s="176"/>
      <c r="H17" s="176"/>
      <c r="I17" s="176"/>
      <c r="J17" s="177"/>
      <c r="K17" s="176"/>
      <c r="L17" s="177"/>
      <c r="M17" s="176"/>
      <c r="N17" s="176"/>
      <c r="O17" s="176"/>
      <c r="P17" s="176"/>
      <c r="Q17" s="177"/>
      <c r="R17" s="176"/>
      <c r="S17" s="177"/>
      <c r="T17" s="177"/>
      <c r="U17" s="176"/>
      <c r="V17" s="176"/>
      <c r="W17" s="176"/>
      <c r="X17" s="177"/>
      <c r="Y17" s="176"/>
      <c r="Z17" s="178"/>
      <c r="AA17" s="176"/>
      <c r="AB17" s="176"/>
      <c r="AC17" s="176"/>
      <c r="AD17" s="176"/>
      <c r="AE17" s="177"/>
      <c r="AF17" s="176"/>
      <c r="AG17" s="168" t="str">
        <f aca="false">A17</f>
        <v>in</v>
      </c>
      <c r="AH17" s="146"/>
      <c r="AI17" s="179"/>
      <c r="AJ17" s="180"/>
      <c r="AK17" s="172"/>
      <c r="AL17" s="172"/>
      <c r="AM17" s="172"/>
      <c r="AN17" s="171"/>
      <c r="AO17" s="172"/>
      <c r="AP17" s="172"/>
      <c r="AQ17" s="39"/>
    </row>
    <row r="18" s="148" customFormat="true" ht="15" hidden="false" customHeight="true" outlineLevel="0" collapsed="false">
      <c r="A18" s="175" t="s">
        <v>129</v>
      </c>
      <c r="B18" s="176"/>
      <c r="C18" s="176"/>
      <c r="D18" s="176"/>
      <c r="E18" s="177"/>
      <c r="F18" s="176"/>
      <c r="G18" s="176"/>
      <c r="H18" s="176"/>
      <c r="I18" s="176"/>
      <c r="J18" s="177"/>
      <c r="K18" s="176"/>
      <c r="L18" s="177"/>
      <c r="M18" s="176"/>
      <c r="N18" s="176"/>
      <c r="O18" s="176"/>
      <c r="P18" s="176"/>
      <c r="Q18" s="177"/>
      <c r="R18" s="176"/>
      <c r="S18" s="177"/>
      <c r="T18" s="177"/>
      <c r="U18" s="176"/>
      <c r="V18" s="176"/>
      <c r="W18" s="176"/>
      <c r="X18" s="177"/>
      <c r="Y18" s="176"/>
      <c r="Z18" s="178"/>
      <c r="AA18" s="176"/>
      <c r="AB18" s="176"/>
      <c r="AC18" s="176"/>
      <c r="AD18" s="176"/>
      <c r="AE18" s="177"/>
      <c r="AF18" s="176"/>
      <c r="AG18" s="168" t="str">
        <f aca="false">A18</f>
        <v>out</v>
      </c>
      <c r="AH18" s="146"/>
      <c r="AI18" s="179"/>
      <c r="AJ18" s="180"/>
      <c r="AK18" s="172"/>
      <c r="AL18" s="172"/>
      <c r="AM18" s="172"/>
      <c r="AN18" s="171"/>
      <c r="AO18" s="172"/>
      <c r="AP18" s="172"/>
      <c r="AQ18" s="39"/>
    </row>
    <row r="19" s="148" customFormat="true" ht="15" hidden="true" customHeight="true" outlineLevel="1" collapsed="false">
      <c r="A19" s="175" t="s">
        <v>128</v>
      </c>
      <c r="B19" s="176"/>
      <c r="C19" s="176"/>
      <c r="D19" s="176"/>
      <c r="E19" s="177"/>
      <c r="F19" s="176"/>
      <c r="G19" s="176"/>
      <c r="H19" s="176"/>
      <c r="I19" s="176"/>
      <c r="J19" s="177"/>
      <c r="K19" s="176"/>
      <c r="L19" s="177"/>
      <c r="M19" s="176"/>
      <c r="N19" s="176"/>
      <c r="O19" s="176"/>
      <c r="P19" s="176"/>
      <c r="Q19" s="177"/>
      <c r="R19" s="176"/>
      <c r="S19" s="177"/>
      <c r="T19" s="177"/>
      <c r="U19" s="176"/>
      <c r="V19" s="176"/>
      <c r="W19" s="176"/>
      <c r="X19" s="177"/>
      <c r="Y19" s="176"/>
      <c r="Z19" s="178"/>
      <c r="AA19" s="176"/>
      <c r="AB19" s="176"/>
      <c r="AC19" s="176"/>
      <c r="AD19" s="176"/>
      <c r="AE19" s="177"/>
      <c r="AF19" s="176"/>
      <c r="AG19" s="168" t="str">
        <f aca="false">A19</f>
        <v>in</v>
      </c>
      <c r="AH19" s="146"/>
      <c r="AI19" s="179"/>
      <c r="AJ19" s="180"/>
      <c r="AK19" s="172"/>
      <c r="AL19" s="172"/>
      <c r="AM19" s="172"/>
      <c r="AN19" s="171"/>
      <c r="AO19" s="172"/>
      <c r="AP19" s="172"/>
      <c r="AQ19" s="39"/>
    </row>
    <row r="20" s="148" customFormat="true" ht="15" hidden="true" customHeight="true" outlineLevel="1" collapsed="false">
      <c r="A20" s="175" t="s">
        <v>129</v>
      </c>
      <c r="B20" s="176"/>
      <c r="C20" s="176"/>
      <c r="D20" s="176"/>
      <c r="E20" s="177"/>
      <c r="F20" s="176"/>
      <c r="G20" s="176"/>
      <c r="H20" s="176"/>
      <c r="I20" s="176"/>
      <c r="J20" s="177"/>
      <c r="K20" s="176"/>
      <c r="L20" s="177"/>
      <c r="M20" s="176"/>
      <c r="N20" s="176"/>
      <c r="O20" s="176"/>
      <c r="P20" s="176"/>
      <c r="Q20" s="177"/>
      <c r="R20" s="176"/>
      <c r="S20" s="177"/>
      <c r="T20" s="177"/>
      <c r="U20" s="176"/>
      <c r="V20" s="176"/>
      <c r="W20" s="176"/>
      <c r="X20" s="177"/>
      <c r="Y20" s="176"/>
      <c r="Z20" s="178"/>
      <c r="AA20" s="176"/>
      <c r="AB20" s="176"/>
      <c r="AC20" s="176"/>
      <c r="AD20" s="176"/>
      <c r="AE20" s="177"/>
      <c r="AF20" s="176"/>
      <c r="AG20" s="168" t="str">
        <f aca="false">A20</f>
        <v>out</v>
      </c>
      <c r="AH20" s="146"/>
      <c r="AI20" s="179"/>
      <c r="AJ20" s="180"/>
      <c r="AK20" s="172"/>
      <c r="AL20" s="172"/>
      <c r="AM20" s="172"/>
      <c r="AN20" s="171"/>
      <c r="AO20" s="172"/>
      <c r="AP20" s="172"/>
      <c r="AQ20" s="39"/>
    </row>
    <row r="21" s="148" customFormat="true" ht="15" hidden="true" customHeight="true" outlineLevel="1" collapsed="false">
      <c r="A21" s="175" t="s">
        <v>128</v>
      </c>
      <c r="B21" s="176"/>
      <c r="C21" s="176"/>
      <c r="D21" s="176"/>
      <c r="E21" s="177"/>
      <c r="F21" s="176"/>
      <c r="G21" s="176"/>
      <c r="H21" s="176"/>
      <c r="I21" s="176"/>
      <c r="J21" s="177"/>
      <c r="K21" s="176"/>
      <c r="L21" s="177"/>
      <c r="M21" s="176"/>
      <c r="N21" s="176"/>
      <c r="O21" s="176"/>
      <c r="P21" s="176"/>
      <c r="Q21" s="177"/>
      <c r="R21" s="176"/>
      <c r="S21" s="177"/>
      <c r="T21" s="177"/>
      <c r="U21" s="176"/>
      <c r="V21" s="176"/>
      <c r="W21" s="176"/>
      <c r="X21" s="177"/>
      <c r="Y21" s="176"/>
      <c r="Z21" s="178"/>
      <c r="AA21" s="176"/>
      <c r="AB21" s="176"/>
      <c r="AC21" s="176"/>
      <c r="AD21" s="176"/>
      <c r="AE21" s="177"/>
      <c r="AF21" s="176"/>
      <c r="AG21" s="168" t="str">
        <f aca="false">A21</f>
        <v>in</v>
      </c>
      <c r="AH21" s="146"/>
      <c r="AI21" s="179"/>
      <c r="AJ21" s="180"/>
      <c r="AK21" s="172"/>
      <c r="AL21" s="172"/>
      <c r="AM21" s="172"/>
      <c r="AN21" s="171"/>
      <c r="AO21" s="172"/>
      <c r="AP21" s="172"/>
      <c r="AQ21" s="39"/>
    </row>
    <row r="22" s="148" customFormat="true" ht="15" hidden="true" customHeight="true" outlineLevel="1" collapsed="false">
      <c r="A22" s="175" t="s">
        <v>129</v>
      </c>
      <c r="B22" s="176"/>
      <c r="C22" s="176"/>
      <c r="D22" s="176"/>
      <c r="E22" s="177"/>
      <c r="F22" s="176"/>
      <c r="G22" s="176"/>
      <c r="H22" s="176"/>
      <c r="I22" s="176"/>
      <c r="J22" s="177"/>
      <c r="K22" s="176"/>
      <c r="L22" s="177"/>
      <c r="M22" s="176"/>
      <c r="N22" s="176"/>
      <c r="O22" s="176"/>
      <c r="P22" s="176"/>
      <c r="Q22" s="177"/>
      <c r="R22" s="176"/>
      <c r="S22" s="177"/>
      <c r="T22" s="177"/>
      <c r="U22" s="176"/>
      <c r="V22" s="176"/>
      <c r="W22" s="176"/>
      <c r="X22" s="177"/>
      <c r="Y22" s="176"/>
      <c r="Z22" s="178"/>
      <c r="AA22" s="176"/>
      <c r="AB22" s="176"/>
      <c r="AC22" s="176"/>
      <c r="AD22" s="176"/>
      <c r="AE22" s="177"/>
      <c r="AF22" s="176"/>
      <c r="AG22" s="168" t="str">
        <f aca="false">A22</f>
        <v>out</v>
      </c>
      <c r="AH22" s="146"/>
      <c r="AI22" s="179"/>
      <c r="AJ22" s="180"/>
      <c r="AK22" s="172"/>
      <c r="AL22" s="172"/>
      <c r="AM22" s="172"/>
      <c r="AN22" s="171"/>
      <c r="AO22" s="172"/>
      <c r="AP22" s="172"/>
      <c r="AQ22" s="39"/>
    </row>
    <row r="23" s="148" customFormat="true" ht="15" hidden="false" customHeight="true" outlineLevel="0" collapsed="false">
      <c r="A23" s="181" t="s">
        <v>130</v>
      </c>
      <c r="B23" s="182" t="n">
        <f aca="false">ROUND((B14-B13)+(B16-B15)+(B18-B17)+(B20-B19)+(B22-B21),9)</f>
        <v>0</v>
      </c>
      <c r="C23" s="182" t="n">
        <f aca="false">ROUND((C14-C13)+(C16-C15)+(C18-C17)+(C20-C19)+(C22-C21),9)</f>
        <v>0</v>
      </c>
      <c r="D23" s="182" t="n">
        <f aca="false">ROUND((D14-D13)+(D16-D15)+(D18-D17)+(D20-D19)+(D22-D21),9)</f>
        <v>0</v>
      </c>
      <c r="E23" s="182" t="n">
        <f aca="false">ROUND((E14-E13)+(E16-E15)+(E18-E17)+(E20-E19)+(E22-E21),9)</f>
        <v>0</v>
      </c>
      <c r="F23" s="182" t="n">
        <f aca="false">ROUND((F14-F13)+(F16-F15)+(F18-F17)+(F20-F19)+(F22-F21),9)</f>
        <v>0</v>
      </c>
      <c r="G23" s="182" t="n">
        <f aca="false">ROUND((G14-G13)+(G16-G15)+(G18-G17)+(G20-G19)+(G22-G21),9)</f>
        <v>0</v>
      </c>
      <c r="H23" s="182" t="n">
        <f aca="false">ROUND((H14-H13)+(H16-H15)+(H18-H17)+(H20-H19)+(H22-H21),9)</f>
        <v>0</v>
      </c>
      <c r="I23" s="182" t="n">
        <f aca="false">ROUND((I14-I13)+(I16-I15)+(I18-I17)+(I20-I19)+(I22-I21),9)</f>
        <v>0</v>
      </c>
      <c r="J23" s="182" t="n">
        <f aca="false">ROUND((J14-J13)+(J16-J15)+(J18-J17)+(J20-J19)+(J22-J21),9)</f>
        <v>0</v>
      </c>
      <c r="K23" s="182" t="n">
        <f aca="false">ROUND((K14-K13)+(K16-K15)+(K18-K17)+(K20-K19)+(K22-K21),9)</f>
        <v>0</v>
      </c>
      <c r="L23" s="182" t="n">
        <f aca="false">ROUND((L14-L13)+(L16-L15)+(L18-L17)+(L20-L19)+(L22-L21),9)</f>
        <v>0</v>
      </c>
      <c r="M23" s="182" t="n">
        <f aca="false">ROUND((M14-M13)+(M16-M15)+(M18-M17)+(M20-M19)+(M22-M21),9)</f>
        <v>0</v>
      </c>
      <c r="N23" s="182" t="n">
        <f aca="false">ROUND((N14-N13)+(N16-N15)+(N18-N17)+(N20-N19)+(N22-N21),9)</f>
        <v>0</v>
      </c>
      <c r="O23" s="182" t="n">
        <f aca="false">ROUND((O14-O13)+(O16-O15)+(O18-O17)+(O20-O19)+(O22-O21),9)</f>
        <v>0</v>
      </c>
      <c r="P23" s="182" t="n">
        <f aca="false">ROUND((P14-P13)+(P16-P15)+(P18-P17)+(P20-P19)+(P22-P21),9)</f>
        <v>0</v>
      </c>
      <c r="Q23" s="182" t="n">
        <f aca="false">ROUND((Q14-Q13)+(Q16-Q15)+(Q18-Q17)+(Q20-Q19)+(Q22-Q21),9)</f>
        <v>0</v>
      </c>
      <c r="R23" s="182" t="n">
        <f aca="false">ROUND((R14-R13)+(R16-R15)+(R18-R17)+(R20-R19)+(R22-R21),9)</f>
        <v>0</v>
      </c>
      <c r="S23" s="182" t="n">
        <f aca="false">ROUND((S14-S13)+(S16-S15)+(S18-S17)+(S20-S19)+(S22-S21),9)</f>
        <v>0</v>
      </c>
      <c r="T23" s="182" t="n">
        <f aca="false">ROUND((T14-T13)+(T16-T15)+(T18-T17)+(T20-T19)+(T22-T21),9)</f>
        <v>0</v>
      </c>
      <c r="U23" s="182" t="n">
        <f aca="false">ROUND((U14-U13)+(U16-U15)+(U18-U17)+(U20-U19)+(U22-U21),9)</f>
        <v>0</v>
      </c>
      <c r="V23" s="182" t="n">
        <f aca="false">ROUND((V14-V13)+(V16-V15)+(V18-V17)+(V20-V19)+(V22-V21),9)</f>
        <v>0</v>
      </c>
      <c r="W23" s="182" t="n">
        <f aca="false">ROUND((W14-W13)+(W16-W15)+(W18-W17)+(W20-W19)+(W22-W21),9)</f>
        <v>0</v>
      </c>
      <c r="X23" s="182" t="n">
        <f aca="false">ROUND((X14-X13)+(X16-X15)+(X18-X17)+(X20-X19)+(X22-X21),9)</f>
        <v>0</v>
      </c>
      <c r="Y23" s="182" t="n">
        <f aca="false">ROUND((Y14-Y13)+(Y16-Y15)+(Y18-Y17)+(Y20-Y19)+(Y22-Y21),9)</f>
        <v>0</v>
      </c>
      <c r="Z23" s="182" t="n">
        <f aca="false">ROUND((Z14-Z13)+(Z16-Z15)+(Z18-Z17)+(Z20-Z19)+(Z22-Z21),9)</f>
        <v>0</v>
      </c>
      <c r="AA23" s="182" t="n">
        <f aca="false">ROUND((AA14-AA13)+(AA16-AA15)+(AA18-AA17)+(AA20-AA19)+(AA22-AA21),9)</f>
        <v>0</v>
      </c>
      <c r="AB23" s="182" t="n">
        <f aca="false">ROUND((AB14-AB13)+(AB16-AB15)+(AB18-AB17)+(AB20-AB19)+(AB22-AB21),9)</f>
        <v>0</v>
      </c>
      <c r="AC23" s="182" t="n">
        <f aca="false">ROUND((AC14-AC13)+(AC16-AC15)+(AC18-AC17)+(AC20-AC19)+(AC22-AC21),9)</f>
        <v>0</v>
      </c>
      <c r="AD23" s="182" t="n">
        <f aca="false">ROUND((AD14-AD13)+(AD16-AD15)+(AD18-AD17)+(AD20-AD19)+(AD22-AD21),9)</f>
        <v>0</v>
      </c>
      <c r="AE23" s="182" t="n">
        <f aca="false">ROUND((AE14-AE13)+(AE16-AE15)+(AE18-AE17)+(AE20-AE19)+(AE22-AE21),9)</f>
        <v>0</v>
      </c>
      <c r="AF23" s="182" t="n">
        <f aca="false">ROUND((AF14-AF13)+(AF16-AF15)+(AF18-AF17)+(AF20-AF19)+(AF22-AF21),9)</f>
        <v>0</v>
      </c>
      <c r="AG23" s="183" t="str">
        <f aca="false">A23</f>
        <v>Total in/out</v>
      </c>
      <c r="AH23" s="184"/>
      <c r="AI23" s="185" t="n">
        <f aca="false">SUM(B23:AF23)</f>
        <v>0</v>
      </c>
      <c r="AJ23" s="180"/>
      <c r="AK23" s="172"/>
      <c r="AL23" s="172"/>
      <c r="AM23" s="172"/>
      <c r="AN23" s="171"/>
      <c r="AO23" s="172"/>
      <c r="AP23" s="172"/>
      <c r="AQ23" s="39"/>
    </row>
    <row r="24" s="148" customFormat="true" ht="3.75" hidden="true" customHeight="true" outlineLevel="1" collapsed="false">
      <c r="A24" s="186"/>
      <c r="B24" s="187"/>
      <c r="C24" s="187"/>
      <c r="D24" s="187"/>
      <c r="E24" s="187"/>
      <c r="F24" s="187"/>
      <c r="G24" s="187"/>
      <c r="H24" s="187"/>
      <c r="I24" s="187"/>
      <c r="J24" s="187"/>
      <c r="K24" s="187"/>
      <c r="L24" s="187"/>
      <c r="M24" s="187"/>
      <c r="N24" s="187"/>
      <c r="O24" s="187"/>
      <c r="P24" s="187"/>
      <c r="Q24" s="187"/>
      <c r="R24" s="187"/>
      <c r="S24" s="187"/>
      <c r="T24" s="187"/>
      <c r="U24" s="187"/>
      <c r="V24" s="187"/>
      <c r="W24" s="187"/>
      <c r="X24" s="187"/>
      <c r="Y24" s="187"/>
      <c r="Z24" s="187"/>
      <c r="AA24" s="187"/>
      <c r="AB24" s="187"/>
      <c r="AC24" s="187"/>
      <c r="AD24" s="187"/>
      <c r="AE24" s="187"/>
      <c r="AF24" s="188"/>
      <c r="AG24" s="168"/>
      <c r="AH24" s="146"/>
      <c r="AI24" s="179"/>
      <c r="AJ24" s="180"/>
      <c r="AK24" s="172"/>
      <c r="AL24" s="172"/>
      <c r="AM24" s="172"/>
      <c r="AN24" s="171"/>
      <c r="AO24" s="172"/>
      <c r="AP24" s="172"/>
      <c r="AQ24" s="39"/>
    </row>
    <row r="25" s="148" customFormat="true" ht="15" hidden="true" customHeight="true" outlineLevel="1" collapsed="false">
      <c r="A25" s="175" t="s">
        <v>131</v>
      </c>
      <c r="B25" s="176"/>
      <c r="C25" s="176"/>
      <c r="D25" s="176"/>
      <c r="E25" s="189"/>
      <c r="F25" s="176"/>
      <c r="G25" s="176"/>
      <c r="H25" s="176"/>
      <c r="I25" s="176"/>
      <c r="J25" s="176"/>
      <c r="K25" s="176"/>
      <c r="L25" s="176"/>
      <c r="M25" s="176"/>
      <c r="N25" s="176"/>
      <c r="O25" s="176"/>
      <c r="P25" s="176"/>
      <c r="Q25" s="176"/>
      <c r="R25" s="176"/>
      <c r="S25" s="176"/>
      <c r="T25" s="176"/>
      <c r="U25" s="176"/>
      <c r="V25" s="176"/>
      <c r="W25" s="176"/>
      <c r="X25" s="176"/>
      <c r="Y25" s="176"/>
      <c r="Z25" s="190"/>
      <c r="AA25" s="176"/>
      <c r="AB25" s="176"/>
      <c r="AC25" s="176"/>
      <c r="AD25" s="176"/>
      <c r="AE25" s="176"/>
      <c r="AF25" s="176"/>
      <c r="AG25" s="168" t="str">
        <f aca="false">A25</f>
        <v>paid break in</v>
      </c>
      <c r="AH25" s="146"/>
      <c r="AI25" s="179"/>
      <c r="AJ25" s="180"/>
      <c r="AK25" s="172"/>
      <c r="AL25" s="172"/>
      <c r="AM25" s="172"/>
      <c r="AN25" s="171"/>
      <c r="AO25" s="172"/>
      <c r="AP25" s="172"/>
      <c r="AQ25" s="39"/>
    </row>
    <row r="26" s="148" customFormat="true" ht="15" hidden="true" customHeight="true" outlineLevel="1" collapsed="false">
      <c r="A26" s="175" t="s">
        <v>132</v>
      </c>
      <c r="B26" s="176"/>
      <c r="C26" s="176"/>
      <c r="D26" s="176"/>
      <c r="E26" s="176"/>
      <c r="F26" s="176"/>
      <c r="G26" s="176"/>
      <c r="H26" s="176"/>
      <c r="I26" s="176"/>
      <c r="J26" s="176"/>
      <c r="K26" s="176"/>
      <c r="L26" s="176"/>
      <c r="M26" s="176"/>
      <c r="N26" s="176"/>
      <c r="O26" s="176"/>
      <c r="P26" s="176"/>
      <c r="Q26" s="176"/>
      <c r="R26" s="176"/>
      <c r="S26" s="176"/>
      <c r="T26" s="176"/>
      <c r="U26" s="176"/>
      <c r="V26" s="176"/>
      <c r="W26" s="176"/>
      <c r="X26" s="176"/>
      <c r="Y26" s="176"/>
      <c r="Z26" s="190"/>
      <c r="AA26" s="176"/>
      <c r="AB26" s="176"/>
      <c r="AC26" s="176"/>
      <c r="AD26" s="176"/>
      <c r="AE26" s="176"/>
      <c r="AF26" s="176"/>
      <c r="AG26" s="168" t="str">
        <f aca="false">A26</f>
        <v>paid break out</v>
      </c>
      <c r="AH26" s="146"/>
      <c r="AI26" s="179"/>
      <c r="AJ26" s="180"/>
      <c r="AK26" s="172"/>
      <c r="AL26" s="172"/>
      <c r="AM26" s="172"/>
      <c r="AN26" s="171"/>
      <c r="AO26" s="172"/>
      <c r="AP26" s="172"/>
      <c r="AQ26" s="39"/>
    </row>
    <row r="27" s="148" customFormat="true" ht="15" hidden="true" customHeight="true" outlineLevel="1" collapsed="false">
      <c r="A27" s="175" t="s">
        <v>131</v>
      </c>
      <c r="B27" s="176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90"/>
      <c r="AA27" s="176"/>
      <c r="AB27" s="176"/>
      <c r="AC27" s="176"/>
      <c r="AD27" s="176"/>
      <c r="AE27" s="176"/>
      <c r="AF27" s="176"/>
      <c r="AG27" s="168" t="str">
        <f aca="false">A27</f>
        <v>paid break in</v>
      </c>
      <c r="AH27" s="146"/>
      <c r="AI27" s="179"/>
      <c r="AJ27" s="180"/>
      <c r="AK27" s="172"/>
      <c r="AL27" s="172"/>
      <c r="AM27" s="172"/>
      <c r="AN27" s="171"/>
      <c r="AO27" s="172"/>
      <c r="AP27" s="172"/>
      <c r="AQ27" s="39"/>
    </row>
    <row r="28" s="148" customFormat="true" ht="15" hidden="true" customHeight="true" outlineLevel="1" collapsed="false">
      <c r="A28" s="175" t="s">
        <v>132</v>
      </c>
      <c r="B28" s="176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90"/>
      <c r="AA28" s="176"/>
      <c r="AB28" s="176"/>
      <c r="AC28" s="176"/>
      <c r="AD28" s="176"/>
      <c r="AE28" s="176"/>
      <c r="AF28" s="176"/>
      <c r="AG28" s="168" t="str">
        <f aca="false">A28</f>
        <v>paid break out</v>
      </c>
      <c r="AH28" s="146"/>
      <c r="AI28" s="179"/>
      <c r="AJ28" s="180"/>
      <c r="AK28" s="172"/>
      <c r="AL28" s="172"/>
      <c r="AM28" s="172"/>
      <c r="AN28" s="171"/>
      <c r="AO28" s="172"/>
      <c r="AP28" s="172"/>
      <c r="AQ28" s="39"/>
    </row>
    <row r="29" s="148" customFormat="true" ht="15" hidden="true" customHeight="true" outlineLevel="1" collapsed="false">
      <c r="A29" s="175" t="s">
        <v>131</v>
      </c>
      <c r="B29" s="176"/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90"/>
      <c r="AA29" s="176"/>
      <c r="AB29" s="176"/>
      <c r="AC29" s="176"/>
      <c r="AD29" s="176"/>
      <c r="AE29" s="176"/>
      <c r="AF29" s="176"/>
      <c r="AG29" s="168" t="str">
        <f aca="false">A29</f>
        <v>paid break in</v>
      </c>
      <c r="AH29" s="146"/>
      <c r="AI29" s="179"/>
      <c r="AJ29" s="180"/>
      <c r="AK29" s="172"/>
      <c r="AL29" s="172"/>
      <c r="AM29" s="172"/>
      <c r="AN29" s="171"/>
      <c r="AO29" s="172"/>
      <c r="AP29" s="172"/>
      <c r="AQ29" s="39"/>
    </row>
    <row r="30" s="148" customFormat="true" ht="15" hidden="true" customHeight="true" outlineLevel="1" collapsed="false">
      <c r="A30" s="175" t="s">
        <v>132</v>
      </c>
      <c r="B30" s="176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90"/>
      <c r="AA30" s="176"/>
      <c r="AB30" s="176"/>
      <c r="AC30" s="176"/>
      <c r="AD30" s="176"/>
      <c r="AE30" s="176"/>
      <c r="AF30" s="176"/>
      <c r="AG30" s="168" t="str">
        <f aca="false">A30</f>
        <v>paid break out</v>
      </c>
      <c r="AH30" s="146"/>
      <c r="AI30" s="179"/>
      <c r="AJ30" s="180"/>
      <c r="AK30" s="172"/>
      <c r="AL30" s="172"/>
      <c r="AM30" s="172"/>
      <c r="AN30" s="171"/>
      <c r="AO30" s="172"/>
      <c r="AP30" s="172"/>
      <c r="AQ30" s="39"/>
    </row>
    <row r="31" s="148" customFormat="true" ht="3.75" hidden="true" customHeight="true" outlineLevel="1" collapsed="false">
      <c r="A31" s="186"/>
      <c r="B31" s="191"/>
      <c r="C31" s="191"/>
      <c r="D31" s="191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  <c r="AA31" s="191"/>
      <c r="AB31" s="191"/>
      <c r="AC31" s="191"/>
      <c r="AD31" s="191"/>
      <c r="AE31" s="191"/>
      <c r="AF31" s="192"/>
      <c r="AG31" s="168"/>
      <c r="AH31" s="146"/>
      <c r="AI31" s="179"/>
      <c r="AJ31" s="180"/>
      <c r="AK31" s="172"/>
      <c r="AL31" s="172"/>
      <c r="AM31" s="172"/>
      <c r="AN31" s="171"/>
      <c r="AO31" s="172"/>
      <c r="AP31" s="172"/>
      <c r="AQ31" s="39"/>
    </row>
    <row r="32" s="148" customFormat="true" ht="15" hidden="true" customHeight="true" outlineLevel="1" collapsed="false">
      <c r="A32" s="181" t="s">
        <v>133</v>
      </c>
      <c r="B32" s="193" t="n">
        <f aca="false">ROUND(IF(MAX(0,B15-B14)&lt;1/24/60*180,MAX(0,B15-B14),0)+IF(MAX(0,B17-B16)&lt;1/24/60*180,MAX(0,B17-B16),0)+IF(MAX(0,B19-B18)&lt;1/24/60*180,MAX(0,B19-B18),0)+IF(MAX(0,B21-B20)&lt;1/24/60*180,MAX(0,B21-B20))+MAX(0,B26-B25)+MAX(0,B28-B27)+MAX(0,B30-B29),9)</f>
        <v>0</v>
      </c>
      <c r="C32" s="193" t="n">
        <f aca="false">ROUND(IF(MAX(0,C15-C14)&lt;1/24/60*180,MAX(0,C15-C14),0)+IF(MAX(0,C17-C16)&lt;1/24/60*180,MAX(0,C17-C16),0)+IF(MAX(0,C19-C18)&lt;1/24/60*180,MAX(0,C19-C18),0)+IF(MAX(0,C21-C20)&lt;1/24/60*180,MAX(0,C21-C20))+MAX(0,C26-C25)+MAX(0,C28-C27)+MAX(0,C30-C29),9)</f>
        <v>0</v>
      </c>
      <c r="D32" s="193" t="n">
        <f aca="false">ROUND(IF(MAX(0,D15-D14)&lt;1/24/60*180,MAX(0,D15-D14),0)+IF(MAX(0,D17-D16)&lt;1/24/60*180,MAX(0,D17-D16),0)+IF(MAX(0,D19-D18)&lt;1/24/60*180,MAX(0,D19-D18),0)+IF(MAX(0,D21-D20)&lt;1/24/60*180,MAX(0,D21-D20))+MAX(0,D26-D25)+MAX(0,D28-D27)+MAX(0,D30-D29),9)</f>
        <v>0</v>
      </c>
      <c r="E32" s="193" t="n">
        <f aca="false">ROUND(IF(MAX(0,E15-E14)&lt;1/24/60*180,MAX(0,E15-E14),0)+IF(MAX(0,E17-E16)&lt;1/24/60*180,MAX(0,E17-E16),0)+IF(MAX(0,E19-E18)&lt;1/24/60*180,MAX(0,E19-E18),0)+IF(MAX(0,E21-E20)&lt;1/24/60*180,MAX(0,E21-E20))+MAX(0,E26-E25)+MAX(0,E28-E27)+MAX(0,E30-E29),9)</f>
        <v>0</v>
      </c>
      <c r="F32" s="193" t="n">
        <f aca="false">ROUND(IF(MAX(0,F15-F14)&lt;1/24/60*180,MAX(0,F15-F14),0)+IF(MAX(0,F17-F16)&lt;1/24/60*180,MAX(0,F17-F16),0)+IF(MAX(0,F19-F18)&lt;1/24/60*180,MAX(0,F19-F18),0)+IF(MAX(0,F21-F20)&lt;1/24/60*180,MAX(0,F21-F20))+MAX(0,F26-F25)+MAX(0,F28-F27)+MAX(0,F30-F29),9)</f>
        <v>0</v>
      </c>
      <c r="G32" s="193" t="n">
        <f aca="false">ROUND(IF(MAX(0,G15-G14)&lt;1/24/60*180,MAX(0,G15-G14),0)+IF(MAX(0,G17-G16)&lt;1/24/60*180,MAX(0,G17-G16),0)+IF(MAX(0,G19-G18)&lt;1/24/60*180,MAX(0,G19-G18),0)+IF(MAX(0,G21-G20)&lt;1/24/60*180,MAX(0,G21-G20))+MAX(0,G26-G25)+MAX(0,G28-G27)+MAX(0,G30-G29),9)</f>
        <v>0</v>
      </c>
      <c r="H32" s="193" t="n">
        <f aca="false">ROUND(IF(MAX(0,H15-H14)&lt;1/24/60*180,MAX(0,H15-H14),0)+IF(MAX(0,H17-H16)&lt;1/24/60*180,MAX(0,H17-H16),0)+IF(MAX(0,H19-H18)&lt;1/24/60*180,MAX(0,H19-H18),0)+IF(MAX(0,H21-H20)&lt;1/24/60*180,MAX(0,H21-H20))+MAX(0,H26-H25)+MAX(0,H28-H27)+MAX(0,H30-H29),9)</f>
        <v>0</v>
      </c>
      <c r="I32" s="193" t="n">
        <f aca="false">ROUND(IF(MAX(0,I15-I14)&lt;1/24/60*180,MAX(0,I15-I14),0)+IF(MAX(0,I17-I16)&lt;1/24/60*180,MAX(0,I17-I16),0)+IF(MAX(0,I19-I18)&lt;1/24/60*180,MAX(0,I19-I18),0)+IF(MAX(0,I21-I20)&lt;1/24/60*180,MAX(0,I21-I20))+MAX(0,I26-I25)+MAX(0,I28-I27)+MAX(0,I30-I29),9)</f>
        <v>0</v>
      </c>
      <c r="J32" s="193" t="n">
        <f aca="false">ROUND(IF(MAX(0,J15-J14)&lt;1/24/60*180,MAX(0,J15-J14),0)+IF(MAX(0,J17-J16)&lt;1/24/60*180,MAX(0,J17-J16),0)+IF(MAX(0,J19-J18)&lt;1/24/60*180,MAX(0,J19-J18),0)+IF(MAX(0,J21-J20)&lt;1/24/60*180,MAX(0,J21-J20))+MAX(0,J26-J25)+MAX(0,J28-J27)+MAX(0,J30-J29),9)</f>
        <v>0</v>
      </c>
      <c r="K32" s="193" t="n">
        <f aca="false">ROUND(IF(MAX(0,K15-K14)&lt;1/24/60*180,MAX(0,K15-K14),0)+IF(MAX(0,K17-K16)&lt;1/24/60*180,MAX(0,K17-K16),0)+IF(MAX(0,K19-K18)&lt;1/24/60*180,MAX(0,K19-K18),0)+IF(MAX(0,K21-K20)&lt;1/24/60*180,MAX(0,K21-K20))+MAX(0,K26-K25)+MAX(0,K28-K27)+MAX(0,K30-K29),9)</f>
        <v>0</v>
      </c>
      <c r="L32" s="193" t="n">
        <f aca="false">ROUND(IF(MAX(0,L15-L14)&lt;1/24/60*180,MAX(0,L15-L14),0)+IF(MAX(0,L17-L16)&lt;1/24/60*180,MAX(0,L17-L16),0)+IF(MAX(0,L19-L18)&lt;1/24/60*180,MAX(0,L19-L18),0)+IF(MAX(0,L21-L20)&lt;1/24/60*180,MAX(0,L21-L20))+MAX(0,L26-L25)+MAX(0,L28-L27)+MAX(0,L30-L29),9)</f>
        <v>0</v>
      </c>
      <c r="M32" s="193" t="n">
        <f aca="false">ROUND(IF(MAX(0,M15-M14)&lt;1/24/60*180,MAX(0,M15-M14),0)+IF(MAX(0,M17-M16)&lt;1/24/60*180,MAX(0,M17-M16),0)+IF(MAX(0,M19-M18)&lt;1/24/60*180,MAX(0,M19-M18),0)+IF(MAX(0,M21-M20)&lt;1/24/60*180,MAX(0,M21-M20))+MAX(0,M26-M25)+MAX(0,M28-M27)+MAX(0,M30-M29),9)</f>
        <v>0</v>
      </c>
      <c r="N32" s="193" t="n">
        <f aca="false">ROUND(IF(MAX(0,N15-N14)&lt;1/24/60*180,MAX(0,N15-N14),0)+IF(MAX(0,N17-N16)&lt;1/24/60*180,MAX(0,N17-N16),0)+IF(MAX(0,N19-N18)&lt;1/24/60*180,MAX(0,N19-N18),0)+IF(MAX(0,N21-N20)&lt;1/24/60*180,MAX(0,N21-N20))+MAX(0,N26-N25)+MAX(0,N28-N27)+MAX(0,N30-N29),9)</f>
        <v>0</v>
      </c>
      <c r="O32" s="193" t="n">
        <f aca="false">ROUND(IF(MAX(0,O15-O14)&lt;1/24/60*180,MAX(0,O15-O14),0)+IF(MAX(0,O17-O16)&lt;1/24/60*180,MAX(0,O17-O16),0)+IF(MAX(0,O19-O18)&lt;1/24/60*180,MAX(0,O19-O18),0)+IF(MAX(0,O21-O20)&lt;1/24/60*180,MAX(0,O21-O20))+MAX(0,O26-O25)+MAX(0,O28-O27)+MAX(0,O30-O29),9)</f>
        <v>0</v>
      </c>
      <c r="P32" s="193" t="n">
        <f aca="false">ROUND(IF(MAX(0,P15-P14)&lt;1/24/60*180,MAX(0,P15-P14),0)+IF(MAX(0,P17-P16)&lt;1/24/60*180,MAX(0,P17-P16),0)+IF(MAX(0,P19-P18)&lt;1/24/60*180,MAX(0,P19-P18),0)+IF(MAX(0,P21-P20)&lt;1/24/60*180,MAX(0,P21-P20))+MAX(0,P26-P25)+MAX(0,P28-P27)+MAX(0,P30-P29),9)</f>
        <v>0</v>
      </c>
      <c r="Q32" s="193" t="n">
        <f aca="false">ROUND(IF(MAX(0,Q15-Q14)&lt;1/24/60*180,MAX(0,Q15-Q14),0)+IF(MAX(0,Q17-Q16)&lt;1/24/60*180,MAX(0,Q17-Q16),0)+IF(MAX(0,Q19-Q18)&lt;1/24/60*180,MAX(0,Q19-Q18),0)+IF(MAX(0,Q21-Q20)&lt;1/24/60*180,MAX(0,Q21-Q20))+MAX(0,Q26-Q25)+MAX(0,Q28-Q27)+MAX(0,Q30-Q29),9)</f>
        <v>0</v>
      </c>
      <c r="R32" s="193" t="n">
        <f aca="false">ROUND(IF(MAX(0,R15-R14)&lt;1/24/60*180,MAX(0,R15-R14),0)+IF(MAX(0,R17-R16)&lt;1/24/60*180,MAX(0,R17-R16),0)+IF(MAX(0,R19-R18)&lt;1/24/60*180,MAX(0,R19-R18),0)+IF(MAX(0,R21-R20)&lt;1/24/60*180,MAX(0,R21-R20))+MAX(0,R26-R25)+MAX(0,R28-R27)+MAX(0,R30-R29),9)</f>
        <v>0</v>
      </c>
      <c r="S32" s="193" t="n">
        <f aca="false">ROUND(IF(MAX(0,S15-S14)&lt;1/24/60*180,MAX(0,S15-S14),0)+IF(MAX(0,S17-S16)&lt;1/24/60*180,MAX(0,S17-S16),0)+IF(MAX(0,S19-S18)&lt;1/24/60*180,MAX(0,S19-S18),0)+IF(MAX(0,S21-S20)&lt;1/24/60*180,MAX(0,S21-S20))+MAX(0,S26-S25)+MAX(0,S28-S27)+MAX(0,S30-S29),9)</f>
        <v>0</v>
      </c>
      <c r="T32" s="193" t="n">
        <f aca="false">ROUND(IF(MAX(0,T15-T14)&lt;1/24/60*180,MAX(0,T15-T14),0)+IF(MAX(0,T17-T16)&lt;1/24/60*180,MAX(0,T17-T16),0)+IF(MAX(0,T19-T18)&lt;1/24/60*180,MAX(0,T19-T18),0)+IF(MAX(0,T21-T20)&lt;1/24/60*180,MAX(0,T21-T20))+MAX(0,T26-T25)+MAX(0,T28-T27)+MAX(0,T30-T29),9)</f>
        <v>0</v>
      </c>
      <c r="U32" s="193" t="n">
        <f aca="false">ROUND(IF(MAX(0,U15-U14)&lt;1/24/60*180,MAX(0,U15-U14),0)+IF(MAX(0,U17-U16)&lt;1/24/60*180,MAX(0,U17-U16),0)+IF(MAX(0,U19-U18)&lt;1/24/60*180,MAX(0,U19-U18),0)+IF(MAX(0,U21-U20)&lt;1/24/60*180,MAX(0,U21-U20))+MAX(0,U26-U25)+MAX(0,U28-U27)+MAX(0,U30-U29),9)</f>
        <v>0</v>
      </c>
      <c r="V32" s="193" t="n">
        <f aca="false">ROUND(IF(MAX(0,V15-V14)&lt;1/24/60*180,MAX(0,V15-V14),0)+IF(MAX(0,V17-V16)&lt;1/24/60*180,MAX(0,V17-V16),0)+IF(MAX(0,V19-V18)&lt;1/24/60*180,MAX(0,V19-V18),0)+IF(MAX(0,V21-V20)&lt;1/24/60*180,MAX(0,V21-V20))+MAX(0,V26-V25)+MAX(0,V28-V27)+MAX(0,V30-V29),9)</f>
        <v>0</v>
      </c>
      <c r="W32" s="193" t="n">
        <f aca="false">ROUND(IF(MAX(0,W15-W14)&lt;1/24/60*180,MAX(0,W15-W14),0)+IF(MAX(0,W17-W16)&lt;1/24/60*180,MAX(0,W17-W16),0)+IF(MAX(0,W19-W18)&lt;1/24/60*180,MAX(0,W19-W18),0)+IF(MAX(0,W21-W20)&lt;1/24/60*180,MAX(0,W21-W20))+MAX(0,W26-W25)+MAX(0,W28-W27)+MAX(0,W30-W29),9)</f>
        <v>0</v>
      </c>
      <c r="X32" s="193" t="n">
        <f aca="false">ROUND(IF(MAX(0,X15-X14)&lt;1/24/60*180,MAX(0,X15-X14),0)+IF(MAX(0,X17-X16)&lt;1/24/60*180,MAX(0,X17-X16),0)+IF(MAX(0,X19-X18)&lt;1/24/60*180,MAX(0,X19-X18),0)+IF(MAX(0,X21-X20)&lt;1/24/60*180,MAX(0,X21-X20))+MAX(0,X26-X25)+MAX(0,X28-X27)+MAX(0,X30-X29),9)</f>
        <v>0</v>
      </c>
      <c r="Y32" s="193" t="n">
        <f aca="false">ROUND(IF(MAX(0,Y15-Y14)&lt;1/24/60*180,MAX(0,Y15-Y14),0)+IF(MAX(0,Y17-Y16)&lt;1/24/60*180,MAX(0,Y17-Y16),0)+IF(MAX(0,Y19-Y18)&lt;1/24/60*180,MAX(0,Y19-Y18),0)+IF(MAX(0,Y21-Y20)&lt;1/24/60*180,MAX(0,Y21-Y20))+MAX(0,Y26-Y25)+MAX(0,Y28-Y27)+MAX(0,Y30-Y29),9)</f>
        <v>0</v>
      </c>
      <c r="Z32" s="193" t="n">
        <f aca="false">ROUND(IF(MAX(0,Z15-Z14)&lt;1/24/60*180,MAX(0,Z15-Z14),0)+IF(MAX(0,Z17-Z16)&lt;1/24/60*180,MAX(0,Z17-Z16),0)+IF(MAX(0,Z19-Z18)&lt;1/24/60*180,MAX(0,Z19-Z18),0)+IF(MAX(0,Z21-Z20)&lt;1/24/60*180,MAX(0,Z21-Z20))+MAX(0,Z26-Z25)+MAX(0,Z28-Z27)+MAX(0,Z30-Z29),9)</f>
        <v>0</v>
      </c>
      <c r="AA32" s="193" t="n">
        <f aca="false">ROUND(IF(MAX(0,AA15-AA14)&lt;1/24/60*180,MAX(0,AA15-AA14),0)+IF(MAX(0,AA17-AA16)&lt;1/24/60*180,MAX(0,AA17-AA16),0)+IF(MAX(0,AA19-AA18)&lt;1/24/60*180,MAX(0,AA19-AA18),0)+IF(MAX(0,AA21-AA20)&lt;1/24/60*180,MAX(0,AA21-AA20))+MAX(0,AA26-AA25)+MAX(0,AA28-AA27)+MAX(0,AA30-AA29),9)</f>
        <v>0</v>
      </c>
      <c r="AB32" s="193" t="n">
        <f aca="false">ROUND(IF(MAX(0,AB15-AB14)&lt;1/24/60*180,MAX(0,AB15-AB14),0)+IF(MAX(0,AB17-AB16)&lt;1/24/60*180,MAX(0,AB17-AB16),0)+IF(MAX(0,AB19-AB18)&lt;1/24/60*180,MAX(0,AB19-AB18),0)+IF(MAX(0,AB21-AB20)&lt;1/24/60*180,MAX(0,AB21-AB20))+MAX(0,AB26-AB25)+MAX(0,AB28-AB27)+MAX(0,AB30-AB29),9)</f>
        <v>0</v>
      </c>
      <c r="AC32" s="193" t="n">
        <f aca="false">ROUND(IF(MAX(0,AC15-AC14)&lt;1/24/60*180,MAX(0,AC15-AC14),0)+IF(MAX(0,AC17-AC16)&lt;1/24/60*180,MAX(0,AC17-AC16),0)+IF(MAX(0,AC19-AC18)&lt;1/24/60*180,MAX(0,AC19-AC18),0)+IF(MAX(0,AC21-AC20)&lt;1/24/60*180,MAX(0,AC21-AC20))+MAX(0,AC26-AC25)+MAX(0,AC28-AC27)+MAX(0,AC30-AC29),9)</f>
        <v>0</v>
      </c>
      <c r="AD32" s="193" t="n">
        <f aca="false">ROUND(IF(MAX(0,AD15-AD14)&lt;1/24/60*180,MAX(0,AD15-AD14),0)+IF(MAX(0,AD17-AD16)&lt;1/24/60*180,MAX(0,AD17-AD16),0)+IF(MAX(0,AD19-AD18)&lt;1/24/60*180,MAX(0,AD19-AD18),0)+IF(MAX(0,AD21-AD20)&lt;1/24/60*180,MAX(0,AD21-AD20))+MAX(0,AD26-AD25)+MAX(0,AD28-AD27)+MAX(0,AD30-AD29),9)</f>
        <v>0</v>
      </c>
      <c r="AE32" s="193" t="n">
        <f aca="false">ROUND(IF(MAX(0,AE15-AE14)&lt;1/24/60*180,MAX(0,AE15-AE14),0)+IF(MAX(0,AE17-AE16)&lt;1/24/60*180,MAX(0,AE17-AE16),0)+IF(MAX(0,AE19-AE18)&lt;1/24/60*180,MAX(0,AE19-AE18),0)+IF(MAX(0,AE21-AE20)&lt;1/24/60*180,MAX(0,AE21-AE20))+MAX(0,AE26-AE25)+MAX(0,AE28-AE27)+MAX(0,AE30-AE29),9)</f>
        <v>0</v>
      </c>
      <c r="AF32" s="193" t="n">
        <f aca="false">ROUND(IF(MAX(0,AF15-AF14)&lt;1/24/60*180,MAX(0,AF15-AF14),0)+IF(MAX(0,AF17-AF16)&lt;1/24/60*180,MAX(0,AF17-AF16),0)+IF(MAX(0,AF19-AF18)&lt;1/24/60*180,MAX(0,AF19-AF18),0)+IF(MAX(0,AF21-AF20)&lt;1/24/60*180,MAX(0,AF21-AF20))+MAX(0,AF26-AF25)+MAX(0,AF28-AF27)+MAX(0,AF30-AF29),9)</f>
        <v>0</v>
      </c>
      <c r="AG32" s="183" t="str">
        <f aca="false">A32</f>
        <v>Total breaks (in out/paid)</v>
      </c>
      <c r="AH32" s="184"/>
      <c r="AI32" s="185" t="n">
        <f aca="false">SUM(B32:AF32)</f>
        <v>0</v>
      </c>
      <c r="AJ32" s="180"/>
      <c r="AK32" s="172"/>
      <c r="AL32" s="172"/>
      <c r="AM32" s="172"/>
      <c r="AN32" s="171"/>
      <c r="AO32" s="172"/>
      <c r="AP32" s="172"/>
      <c r="AQ32" s="39"/>
    </row>
    <row r="33" s="148" customFormat="true" ht="3.75" hidden="false" customHeight="true" outlineLevel="0" collapsed="false">
      <c r="A33" s="186"/>
      <c r="B33" s="194"/>
      <c r="C33" s="194"/>
      <c r="D33" s="194"/>
      <c r="E33" s="194"/>
      <c r="F33" s="194"/>
      <c r="G33" s="194"/>
      <c r="H33" s="194"/>
      <c r="I33" s="194"/>
      <c r="J33" s="194"/>
      <c r="K33" s="194"/>
      <c r="L33" s="194"/>
      <c r="M33" s="194"/>
      <c r="N33" s="194"/>
      <c r="O33" s="194"/>
      <c r="P33" s="194"/>
      <c r="Q33" s="194"/>
      <c r="R33" s="194"/>
      <c r="S33" s="194"/>
      <c r="T33" s="194"/>
      <c r="U33" s="194"/>
      <c r="V33" s="194"/>
      <c r="W33" s="194"/>
      <c r="X33" s="194"/>
      <c r="Y33" s="194"/>
      <c r="Z33" s="194"/>
      <c r="AA33" s="194"/>
      <c r="AB33" s="194"/>
      <c r="AC33" s="194"/>
      <c r="AD33" s="194"/>
      <c r="AE33" s="194"/>
      <c r="AF33" s="195"/>
      <c r="AG33" s="168"/>
      <c r="AH33" s="146"/>
      <c r="AI33" s="179"/>
      <c r="AJ33" s="180"/>
      <c r="AK33" s="172"/>
      <c r="AL33" s="172"/>
      <c r="AM33" s="172"/>
      <c r="AN33" s="171"/>
      <c r="AO33" s="172"/>
      <c r="AP33" s="172"/>
      <c r="AQ33" s="39"/>
    </row>
    <row r="34" s="148" customFormat="true" ht="15" hidden="false" customHeight="true" outlineLevel="1" collapsed="false">
      <c r="A34" s="175" t="s">
        <v>134</v>
      </c>
      <c r="B34" s="196" t="str">
        <f aca="true">IF(EB.Anwendung&lt;&gt;"",IF(EB.Wochenarbeitszeit=50/24,INDEX(T.Pikett.Bereich,1),IF(DAY(B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Monat.Pikett,IF(MONTH(Monat.Tag1)=10,September!Monat.Pikett,IF(MONTH(Monat.Tag1)=11,October!Monat.Pikett,IF(MONTH(Monat.Tag1)=12,November!Monat.Pikett,"")))))))))))),IF(A34="B",INDEX(T.Pikett.Bereich,4),IF(A34="E",INDEX(T.Pikett.Bereich,1),A34)))),"")</f>
        <v>No</v>
      </c>
      <c r="C34" s="196" t="str">
        <f aca="true">IF(EB.Anwendung&lt;&gt;"",IF(EB.Wochenarbeitszeit=50/24,INDEX(T.Pikett.Bereich,1),IF(DAY(C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Monat.Pikett,IF(MONTH(Monat.Tag1)=10,September!Monat.Pikett,IF(MONTH(Monat.Tag1)=11,October!Monat.Pikett,IF(MONTH(Monat.Tag1)=12,November!Monat.Pikett,"")))))))))))),IF(B34="B",INDEX(T.Pikett.Bereich,4),IF(B34="E",INDEX(T.Pikett.Bereich,1),B34)))),"")</f>
        <v>No</v>
      </c>
      <c r="D34" s="196" t="str">
        <f aca="true">IF(EB.Anwendung&lt;&gt;"",IF(EB.Wochenarbeitszeit=50/24,INDEX(T.Pikett.Bereich,1),IF(DAY(D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Monat.Pikett,IF(MONTH(Monat.Tag1)=10,September!Monat.Pikett,IF(MONTH(Monat.Tag1)=11,October!Monat.Pikett,IF(MONTH(Monat.Tag1)=12,November!Monat.Pikett,"")))))))))))),IF(C34="B",INDEX(T.Pikett.Bereich,4),IF(C34="E",INDEX(T.Pikett.Bereich,1),C34)))),"")</f>
        <v>No</v>
      </c>
      <c r="E34" s="196" t="str">
        <f aca="true">IF(EB.Anwendung&lt;&gt;"",IF(EB.Wochenarbeitszeit=50/24,INDEX(T.Pikett.Bereich,1),IF(DAY(E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Monat.Pikett,IF(MONTH(Monat.Tag1)=10,September!Monat.Pikett,IF(MONTH(Monat.Tag1)=11,October!Monat.Pikett,IF(MONTH(Monat.Tag1)=12,November!Monat.Pikett,"")))))))))))),IF(D34="B",INDEX(T.Pikett.Bereich,4),IF(D34="E",INDEX(T.Pikett.Bereich,1),D34)))),"")</f>
        <v>No</v>
      </c>
      <c r="F34" s="196" t="str">
        <f aca="true">IF(EB.Anwendung&lt;&gt;"",IF(EB.Wochenarbeitszeit=50/24,INDEX(T.Pikett.Bereich,1),IF(DAY(F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Monat.Pikett,IF(MONTH(Monat.Tag1)=10,September!Monat.Pikett,IF(MONTH(Monat.Tag1)=11,October!Monat.Pikett,IF(MONTH(Monat.Tag1)=12,November!Monat.Pikett,"")))))))))))),IF(E34="B",INDEX(T.Pikett.Bereich,4),IF(E34="E",INDEX(T.Pikett.Bereich,1),E34)))),"")</f>
        <v>No</v>
      </c>
      <c r="G34" s="196" t="str">
        <f aca="true">IF(EB.Anwendung&lt;&gt;"",IF(EB.Wochenarbeitszeit=50/24,INDEX(T.Pikett.Bereich,1),IF(DAY(G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Monat.Pikett,IF(MONTH(Monat.Tag1)=10,September!Monat.Pikett,IF(MONTH(Monat.Tag1)=11,October!Monat.Pikett,IF(MONTH(Monat.Tag1)=12,November!Monat.Pikett,"")))))))))))),IF(F34="B",INDEX(T.Pikett.Bereich,4),IF(F34="E",INDEX(T.Pikett.Bereich,1),F34)))),"")</f>
        <v>No</v>
      </c>
      <c r="H34" s="196" t="str">
        <f aca="true">IF(EB.Anwendung&lt;&gt;"",IF(EB.Wochenarbeitszeit=50/24,INDEX(T.Pikett.Bereich,1),IF(DAY(H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Monat.Pikett,IF(MONTH(Monat.Tag1)=10,September!Monat.Pikett,IF(MONTH(Monat.Tag1)=11,October!Monat.Pikett,IF(MONTH(Monat.Tag1)=12,November!Monat.Pikett,"")))))))))))),IF(G34="B",INDEX(T.Pikett.Bereich,4),IF(G34="E",INDEX(T.Pikett.Bereich,1),G34)))),"")</f>
        <v>No</v>
      </c>
      <c r="I34" s="196" t="str">
        <f aca="true">IF(EB.Anwendung&lt;&gt;"",IF(EB.Wochenarbeitszeit=50/24,INDEX(T.Pikett.Bereich,1),IF(DAY(I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Monat.Pikett,IF(MONTH(Monat.Tag1)=10,September!Monat.Pikett,IF(MONTH(Monat.Tag1)=11,October!Monat.Pikett,IF(MONTH(Monat.Tag1)=12,November!Monat.Pikett,"")))))))))))),IF(H34="B",INDEX(T.Pikett.Bereich,4),IF(H34="E",INDEX(T.Pikett.Bereich,1),H34)))),"")</f>
        <v>No</v>
      </c>
      <c r="J34" s="196" t="str">
        <f aca="true">IF(EB.Anwendung&lt;&gt;"",IF(EB.Wochenarbeitszeit=50/24,INDEX(T.Pikett.Bereich,1),IF(DAY(J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Monat.Pikett,IF(MONTH(Monat.Tag1)=10,September!Monat.Pikett,IF(MONTH(Monat.Tag1)=11,October!Monat.Pikett,IF(MONTH(Monat.Tag1)=12,November!Monat.Pikett,"")))))))))))),IF(I34="B",INDEX(T.Pikett.Bereich,4),IF(I34="E",INDEX(T.Pikett.Bereich,1),I34)))),"")</f>
        <v>No</v>
      </c>
      <c r="K34" s="196" t="str">
        <f aca="true">IF(EB.Anwendung&lt;&gt;"",IF(EB.Wochenarbeitszeit=50/24,INDEX(T.Pikett.Bereich,1),IF(DAY(K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Monat.Pikett,IF(MONTH(Monat.Tag1)=10,September!Monat.Pikett,IF(MONTH(Monat.Tag1)=11,October!Monat.Pikett,IF(MONTH(Monat.Tag1)=12,November!Monat.Pikett,"")))))))))))),IF(J34="B",INDEX(T.Pikett.Bereich,4),IF(J34="E",INDEX(T.Pikett.Bereich,1),J34)))),"")</f>
        <v>No</v>
      </c>
      <c r="L34" s="196" t="str">
        <f aca="true">IF(EB.Anwendung&lt;&gt;"",IF(EB.Wochenarbeitszeit=50/24,INDEX(T.Pikett.Bereich,1),IF(DAY(L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Monat.Pikett,IF(MONTH(Monat.Tag1)=10,September!Monat.Pikett,IF(MONTH(Monat.Tag1)=11,October!Monat.Pikett,IF(MONTH(Monat.Tag1)=12,November!Monat.Pikett,"")))))))))))),IF(K34="B",INDEX(T.Pikett.Bereich,4),IF(K34="E",INDEX(T.Pikett.Bereich,1),K34)))),"")</f>
        <v>No</v>
      </c>
      <c r="M34" s="196" t="str">
        <f aca="true">IF(EB.Anwendung&lt;&gt;"",IF(EB.Wochenarbeitszeit=50/24,INDEX(T.Pikett.Bereich,1),IF(DAY(M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Monat.Pikett,IF(MONTH(Monat.Tag1)=10,September!Monat.Pikett,IF(MONTH(Monat.Tag1)=11,October!Monat.Pikett,IF(MONTH(Monat.Tag1)=12,November!Monat.Pikett,"")))))))))))),IF(L34="B",INDEX(T.Pikett.Bereich,4),IF(L34="E",INDEX(T.Pikett.Bereich,1),L34)))),"")</f>
        <v>No</v>
      </c>
      <c r="N34" s="196" t="str">
        <f aca="true">IF(EB.Anwendung&lt;&gt;"",IF(EB.Wochenarbeitszeit=50/24,INDEX(T.Pikett.Bereich,1),IF(DAY(N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Monat.Pikett,IF(MONTH(Monat.Tag1)=10,September!Monat.Pikett,IF(MONTH(Monat.Tag1)=11,October!Monat.Pikett,IF(MONTH(Monat.Tag1)=12,November!Monat.Pikett,"")))))))))))),IF(M34="B",INDEX(T.Pikett.Bereich,4),IF(M34="E",INDEX(T.Pikett.Bereich,1),M34)))),"")</f>
        <v>No</v>
      </c>
      <c r="O34" s="196" t="str">
        <f aca="true">IF(EB.Anwendung&lt;&gt;"",IF(EB.Wochenarbeitszeit=50/24,INDEX(T.Pikett.Bereich,1),IF(DAY(O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Monat.Pikett,IF(MONTH(Monat.Tag1)=10,September!Monat.Pikett,IF(MONTH(Monat.Tag1)=11,October!Monat.Pikett,IF(MONTH(Monat.Tag1)=12,November!Monat.Pikett,"")))))))))))),IF(N34="B",INDEX(T.Pikett.Bereich,4),IF(N34="E",INDEX(T.Pikett.Bereich,1),N34)))),"")</f>
        <v>No</v>
      </c>
      <c r="P34" s="196" t="str">
        <f aca="true">IF(EB.Anwendung&lt;&gt;"",IF(EB.Wochenarbeitszeit=50/24,INDEX(T.Pikett.Bereich,1),IF(DAY(P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Monat.Pikett,IF(MONTH(Monat.Tag1)=10,September!Monat.Pikett,IF(MONTH(Monat.Tag1)=11,October!Monat.Pikett,IF(MONTH(Monat.Tag1)=12,November!Monat.Pikett,"")))))))))))),IF(O34="B",INDEX(T.Pikett.Bereich,4),IF(O34="E",INDEX(T.Pikett.Bereich,1),O34)))),"")</f>
        <v>No</v>
      </c>
      <c r="Q34" s="196" t="str">
        <f aca="true">IF(EB.Anwendung&lt;&gt;"",IF(EB.Wochenarbeitszeit=50/24,INDEX(T.Pikett.Bereich,1),IF(DAY(Q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Monat.Pikett,IF(MONTH(Monat.Tag1)=10,September!Monat.Pikett,IF(MONTH(Monat.Tag1)=11,October!Monat.Pikett,IF(MONTH(Monat.Tag1)=12,November!Monat.Pikett,"")))))))))))),IF(P34="B",INDEX(T.Pikett.Bereich,4),IF(P34="E",INDEX(T.Pikett.Bereich,1),P34)))),"")</f>
        <v>No</v>
      </c>
      <c r="R34" s="196" t="str">
        <f aca="true">IF(EB.Anwendung&lt;&gt;"",IF(EB.Wochenarbeitszeit=50/24,INDEX(T.Pikett.Bereich,1),IF(DAY(R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Monat.Pikett,IF(MONTH(Monat.Tag1)=10,September!Monat.Pikett,IF(MONTH(Monat.Tag1)=11,October!Monat.Pikett,IF(MONTH(Monat.Tag1)=12,November!Monat.Pikett,"")))))))))))),IF(Q34="B",INDEX(T.Pikett.Bereich,4),IF(Q34="E",INDEX(T.Pikett.Bereich,1),Q34)))),"")</f>
        <v>No</v>
      </c>
      <c r="S34" s="196" t="str">
        <f aca="true">IF(EB.Anwendung&lt;&gt;"",IF(EB.Wochenarbeitszeit=50/24,INDEX(T.Pikett.Bereich,1),IF(DAY(S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Monat.Pikett,IF(MONTH(Monat.Tag1)=10,September!Monat.Pikett,IF(MONTH(Monat.Tag1)=11,October!Monat.Pikett,IF(MONTH(Monat.Tag1)=12,November!Monat.Pikett,"")))))))))))),IF(R34="B",INDEX(T.Pikett.Bereich,4),IF(R34="E",INDEX(T.Pikett.Bereich,1),R34)))),"")</f>
        <v>No</v>
      </c>
      <c r="T34" s="196" t="str">
        <f aca="true">IF(EB.Anwendung&lt;&gt;"",IF(EB.Wochenarbeitszeit=50/24,INDEX(T.Pikett.Bereich,1),IF(DAY(T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Monat.Pikett,IF(MONTH(Monat.Tag1)=10,September!Monat.Pikett,IF(MONTH(Monat.Tag1)=11,October!Monat.Pikett,IF(MONTH(Monat.Tag1)=12,November!Monat.Pikett,"")))))))))))),IF(S34="B",INDEX(T.Pikett.Bereich,4),IF(S34="E",INDEX(T.Pikett.Bereich,1),S34)))),"")</f>
        <v>No</v>
      </c>
      <c r="U34" s="196" t="str">
        <f aca="true">IF(EB.Anwendung&lt;&gt;"",IF(EB.Wochenarbeitszeit=50/24,INDEX(T.Pikett.Bereich,1),IF(DAY(U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Monat.Pikett,IF(MONTH(Monat.Tag1)=10,September!Monat.Pikett,IF(MONTH(Monat.Tag1)=11,October!Monat.Pikett,IF(MONTH(Monat.Tag1)=12,November!Monat.Pikett,"")))))))))))),IF(T34="B",INDEX(T.Pikett.Bereich,4),IF(T34="E",INDEX(T.Pikett.Bereich,1),T34)))),"")</f>
        <v>No</v>
      </c>
      <c r="V34" s="196" t="str">
        <f aca="true">IF(EB.Anwendung&lt;&gt;"",IF(EB.Wochenarbeitszeit=50/24,INDEX(T.Pikett.Bereich,1),IF(DAY(V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Monat.Pikett,IF(MONTH(Monat.Tag1)=10,September!Monat.Pikett,IF(MONTH(Monat.Tag1)=11,October!Monat.Pikett,IF(MONTH(Monat.Tag1)=12,November!Monat.Pikett,"")))))))))))),IF(U34="B",INDEX(T.Pikett.Bereich,4),IF(U34="E",INDEX(T.Pikett.Bereich,1),U34)))),"")</f>
        <v>No</v>
      </c>
      <c r="W34" s="196" t="str">
        <f aca="true">IF(EB.Anwendung&lt;&gt;"",IF(EB.Wochenarbeitszeit=50/24,INDEX(T.Pikett.Bereich,1),IF(DAY(W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Monat.Pikett,IF(MONTH(Monat.Tag1)=10,September!Monat.Pikett,IF(MONTH(Monat.Tag1)=11,October!Monat.Pikett,IF(MONTH(Monat.Tag1)=12,November!Monat.Pikett,"")))))))))))),IF(V34="B",INDEX(T.Pikett.Bereich,4),IF(V34="E",INDEX(T.Pikett.Bereich,1),V34)))),"")</f>
        <v>No</v>
      </c>
      <c r="X34" s="196" t="str">
        <f aca="true">IF(EB.Anwendung&lt;&gt;"",IF(EB.Wochenarbeitszeit=50/24,INDEX(T.Pikett.Bereich,1),IF(DAY(X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Monat.Pikett,IF(MONTH(Monat.Tag1)=10,September!Monat.Pikett,IF(MONTH(Monat.Tag1)=11,October!Monat.Pikett,IF(MONTH(Monat.Tag1)=12,November!Monat.Pikett,"")))))))))))),IF(W34="B",INDEX(T.Pikett.Bereich,4),IF(W34="E",INDEX(T.Pikett.Bereich,1),W34)))),"")</f>
        <v>No</v>
      </c>
      <c r="Y34" s="196" t="str">
        <f aca="true">IF(EB.Anwendung&lt;&gt;"",IF(EB.Wochenarbeitszeit=50/24,INDEX(T.Pikett.Bereich,1),IF(DAY(Y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Monat.Pikett,IF(MONTH(Monat.Tag1)=10,September!Monat.Pikett,IF(MONTH(Monat.Tag1)=11,October!Monat.Pikett,IF(MONTH(Monat.Tag1)=12,November!Monat.Pikett,"")))))))))))),IF(X34="B",INDEX(T.Pikett.Bereich,4),IF(X34="E",INDEX(T.Pikett.Bereich,1),X34)))),"")</f>
        <v>No</v>
      </c>
      <c r="Z34" s="196" t="str">
        <f aca="true">IF(EB.Anwendung&lt;&gt;"",IF(EB.Wochenarbeitszeit=50/24,INDEX(T.Pikett.Bereich,1),IF(DAY(Z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Monat.Pikett,IF(MONTH(Monat.Tag1)=10,September!Monat.Pikett,IF(MONTH(Monat.Tag1)=11,October!Monat.Pikett,IF(MONTH(Monat.Tag1)=12,November!Monat.Pikett,"")))))))))))),IF(Y34="B",INDEX(T.Pikett.Bereich,4),IF(Y34="E",INDEX(T.Pikett.Bereich,1),Y34)))),"")</f>
        <v>No</v>
      </c>
      <c r="AA34" s="196" t="str">
        <f aca="true">IF(EB.Anwendung&lt;&gt;"",IF(EB.Wochenarbeitszeit=50/24,INDEX(T.Pikett.Bereich,1),IF(DAY(AA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Monat.Pikett,IF(MONTH(Monat.Tag1)=10,September!Monat.Pikett,IF(MONTH(Monat.Tag1)=11,October!Monat.Pikett,IF(MONTH(Monat.Tag1)=12,November!Monat.Pikett,"")))))))))))),IF(Z34="B",INDEX(T.Pikett.Bereich,4),IF(Z34="E",INDEX(T.Pikett.Bereich,1),Z34)))),"")</f>
        <v>No</v>
      </c>
      <c r="AB34" s="196" t="str">
        <f aca="true">IF(EB.Anwendung&lt;&gt;"",IF(EB.Wochenarbeitszeit=50/24,INDEX(T.Pikett.Bereich,1),IF(DAY(AB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Monat.Pikett,IF(MONTH(Monat.Tag1)=10,September!Monat.Pikett,IF(MONTH(Monat.Tag1)=11,October!Monat.Pikett,IF(MONTH(Monat.Tag1)=12,November!Monat.Pikett,"")))))))))))),IF(AA34="B",INDEX(T.Pikett.Bereich,4),IF(AA34="E",INDEX(T.Pikett.Bereich,1),AA34)))),"")</f>
        <v>No</v>
      </c>
      <c r="AC34" s="196" t="str">
        <f aca="true">IF(EB.Anwendung&lt;&gt;"",IF(EB.Wochenarbeitszeit=50/24,INDEX(T.Pikett.Bereich,1),IF(DAY(AC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Monat.Pikett,IF(MONTH(Monat.Tag1)=10,September!Monat.Pikett,IF(MONTH(Monat.Tag1)=11,October!Monat.Pikett,IF(MONTH(Monat.Tag1)=12,November!Monat.Pikett,"")))))))))))),IF(AB34="B",INDEX(T.Pikett.Bereich,4),IF(AB34="E",INDEX(T.Pikett.Bereich,1),AB34)))),"")</f>
        <v>No</v>
      </c>
      <c r="AD34" s="196" t="str">
        <f aca="true">IF(EB.Anwendung&lt;&gt;"",IF(EB.Wochenarbeitszeit=50/24,INDEX(T.Pikett.Bereich,1),IF(DAY(AD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Monat.Pikett,IF(MONTH(Monat.Tag1)=10,September!Monat.Pikett,IF(MONTH(Monat.Tag1)=11,October!Monat.Pikett,IF(MONTH(Monat.Tag1)=12,November!Monat.Pikett,"")))))))))))),IF(AC34="B",INDEX(T.Pikett.Bereich,4),IF(AC34="E",INDEX(T.Pikett.Bereich,1),AC34)))),"")</f>
        <v>No</v>
      </c>
      <c r="AE34" s="196" t="str">
        <f aca="true">IF(EB.Anwendung&lt;&gt;"",IF(EB.Wochenarbeitszeit=50/24,INDEX(T.Pikett.Bereich,1),IF(DAY(AE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Monat.Pikett,IF(MONTH(Monat.Tag1)=10,September!Monat.Pikett,IF(MONTH(Monat.Tag1)=11,October!Monat.Pikett,IF(MONTH(Monat.Tag1)=12,November!Monat.Pikett,"")))))))))))),IF(AD34="B",INDEX(T.Pikett.Bereich,4),IF(AD34="E",INDEX(T.Pikett.Bereich,1),AD34)))),"")</f>
        <v>No</v>
      </c>
      <c r="AF34" s="196" t="str">
        <f aca="true">IF(EB.Anwendung&lt;&gt;"",IF(EB.Wochenarbeitszeit=50/24,INDEX(T.Pikett.Bereich,1),IF(DAY(AF$10)=1,IF(MONTH(Monat.Tag1)=1,INDEX(T.Pikett.Bereich,1),IF(MONTH(Monat.Tag1)=2,January!Monat.Pikett,IF(MONTH(Monat.Tag1)=3,February!Monat.Pikett,IF(MONTH(Monat.Tag1)=4,March!Monat.Pikett,IF(MONTH(Monat.Tag1)=5,April!Monat.Pikett,IF(MONTH(Monat.Tag1)=6,May!Monat.Pikett,IF(MONTH(Monat.Tag1)=7,June!Monat.Pikett,IF(MONTH(Monat.Tag1)=8,July!Monat.Pikett,IF(MONTH(Monat.Tag1)=9,Monat.Pikett,IF(MONTH(Monat.Tag1)=10,September!Monat.Pikett,IF(MONTH(Monat.Tag1)=11,October!Monat.Pikett,IF(MONTH(Monat.Tag1)=12,November!Monat.Pikett,"")))))))))))),IF(AE34="B",INDEX(T.Pikett.Bereich,4),IF(AE34="E",INDEX(T.Pikett.Bereich,1),AE34)))),"")</f>
        <v>No</v>
      </c>
      <c r="AG34" s="183" t="str">
        <f aca="true">IF(OFFSET(B34,0,DAY(EOMONTH(Monat.Tag1,0))-1,1,1)="B",INDEX(T.Pikett.Bereich,4),IF(OFFSET(B34,0,DAY(EOMONTH(Monat.Tag1,0))-1,1,1)="E",INDEX(T.Pikett.Bereich,1),OFFSET(B34,0,DAY(EOMONTH(Monat.Tag1,0))-1,1,1)))</f>
        <v>No</v>
      </c>
      <c r="AH34" s="197"/>
      <c r="AI34" s="192"/>
      <c r="AJ34" s="198" t="str">
        <f aca="true">IF(T.50_Vetsuisse,IFERROR(SUMPRODUCT((B34:AF34=INDEX(T.Pikett.Bereich,4))*((B49:AF49)&lt;1/24*5)),0) &amp; " / " &amp; IFERROR(SUMPRODUCT((B34:AF34=INDEX(T.Pikett.Bereich,4))*((B49:AF49)&gt;=1/24*5)),0) &amp; " / " &amp; IFERROR(SUMPRODUCT((B34:AF34=INDEX(T.Pikett.Bereich,4))*((B49:AF49)&lt;1/24*5)),0) + IFERROR(SUMPRODUCT((B34:AF34=INDEX(T.Pikett.Bereich,4))*((B49:AF49)&gt;=1/24*5)),0), IFERROR(SUMPRODUCT((B34:AF34=INDEX(T.Pikett.Bereich,4))*(WEEKDAY(B10:AF10,2)&lt;6)*(B11:AF11&lt;&gt;0)),0) &amp; " / " &amp; IFERROR(SUMPRODUCT((B34:AF34=INDEX(T.Pikett.Bereich,4))*(WEEKDAY(B10:AF10,2)&gt;5)*(B11:AF11&lt;&gt;0))+SUMPRODUCT((B34:AF34=INDEX(T.Pikett.Bereich,4))*(B11:AF11=0)),0) &amp; " / " &amp; IFERROR(SUMPRODUCT((B34:AF34=INDEX(T.Pikett.Bereich,4))*(WEEKDAY(B10:AF10,2)&lt;6)*(B11:AF11&lt;&gt;0)),0) + IFERROR(SUMPRODUCT((B34:AF34=INDEX(T.Pikett.Bereich,4))*(WEEKDAY(B10:AF10,2)&gt;5)*(B11:AF11&lt;&gt;0))+SUMPRODUCT((B34:AF34=INDEX(T.Pikett.Bereich,4))*(B11:AF11=0)),0))</f>
        <v>0 / 0 / 0</v>
      </c>
      <c r="AK34" s="172"/>
      <c r="AL34" s="172"/>
      <c r="AM34" s="172"/>
      <c r="AN34" s="171"/>
      <c r="AO34" s="172"/>
      <c r="AP34" s="172"/>
      <c r="AQ34" s="39"/>
    </row>
    <row r="35" s="148" customFormat="true" ht="15" hidden="false" customHeight="true" outlineLevel="1" collapsed="false">
      <c r="A35" s="175" t="s">
        <v>128</v>
      </c>
      <c r="B35" s="176"/>
      <c r="C35" s="176"/>
      <c r="D35" s="176"/>
      <c r="E35" s="177"/>
      <c r="F35" s="176"/>
      <c r="G35" s="176"/>
      <c r="H35" s="176"/>
      <c r="I35" s="176"/>
      <c r="J35" s="177"/>
      <c r="K35" s="176"/>
      <c r="L35" s="177"/>
      <c r="M35" s="176"/>
      <c r="N35" s="176"/>
      <c r="O35" s="176"/>
      <c r="P35" s="176"/>
      <c r="Q35" s="177"/>
      <c r="R35" s="176"/>
      <c r="S35" s="177"/>
      <c r="T35" s="177"/>
      <c r="U35" s="176"/>
      <c r="V35" s="176"/>
      <c r="W35" s="176"/>
      <c r="X35" s="177"/>
      <c r="Y35" s="176"/>
      <c r="Z35" s="178"/>
      <c r="AA35" s="176"/>
      <c r="AB35" s="176"/>
      <c r="AC35" s="176"/>
      <c r="AD35" s="176"/>
      <c r="AE35" s="177"/>
      <c r="AF35" s="176"/>
      <c r="AG35" s="168" t="str">
        <f aca="false">A35</f>
        <v>in</v>
      </c>
      <c r="AH35" s="146"/>
      <c r="AI35" s="179"/>
      <c r="AJ35" s="180"/>
      <c r="AK35" s="172"/>
      <c r="AL35" s="172"/>
      <c r="AM35" s="172"/>
      <c r="AN35" s="171"/>
      <c r="AO35" s="172"/>
      <c r="AP35" s="172"/>
      <c r="AQ35" s="39"/>
    </row>
    <row r="36" s="148" customFormat="true" ht="15" hidden="false" customHeight="true" outlineLevel="1" collapsed="false">
      <c r="A36" s="175" t="s">
        <v>129</v>
      </c>
      <c r="B36" s="176"/>
      <c r="C36" s="176"/>
      <c r="D36" s="176"/>
      <c r="E36" s="177"/>
      <c r="F36" s="176"/>
      <c r="G36" s="176"/>
      <c r="H36" s="176"/>
      <c r="I36" s="176"/>
      <c r="J36" s="177"/>
      <c r="K36" s="176"/>
      <c r="L36" s="177"/>
      <c r="M36" s="176"/>
      <c r="N36" s="176"/>
      <c r="O36" s="176"/>
      <c r="P36" s="176"/>
      <c r="Q36" s="177"/>
      <c r="R36" s="176"/>
      <c r="S36" s="177"/>
      <c r="T36" s="177"/>
      <c r="U36" s="176"/>
      <c r="V36" s="176"/>
      <c r="W36" s="176"/>
      <c r="X36" s="177"/>
      <c r="Y36" s="176"/>
      <c r="Z36" s="178"/>
      <c r="AA36" s="176"/>
      <c r="AB36" s="176"/>
      <c r="AC36" s="176"/>
      <c r="AD36" s="176"/>
      <c r="AE36" s="177"/>
      <c r="AF36" s="176"/>
      <c r="AG36" s="168" t="str">
        <f aca="false">A36</f>
        <v>out</v>
      </c>
      <c r="AH36" s="146"/>
      <c r="AI36" s="179"/>
      <c r="AJ36" s="180"/>
      <c r="AK36" s="172"/>
      <c r="AL36" s="172"/>
      <c r="AM36" s="172"/>
      <c r="AN36" s="171"/>
      <c r="AO36" s="172"/>
      <c r="AP36" s="172"/>
      <c r="AQ36" s="39"/>
    </row>
    <row r="37" s="148" customFormat="true" ht="15" hidden="false" customHeight="true" outlineLevel="1" collapsed="false">
      <c r="A37" s="175" t="s">
        <v>128</v>
      </c>
      <c r="B37" s="176"/>
      <c r="C37" s="176"/>
      <c r="D37" s="176"/>
      <c r="E37" s="177"/>
      <c r="F37" s="176"/>
      <c r="G37" s="176"/>
      <c r="H37" s="176"/>
      <c r="I37" s="176"/>
      <c r="J37" s="177"/>
      <c r="K37" s="176"/>
      <c r="L37" s="177"/>
      <c r="M37" s="176"/>
      <c r="N37" s="176"/>
      <c r="O37" s="176"/>
      <c r="P37" s="176"/>
      <c r="Q37" s="177"/>
      <c r="R37" s="176"/>
      <c r="S37" s="177"/>
      <c r="T37" s="177"/>
      <c r="U37" s="176"/>
      <c r="V37" s="176"/>
      <c r="W37" s="176"/>
      <c r="X37" s="177"/>
      <c r="Y37" s="176"/>
      <c r="Z37" s="178"/>
      <c r="AA37" s="176"/>
      <c r="AB37" s="176"/>
      <c r="AC37" s="176"/>
      <c r="AD37" s="176"/>
      <c r="AE37" s="177"/>
      <c r="AF37" s="176"/>
      <c r="AG37" s="168" t="str">
        <f aca="false">A37</f>
        <v>in</v>
      </c>
      <c r="AH37" s="146"/>
      <c r="AI37" s="179"/>
      <c r="AJ37" s="180"/>
      <c r="AK37" s="172"/>
      <c r="AL37" s="172"/>
      <c r="AM37" s="172"/>
      <c r="AN37" s="171"/>
      <c r="AO37" s="172"/>
      <c r="AP37" s="172"/>
      <c r="AQ37" s="39"/>
    </row>
    <row r="38" s="148" customFormat="true" ht="15" hidden="false" customHeight="true" outlineLevel="1" collapsed="false">
      <c r="A38" s="175" t="s">
        <v>129</v>
      </c>
      <c r="B38" s="176"/>
      <c r="C38" s="176"/>
      <c r="D38" s="176"/>
      <c r="E38" s="177"/>
      <c r="F38" s="176"/>
      <c r="G38" s="176"/>
      <c r="H38" s="176"/>
      <c r="I38" s="176"/>
      <c r="J38" s="177"/>
      <c r="K38" s="176"/>
      <c r="L38" s="177"/>
      <c r="M38" s="176"/>
      <c r="N38" s="176"/>
      <c r="O38" s="176"/>
      <c r="P38" s="176"/>
      <c r="Q38" s="177"/>
      <c r="R38" s="176"/>
      <c r="S38" s="177"/>
      <c r="T38" s="177"/>
      <c r="U38" s="176"/>
      <c r="V38" s="176"/>
      <c r="W38" s="176"/>
      <c r="X38" s="177"/>
      <c r="Y38" s="176"/>
      <c r="Z38" s="178"/>
      <c r="AA38" s="176"/>
      <c r="AB38" s="176"/>
      <c r="AC38" s="176"/>
      <c r="AD38" s="176"/>
      <c r="AE38" s="177"/>
      <c r="AF38" s="176"/>
      <c r="AG38" s="168" t="str">
        <f aca="false">A38</f>
        <v>out</v>
      </c>
      <c r="AH38" s="146"/>
      <c r="AI38" s="179"/>
      <c r="AJ38" s="180"/>
      <c r="AK38" s="172"/>
      <c r="AL38" s="172"/>
      <c r="AM38" s="172"/>
      <c r="AN38" s="171"/>
      <c r="AO38" s="172"/>
      <c r="AP38" s="172"/>
      <c r="AQ38" s="39"/>
    </row>
    <row r="39" s="148" customFormat="true" ht="15" hidden="false" customHeight="true" outlineLevel="1" collapsed="false">
      <c r="A39" s="175" t="s">
        <v>128</v>
      </c>
      <c r="B39" s="176"/>
      <c r="C39" s="176"/>
      <c r="D39" s="176"/>
      <c r="E39" s="177"/>
      <c r="F39" s="176"/>
      <c r="G39" s="176"/>
      <c r="H39" s="176"/>
      <c r="I39" s="176"/>
      <c r="J39" s="177"/>
      <c r="K39" s="176"/>
      <c r="L39" s="177"/>
      <c r="M39" s="176"/>
      <c r="N39" s="176"/>
      <c r="O39" s="176"/>
      <c r="P39" s="176"/>
      <c r="Q39" s="177"/>
      <c r="R39" s="176"/>
      <c r="S39" s="177"/>
      <c r="T39" s="177"/>
      <c r="U39" s="176"/>
      <c r="V39" s="176"/>
      <c r="W39" s="176"/>
      <c r="X39" s="177"/>
      <c r="Y39" s="176"/>
      <c r="Z39" s="178"/>
      <c r="AA39" s="176"/>
      <c r="AB39" s="176"/>
      <c r="AC39" s="176"/>
      <c r="AD39" s="176"/>
      <c r="AE39" s="177"/>
      <c r="AF39" s="176"/>
      <c r="AG39" s="168" t="str">
        <f aca="false">A39</f>
        <v>in</v>
      </c>
      <c r="AH39" s="146"/>
      <c r="AI39" s="179"/>
      <c r="AJ39" s="180"/>
      <c r="AK39" s="172"/>
      <c r="AL39" s="172"/>
      <c r="AM39" s="172"/>
      <c r="AN39" s="171"/>
      <c r="AO39" s="172"/>
      <c r="AP39" s="172"/>
      <c r="AQ39" s="39"/>
    </row>
    <row r="40" s="148" customFormat="true" ht="15" hidden="false" customHeight="true" outlineLevel="1" collapsed="false">
      <c r="A40" s="175" t="s">
        <v>129</v>
      </c>
      <c r="B40" s="176"/>
      <c r="C40" s="176"/>
      <c r="D40" s="176"/>
      <c r="E40" s="177"/>
      <c r="F40" s="176"/>
      <c r="G40" s="176"/>
      <c r="H40" s="176"/>
      <c r="I40" s="176"/>
      <c r="J40" s="177"/>
      <c r="K40" s="176"/>
      <c r="L40" s="177"/>
      <c r="M40" s="176"/>
      <c r="N40" s="176"/>
      <c r="O40" s="176"/>
      <c r="P40" s="176"/>
      <c r="Q40" s="177"/>
      <c r="R40" s="176"/>
      <c r="S40" s="177"/>
      <c r="T40" s="177"/>
      <c r="U40" s="176"/>
      <c r="V40" s="176"/>
      <c r="W40" s="176"/>
      <c r="X40" s="177"/>
      <c r="Y40" s="176"/>
      <c r="Z40" s="178"/>
      <c r="AA40" s="176"/>
      <c r="AB40" s="176"/>
      <c r="AC40" s="176"/>
      <c r="AD40" s="176"/>
      <c r="AE40" s="177"/>
      <c r="AF40" s="176"/>
      <c r="AG40" s="168" t="str">
        <f aca="false">A40</f>
        <v>out</v>
      </c>
      <c r="AH40" s="146"/>
      <c r="AI40" s="179"/>
      <c r="AJ40" s="180"/>
      <c r="AK40" s="172"/>
      <c r="AL40" s="172"/>
      <c r="AM40" s="172"/>
      <c r="AN40" s="171"/>
      <c r="AO40" s="172"/>
      <c r="AP40" s="172"/>
      <c r="AQ40" s="39"/>
    </row>
    <row r="41" s="148" customFormat="true" ht="15" hidden="true" customHeight="true" outlineLevel="1" collapsed="false">
      <c r="A41" s="175" t="s">
        <v>128</v>
      </c>
      <c r="B41" s="176"/>
      <c r="C41" s="176"/>
      <c r="D41" s="176"/>
      <c r="E41" s="177"/>
      <c r="F41" s="176"/>
      <c r="G41" s="176"/>
      <c r="H41" s="176"/>
      <c r="I41" s="176"/>
      <c r="J41" s="177"/>
      <c r="K41" s="176"/>
      <c r="L41" s="177"/>
      <c r="M41" s="176"/>
      <c r="N41" s="176"/>
      <c r="O41" s="176"/>
      <c r="P41" s="176"/>
      <c r="Q41" s="177"/>
      <c r="R41" s="176"/>
      <c r="S41" s="177"/>
      <c r="T41" s="177"/>
      <c r="U41" s="176"/>
      <c r="V41" s="176"/>
      <c r="W41" s="176"/>
      <c r="X41" s="177"/>
      <c r="Y41" s="176"/>
      <c r="Z41" s="178"/>
      <c r="AA41" s="176"/>
      <c r="AB41" s="176"/>
      <c r="AC41" s="176"/>
      <c r="AD41" s="176"/>
      <c r="AE41" s="177"/>
      <c r="AF41" s="176"/>
      <c r="AG41" s="168" t="str">
        <f aca="false">A41</f>
        <v>in</v>
      </c>
      <c r="AH41" s="146"/>
      <c r="AI41" s="179"/>
      <c r="AJ41" s="180"/>
      <c r="AK41" s="172"/>
      <c r="AL41" s="172"/>
      <c r="AM41" s="172"/>
      <c r="AN41" s="171"/>
      <c r="AO41" s="172"/>
      <c r="AP41" s="172"/>
      <c r="AQ41" s="39"/>
    </row>
    <row r="42" s="148" customFormat="true" ht="15" hidden="true" customHeight="true" outlineLevel="1" collapsed="false">
      <c r="A42" s="175" t="s">
        <v>129</v>
      </c>
      <c r="B42" s="176"/>
      <c r="C42" s="176"/>
      <c r="D42" s="176"/>
      <c r="E42" s="177"/>
      <c r="F42" s="176"/>
      <c r="G42" s="176"/>
      <c r="H42" s="176"/>
      <c r="I42" s="176"/>
      <c r="J42" s="177"/>
      <c r="K42" s="176"/>
      <c r="L42" s="177"/>
      <c r="M42" s="176"/>
      <c r="N42" s="176"/>
      <c r="O42" s="176"/>
      <c r="P42" s="176"/>
      <c r="Q42" s="177"/>
      <c r="R42" s="176"/>
      <c r="S42" s="177"/>
      <c r="T42" s="177"/>
      <c r="U42" s="176"/>
      <c r="V42" s="176"/>
      <c r="W42" s="176"/>
      <c r="X42" s="177"/>
      <c r="Y42" s="176"/>
      <c r="Z42" s="178"/>
      <c r="AA42" s="176"/>
      <c r="AB42" s="176"/>
      <c r="AC42" s="176"/>
      <c r="AD42" s="176"/>
      <c r="AE42" s="177"/>
      <c r="AF42" s="176"/>
      <c r="AG42" s="168" t="str">
        <f aca="false">A42</f>
        <v>out</v>
      </c>
      <c r="AH42" s="146"/>
      <c r="AI42" s="179"/>
      <c r="AJ42" s="180"/>
      <c r="AK42" s="172"/>
      <c r="AL42" s="172"/>
      <c r="AM42" s="172"/>
      <c r="AN42" s="171"/>
      <c r="AO42" s="172"/>
      <c r="AP42" s="172"/>
      <c r="AQ42" s="39"/>
    </row>
    <row r="43" s="148" customFormat="true" ht="15" hidden="true" customHeight="true" outlineLevel="1" collapsed="false">
      <c r="A43" s="175" t="s">
        <v>128</v>
      </c>
      <c r="B43" s="176"/>
      <c r="C43" s="176"/>
      <c r="D43" s="176"/>
      <c r="E43" s="177"/>
      <c r="F43" s="176"/>
      <c r="G43" s="176"/>
      <c r="H43" s="176"/>
      <c r="I43" s="176"/>
      <c r="J43" s="177"/>
      <c r="K43" s="176"/>
      <c r="L43" s="177"/>
      <c r="M43" s="176"/>
      <c r="N43" s="176"/>
      <c r="O43" s="176"/>
      <c r="P43" s="176"/>
      <c r="Q43" s="177"/>
      <c r="R43" s="176"/>
      <c r="S43" s="177"/>
      <c r="T43" s="177"/>
      <c r="U43" s="176"/>
      <c r="V43" s="176"/>
      <c r="W43" s="176"/>
      <c r="X43" s="177"/>
      <c r="Y43" s="176"/>
      <c r="Z43" s="178"/>
      <c r="AA43" s="176"/>
      <c r="AB43" s="176"/>
      <c r="AC43" s="176"/>
      <c r="AD43" s="176"/>
      <c r="AE43" s="177"/>
      <c r="AF43" s="176"/>
      <c r="AG43" s="168" t="str">
        <f aca="false">A43</f>
        <v>in</v>
      </c>
      <c r="AH43" s="146"/>
      <c r="AI43" s="179"/>
      <c r="AJ43" s="180"/>
      <c r="AK43" s="172"/>
      <c r="AL43" s="172"/>
      <c r="AM43" s="172"/>
      <c r="AN43" s="171"/>
      <c r="AO43" s="172"/>
      <c r="AP43" s="172"/>
      <c r="AQ43" s="39"/>
    </row>
    <row r="44" s="148" customFormat="true" ht="15" hidden="true" customHeight="true" outlineLevel="1" collapsed="false">
      <c r="A44" s="175" t="s">
        <v>129</v>
      </c>
      <c r="B44" s="176"/>
      <c r="C44" s="176"/>
      <c r="D44" s="176"/>
      <c r="E44" s="177"/>
      <c r="F44" s="176"/>
      <c r="G44" s="176"/>
      <c r="H44" s="176"/>
      <c r="I44" s="176"/>
      <c r="J44" s="177"/>
      <c r="K44" s="176"/>
      <c r="L44" s="177"/>
      <c r="M44" s="176"/>
      <c r="N44" s="176"/>
      <c r="O44" s="176"/>
      <c r="P44" s="176"/>
      <c r="Q44" s="177"/>
      <c r="R44" s="176"/>
      <c r="S44" s="177"/>
      <c r="T44" s="177"/>
      <c r="U44" s="176"/>
      <c r="V44" s="176"/>
      <c r="W44" s="176"/>
      <c r="X44" s="177"/>
      <c r="Y44" s="176"/>
      <c r="Z44" s="178"/>
      <c r="AA44" s="176"/>
      <c r="AB44" s="176"/>
      <c r="AC44" s="176"/>
      <c r="AD44" s="176"/>
      <c r="AE44" s="177"/>
      <c r="AF44" s="176"/>
      <c r="AG44" s="168" t="str">
        <f aca="false">A44</f>
        <v>out</v>
      </c>
      <c r="AH44" s="146"/>
      <c r="AI44" s="179"/>
      <c r="AJ44" s="180"/>
      <c r="AK44" s="172"/>
      <c r="AL44" s="172"/>
      <c r="AM44" s="172"/>
      <c r="AN44" s="171"/>
      <c r="AO44" s="172"/>
      <c r="AP44" s="172"/>
      <c r="AQ44" s="39"/>
    </row>
    <row r="45" s="148" customFormat="true" ht="15" hidden="false" customHeight="true" outlineLevel="1" collapsed="false">
      <c r="A45" s="181" t="s">
        <v>135</v>
      </c>
      <c r="B45" s="182" t="n">
        <f aca="false">ROUND((B36-B35)+(B38-B37)+(B40-B39)+(B42-B41)+(B44-B43),9)</f>
        <v>0</v>
      </c>
      <c r="C45" s="182" t="n">
        <f aca="false">ROUND((C36-C35)+(C38-C37)+(C40-C39)+(C42-C41)+(C44-C43),9)</f>
        <v>0</v>
      </c>
      <c r="D45" s="182" t="n">
        <f aca="false">ROUND((D36-D35)+(D38-D37)+(D40-D39)+(D42-D41)+(D44-D43),9)</f>
        <v>0</v>
      </c>
      <c r="E45" s="182" t="n">
        <f aca="false">ROUND((E36-E35)+(E38-E37)+(E40-E39)+(E42-E41)+(E44-E43),9)</f>
        <v>0</v>
      </c>
      <c r="F45" s="182" t="n">
        <f aca="false">ROUND((F36-F35)+(F38-F37)+(F40-F39)+(F42-F41)+(F44-F43),9)</f>
        <v>0</v>
      </c>
      <c r="G45" s="182" t="n">
        <f aca="false">ROUND((G36-G35)+(G38-G37)+(G40-G39)+(G42-G41)+(G44-G43),9)</f>
        <v>0</v>
      </c>
      <c r="H45" s="182" t="n">
        <f aca="false">ROUND((H36-H35)+(H38-H37)+(H40-H39)+(H42-H41)+(H44-H43),9)</f>
        <v>0</v>
      </c>
      <c r="I45" s="182" t="n">
        <f aca="false">ROUND((I36-I35)+(I38-I37)+(I40-I39)+(I42-I41)+(I44-I43),9)</f>
        <v>0</v>
      </c>
      <c r="J45" s="182" t="n">
        <f aca="false">ROUND((J36-J35)+(J38-J37)+(J40-J39)+(J42-J41)+(J44-J43),9)</f>
        <v>0</v>
      </c>
      <c r="K45" s="182" t="n">
        <f aca="false">ROUND((K36-K35)+(K38-K37)+(K40-K39)+(K42-K41)+(K44-K43),9)</f>
        <v>0</v>
      </c>
      <c r="L45" s="182" t="n">
        <f aca="false">ROUND((L36-L35)+(L38-L37)+(L40-L39)+(L42-L41)+(L44-L43),9)</f>
        <v>0</v>
      </c>
      <c r="M45" s="182" t="n">
        <f aca="false">ROUND((M36-M35)+(M38-M37)+(M40-M39)+(M42-M41)+(M44-M43),9)</f>
        <v>0</v>
      </c>
      <c r="N45" s="182" t="n">
        <f aca="false">ROUND((N36-N35)+(N38-N37)+(N40-N39)+(N42-N41)+(N44-N43),9)</f>
        <v>0</v>
      </c>
      <c r="O45" s="182" t="n">
        <f aca="false">ROUND((O36-O35)+(O38-O37)+(O40-O39)+(O42-O41)+(O44-O43),9)</f>
        <v>0</v>
      </c>
      <c r="P45" s="182" t="n">
        <f aca="false">ROUND((P36-P35)+(P38-P37)+(P40-P39)+(P42-P41)+(P44-P43),9)</f>
        <v>0</v>
      </c>
      <c r="Q45" s="182" t="n">
        <f aca="false">ROUND((Q36-Q35)+(Q38-Q37)+(Q40-Q39)+(Q42-Q41)+(Q44-Q43),9)</f>
        <v>0</v>
      </c>
      <c r="R45" s="182" t="n">
        <f aca="false">ROUND((R36-R35)+(R38-R37)+(R40-R39)+(R42-R41)+(R44-R43),9)</f>
        <v>0</v>
      </c>
      <c r="S45" s="182" t="n">
        <f aca="false">ROUND((S36-S35)+(S38-S37)+(S40-S39)+(S42-S41)+(S44-S43),9)</f>
        <v>0</v>
      </c>
      <c r="T45" s="182" t="n">
        <f aca="false">ROUND((T36-T35)+(T38-T37)+(T40-T39)+(T42-T41)+(T44-T43),9)</f>
        <v>0</v>
      </c>
      <c r="U45" s="182" t="n">
        <f aca="false">ROUND((U36-U35)+(U38-U37)+(U40-U39)+(U42-U41)+(U44-U43),9)</f>
        <v>0</v>
      </c>
      <c r="V45" s="182" t="n">
        <f aca="false">ROUND((V36-V35)+(V38-V37)+(V40-V39)+(V42-V41)+(V44-V43),9)</f>
        <v>0</v>
      </c>
      <c r="W45" s="182" t="n">
        <f aca="false">ROUND((W36-W35)+(W38-W37)+(W40-W39)+(W42-W41)+(W44-W43),9)</f>
        <v>0</v>
      </c>
      <c r="X45" s="182" t="n">
        <f aca="false">ROUND((X36-X35)+(X38-X37)+(X40-X39)+(X42-X41)+(X44-X43),9)</f>
        <v>0</v>
      </c>
      <c r="Y45" s="182" t="n">
        <f aca="false">ROUND((Y36-Y35)+(Y38-Y37)+(Y40-Y39)+(Y42-Y41)+(Y44-Y43),9)</f>
        <v>0</v>
      </c>
      <c r="Z45" s="182" t="n">
        <f aca="false">ROUND((Z36-Z35)+(Z38-Z37)+(Z40-Z39)+(Z42-Z41)+(Z44-Z43),9)</f>
        <v>0</v>
      </c>
      <c r="AA45" s="182" t="n">
        <f aca="false">ROUND((AA36-AA35)+(AA38-AA37)+(AA40-AA39)+(AA42-AA41)+(AA44-AA43),9)</f>
        <v>0</v>
      </c>
      <c r="AB45" s="182" t="n">
        <f aca="false">ROUND((AB36-AB35)+(AB38-AB37)+(AB40-AB39)+(AB42-AB41)+(AB44-AB43),9)</f>
        <v>0</v>
      </c>
      <c r="AC45" s="182" t="n">
        <f aca="false">ROUND((AC36-AC35)+(AC38-AC37)+(AC40-AC39)+(AC42-AC41)+(AC44-AC43),9)</f>
        <v>0</v>
      </c>
      <c r="AD45" s="182" t="n">
        <f aca="false">ROUND((AD36-AD35)+(AD38-AD37)+(AD40-AD39)+(AD42-AD41)+(AD44-AD43),9)</f>
        <v>0</v>
      </c>
      <c r="AE45" s="182" t="n">
        <f aca="false">ROUND((AE36-AE35)+(AE38-AE37)+(AE40-AE39)+(AE42-AE41)+(AE44-AE43),9)</f>
        <v>0</v>
      </c>
      <c r="AF45" s="182" t="n">
        <f aca="false">ROUND((AF36-AF35)+(AF38-AF37)+(AF40-AF39)+(AF42-AF41)+(AF44-AF43),9)</f>
        <v>0</v>
      </c>
      <c r="AG45" s="183" t="str">
        <f aca="false">A45</f>
        <v>Total on call standby in/out</v>
      </c>
      <c r="AH45" s="184"/>
      <c r="AI45" s="185" t="n">
        <f aca="false">SUM(B45:AF45)</f>
        <v>0</v>
      </c>
      <c r="AJ45" s="180"/>
      <c r="AK45" s="172"/>
      <c r="AL45" s="172"/>
      <c r="AM45" s="172"/>
      <c r="AN45" s="171"/>
      <c r="AO45" s="172"/>
      <c r="AP45" s="172"/>
      <c r="AQ45" s="39"/>
    </row>
    <row r="46" s="148" customFormat="true" ht="3.75" hidden="false" customHeight="true" outlineLevel="0" collapsed="false">
      <c r="A46" s="186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179"/>
      <c r="AG46" s="168"/>
      <c r="AH46" s="146"/>
      <c r="AI46" s="179"/>
      <c r="AJ46" s="180"/>
      <c r="AK46" s="172"/>
      <c r="AL46" s="172"/>
      <c r="AM46" s="172"/>
      <c r="AN46" s="171"/>
      <c r="AO46" s="172"/>
      <c r="AP46" s="172"/>
      <c r="AQ46" s="39"/>
    </row>
    <row r="47" s="148" customFormat="true" ht="16.5" hidden="true" customHeight="true" outlineLevel="1" collapsed="false">
      <c r="A47" s="181" t="s">
        <v>136</v>
      </c>
      <c r="B47" s="182" t="n">
        <f aca="false">IF(B45&gt;0,ROUND(B45- IF(B35&lt;T.PikettVetsuissebis,MIN(T.PikettVetsuissebis-B35,B36-B35)+IF(B37&lt;T.PikettVetsuissebis,MIN(T.PikettVetsuissebis-B37,B38-B37)+IF(B39&lt;T.PikettVetsuissebis,MIN(T.PikettVetsuissebis-B39,B40-B39)+IF(B41&lt;T.PikettVetsuissebis,MIN(T.PikettVetsuissebis-B41,B42-B41)+IF(B43&lt;T.PikettVetsuissebis,MIN(T.PikettVetsuissebis-B43,B44-B43),0),0),0),0),0),9),0)</f>
        <v>0</v>
      </c>
      <c r="C47" s="182" t="n">
        <f aca="false">IF(C45&gt;0,ROUND(C45- IF(C35&lt;T.PikettVetsuissebis,MIN(T.PikettVetsuissebis-C35,C36-C35)+IF(C37&lt;T.PikettVetsuissebis,MIN(T.PikettVetsuissebis-C37,C38-C37)+IF(C39&lt;T.PikettVetsuissebis,MIN(T.PikettVetsuissebis-C39,C40-C39)+IF(C41&lt;T.PikettVetsuissebis,MIN(T.PikettVetsuissebis-C41,C42-C41)+IF(C43&lt;T.PikettVetsuissebis,MIN(T.PikettVetsuissebis-C43,C44-C43),0),0),0),0),0),9),0)</f>
        <v>0</v>
      </c>
      <c r="D47" s="182" t="n">
        <f aca="false">IF(D45&gt;0,ROUND(D45- IF(D35&lt;T.PikettVetsuissebis,MIN(T.PikettVetsuissebis-D35,D36-D35)+IF(D37&lt;T.PikettVetsuissebis,MIN(T.PikettVetsuissebis-D37,D38-D37)+IF(D39&lt;T.PikettVetsuissebis,MIN(T.PikettVetsuissebis-D39,D40-D39)+IF(D41&lt;T.PikettVetsuissebis,MIN(T.PikettVetsuissebis-D41,D42-D41)+IF(D43&lt;T.PikettVetsuissebis,MIN(T.PikettVetsuissebis-D43,D44-D43),0),0),0),0),0),9),0)</f>
        <v>0</v>
      </c>
      <c r="E47" s="182" t="n">
        <f aca="false">IF(E45&gt;0,ROUND(E45- IF(E35&lt;T.PikettVetsuissebis,MIN(T.PikettVetsuissebis-E35,E36-E35)+IF(E37&lt;T.PikettVetsuissebis,MIN(T.PikettVetsuissebis-E37,E38-E37)+IF(E39&lt;T.PikettVetsuissebis,MIN(T.PikettVetsuissebis-E39,E40-E39)+IF(E41&lt;T.PikettVetsuissebis,MIN(T.PikettVetsuissebis-E41,E42-E41)+IF(E43&lt;T.PikettVetsuissebis,MIN(T.PikettVetsuissebis-E43,E44-E43),0),0),0),0),0),9),0)</f>
        <v>0</v>
      </c>
      <c r="F47" s="182" t="n">
        <f aca="false">IF(F45&gt;0,ROUND(F45- IF(F35&lt;T.PikettVetsuissebis,MIN(T.PikettVetsuissebis-F35,F36-F35)+IF(F37&lt;T.PikettVetsuissebis,MIN(T.PikettVetsuissebis-F37,F38-F37)+IF(F39&lt;T.PikettVetsuissebis,MIN(T.PikettVetsuissebis-F39,F40-F39)+IF(F41&lt;T.PikettVetsuissebis,MIN(T.PikettVetsuissebis-F41,F42-F41)+IF(F43&lt;T.PikettVetsuissebis,MIN(T.PikettVetsuissebis-F43,F44-F43),0),0),0),0),0),9),0)</f>
        <v>0</v>
      </c>
      <c r="G47" s="182" t="n">
        <f aca="false">IF(G45&gt;0,ROUND(G45- IF(G35&lt;T.PikettVetsuissebis,MIN(T.PikettVetsuissebis-G35,G36-G35)+IF(G37&lt;T.PikettVetsuissebis,MIN(T.PikettVetsuissebis-G37,G38-G37)+IF(G39&lt;T.PikettVetsuissebis,MIN(T.PikettVetsuissebis-G39,G40-G39)+IF(G41&lt;T.PikettVetsuissebis,MIN(T.PikettVetsuissebis-G41,G42-G41)+IF(G43&lt;T.PikettVetsuissebis,MIN(T.PikettVetsuissebis-G43,G44-G43),0),0),0),0),0),9),0)</f>
        <v>0</v>
      </c>
      <c r="H47" s="182" t="n">
        <f aca="false">IF(H45&gt;0,ROUND(H45- IF(H35&lt;T.PikettVetsuissebis,MIN(T.PikettVetsuissebis-H35,H36-H35)+IF(H37&lt;T.PikettVetsuissebis,MIN(T.PikettVetsuissebis-H37,H38-H37)+IF(H39&lt;T.PikettVetsuissebis,MIN(T.PikettVetsuissebis-H39,H40-H39)+IF(H41&lt;T.PikettVetsuissebis,MIN(T.PikettVetsuissebis-H41,H42-H41)+IF(H43&lt;T.PikettVetsuissebis,MIN(T.PikettVetsuissebis-H43,H44-H43),0),0),0),0),0),9),0)</f>
        <v>0</v>
      </c>
      <c r="I47" s="182" t="n">
        <f aca="false">IF(I45&gt;0,ROUND(I45- IF(I35&lt;T.PikettVetsuissebis,MIN(T.PikettVetsuissebis-I35,I36-I35)+IF(I37&lt;T.PikettVetsuissebis,MIN(T.PikettVetsuissebis-I37,I38-I37)+IF(I39&lt;T.PikettVetsuissebis,MIN(T.PikettVetsuissebis-I39,I40-I39)+IF(I41&lt;T.PikettVetsuissebis,MIN(T.PikettVetsuissebis-I41,I42-I41)+IF(I43&lt;T.PikettVetsuissebis,MIN(T.PikettVetsuissebis-I43,I44-I43),0),0),0),0),0),9),0)</f>
        <v>0</v>
      </c>
      <c r="J47" s="182" t="n">
        <f aca="false">IF(J45&gt;0,ROUND(J45- IF(J35&lt;T.PikettVetsuissebis,MIN(T.PikettVetsuissebis-J35,J36-J35)+IF(J37&lt;T.PikettVetsuissebis,MIN(T.PikettVetsuissebis-J37,J38-J37)+IF(J39&lt;T.PikettVetsuissebis,MIN(T.PikettVetsuissebis-J39,J40-J39)+IF(J41&lt;T.PikettVetsuissebis,MIN(T.PikettVetsuissebis-J41,J42-J41)+IF(J43&lt;T.PikettVetsuissebis,MIN(T.PikettVetsuissebis-J43,J44-J43),0),0),0),0),0),9),0)</f>
        <v>0</v>
      </c>
      <c r="K47" s="182" t="n">
        <f aca="false">IF(K45&gt;0,ROUND(K45- IF(K35&lt;T.PikettVetsuissebis,MIN(T.PikettVetsuissebis-K35,K36-K35)+IF(K37&lt;T.PikettVetsuissebis,MIN(T.PikettVetsuissebis-K37,K38-K37)+IF(K39&lt;T.PikettVetsuissebis,MIN(T.PikettVetsuissebis-K39,K40-K39)+IF(K41&lt;T.PikettVetsuissebis,MIN(T.PikettVetsuissebis-K41,K42-K41)+IF(K43&lt;T.PikettVetsuissebis,MIN(T.PikettVetsuissebis-K43,K44-K43),0),0),0),0),0),9),0)</f>
        <v>0</v>
      </c>
      <c r="L47" s="182" t="n">
        <f aca="false">IF(L45&gt;0,ROUND(L45- IF(L35&lt;T.PikettVetsuissebis,MIN(T.PikettVetsuissebis-L35,L36-L35)+IF(L37&lt;T.PikettVetsuissebis,MIN(T.PikettVetsuissebis-L37,L38-L37)+IF(L39&lt;T.PikettVetsuissebis,MIN(T.PikettVetsuissebis-L39,L40-L39)+IF(L41&lt;T.PikettVetsuissebis,MIN(T.PikettVetsuissebis-L41,L42-L41)+IF(L43&lt;T.PikettVetsuissebis,MIN(T.PikettVetsuissebis-L43,L44-L43),0),0),0),0),0),9),0)</f>
        <v>0</v>
      </c>
      <c r="M47" s="182" t="n">
        <f aca="false">IF(M45&gt;0,ROUND(M45- IF(M35&lt;T.PikettVetsuissebis,MIN(T.PikettVetsuissebis-M35,M36-M35)+IF(M37&lt;T.PikettVetsuissebis,MIN(T.PikettVetsuissebis-M37,M38-M37)+IF(M39&lt;T.PikettVetsuissebis,MIN(T.PikettVetsuissebis-M39,M40-M39)+IF(M41&lt;T.PikettVetsuissebis,MIN(T.PikettVetsuissebis-M41,M42-M41)+IF(M43&lt;T.PikettVetsuissebis,MIN(T.PikettVetsuissebis-M43,M44-M43),0),0),0),0),0),9),0)</f>
        <v>0</v>
      </c>
      <c r="N47" s="182" t="n">
        <f aca="false">IF(N45&gt;0,ROUND(N45- IF(N35&lt;T.PikettVetsuissebis,MIN(T.PikettVetsuissebis-N35,N36-N35)+IF(N37&lt;T.PikettVetsuissebis,MIN(T.PikettVetsuissebis-N37,N38-N37)+IF(N39&lt;T.PikettVetsuissebis,MIN(T.PikettVetsuissebis-N39,N40-N39)+IF(N41&lt;T.PikettVetsuissebis,MIN(T.PikettVetsuissebis-N41,N42-N41)+IF(N43&lt;T.PikettVetsuissebis,MIN(T.PikettVetsuissebis-N43,N44-N43),0),0),0),0),0),9),0)</f>
        <v>0</v>
      </c>
      <c r="O47" s="182" t="n">
        <f aca="false">IF(O45&gt;0,ROUND(O45- IF(O35&lt;T.PikettVetsuissebis,MIN(T.PikettVetsuissebis-O35,O36-O35)+IF(O37&lt;T.PikettVetsuissebis,MIN(T.PikettVetsuissebis-O37,O38-O37)+IF(O39&lt;T.PikettVetsuissebis,MIN(T.PikettVetsuissebis-O39,O40-O39)+IF(O41&lt;T.PikettVetsuissebis,MIN(T.PikettVetsuissebis-O41,O42-O41)+IF(O43&lt;T.PikettVetsuissebis,MIN(T.PikettVetsuissebis-O43,O44-O43),0),0),0),0),0),9),0)</f>
        <v>0</v>
      </c>
      <c r="P47" s="182" t="n">
        <f aca="false">IF(P45&gt;0,ROUND(P45- IF(P35&lt;T.PikettVetsuissebis,MIN(T.PikettVetsuissebis-P35,P36-P35)+IF(P37&lt;T.PikettVetsuissebis,MIN(T.PikettVetsuissebis-P37,P38-P37)+IF(P39&lt;T.PikettVetsuissebis,MIN(T.PikettVetsuissebis-P39,P40-P39)+IF(P41&lt;T.PikettVetsuissebis,MIN(T.PikettVetsuissebis-P41,P42-P41)+IF(P43&lt;T.PikettVetsuissebis,MIN(T.PikettVetsuissebis-P43,P44-P43),0),0),0),0),0),9),0)</f>
        <v>0</v>
      </c>
      <c r="Q47" s="182" t="n">
        <f aca="false">IF(Q45&gt;0,ROUND(Q45- IF(Q35&lt;T.PikettVetsuissebis,MIN(T.PikettVetsuissebis-Q35,Q36-Q35)+IF(Q37&lt;T.PikettVetsuissebis,MIN(T.PikettVetsuissebis-Q37,Q38-Q37)+IF(Q39&lt;T.PikettVetsuissebis,MIN(T.PikettVetsuissebis-Q39,Q40-Q39)+IF(Q41&lt;T.PikettVetsuissebis,MIN(T.PikettVetsuissebis-Q41,Q42-Q41)+IF(Q43&lt;T.PikettVetsuissebis,MIN(T.PikettVetsuissebis-Q43,Q44-Q43),0),0),0),0),0),9),0)</f>
        <v>0</v>
      </c>
      <c r="R47" s="182" t="n">
        <f aca="false">IF(R45&gt;0,ROUND(R45- IF(R35&lt;T.PikettVetsuissebis,MIN(T.PikettVetsuissebis-R35,R36-R35)+IF(R37&lt;T.PikettVetsuissebis,MIN(T.PikettVetsuissebis-R37,R38-R37)+IF(R39&lt;T.PikettVetsuissebis,MIN(T.PikettVetsuissebis-R39,R40-R39)+IF(R41&lt;T.PikettVetsuissebis,MIN(T.PikettVetsuissebis-R41,R42-R41)+IF(R43&lt;T.PikettVetsuissebis,MIN(T.PikettVetsuissebis-R43,R44-R43),0),0),0),0),0),9),0)</f>
        <v>0</v>
      </c>
      <c r="S47" s="182" t="n">
        <f aca="false">IF(S45&gt;0,ROUND(S45- IF(S35&lt;T.PikettVetsuissebis,MIN(T.PikettVetsuissebis-S35,S36-S35)+IF(S37&lt;T.PikettVetsuissebis,MIN(T.PikettVetsuissebis-S37,S38-S37)+IF(S39&lt;T.PikettVetsuissebis,MIN(T.PikettVetsuissebis-S39,S40-S39)+IF(S41&lt;T.PikettVetsuissebis,MIN(T.PikettVetsuissebis-S41,S42-S41)+IF(S43&lt;T.PikettVetsuissebis,MIN(T.PikettVetsuissebis-S43,S44-S43),0),0),0),0),0),9),0)</f>
        <v>0</v>
      </c>
      <c r="T47" s="182" t="n">
        <f aca="false">IF(T45&gt;0,ROUND(T45- IF(T35&lt;T.PikettVetsuissebis,MIN(T.PikettVetsuissebis-T35,T36-T35)+IF(T37&lt;T.PikettVetsuissebis,MIN(T.PikettVetsuissebis-T37,T38-T37)+IF(T39&lt;T.PikettVetsuissebis,MIN(T.PikettVetsuissebis-T39,T40-T39)+IF(T41&lt;T.PikettVetsuissebis,MIN(T.PikettVetsuissebis-T41,T42-T41)+IF(T43&lt;T.PikettVetsuissebis,MIN(T.PikettVetsuissebis-T43,T44-T43),0),0),0),0),0),9),0)</f>
        <v>0</v>
      </c>
      <c r="U47" s="182" t="n">
        <f aca="false">IF(U45&gt;0,ROUND(U45- IF(U35&lt;T.PikettVetsuissebis,MIN(T.PikettVetsuissebis-U35,U36-U35)+IF(U37&lt;T.PikettVetsuissebis,MIN(T.PikettVetsuissebis-U37,U38-U37)+IF(U39&lt;T.PikettVetsuissebis,MIN(T.PikettVetsuissebis-U39,U40-U39)+IF(U41&lt;T.PikettVetsuissebis,MIN(T.PikettVetsuissebis-U41,U42-U41)+IF(U43&lt;T.PikettVetsuissebis,MIN(T.PikettVetsuissebis-U43,U44-U43),0),0),0),0),0),9),0)</f>
        <v>0</v>
      </c>
      <c r="V47" s="182" t="n">
        <f aca="false">IF(V45&gt;0,ROUND(V45- IF(V35&lt;T.PikettVetsuissebis,MIN(T.PikettVetsuissebis-V35,V36-V35)+IF(V37&lt;T.PikettVetsuissebis,MIN(T.PikettVetsuissebis-V37,V38-V37)+IF(V39&lt;T.PikettVetsuissebis,MIN(T.PikettVetsuissebis-V39,V40-V39)+IF(V41&lt;T.PikettVetsuissebis,MIN(T.PikettVetsuissebis-V41,V42-V41)+IF(V43&lt;T.PikettVetsuissebis,MIN(T.PikettVetsuissebis-V43,V44-V43),0),0),0),0),0),9),0)</f>
        <v>0</v>
      </c>
      <c r="W47" s="182" t="n">
        <f aca="false">IF(W45&gt;0,ROUND(W45- IF(W35&lt;T.PikettVetsuissebis,MIN(T.PikettVetsuissebis-W35,W36-W35)+IF(W37&lt;T.PikettVetsuissebis,MIN(T.PikettVetsuissebis-W37,W38-W37)+IF(W39&lt;T.PikettVetsuissebis,MIN(T.PikettVetsuissebis-W39,W40-W39)+IF(W41&lt;T.PikettVetsuissebis,MIN(T.PikettVetsuissebis-W41,W42-W41)+IF(W43&lt;T.PikettVetsuissebis,MIN(T.PikettVetsuissebis-W43,W44-W43),0),0),0),0),0),9),0)</f>
        <v>0</v>
      </c>
      <c r="X47" s="182" t="n">
        <f aca="false">IF(X45&gt;0,ROUND(X45- IF(X35&lt;T.PikettVetsuissebis,MIN(T.PikettVetsuissebis-X35,X36-X35)+IF(X37&lt;T.PikettVetsuissebis,MIN(T.PikettVetsuissebis-X37,X38-X37)+IF(X39&lt;T.PikettVetsuissebis,MIN(T.PikettVetsuissebis-X39,X40-X39)+IF(X41&lt;T.PikettVetsuissebis,MIN(T.PikettVetsuissebis-X41,X42-X41)+IF(X43&lt;T.PikettVetsuissebis,MIN(T.PikettVetsuissebis-X43,X44-X43),0),0),0),0),0),9),0)</f>
        <v>0</v>
      </c>
      <c r="Y47" s="182" t="n">
        <f aca="false">IF(Y45&gt;0,ROUND(Y45- IF(Y35&lt;T.PikettVetsuissebis,MIN(T.PikettVetsuissebis-Y35,Y36-Y35)+IF(Y37&lt;T.PikettVetsuissebis,MIN(T.PikettVetsuissebis-Y37,Y38-Y37)+IF(Y39&lt;T.PikettVetsuissebis,MIN(T.PikettVetsuissebis-Y39,Y40-Y39)+IF(Y41&lt;T.PikettVetsuissebis,MIN(T.PikettVetsuissebis-Y41,Y42-Y41)+IF(Y43&lt;T.PikettVetsuissebis,MIN(T.PikettVetsuissebis-Y43,Y44-Y43),0),0),0),0),0),9),0)</f>
        <v>0</v>
      </c>
      <c r="Z47" s="182" t="n">
        <f aca="false">IF(Z45&gt;0,ROUND(Z45- IF(Z35&lt;T.PikettVetsuissebis,MIN(T.PikettVetsuissebis-Z35,Z36-Z35)+IF(Z37&lt;T.PikettVetsuissebis,MIN(T.PikettVetsuissebis-Z37,Z38-Z37)+IF(Z39&lt;T.PikettVetsuissebis,MIN(T.PikettVetsuissebis-Z39,Z40-Z39)+IF(Z41&lt;T.PikettVetsuissebis,MIN(T.PikettVetsuissebis-Z41,Z42-Z41)+IF(Z43&lt;T.PikettVetsuissebis,MIN(T.PikettVetsuissebis-Z43,Z44-Z43),0),0),0),0),0),9),0)</f>
        <v>0</v>
      </c>
      <c r="AA47" s="182" t="n">
        <f aca="false">IF(AA45&gt;0,ROUND(AA45- IF(AA35&lt;T.PikettVetsuissebis,MIN(T.PikettVetsuissebis-AA35,AA36-AA35)+IF(AA37&lt;T.PikettVetsuissebis,MIN(T.PikettVetsuissebis-AA37,AA38-AA37)+IF(AA39&lt;T.PikettVetsuissebis,MIN(T.PikettVetsuissebis-AA39,AA40-AA39)+IF(AA41&lt;T.PikettVetsuissebis,MIN(T.PikettVetsuissebis-AA41,AA42-AA41)+IF(AA43&lt;T.PikettVetsuissebis,MIN(T.PikettVetsuissebis-AA43,AA44-AA43),0),0),0),0),0),9),0)</f>
        <v>0</v>
      </c>
      <c r="AB47" s="182" t="n">
        <f aca="false">IF(AB45&gt;0,ROUND(AB45- IF(AB35&lt;T.PikettVetsuissebis,MIN(T.PikettVetsuissebis-AB35,AB36-AB35)+IF(AB37&lt;T.PikettVetsuissebis,MIN(T.PikettVetsuissebis-AB37,AB38-AB37)+IF(AB39&lt;T.PikettVetsuissebis,MIN(T.PikettVetsuissebis-AB39,AB40-AB39)+IF(AB41&lt;T.PikettVetsuissebis,MIN(T.PikettVetsuissebis-AB41,AB42-AB41)+IF(AB43&lt;T.PikettVetsuissebis,MIN(T.PikettVetsuissebis-AB43,AB44-AB43),0),0),0),0),0),9),0)</f>
        <v>0</v>
      </c>
      <c r="AC47" s="182" t="n">
        <f aca="false">IF(AC45&gt;0,ROUND(AC45- IF(AC35&lt;T.PikettVetsuissebis,MIN(T.PikettVetsuissebis-AC35,AC36-AC35)+IF(AC37&lt;T.PikettVetsuissebis,MIN(T.PikettVetsuissebis-AC37,AC38-AC37)+IF(AC39&lt;T.PikettVetsuissebis,MIN(T.PikettVetsuissebis-AC39,AC40-AC39)+IF(AC41&lt;T.PikettVetsuissebis,MIN(T.PikettVetsuissebis-AC41,AC42-AC41)+IF(AC43&lt;T.PikettVetsuissebis,MIN(T.PikettVetsuissebis-AC43,AC44-AC43),0),0),0),0),0),9),0)</f>
        <v>0</v>
      </c>
      <c r="AD47" s="182" t="n">
        <f aca="false">IF(AD45&gt;0,ROUND(AD45- IF(AD35&lt;T.PikettVetsuissebis,MIN(T.PikettVetsuissebis-AD35,AD36-AD35)+IF(AD37&lt;T.PikettVetsuissebis,MIN(T.PikettVetsuissebis-AD37,AD38-AD37)+IF(AD39&lt;T.PikettVetsuissebis,MIN(T.PikettVetsuissebis-AD39,AD40-AD39)+IF(AD41&lt;T.PikettVetsuissebis,MIN(T.PikettVetsuissebis-AD41,AD42-AD41)+IF(AD43&lt;T.PikettVetsuissebis,MIN(T.PikettVetsuissebis-AD43,AD44-AD43),0),0),0),0),0),9),0)</f>
        <v>0</v>
      </c>
      <c r="AE47" s="182" t="n">
        <f aca="false">IF(AE45&gt;0,ROUND(AE45- IF(AE35&lt;T.PikettVetsuissebis,MIN(T.PikettVetsuissebis-AE35,AE36-AE35)+IF(AE37&lt;T.PikettVetsuissebis,MIN(T.PikettVetsuissebis-AE37,AE38-AE37)+IF(AE39&lt;T.PikettVetsuissebis,MIN(T.PikettVetsuissebis-AE39,AE40-AE39)+IF(AE41&lt;T.PikettVetsuissebis,MIN(T.PikettVetsuissebis-AE41,AE42-AE41)+IF(AE43&lt;T.PikettVetsuissebis,MIN(T.PikettVetsuissebis-AE43,AE44-AE43),0),0),0),0),0),9),0)</f>
        <v>0</v>
      </c>
      <c r="AF47" s="182" t="n">
        <f aca="false">IF(AF45&gt;0,ROUND(AF45- IF(AF35&lt;T.PikettVetsuissebis,MIN(T.PikettVetsuissebis-AF35,AF36-AF35)+IF(AF37&lt;T.PikettVetsuissebis,MIN(T.PikettVetsuissebis-AF37,AF38-AF37)+IF(AF39&lt;T.PikettVetsuissebis,MIN(T.PikettVetsuissebis-AF39,AF40-AF39)+IF(AF41&lt;T.PikettVetsuissebis,MIN(T.PikettVetsuissebis-AF41,AF42-AF41)+IF(AF43&lt;T.PikettVetsuissebis,MIN(T.PikettVetsuissebis-AF43,AF44-AF43),0),0),0),0),0),9),0)</f>
        <v>0</v>
      </c>
      <c r="AG47" s="183" t="str">
        <f aca="false">A47</f>
        <v>Total on call hours today</v>
      </c>
      <c r="AH47" s="146"/>
      <c r="AI47" s="179"/>
      <c r="AJ47" s="180"/>
      <c r="AK47" s="172"/>
      <c r="AL47" s="172"/>
      <c r="AM47" s="172"/>
      <c r="AN47" s="171"/>
      <c r="AO47" s="172"/>
      <c r="AP47" s="172"/>
      <c r="AQ47" s="39"/>
    </row>
    <row r="48" s="148" customFormat="true" ht="16.5" hidden="true" customHeight="true" outlineLevel="1" collapsed="false">
      <c r="A48" s="181" t="s">
        <v>137</v>
      </c>
      <c r="B48" s="193" t="n">
        <f aca="false">B45-B47</f>
        <v>0</v>
      </c>
      <c r="C48" s="193" t="n">
        <f aca="false">C45-C47</f>
        <v>0</v>
      </c>
      <c r="D48" s="193" t="n">
        <f aca="false">D45-D47</f>
        <v>0</v>
      </c>
      <c r="E48" s="193" t="n">
        <f aca="false">E45-E47</f>
        <v>0</v>
      </c>
      <c r="F48" s="193" t="n">
        <f aca="false">F45-F47</f>
        <v>0</v>
      </c>
      <c r="G48" s="193" t="n">
        <f aca="false">G45-G47</f>
        <v>0</v>
      </c>
      <c r="H48" s="193" t="n">
        <f aca="false">H45-H47</f>
        <v>0</v>
      </c>
      <c r="I48" s="193" t="n">
        <f aca="false">I45-I47</f>
        <v>0</v>
      </c>
      <c r="J48" s="193" t="n">
        <f aca="false">J45-J47</f>
        <v>0</v>
      </c>
      <c r="K48" s="193" t="n">
        <f aca="false">K45-K47</f>
        <v>0</v>
      </c>
      <c r="L48" s="193" t="n">
        <f aca="false">L45-L47</f>
        <v>0</v>
      </c>
      <c r="M48" s="193" t="n">
        <f aca="false">M45-M47</f>
        <v>0</v>
      </c>
      <c r="N48" s="193" t="n">
        <f aca="false">N45-N47</f>
        <v>0</v>
      </c>
      <c r="O48" s="193" t="n">
        <f aca="false">O45-O47</f>
        <v>0</v>
      </c>
      <c r="P48" s="193" t="n">
        <f aca="false">P45-P47</f>
        <v>0</v>
      </c>
      <c r="Q48" s="193" t="n">
        <f aca="false">Q45-Q47</f>
        <v>0</v>
      </c>
      <c r="R48" s="193" t="n">
        <f aca="false">R45-R47</f>
        <v>0</v>
      </c>
      <c r="S48" s="193" t="n">
        <f aca="false">S45-S47</f>
        <v>0</v>
      </c>
      <c r="T48" s="193" t="n">
        <f aca="false">T45-T47</f>
        <v>0</v>
      </c>
      <c r="U48" s="193" t="n">
        <f aca="false">U45-U47</f>
        <v>0</v>
      </c>
      <c r="V48" s="193" t="n">
        <f aca="false">V45-V47</f>
        <v>0</v>
      </c>
      <c r="W48" s="193" t="n">
        <f aca="false">W45-W47</f>
        <v>0</v>
      </c>
      <c r="X48" s="193" t="n">
        <f aca="false">X45-X47</f>
        <v>0</v>
      </c>
      <c r="Y48" s="193" t="n">
        <f aca="false">Y45-Y47</f>
        <v>0</v>
      </c>
      <c r="Z48" s="193" t="n">
        <f aca="false">Z45-Z47</f>
        <v>0</v>
      </c>
      <c r="AA48" s="193" t="n">
        <f aca="false">AA45-AA47</f>
        <v>0</v>
      </c>
      <c r="AB48" s="193" t="n">
        <f aca="false">AB45-AB47</f>
        <v>0</v>
      </c>
      <c r="AC48" s="193" t="n">
        <f aca="false">AC45-AC47</f>
        <v>0</v>
      </c>
      <c r="AD48" s="193" t="n">
        <f aca="false">AD45-AD47</f>
        <v>0</v>
      </c>
      <c r="AE48" s="193" t="n">
        <f aca="false">AE45-AE47</f>
        <v>0</v>
      </c>
      <c r="AF48" s="193" t="n">
        <f aca="false">AF45-AF47</f>
        <v>0</v>
      </c>
      <c r="AG48" s="183" t="str">
        <f aca="false">A48</f>
        <v>Total on call hours yesterday</v>
      </c>
      <c r="AH48" s="146"/>
      <c r="AI48" s="179"/>
      <c r="AJ48" s="180"/>
      <c r="AK48" s="172"/>
      <c r="AL48" s="172"/>
      <c r="AM48" s="199" t="n">
        <f aca="false">IF(EB.Anwendung&lt;&gt;"",IF(MONTH(Monat.Tag1)=12,0,IF(MONTH(Monat.Tag1)=1,February!Monat.PikettgesternTag1,IF(MONTH(Monat.Tag1)=2,March!Monat.PikettgesternTag1,IF(MONTH(Monat.Tag1)=3,April!Monat.PikettgesternTag1,IF(MONTH(Monat.Tag1)=4,May!Monat.PikettgesternTag1,IF(MONTH(Monat.Tag1)=5,June!Monat.PikettgesternTag1,IF(MONTH(Monat.Tag1)=6,July!Monat.PikettgesternTag1,IF(MONTH(Monat.Tag1)=7,Monat.PikettgesternTag1,IF(MONTH(Monat.Tag1)=8,September!Monat.PikettgesternTag1,IF(MONTH(Monat.Tag1)=9,October!Monat.PikettgesternTag1,IF(MONTH(Monat.Tag1)=10,November!Monat.PikettgesternTag1,IF(MONTH(Monat.Tag1)=11,December!Monat.PikettgesternTag1,"")))))))))))),"")</f>
        <v>0</v>
      </c>
      <c r="AN48" s="171"/>
      <c r="AO48" s="172"/>
      <c r="AP48" s="172"/>
      <c r="AQ48" s="39"/>
    </row>
    <row r="49" s="148" customFormat="true" ht="16.5" hidden="true" customHeight="true" outlineLevel="1" collapsed="false">
      <c r="A49" s="181" t="s">
        <v>138</v>
      </c>
      <c r="B49" s="182" t="n">
        <f aca="false">B47+IF(B$10=EOMONTH(B$10,0),$AM48,C48)</f>
        <v>0</v>
      </c>
      <c r="C49" s="182" t="n">
        <f aca="false">C47+IF(C$10=EOMONTH(C$10,0),$AM48,D48)</f>
        <v>0</v>
      </c>
      <c r="D49" s="182" t="n">
        <f aca="false">D47+IF(D$10=EOMONTH(D$10,0),$AM48,E48)</f>
        <v>0</v>
      </c>
      <c r="E49" s="182" t="n">
        <f aca="false">E47+IF(E$10=EOMONTH(E$10,0),$AM48,F48)</f>
        <v>0</v>
      </c>
      <c r="F49" s="182" t="n">
        <f aca="false">F47+IF(F$10=EOMONTH(F$10,0),$AM48,G48)</f>
        <v>0</v>
      </c>
      <c r="G49" s="182" t="n">
        <f aca="false">G47+IF(G$10=EOMONTH(G$10,0),$AM48,H48)</f>
        <v>0</v>
      </c>
      <c r="H49" s="182" t="n">
        <f aca="false">H47+IF(H$10=EOMONTH(H$10,0),$AM48,I48)</f>
        <v>0</v>
      </c>
      <c r="I49" s="182" t="n">
        <f aca="false">I47+IF(I$10=EOMONTH(I$10,0),$AM48,J48)</f>
        <v>0</v>
      </c>
      <c r="J49" s="182" t="n">
        <f aca="false">J47+IF(J$10=EOMONTH(J$10,0),$AM48,K48)</f>
        <v>0</v>
      </c>
      <c r="K49" s="182" t="n">
        <f aca="false">K47+IF(K$10=EOMONTH(K$10,0),$AM48,L48)</f>
        <v>0</v>
      </c>
      <c r="L49" s="182" t="n">
        <f aca="false">L47+IF(L$10=EOMONTH(L$10,0),$AM48,M48)</f>
        <v>0</v>
      </c>
      <c r="M49" s="182" t="n">
        <f aca="false">M47+IF(M$10=EOMONTH(M$10,0),$AM48,N48)</f>
        <v>0</v>
      </c>
      <c r="N49" s="182" t="n">
        <f aca="false">N47+IF(N$10=EOMONTH(N$10,0),$AM48,O48)</f>
        <v>0</v>
      </c>
      <c r="O49" s="182" t="n">
        <f aca="false">O47+IF(O$10=EOMONTH(O$10,0),$AM48,P48)</f>
        <v>0</v>
      </c>
      <c r="P49" s="182" t="n">
        <f aca="false">P47+IF(P$10=EOMONTH(P$10,0),$AM48,Q48)</f>
        <v>0</v>
      </c>
      <c r="Q49" s="182" t="n">
        <f aca="false">Q47+IF(Q$10=EOMONTH(Q$10,0),$AM48,R48)</f>
        <v>0</v>
      </c>
      <c r="R49" s="182" t="n">
        <f aca="false">R47+IF(R$10=EOMONTH(R$10,0),$AM48,S48)</f>
        <v>0</v>
      </c>
      <c r="S49" s="182" t="n">
        <f aca="false">S47+IF(S$10=EOMONTH(S$10,0),$AM48,T48)</f>
        <v>0</v>
      </c>
      <c r="T49" s="182" t="n">
        <f aca="false">T47+IF(T$10=EOMONTH(T$10,0),$AM48,U48)</f>
        <v>0</v>
      </c>
      <c r="U49" s="182" t="n">
        <f aca="false">U47+IF(U$10=EOMONTH(U$10,0),$AM48,V48)</f>
        <v>0</v>
      </c>
      <c r="V49" s="182" t="n">
        <f aca="false">V47+IF(V$10=EOMONTH(V$10,0),$AM48,W48)</f>
        <v>0</v>
      </c>
      <c r="W49" s="182" t="n">
        <f aca="false">W47+IF(W$10=EOMONTH(W$10,0),$AM48,X48)</f>
        <v>0</v>
      </c>
      <c r="X49" s="182" t="n">
        <f aca="false">X47+IF(X$10=EOMONTH(X$10,0),$AM48,Y48)</f>
        <v>0</v>
      </c>
      <c r="Y49" s="182" t="n">
        <f aca="false">Y47+IF(Y$10=EOMONTH(Y$10,0),$AM48,Z48)</f>
        <v>0</v>
      </c>
      <c r="Z49" s="182" t="n">
        <f aca="false">Z47+IF(Z$10=EOMONTH(Z$10,0),$AM48,AA48)</f>
        <v>0</v>
      </c>
      <c r="AA49" s="182" t="n">
        <f aca="false">AA47+IF(AA$10=EOMONTH(AA$10,0),$AM48,AB48)</f>
        <v>0</v>
      </c>
      <c r="AB49" s="182" t="n">
        <f aca="false">AB47+IF(AB$10=EOMONTH(AB$10,0),$AM48,AC48)</f>
        <v>0</v>
      </c>
      <c r="AC49" s="182" t="n">
        <f aca="false">AC47+IF(AC$10=EOMONTH(AC$10,0),$AM48,AD48)</f>
        <v>0</v>
      </c>
      <c r="AD49" s="182" t="n">
        <f aca="false">AD47+IF(AD$10=EOMONTH(AD$10,0),$AM48,AE48)</f>
        <v>0</v>
      </c>
      <c r="AE49" s="182" t="n">
        <f aca="false">AE47+IF(AE$10=EOMONTH(AE$10,0),$AM48,AF48)</f>
        <v>0</v>
      </c>
      <c r="AF49" s="182" t="n">
        <f aca="false">AF47+IF(AF$10=EOMONTH(AF$10,0),$AM48,AG48)</f>
        <v>0</v>
      </c>
      <c r="AG49" s="183" t="str">
        <f aca="false">A49</f>
        <v>Total on call standby hours</v>
      </c>
      <c r="AH49" s="184"/>
      <c r="AI49" s="185" t="n">
        <f aca="false">SUM(B49:AF49)</f>
        <v>0</v>
      </c>
      <c r="AJ49" s="180"/>
      <c r="AK49" s="172"/>
      <c r="AL49" s="172"/>
      <c r="AM49" s="172"/>
      <c r="AN49" s="171"/>
      <c r="AO49" s="172"/>
      <c r="AP49" s="172"/>
      <c r="AQ49" s="39"/>
    </row>
    <row r="50" s="148" customFormat="true" ht="3.75" hidden="false" customHeight="true" outlineLevel="0" collapsed="false">
      <c r="A50" s="200"/>
      <c r="B50" s="187"/>
      <c r="C50" s="187"/>
      <c r="D50" s="187"/>
      <c r="E50" s="187"/>
      <c r="F50" s="187"/>
      <c r="G50" s="187"/>
      <c r="H50" s="187"/>
      <c r="I50" s="187"/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87"/>
      <c r="U50" s="187"/>
      <c r="V50" s="187"/>
      <c r="W50" s="187"/>
      <c r="X50" s="187"/>
      <c r="Y50" s="187"/>
      <c r="Z50" s="187"/>
      <c r="AA50" s="187"/>
      <c r="AB50" s="187"/>
      <c r="AC50" s="187"/>
      <c r="AD50" s="187"/>
      <c r="AE50" s="187"/>
      <c r="AF50" s="188"/>
      <c r="AG50" s="201"/>
      <c r="AH50" s="202"/>
      <c r="AI50" s="188"/>
      <c r="AJ50" s="180"/>
      <c r="AK50" s="172"/>
      <c r="AL50" s="172"/>
      <c r="AM50" s="172"/>
      <c r="AN50" s="171"/>
      <c r="AO50" s="172"/>
      <c r="AP50" s="172"/>
      <c r="AQ50" s="39"/>
    </row>
    <row r="51" s="148" customFormat="true" ht="15" hidden="false" customHeight="true" outlineLevel="0" collapsed="false">
      <c r="A51" s="181" t="s">
        <v>139</v>
      </c>
      <c r="B51" s="203" t="n">
        <f aca="false">ROUND(B23+B45+B84+SUM(B86:B95)+IF(T.50_Vetsuisse,B71,0),9)</f>
        <v>0</v>
      </c>
      <c r="C51" s="203" t="n">
        <f aca="false">ROUND(C23+C45+C84+SUM(C86:C95)+IF(T.50_Vetsuisse,C71,0),9)</f>
        <v>0</v>
      </c>
      <c r="D51" s="203" t="n">
        <f aca="false">ROUND(D23+D45+D84+SUM(D86:D95)+IF(T.50_Vetsuisse,D71,0),9)</f>
        <v>0</v>
      </c>
      <c r="E51" s="204" t="n">
        <f aca="false">ROUND(E23+E45+E84+SUM(E86:E95)+IF(T.50_Vetsuisse,E71,0),9)</f>
        <v>0</v>
      </c>
      <c r="F51" s="203" t="n">
        <f aca="false">ROUND(F23+F45+F84+SUM(F86:F95)+IF(T.50_Vetsuisse,F71,0),9)</f>
        <v>0</v>
      </c>
      <c r="G51" s="203" t="n">
        <f aca="false">ROUND(G23+G45+G84+SUM(G86:G95)+IF(T.50_Vetsuisse,G71,0),9)</f>
        <v>0</v>
      </c>
      <c r="H51" s="203" t="n">
        <f aca="false">ROUND(H23+H45+H84+SUM(H86:H95)+IF(T.50_Vetsuisse,H71,0),9)</f>
        <v>0</v>
      </c>
      <c r="I51" s="203" t="n">
        <f aca="false">ROUND(I23+I45+I84+SUM(I86:I95)+IF(T.50_Vetsuisse,I71,0),9)</f>
        <v>0</v>
      </c>
      <c r="J51" s="205" t="n">
        <f aca="false">ROUND(J23+J45+J84+SUM(J86:J95)+IF(T.50_Vetsuisse,J71,0),9)</f>
        <v>0</v>
      </c>
      <c r="K51" s="203" t="n">
        <f aca="false">ROUND(K23+K45+K84+SUM(K86:K95)+IF(T.50_Vetsuisse,K71,0),9)</f>
        <v>0</v>
      </c>
      <c r="L51" s="205" t="n">
        <f aca="false">ROUND(L23+L45+L84+SUM(L86:L95)+IF(T.50_Vetsuisse,L71,0),9)</f>
        <v>0</v>
      </c>
      <c r="M51" s="203" t="n">
        <f aca="false">ROUND(M23+M45+M84+SUM(M86:M95)+IF(T.50_Vetsuisse,M71,0),9)</f>
        <v>0</v>
      </c>
      <c r="N51" s="203" t="n">
        <f aca="false">ROUND(N23+N45+N84+SUM(N86:N95)+IF(T.50_Vetsuisse,N71,0),9)</f>
        <v>0</v>
      </c>
      <c r="O51" s="203" t="n">
        <f aca="false">ROUND(O23+O45+O84+SUM(O86:O95)+IF(T.50_Vetsuisse,O71,0),9)</f>
        <v>0</v>
      </c>
      <c r="P51" s="203" t="n">
        <f aca="false">ROUND(P23+P45+P84+SUM(P86:P95)+IF(T.50_Vetsuisse,P71,0),9)</f>
        <v>0</v>
      </c>
      <c r="Q51" s="205" t="n">
        <f aca="false">ROUND(Q23+Q45+Q84+SUM(Q86:Q95)+IF(T.50_Vetsuisse,Q71,0),9)</f>
        <v>0</v>
      </c>
      <c r="R51" s="203" t="n">
        <f aca="false">ROUND(R23+R45+R84+SUM(R86:R95)+IF(T.50_Vetsuisse,R71,0),9)</f>
        <v>0</v>
      </c>
      <c r="S51" s="205" t="n">
        <f aca="false">ROUND(S23+S45+S84+SUM(S86:S95)+IF(T.50_Vetsuisse,S71,0),9)</f>
        <v>0</v>
      </c>
      <c r="T51" s="205" t="n">
        <f aca="false">ROUND(T23+T45+T84+SUM(T86:T95)+IF(T.50_Vetsuisse,T71,0),9)</f>
        <v>0</v>
      </c>
      <c r="U51" s="203" t="n">
        <f aca="false">ROUND(U23+U45+U84+SUM(U86:U95)+IF(T.50_Vetsuisse,U71,0),9)</f>
        <v>0</v>
      </c>
      <c r="V51" s="203" t="n">
        <f aca="false">ROUND(V23+V45+V84+SUM(V86:V95)+IF(T.50_Vetsuisse,V71,0),9)</f>
        <v>0</v>
      </c>
      <c r="W51" s="203" t="n">
        <f aca="false">ROUND(W23+W45+W84+SUM(W86:W95)+IF(T.50_Vetsuisse,W71,0),9)</f>
        <v>0</v>
      </c>
      <c r="X51" s="205" t="n">
        <f aca="false">ROUND(X23+X45+X84+SUM(X86:X95)+IF(T.50_Vetsuisse,X71,0),9)</f>
        <v>0</v>
      </c>
      <c r="Y51" s="203" t="n">
        <f aca="false">ROUND(Y23+Y45+Y84+SUM(Y86:Y95)+IF(T.50_Vetsuisse,Y71,0),9)</f>
        <v>0</v>
      </c>
      <c r="Z51" s="206" t="n">
        <f aca="false">ROUND(Z23+Z45+Z84+SUM(Z86:Z95)+IF(T.50_Vetsuisse,Z71,0),9)</f>
        <v>0</v>
      </c>
      <c r="AA51" s="203" t="n">
        <f aca="false">ROUND(AA23+AA45+AA84+SUM(AA86:AA95)+IF(T.50_Vetsuisse,AA71,0),9)</f>
        <v>0</v>
      </c>
      <c r="AB51" s="203" t="n">
        <f aca="false">ROUND(AB23+AB45+AB84+SUM(AB86:AB95)+IF(T.50_Vetsuisse,AB71,0),9)</f>
        <v>0</v>
      </c>
      <c r="AC51" s="203" t="n">
        <f aca="false">ROUND(AC23+AC45+AC84+SUM(AC86:AC95)+IF(T.50_Vetsuisse,AC71,0),9)</f>
        <v>0</v>
      </c>
      <c r="AD51" s="203" t="n">
        <f aca="false">ROUND(AD23+AD45+AD84+SUM(AD86:AD95)+IF(T.50_Vetsuisse,AD71,0),9)</f>
        <v>0</v>
      </c>
      <c r="AE51" s="205" t="n">
        <f aca="false">ROUND(AE23+AE45+AE84+SUM(AE86:AE95)+IF(T.50_Vetsuisse,AE71,0),9)</f>
        <v>0</v>
      </c>
      <c r="AF51" s="203" t="n">
        <f aca="false">ROUND(AF23+AF45+AF84+SUM(AF86:AF95)+IF(T.50_Vetsuisse,AF71,0),9)</f>
        <v>0</v>
      </c>
      <c r="AG51" s="183" t="str">
        <f aca="false">A51</f>
        <v>Actual hours worked</v>
      </c>
      <c r="AH51" s="184"/>
      <c r="AI51" s="207" t="n">
        <f aca="false">SUM(B51:AF51)</f>
        <v>0</v>
      </c>
      <c r="AJ51" s="180"/>
      <c r="AK51" s="172"/>
      <c r="AL51" s="172"/>
      <c r="AM51" s="172"/>
      <c r="AN51" s="208" t="n">
        <f aca="true">IF(WEEKDAY(EOMONTH(Monat.Tag1,0),2)=7,0,MAX(0,SUM(OFFSET(B51,0,DAY(EOMONTH(Monat.Tag1,0))-WEEKDAY(EOMONTH(Monat.Tag1,0),2),1,WEEKDAY(EOMONTH(Monat.Tag1,0),2)))))</f>
        <v>0</v>
      </c>
      <c r="AO51" s="172"/>
      <c r="AP51" s="172"/>
      <c r="AQ51" s="39"/>
    </row>
    <row r="52" s="148" customFormat="true" ht="15" hidden="false" customHeight="true" outlineLevel="1" collapsed="false">
      <c r="A52" s="175" t="s">
        <v>140</v>
      </c>
      <c r="B52" s="209" t="n">
        <f aca="false">IF(B$12=0,0,ROUND(INDEX(Monat.RAZ1_7.Bereich,WEEKDAY(B$10,2))*B$11,9))</f>
        <v>0</v>
      </c>
      <c r="C52" s="209" t="n">
        <f aca="false">IF(C$12=0,0,ROUND(INDEX(Monat.RAZ1_7.Bereich,WEEKDAY(C$10,2))*C$11,9))</f>
        <v>0.35</v>
      </c>
      <c r="D52" s="210" t="n">
        <f aca="false">IF(D$12=0,0,ROUND(INDEX(Monat.RAZ1_7.Bereich,WEEKDAY(D$10,2))*D$11,9))</f>
        <v>0.35</v>
      </c>
      <c r="E52" s="209" t="n">
        <f aca="false">IF(E$12=0,0,ROUND(INDEX(Monat.RAZ1_7.Bereich,WEEKDAY(E$10,2))*E$11,9))</f>
        <v>0</v>
      </c>
      <c r="F52" s="210" t="n">
        <f aca="false">IF(F$12=0,0,ROUND(INDEX(Monat.RAZ1_7.Bereich,WEEKDAY(F$10,2))*F$11,9))</f>
        <v>0</v>
      </c>
      <c r="G52" s="210" t="n">
        <f aca="false">IF(G$12=0,0,ROUND(INDEX(Monat.RAZ1_7.Bereich,WEEKDAY(G$10,2))*G$11,9))</f>
        <v>0.35</v>
      </c>
      <c r="H52" s="210" t="n">
        <f aca="false">IF(H$12=0,0,ROUND(INDEX(Monat.RAZ1_7.Bereich,WEEKDAY(H$10,2))*H$11,9))</f>
        <v>0.35</v>
      </c>
      <c r="I52" s="210" t="n">
        <f aca="false">IF(I$12=0,0,ROUND(INDEX(Monat.RAZ1_7.Bereich,WEEKDAY(I$10,2))*I$11,9))</f>
        <v>0.35</v>
      </c>
      <c r="J52" s="209" t="n">
        <f aca="false">IF(J$12=0,0,ROUND(INDEX(Monat.RAZ1_7.Bereich,WEEKDAY(J$10,2))*J$11,9))</f>
        <v>0.35</v>
      </c>
      <c r="K52" s="210" t="n">
        <f aca="false">IF(K$12=0,0,ROUND(INDEX(Monat.RAZ1_7.Bereich,WEEKDAY(K$10,2))*K$11,9))</f>
        <v>0.35</v>
      </c>
      <c r="L52" s="209" t="n">
        <f aca="false">IF(L$12=0,0,ROUND(INDEX(Monat.RAZ1_7.Bereich,WEEKDAY(L$10,2))*L$11,9))</f>
        <v>0</v>
      </c>
      <c r="M52" s="210" t="n">
        <f aca="false">IF(M$12=0,0,ROUND(INDEX(Monat.RAZ1_7.Bereich,WEEKDAY(M$10,2))*M$11,9))</f>
        <v>0</v>
      </c>
      <c r="N52" s="210" t="n">
        <f aca="false">IF(N$12=0,0,ROUND(INDEX(Monat.RAZ1_7.Bereich,WEEKDAY(N$10,2))*N$11,9))</f>
        <v>0.35</v>
      </c>
      <c r="O52" s="210" t="n">
        <f aca="false">IF(O$12=0,0,ROUND(INDEX(Monat.RAZ1_7.Bereich,WEEKDAY(O$10,2))*O$11,9))</f>
        <v>0.35</v>
      </c>
      <c r="P52" s="210" t="n">
        <f aca="false">IF(P$12=0,0,ROUND(INDEX(Monat.RAZ1_7.Bereich,WEEKDAY(P$10,2))*P$11,9))</f>
        <v>0.35</v>
      </c>
      <c r="Q52" s="209" t="n">
        <f aca="false">IF(Q$12=0,0,ROUND(INDEX(Monat.RAZ1_7.Bereich,WEEKDAY(Q$10,2))*Q$11,9))</f>
        <v>0.35</v>
      </c>
      <c r="R52" s="210" t="n">
        <f aca="false">IF(R$12=0,0,ROUND(INDEX(Monat.RAZ1_7.Bereich,WEEKDAY(R$10,2))*R$11,9))</f>
        <v>0.35</v>
      </c>
      <c r="S52" s="209" t="n">
        <f aca="false">IF(S$12=0,0,ROUND(INDEX(Monat.RAZ1_7.Bereich,WEEKDAY(S$10,2))*S$11,9))</f>
        <v>0</v>
      </c>
      <c r="T52" s="209" t="n">
        <f aca="false">IF(T$12=0,0,ROUND(INDEX(Monat.RAZ1_7.Bereich,WEEKDAY(T$10,2))*T$11,9))</f>
        <v>0</v>
      </c>
      <c r="U52" s="210" t="n">
        <f aca="false">IF(U$12=0,0,ROUND(INDEX(Monat.RAZ1_7.Bereich,WEEKDAY(U$10,2))*U$11,9))</f>
        <v>0.35</v>
      </c>
      <c r="V52" s="210" t="n">
        <f aca="false">IF(V$12=0,0,ROUND(INDEX(Monat.RAZ1_7.Bereich,WEEKDAY(V$10,2))*V$11,9))</f>
        <v>0.35</v>
      </c>
      <c r="W52" s="210" t="n">
        <f aca="false">IF(W$12=0,0,ROUND(INDEX(Monat.RAZ1_7.Bereich,WEEKDAY(W$10,2))*W$11,9))</f>
        <v>0.35</v>
      </c>
      <c r="X52" s="209" t="n">
        <f aca="false">IF(X$12=0,0,ROUND(INDEX(Monat.RAZ1_7.Bereich,WEEKDAY(X$10,2))*X$11,9))</f>
        <v>0.35</v>
      </c>
      <c r="Y52" s="210" t="n">
        <f aca="false">IF(Y$12=0,0,ROUND(INDEX(Monat.RAZ1_7.Bereich,WEEKDAY(Y$10,2))*Y$11,9))</f>
        <v>0.35</v>
      </c>
      <c r="Z52" s="211" t="n">
        <f aca="false">IF(Z$12=0,0,ROUND(INDEX(Monat.RAZ1_7.Bereich,WEEKDAY(Z$10,2))*Z$11,9))</f>
        <v>0</v>
      </c>
      <c r="AA52" s="210" t="n">
        <f aca="false">IF(AA$12=0,0,ROUND(INDEX(Monat.RAZ1_7.Bereich,WEEKDAY(AA$10,2))*AA$11,9))</f>
        <v>0</v>
      </c>
      <c r="AB52" s="210" t="n">
        <f aca="false">IF(AB$12=0,0,ROUND(INDEX(Monat.RAZ1_7.Bereich,WEEKDAY(AB$10,2))*AB$11,9))</f>
        <v>0.35</v>
      </c>
      <c r="AC52" s="210" t="n">
        <f aca="false">IF(AC$12=0,0,ROUND(INDEX(Monat.RAZ1_7.Bereich,WEEKDAY(AC$10,2))*AC$11,9))</f>
        <v>0.35</v>
      </c>
      <c r="AD52" s="210" t="n">
        <f aca="false">IF(AD$12=0,0,ROUND(INDEX(Monat.RAZ1_7.Bereich,WEEKDAY(AD$10,2))*AD$11,9))</f>
        <v>0.35</v>
      </c>
      <c r="AE52" s="209" t="n">
        <f aca="false">IF(AE$12=0,0,ROUND(INDEX(Monat.RAZ1_7.Bereich,WEEKDAY(AE$10,2))*AE$11,9))</f>
        <v>0.35</v>
      </c>
      <c r="AF52" s="210" t="n">
        <f aca="false">IF(AF$12=0,0,ROUND(INDEX(Monat.RAZ1_7.Bereich,WEEKDAY(AF$10,2))*AF$11,9))</f>
        <v>0.35</v>
      </c>
      <c r="AG52" s="212" t="str">
        <f aca="false">A52</f>
        <v>Standardized hours (Info)</v>
      </c>
      <c r="AH52" s="184"/>
      <c r="AI52" s="179"/>
      <c r="AJ52" s="180"/>
      <c r="AK52" s="172"/>
      <c r="AL52" s="172"/>
      <c r="AM52" s="172"/>
      <c r="AN52" s="171"/>
      <c r="AO52" s="172"/>
      <c r="AP52" s="172"/>
      <c r="AQ52" s="39"/>
    </row>
    <row r="53" s="148" customFormat="true" ht="15" hidden="false" customHeight="true" outlineLevel="0" collapsed="false">
      <c r="A53" s="175" t="s">
        <v>141</v>
      </c>
      <c r="B53" s="213" t="n">
        <f aca="false">IF(B$12=0,0,ROUND(INDEX(EB.AZSOLLTag100.Bereich,MATCH(INDEX(EB.Monate.Bereich,MONTH(Monat.Tag1)),EB.Monate.Bereich,0))*B$11*IF(WEEKDAY(B$10,2)&gt;5,0,1)*$V$2/100,9))</f>
        <v>0</v>
      </c>
      <c r="C53" s="213" t="n">
        <f aca="false">IF(C$12=0,0,ROUND(INDEX(EB.AZSOLLTag100.Bereich,MATCH(INDEX(EB.Monate.Bereich,MONTH(Monat.Tag1)),EB.Monate.Bereich,0))*C$11*IF(WEEKDAY(C$10,2)&gt;5,0,1)*$V$2/100,9))</f>
        <v>0.35</v>
      </c>
      <c r="D53" s="213" t="n">
        <f aca="false">IF(D$12=0,0,ROUND(INDEX(EB.AZSOLLTag100.Bereich,MATCH(INDEX(EB.Monate.Bereich,MONTH(Monat.Tag1)),EB.Monate.Bereich,0))*D$11*IF(WEEKDAY(D$10,2)&gt;5,0,1)*$V$2/100,9))</f>
        <v>0.35</v>
      </c>
      <c r="E53" s="213" t="n">
        <f aca="false">IF(E$12=0,0,ROUND(INDEX(EB.AZSOLLTag100.Bereich,MATCH(INDEX(EB.Monate.Bereich,MONTH(Monat.Tag1)),EB.Monate.Bereich,0))*E$11*IF(WEEKDAY(E$10,2)&gt;5,0,1)*$V$2/100,9))</f>
        <v>0</v>
      </c>
      <c r="F53" s="213" t="n">
        <f aca="false">IF(F$12=0,0,ROUND(INDEX(EB.AZSOLLTag100.Bereich,MATCH(INDEX(EB.Monate.Bereich,MONTH(Monat.Tag1)),EB.Monate.Bereich,0))*F$11*IF(WEEKDAY(F$10,2)&gt;5,0,1)*$V$2/100,9))</f>
        <v>0</v>
      </c>
      <c r="G53" s="213" t="n">
        <f aca="false">IF(G$12=0,0,ROUND(INDEX(EB.AZSOLLTag100.Bereich,MATCH(INDEX(EB.Monate.Bereich,MONTH(Monat.Tag1)),EB.Monate.Bereich,0))*G$11*IF(WEEKDAY(G$10,2)&gt;5,0,1)*$V$2/100,9))</f>
        <v>0.35</v>
      </c>
      <c r="H53" s="213" t="n">
        <f aca="false">IF(H$12=0,0,ROUND(INDEX(EB.AZSOLLTag100.Bereich,MATCH(INDEX(EB.Monate.Bereich,MONTH(Monat.Tag1)),EB.Monate.Bereich,0))*H$11*IF(WEEKDAY(H$10,2)&gt;5,0,1)*$V$2/100,9))</f>
        <v>0.35</v>
      </c>
      <c r="I53" s="213" t="n">
        <f aca="false">IF(I$12=0,0,ROUND(INDEX(EB.AZSOLLTag100.Bereich,MATCH(INDEX(EB.Monate.Bereich,MONTH(Monat.Tag1)),EB.Monate.Bereich,0))*I$11*IF(WEEKDAY(I$10,2)&gt;5,0,1)*$V$2/100,9))</f>
        <v>0.35</v>
      </c>
      <c r="J53" s="213" t="n">
        <f aca="false">IF(J$12=0,0,ROUND(INDEX(EB.AZSOLLTag100.Bereich,MATCH(INDEX(EB.Monate.Bereich,MONTH(Monat.Tag1)),EB.Monate.Bereich,0))*J$11*IF(WEEKDAY(J$10,2)&gt;5,0,1)*$V$2/100,9))</f>
        <v>0.35</v>
      </c>
      <c r="K53" s="213" t="n">
        <f aca="false">IF(K$12=0,0,ROUND(INDEX(EB.AZSOLLTag100.Bereich,MATCH(INDEX(EB.Monate.Bereich,MONTH(Monat.Tag1)),EB.Monate.Bereich,0))*K$11*IF(WEEKDAY(K$10,2)&gt;5,0,1)*$V$2/100,9))</f>
        <v>0.35</v>
      </c>
      <c r="L53" s="213" t="n">
        <f aca="false">IF(L$12=0,0,ROUND(INDEX(EB.AZSOLLTag100.Bereich,MATCH(INDEX(EB.Monate.Bereich,MONTH(Monat.Tag1)),EB.Monate.Bereich,0))*L$11*IF(WEEKDAY(L$10,2)&gt;5,0,1)*$V$2/100,9))</f>
        <v>0</v>
      </c>
      <c r="M53" s="213" t="n">
        <f aca="false">IF(M$12=0,0,ROUND(INDEX(EB.AZSOLLTag100.Bereich,MATCH(INDEX(EB.Monate.Bereich,MONTH(Monat.Tag1)),EB.Monate.Bereich,0))*M$11*IF(WEEKDAY(M$10,2)&gt;5,0,1)*$V$2/100,9))</f>
        <v>0</v>
      </c>
      <c r="N53" s="213" t="n">
        <f aca="false">IF(N$12=0,0,ROUND(INDEX(EB.AZSOLLTag100.Bereich,MATCH(INDEX(EB.Monate.Bereich,MONTH(Monat.Tag1)),EB.Monate.Bereich,0))*N$11*IF(WEEKDAY(N$10,2)&gt;5,0,1)*$V$2/100,9))</f>
        <v>0.35</v>
      </c>
      <c r="O53" s="213" t="n">
        <f aca="false">IF(O$12=0,0,ROUND(INDEX(EB.AZSOLLTag100.Bereich,MATCH(INDEX(EB.Monate.Bereich,MONTH(Monat.Tag1)),EB.Monate.Bereich,0))*O$11*IF(WEEKDAY(O$10,2)&gt;5,0,1)*$V$2/100,9))</f>
        <v>0.35</v>
      </c>
      <c r="P53" s="213" t="n">
        <f aca="false">IF(P$12=0,0,ROUND(INDEX(EB.AZSOLLTag100.Bereich,MATCH(INDEX(EB.Monate.Bereich,MONTH(Monat.Tag1)),EB.Monate.Bereich,0))*P$11*IF(WEEKDAY(P$10,2)&gt;5,0,1)*$V$2/100,9))</f>
        <v>0.35</v>
      </c>
      <c r="Q53" s="213" t="n">
        <f aca="false">IF(Q$12=0,0,ROUND(INDEX(EB.AZSOLLTag100.Bereich,MATCH(INDEX(EB.Monate.Bereich,MONTH(Monat.Tag1)),EB.Monate.Bereich,0))*Q$11*IF(WEEKDAY(Q$10,2)&gt;5,0,1)*$V$2/100,9))</f>
        <v>0.35</v>
      </c>
      <c r="R53" s="213" t="n">
        <f aca="false">IF(R$12=0,0,ROUND(INDEX(EB.AZSOLLTag100.Bereich,MATCH(INDEX(EB.Monate.Bereich,MONTH(Monat.Tag1)),EB.Monate.Bereich,0))*R$11*IF(WEEKDAY(R$10,2)&gt;5,0,1)*$V$2/100,9))</f>
        <v>0.35</v>
      </c>
      <c r="S53" s="213" t="n">
        <f aca="false">IF(S$12=0,0,ROUND(INDEX(EB.AZSOLLTag100.Bereich,MATCH(INDEX(EB.Monate.Bereich,MONTH(Monat.Tag1)),EB.Monate.Bereich,0))*S$11*IF(WEEKDAY(S$10,2)&gt;5,0,1)*$V$2/100,9))</f>
        <v>0</v>
      </c>
      <c r="T53" s="213" t="n">
        <f aca="false">IF(T$12=0,0,ROUND(INDEX(EB.AZSOLLTag100.Bereich,MATCH(INDEX(EB.Monate.Bereich,MONTH(Monat.Tag1)),EB.Monate.Bereich,0))*T$11*IF(WEEKDAY(T$10,2)&gt;5,0,1)*$V$2/100,9))</f>
        <v>0</v>
      </c>
      <c r="U53" s="213" t="n">
        <f aca="false">IF(U$12=0,0,ROUND(INDEX(EB.AZSOLLTag100.Bereich,MATCH(INDEX(EB.Monate.Bereich,MONTH(Monat.Tag1)),EB.Monate.Bereich,0))*U$11*IF(WEEKDAY(U$10,2)&gt;5,0,1)*$V$2/100,9))</f>
        <v>0.35</v>
      </c>
      <c r="V53" s="213" t="n">
        <f aca="false">IF(V$12=0,0,ROUND(INDEX(EB.AZSOLLTag100.Bereich,MATCH(INDEX(EB.Monate.Bereich,MONTH(Monat.Tag1)),EB.Monate.Bereich,0))*V$11*IF(WEEKDAY(V$10,2)&gt;5,0,1)*$V$2/100,9))</f>
        <v>0.35</v>
      </c>
      <c r="W53" s="213" t="n">
        <f aca="false">IF(W$12=0,0,ROUND(INDEX(EB.AZSOLLTag100.Bereich,MATCH(INDEX(EB.Monate.Bereich,MONTH(Monat.Tag1)),EB.Monate.Bereich,0))*W$11*IF(WEEKDAY(W$10,2)&gt;5,0,1)*$V$2/100,9))</f>
        <v>0.35</v>
      </c>
      <c r="X53" s="213" t="n">
        <f aca="false">IF(X$12=0,0,ROUND(INDEX(EB.AZSOLLTag100.Bereich,MATCH(INDEX(EB.Monate.Bereich,MONTH(Monat.Tag1)),EB.Monate.Bereich,0))*X$11*IF(WEEKDAY(X$10,2)&gt;5,0,1)*$V$2/100,9))</f>
        <v>0.35</v>
      </c>
      <c r="Y53" s="213" t="n">
        <f aca="false">IF(Y$12=0,0,ROUND(INDEX(EB.AZSOLLTag100.Bereich,MATCH(INDEX(EB.Monate.Bereich,MONTH(Monat.Tag1)),EB.Monate.Bereich,0))*Y$11*IF(WEEKDAY(Y$10,2)&gt;5,0,1)*$V$2/100,9))</f>
        <v>0.35</v>
      </c>
      <c r="Z53" s="213" t="n">
        <f aca="false">IF(Z$12=0,0,ROUND(INDEX(EB.AZSOLLTag100.Bereich,MATCH(INDEX(EB.Monate.Bereich,MONTH(Monat.Tag1)),EB.Monate.Bereich,0))*Z$11*IF(WEEKDAY(Z$10,2)&gt;5,0,1)*$V$2/100,9))</f>
        <v>0</v>
      </c>
      <c r="AA53" s="213" t="n">
        <f aca="false">IF(AA$12=0,0,ROUND(INDEX(EB.AZSOLLTag100.Bereich,MATCH(INDEX(EB.Monate.Bereich,MONTH(Monat.Tag1)),EB.Monate.Bereich,0))*AA$11*IF(WEEKDAY(AA$10,2)&gt;5,0,1)*$V$2/100,9))</f>
        <v>0</v>
      </c>
      <c r="AB53" s="213" t="n">
        <f aca="false">IF(AB$12=0,0,ROUND(INDEX(EB.AZSOLLTag100.Bereich,MATCH(INDEX(EB.Monate.Bereich,MONTH(Monat.Tag1)),EB.Monate.Bereich,0))*AB$11*IF(WEEKDAY(AB$10,2)&gt;5,0,1)*$V$2/100,9))</f>
        <v>0.35</v>
      </c>
      <c r="AC53" s="213" t="n">
        <f aca="false">IF(AC$12=0,0,ROUND(INDEX(EB.AZSOLLTag100.Bereich,MATCH(INDEX(EB.Monate.Bereich,MONTH(Monat.Tag1)),EB.Monate.Bereich,0))*AC$11*IF(WEEKDAY(AC$10,2)&gt;5,0,1)*$V$2/100,9))</f>
        <v>0.35</v>
      </c>
      <c r="AD53" s="213" t="n">
        <f aca="false">IF(AD$12=0,0,ROUND(INDEX(EB.AZSOLLTag100.Bereich,MATCH(INDEX(EB.Monate.Bereich,MONTH(Monat.Tag1)),EB.Monate.Bereich,0))*AD$11*IF(WEEKDAY(AD$10,2)&gt;5,0,1)*$V$2/100,9))</f>
        <v>0.35</v>
      </c>
      <c r="AE53" s="213" t="n">
        <f aca="false">IF(AE$12=0,0,ROUND(INDEX(EB.AZSOLLTag100.Bereich,MATCH(INDEX(EB.Monate.Bereich,MONTH(Monat.Tag1)),EB.Monate.Bereich,0))*AE$11*IF(WEEKDAY(AE$10,2)&gt;5,0,1)*$V$2/100,9))</f>
        <v>0.35</v>
      </c>
      <c r="AF53" s="213" t="n">
        <f aca="false">IF(AF$12=0,0,ROUND(INDEX(EB.AZSOLLTag100.Bereich,MATCH(INDEX(EB.Monate.Bereich,MONTH(Monat.Tag1)),EB.Monate.Bereich,0))*AF$11*IF(WEEKDAY(AF$10,2)&gt;5,0,1)*$V$2/100,9))</f>
        <v>0.35</v>
      </c>
      <c r="AG53" s="168" t="str">
        <f aca="false">A53</f>
        <v>Req. hours of work FTE</v>
      </c>
      <c r="AH53" s="184"/>
      <c r="AI53" s="207" t="n">
        <f aca="false">SUM(B53:AF53)</f>
        <v>7.7</v>
      </c>
      <c r="AJ53" s="180"/>
      <c r="AK53" s="172"/>
      <c r="AL53" s="172"/>
      <c r="AM53" s="172"/>
      <c r="AN53" s="171"/>
      <c r="AO53" s="172"/>
      <c r="AP53" s="172"/>
      <c r="AQ53" s="39"/>
    </row>
    <row r="54" s="148" customFormat="true" ht="15" hidden="true" customHeight="true" outlineLevel="1" collapsed="false">
      <c r="A54" s="175" t="s">
        <v>142</v>
      </c>
      <c r="B54" s="213" t="n">
        <f aca="false">ROUND(INDEX(EB.AZSOLLTag100.Bereich,MATCH(INDEX(EB.Monate.Bereich,MONTH(Monat.Tag1)),EB.Monate.Bereich,0))*B$11*IF(WEEKDAY(B$10,2)&gt;5,0,1),9)</f>
        <v>0</v>
      </c>
      <c r="C54" s="213" t="n">
        <f aca="false">ROUND(INDEX(EB.AZSOLLTag100.Bereich,MATCH(INDEX(EB.Monate.Bereich,MONTH(Monat.Tag1)),EB.Monate.Bereich,0))*C$11*IF(WEEKDAY(C$10,2)&gt;5,0,1),9)</f>
        <v>0.35</v>
      </c>
      <c r="D54" s="214" t="n">
        <f aca="false">ROUND(INDEX(EB.AZSOLLTag100.Bereich,MATCH(INDEX(EB.Monate.Bereich,MONTH(Monat.Tag1)),EB.Monate.Bereich,0))*D$11*IF(WEEKDAY(D$10,2)&gt;5,0,1),9)</f>
        <v>0.35</v>
      </c>
      <c r="E54" s="213" t="n">
        <f aca="false">ROUND(INDEX(EB.AZSOLLTag100.Bereich,MATCH(INDEX(EB.Monate.Bereich,MONTH(Monat.Tag1)),EB.Monate.Bereich,0))*E$11*IF(WEEKDAY(E$10,2)&gt;5,0,1),9)</f>
        <v>0</v>
      </c>
      <c r="F54" s="214" t="n">
        <f aca="false">ROUND(INDEX(EB.AZSOLLTag100.Bereich,MATCH(INDEX(EB.Monate.Bereich,MONTH(Monat.Tag1)),EB.Monate.Bereich,0))*F$11*IF(WEEKDAY(F$10,2)&gt;5,0,1),9)</f>
        <v>0</v>
      </c>
      <c r="G54" s="214" t="n">
        <f aca="false">ROUND(INDEX(EB.AZSOLLTag100.Bereich,MATCH(INDEX(EB.Monate.Bereich,MONTH(Monat.Tag1)),EB.Monate.Bereich,0))*G$11*IF(WEEKDAY(G$10,2)&gt;5,0,1),9)</f>
        <v>0.35</v>
      </c>
      <c r="H54" s="214" t="n">
        <f aca="false">ROUND(INDEX(EB.AZSOLLTag100.Bereich,MATCH(INDEX(EB.Monate.Bereich,MONTH(Monat.Tag1)),EB.Monate.Bereich,0))*H$11*IF(WEEKDAY(H$10,2)&gt;5,0,1),9)</f>
        <v>0.35</v>
      </c>
      <c r="I54" s="214" t="n">
        <f aca="false">ROUND(INDEX(EB.AZSOLLTag100.Bereich,MATCH(INDEX(EB.Monate.Bereich,MONTH(Monat.Tag1)),EB.Monate.Bereich,0))*I$11*IF(WEEKDAY(I$10,2)&gt;5,0,1),9)</f>
        <v>0.35</v>
      </c>
      <c r="J54" s="213" t="n">
        <f aca="false">ROUND(INDEX(EB.AZSOLLTag100.Bereich,MATCH(INDEX(EB.Monate.Bereich,MONTH(Monat.Tag1)),EB.Monate.Bereich,0))*J$11*IF(WEEKDAY(J$10,2)&gt;5,0,1),9)</f>
        <v>0.35</v>
      </c>
      <c r="K54" s="214" t="n">
        <f aca="false">ROUND(INDEX(EB.AZSOLLTag100.Bereich,MATCH(INDEX(EB.Monate.Bereich,MONTH(Monat.Tag1)),EB.Monate.Bereich,0))*K$11*IF(WEEKDAY(K$10,2)&gt;5,0,1),9)</f>
        <v>0.35</v>
      </c>
      <c r="L54" s="213" t="n">
        <f aca="false">ROUND(INDEX(EB.AZSOLLTag100.Bereich,MATCH(INDEX(EB.Monate.Bereich,MONTH(Monat.Tag1)),EB.Monate.Bereich,0))*L$11*IF(WEEKDAY(L$10,2)&gt;5,0,1),9)</f>
        <v>0</v>
      </c>
      <c r="M54" s="214" t="n">
        <f aca="false">ROUND(INDEX(EB.AZSOLLTag100.Bereich,MATCH(INDEX(EB.Monate.Bereich,MONTH(Monat.Tag1)),EB.Monate.Bereich,0))*M$11*IF(WEEKDAY(M$10,2)&gt;5,0,1),9)</f>
        <v>0</v>
      </c>
      <c r="N54" s="214" t="n">
        <f aca="false">ROUND(INDEX(EB.AZSOLLTag100.Bereich,MATCH(INDEX(EB.Monate.Bereich,MONTH(Monat.Tag1)),EB.Monate.Bereich,0))*N$11*IF(WEEKDAY(N$10,2)&gt;5,0,1),9)</f>
        <v>0.35</v>
      </c>
      <c r="O54" s="214" t="n">
        <f aca="false">ROUND(INDEX(EB.AZSOLLTag100.Bereich,MATCH(INDEX(EB.Monate.Bereich,MONTH(Monat.Tag1)),EB.Monate.Bereich,0))*O$11*IF(WEEKDAY(O$10,2)&gt;5,0,1),9)</f>
        <v>0.35</v>
      </c>
      <c r="P54" s="214" t="n">
        <f aca="false">ROUND(INDEX(EB.AZSOLLTag100.Bereich,MATCH(INDEX(EB.Monate.Bereich,MONTH(Monat.Tag1)),EB.Monate.Bereich,0))*P$11*IF(WEEKDAY(P$10,2)&gt;5,0,1),9)</f>
        <v>0.35</v>
      </c>
      <c r="Q54" s="213" t="n">
        <f aca="false">ROUND(INDEX(EB.AZSOLLTag100.Bereich,MATCH(INDEX(EB.Monate.Bereich,MONTH(Monat.Tag1)),EB.Monate.Bereich,0))*Q$11*IF(WEEKDAY(Q$10,2)&gt;5,0,1),9)</f>
        <v>0.35</v>
      </c>
      <c r="R54" s="214" t="n">
        <f aca="false">ROUND(INDEX(EB.AZSOLLTag100.Bereich,MATCH(INDEX(EB.Monate.Bereich,MONTH(Monat.Tag1)),EB.Monate.Bereich,0))*R$11*IF(WEEKDAY(R$10,2)&gt;5,0,1),9)</f>
        <v>0.35</v>
      </c>
      <c r="S54" s="213" t="n">
        <f aca="false">ROUND(INDEX(EB.AZSOLLTag100.Bereich,MATCH(INDEX(EB.Monate.Bereich,MONTH(Monat.Tag1)),EB.Monate.Bereich,0))*S$11*IF(WEEKDAY(S$10,2)&gt;5,0,1),9)</f>
        <v>0</v>
      </c>
      <c r="T54" s="213" t="n">
        <f aca="false">ROUND(INDEX(EB.AZSOLLTag100.Bereich,MATCH(INDEX(EB.Monate.Bereich,MONTH(Monat.Tag1)),EB.Monate.Bereich,0))*T$11*IF(WEEKDAY(T$10,2)&gt;5,0,1),9)</f>
        <v>0</v>
      </c>
      <c r="U54" s="214" t="n">
        <f aca="false">ROUND(INDEX(EB.AZSOLLTag100.Bereich,MATCH(INDEX(EB.Monate.Bereich,MONTH(Monat.Tag1)),EB.Monate.Bereich,0))*U$11*IF(WEEKDAY(U$10,2)&gt;5,0,1),9)</f>
        <v>0.35</v>
      </c>
      <c r="V54" s="214" t="n">
        <f aca="false">ROUND(INDEX(EB.AZSOLLTag100.Bereich,MATCH(INDEX(EB.Monate.Bereich,MONTH(Monat.Tag1)),EB.Monate.Bereich,0))*V$11*IF(WEEKDAY(V$10,2)&gt;5,0,1),9)</f>
        <v>0.35</v>
      </c>
      <c r="W54" s="214" t="n">
        <f aca="false">ROUND(INDEX(EB.AZSOLLTag100.Bereich,MATCH(INDEX(EB.Monate.Bereich,MONTH(Monat.Tag1)),EB.Monate.Bereich,0))*W$11*IF(WEEKDAY(W$10,2)&gt;5,0,1),9)</f>
        <v>0.35</v>
      </c>
      <c r="X54" s="213" t="n">
        <f aca="false">ROUND(INDEX(EB.AZSOLLTag100.Bereich,MATCH(INDEX(EB.Monate.Bereich,MONTH(Monat.Tag1)),EB.Monate.Bereich,0))*X$11*IF(WEEKDAY(X$10,2)&gt;5,0,1),9)</f>
        <v>0.35</v>
      </c>
      <c r="Y54" s="214" t="n">
        <f aca="false">ROUND(INDEX(EB.AZSOLLTag100.Bereich,MATCH(INDEX(EB.Monate.Bereich,MONTH(Monat.Tag1)),EB.Monate.Bereich,0))*Y$11*IF(WEEKDAY(Y$10,2)&gt;5,0,1),9)</f>
        <v>0.35</v>
      </c>
      <c r="Z54" s="215" t="n">
        <f aca="false">ROUND(INDEX(EB.AZSOLLTag100.Bereich,MATCH(INDEX(EB.Monate.Bereich,MONTH(Monat.Tag1)),EB.Monate.Bereich,0))*Z$11*IF(WEEKDAY(Z$10,2)&gt;5,0,1),9)</f>
        <v>0</v>
      </c>
      <c r="AA54" s="214" t="n">
        <f aca="false">ROUND(INDEX(EB.AZSOLLTag100.Bereich,MATCH(INDEX(EB.Monate.Bereich,MONTH(Monat.Tag1)),EB.Monate.Bereich,0))*AA$11*IF(WEEKDAY(AA$10,2)&gt;5,0,1),9)</f>
        <v>0</v>
      </c>
      <c r="AB54" s="214" t="n">
        <f aca="false">ROUND(INDEX(EB.AZSOLLTag100.Bereich,MATCH(INDEX(EB.Monate.Bereich,MONTH(Monat.Tag1)),EB.Monate.Bereich,0))*AB$11*IF(WEEKDAY(AB$10,2)&gt;5,0,1),9)</f>
        <v>0.35</v>
      </c>
      <c r="AC54" s="214" t="n">
        <f aca="false">ROUND(INDEX(EB.AZSOLLTag100.Bereich,MATCH(INDEX(EB.Monate.Bereich,MONTH(Monat.Tag1)),EB.Monate.Bereich,0))*AC$11*IF(WEEKDAY(AC$10,2)&gt;5,0,1),9)</f>
        <v>0.35</v>
      </c>
      <c r="AD54" s="214" t="n">
        <f aca="false">ROUND(INDEX(EB.AZSOLLTag100.Bereich,MATCH(INDEX(EB.Monate.Bereich,MONTH(Monat.Tag1)),EB.Monate.Bereich,0))*AD$11*IF(WEEKDAY(AD$10,2)&gt;5,0,1),9)</f>
        <v>0.35</v>
      </c>
      <c r="AE54" s="213" t="n">
        <f aca="false">ROUND(INDEX(EB.AZSOLLTag100.Bereich,MATCH(INDEX(EB.Monate.Bereich,MONTH(Monat.Tag1)),EB.Monate.Bereich,0))*AE$11*IF(WEEKDAY(AE$10,2)&gt;5,0,1),9)</f>
        <v>0.35</v>
      </c>
      <c r="AF54" s="214" t="n">
        <f aca="false">ROUND(INDEX(EB.AZSOLLTag100.Bereich,MATCH(INDEX(EB.Monate.Bereich,MONTH(Monat.Tag1)),EB.Monate.Bereich,0))*AF$11*IF(WEEKDAY(AF$10,2)&gt;5,0,1),9)</f>
        <v>0.35</v>
      </c>
      <c r="AG54" s="168" t="str">
        <f aca="false">A54</f>
        <v>Req. hours of work 100%</v>
      </c>
      <c r="AH54" s="184"/>
      <c r="AI54" s="207" t="n">
        <f aca="false">SUM(B54:AF54)</f>
        <v>7.7</v>
      </c>
      <c r="AJ54" s="180"/>
      <c r="AK54" s="172"/>
      <c r="AL54" s="172"/>
      <c r="AM54" s="172"/>
      <c r="AN54" s="171"/>
      <c r="AO54" s="172"/>
      <c r="AP54" s="172"/>
      <c r="AQ54" s="39"/>
    </row>
    <row r="55" s="148" customFormat="true" ht="15" hidden="false" customHeight="true" outlineLevel="0" collapsed="false">
      <c r="A55" s="175" t="s">
        <v>143</v>
      </c>
      <c r="B55" s="203" t="n">
        <f aca="false">ROUND(B51-B53,9)</f>
        <v>0</v>
      </c>
      <c r="C55" s="203" t="n">
        <f aca="false">ROUND(C51-C53,9)</f>
        <v>-0.35</v>
      </c>
      <c r="D55" s="203" t="n">
        <f aca="false">ROUND(D51-D53,9)</f>
        <v>-0.35</v>
      </c>
      <c r="E55" s="205" t="n">
        <f aca="false">ROUND(E51-E53,9)</f>
        <v>0</v>
      </c>
      <c r="F55" s="203" t="n">
        <f aca="false">ROUND(F51-F53,9)</f>
        <v>0</v>
      </c>
      <c r="G55" s="203" t="n">
        <f aca="false">ROUND(G51-G53,9)</f>
        <v>-0.35</v>
      </c>
      <c r="H55" s="203" t="n">
        <f aca="false">ROUND(H51-H53,9)</f>
        <v>-0.35</v>
      </c>
      <c r="I55" s="203" t="n">
        <f aca="false">ROUND(I51-I53,9)</f>
        <v>-0.35</v>
      </c>
      <c r="J55" s="205" t="n">
        <f aca="false">ROUND(J51-J53,9)</f>
        <v>-0.35</v>
      </c>
      <c r="K55" s="203" t="n">
        <f aca="false">ROUND(K51-K53,9)</f>
        <v>-0.35</v>
      </c>
      <c r="L55" s="205" t="n">
        <f aca="false">ROUND(L51-L53,9)</f>
        <v>0</v>
      </c>
      <c r="M55" s="203" t="n">
        <f aca="false">ROUND(M51-M53,9)</f>
        <v>0</v>
      </c>
      <c r="N55" s="203" t="n">
        <f aca="false">ROUND(N51-N53,9)</f>
        <v>-0.35</v>
      </c>
      <c r="O55" s="203" t="n">
        <f aca="false">ROUND(O51-O53,9)</f>
        <v>-0.35</v>
      </c>
      <c r="P55" s="203" t="n">
        <f aca="false">ROUND(P51-P53,9)</f>
        <v>-0.35</v>
      </c>
      <c r="Q55" s="205" t="n">
        <f aca="false">ROUND(Q51-Q53,9)</f>
        <v>-0.35</v>
      </c>
      <c r="R55" s="203" t="n">
        <f aca="false">ROUND(R51-R53,9)</f>
        <v>-0.35</v>
      </c>
      <c r="S55" s="205" t="n">
        <f aca="false">ROUND(S51-S53,9)</f>
        <v>0</v>
      </c>
      <c r="T55" s="205" t="n">
        <f aca="false">ROUND(T51-T53,9)</f>
        <v>0</v>
      </c>
      <c r="U55" s="203" t="n">
        <f aca="false">ROUND(U51-U53,9)</f>
        <v>-0.35</v>
      </c>
      <c r="V55" s="203" t="n">
        <f aca="false">ROUND(V51-V53,9)</f>
        <v>-0.35</v>
      </c>
      <c r="W55" s="203" t="n">
        <f aca="false">ROUND(W51-W53,9)</f>
        <v>-0.35</v>
      </c>
      <c r="X55" s="205" t="n">
        <f aca="false">ROUND(X51-X53,9)</f>
        <v>-0.35</v>
      </c>
      <c r="Y55" s="203" t="n">
        <f aca="false">ROUND(Y51-Y53,9)</f>
        <v>-0.35</v>
      </c>
      <c r="Z55" s="206" t="n">
        <f aca="false">ROUND(Z51-Z53,9)</f>
        <v>0</v>
      </c>
      <c r="AA55" s="203" t="n">
        <f aca="false">ROUND(AA51-AA53,9)</f>
        <v>0</v>
      </c>
      <c r="AB55" s="203" t="n">
        <f aca="false">ROUND(AB51-AB53,9)</f>
        <v>-0.35</v>
      </c>
      <c r="AC55" s="203" t="n">
        <f aca="false">ROUND(AC51-AC53,9)</f>
        <v>-0.35</v>
      </c>
      <c r="AD55" s="203" t="n">
        <f aca="false">ROUND(AD51-AD53,9)</f>
        <v>-0.35</v>
      </c>
      <c r="AE55" s="205" t="n">
        <f aca="false">ROUND(AE51-AE53,9)</f>
        <v>-0.35</v>
      </c>
      <c r="AF55" s="203" t="n">
        <f aca="false">ROUND(AF51-AF53,9)</f>
        <v>-0.35</v>
      </c>
      <c r="AG55" s="168" t="str">
        <f aca="false">A55</f>
        <v>+/- required/actual hours daily</v>
      </c>
      <c r="AH55" s="184"/>
      <c r="AI55" s="207" t="n">
        <f aca="false">SUM(B55:AF55)</f>
        <v>-7.7</v>
      </c>
      <c r="AJ55" s="180"/>
      <c r="AK55" s="172"/>
      <c r="AL55" s="216" t="n">
        <f aca="false">IF(EB.Anwendung&lt;&gt;"",IF(MONTH(Monat.Tag1)=1,0,IF(MONTH(Monat.Tag1)=2,January!Monat.Soll_Ist_UeVM,IF(MONTH(Monat.Tag1)=3,February!Monat.Soll_Ist_UeVM,IF(MONTH(Monat.Tag1)=4,March!Monat.Soll_Ist_UeVM,IF(MONTH(Monat.Tag1)=5,April!Monat.Soll_Ist_UeVM,IF(MONTH(Monat.Tag1)=6,May!Monat.Soll_Ist_UeVM,IF(MONTH(Monat.Tag1)=7,June!Monat.Soll_Ist_UeVM,IF(MONTH(Monat.Tag1)=8,July!Monat.Soll_Ist_UeVM,IF(MONTH(Monat.Tag1)=9,Monat.Soll_Ist_UeVM,IF(MONTH(Monat.Tag1)=10,September!Monat.Soll_Ist_UeVM,IF(MONTH(Monat.Tag1)=11,October!Monat.Soll_Ist_UeVM,IF(MONTH(Monat.Tag1)=12,November!Monat.Soll_Ist_UeVM,"")))))))))))),"")</f>
        <v>-7.7</v>
      </c>
      <c r="AM55" s="172"/>
      <c r="AN55" s="217" t="n">
        <f aca="false">IF(AH57="+",(AI55+AI57),(AI55-AI57))</f>
        <v>-7.7</v>
      </c>
      <c r="AO55" s="217" t="n">
        <f aca="true">SUM(OFFSET(J.AZSaldo.Total,-12,0,MONTH(Monat.Tag1),1))</f>
        <v>-25.968055555</v>
      </c>
      <c r="AP55" s="217" t="n">
        <f aca="false">J.AZSaldo.Total</f>
        <v>-54.918055555</v>
      </c>
      <c r="AQ55" s="39"/>
    </row>
    <row r="56" s="148" customFormat="true" ht="15" hidden="false" customHeight="true" outlineLevel="0" collapsed="false">
      <c r="A56" s="175" t="s">
        <v>144</v>
      </c>
      <c r="B56" s="218" t="n">
        <f aca="true">IF(EB.Anwendung&lt;&gt;"",IF(DAY(B$10)=1,IF(MONTH(Monat.Tag1)=1,ROUND(EB.ÜVMMS,9),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Monat.MMS.UeVM,IF(MONTH(Monat.Tag1)=10,September!Monat.MMS.UeVM,IF(MONTH(Monat.Tag1)=11,October!Monat.MMS.UeVM,IF(MONTH(Monat.Tag1)=12,November!Monat.MMS.UeVM,""))))))))))))+IF(B$10&gt;TODAY(),0,B55), IF(B$10&gt;TODAY(),A56,A56+B55)),"")</f>
        <v>-0.768055555</v>
      </c>
      <c r="C56" s="218" t="n">
        <f aca="true">IF(EB.Anwendung&lt;&gt;"",IF(DAY(C$10)=1,IF(MONTH(Monat.Tag1)=1,ROUND(EB.ÜVMMS,9),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Monat.MMS.UeVM,IF(MONTH(Monat.Tag1)=10,September!Monat.MMS.UeVM,IF(MONTH(Monat.Tag1)=11,October!Monat.MMS.UeVM,IF(MONTH(Monat.Tag1)=12,November!Monat.MMS.UeVM,""))))))))))))+IF(C$10&gt;TODAY(),0,C55), IF(C$10&gt;TODAY(),B56,B56+C55)),"")</f>
        <v>-0.768055555</v>
      </c>
      <c r="D56" s="218" t="n">
        <f aca="true">IF(EB.Anwendung&lt;&gt;"",IF(DAY(D$10)=1,IF(MONTH(Monat.Tag1)=1,ROUND(EB.ÜVMMS,9),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Monat.MMS.UeVM,IF(MONTH(Monat.Tag1)=10,September!Monat.MMS.UeVM,IF(MONTH(Monat.Tag1)=11,October!Monat.MMS.UeVM,IF(MONTH(Monat.Tag1)=12,November!Monat.MMS.UeVM,""))))))))))))+IF(D$10&gt;TODAY(),0,D55), IF(D$10&gt;TODAY(),C56,C56+D55)),"")</f>
        <v>-0.768055555</v>
      </c>
      <c r="E56" s="218" t="n">
        <f aca="true">IF(EB.Anwendung&lt;&gt;"",IF(DAY(E$10)=1,IF(MONTH(Monat.Tag1)=1,ROUND(EB.ÜVMMS,9),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Monat.MMS.UeVM,IF(MONTH(Monat.Tag1)=10,September!Monat.MMS.UeVM,IF(MONTH(Monat.Tag1)=11,October!Monat.MMS.UeVM,IF(MONTH(Monat.Tag1)=12,November!Monat.MMS.UeVM,""))))))))))))+IF(E$10&gt;TODAY(),0,E55), IF(E$10&gt;TODAY(),D56,D56+E55)),"")</f>
        <v>-0.768055555</v>
      </c>
      <c r="F56" s="218" t="n">
        <f aca="true">IF(EB.Anwendung&lt;&gt;"",IF(DAY(F$10)=1,IF(MONTH(Monat.Tag1)=1,ROUND(EB.ÜVMMS,9),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Monat.MMS.UeVM,IF(MONTH(Monat.Tag1)=10,September!Monat.MMS.UeVM,IF(MONTH(Monat.Tag1)=11,October!Monat.MMS.UeVM,IF(MONTH(Monat.Tag1)=12,November!Monat.MMS.UeVM,""))))))))))))+IF(F$10&gt;TODAY(),0,F55), IF(F$10&gt;TODAY(),E56,E56+F55)),"")</f>
        <v>-0.768055555</v>
      </c>
      <c r="G56" s="218" t="n">
        <f aca="true">IF(EB.Anwendung&lt;&gt;"",IF(DAY(G$10)=1,IF(MONTH(Monat.Tag1)=1,ROUND(EB.ÜVMMS,9),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Monat.MMS.UeVM,IF(MONTH(Monat.Tag1)=10,September!Monat.MMS.UeVM,IF(MONTH(Monat.Tag1)=11,October!Monat.MMS.UeVM,IF(MONTH(Monat.Tag1)=12,November!Monat.MMS.UeVM,""))))))))))))+IF(G$10&gt;TODAY(),0,G55), IF(G$10&gt;TODAY(),F56,F56+G55)),"")</f>
        <v>-0.768055555</v>
      </c>
      <c r="H56" s="218" t="n">
        <f aca="true">IF(EB.Anwendung&lt;&gt;"",IF(DAY(H$10)=1,IF(MONTH(Monat.Tag1)=1,ROUND(EB.ÜVMMS,9),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Monat.MMS.UeVM,IF(MONTH(Monat.Tag1)=10,September!Monat.MMS.UeVM,IF(MONTH(Monat.Tag1)=11,October!Monat.MMS.UeVM,IF(MONTH(Monat.Tag1)=12,November!Monat.MMS.UeVM,""))))))))))))+IF(H$10&gt;TODAY(),0,H55), IF(H$10&gt;TODAY(),G56,G56+H55)),"")</f>
        <v>-0.768055555</v>
      </c>
      <c r="I56" s="218" t="n">
        <f aca="true">IF(EB.Anwendung&lt;&gt;"",IF(DAY(I$10)=1,IF(MONTH(Monat.Tag1)=1,ROUND(EB.ÜVMMS,9),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Monat.MMS.UeVM,IF(MONTH(Monat.Tag1)=10,September!Monat.MMS.UeVM,IF(MONTH(Monat.Tag1)=11,October!Monat.MMS.UeVM,IF(MONTH(Monat.Tag1)=12,November!Monat.MMS.UeVM,""))))))))))))+IF(I$10&gt;TODAY(),0,I55), IF(I$10&gt;TODAY(),H56,H56+I55)),"")</f>
        <v>-0.768055555</v>
      </c>
      <c r="J56" s="218" t="n">
        <f aca="true">IF(EB.Anwendung&lt;&gt;"",IF(DAY(J$10)=1,IF(MONTH(Monat.Tag1)=1,ROUND(EB.ÜVMMS,9),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Monat.MMS.UeVM,IF(MONTH(Monat.Tag1)=10,September!Monat.MMS.UeVM,IF(MONTH(Monat.Tag1)=11,October!Monat.MMS.UeVM,IF(MONTH(Monat.Tag1)=12,November!Monat.MMS.UeVM,""))))))))))))+IF(J$10&gt;TODAY(),0,J55), IF(J$10&gt;TODAY(),I56,I56+J55)),"")</f>
        <v>-0.768055555</v>
      </c>
      <c r="K56" s="218" t="n">
        <f aca="true">IF(EB.Anwendung&lt;&gt;"",IF(DAY(K$10)=1,IF(MONTH(Monat.Tag1)=1,ROUND(EB.ÜVMMS,9),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Monat.MMS.UeVM,IF(MONTH(Monat.Tag1)=10,September!Monat.MMS.UeVM,IF(MONTH(Monat.Tag1)=11,October!Monat.MMS.UeVM,IF(MONTH(Monat.Tag1)=12,November!Monat.MMS.UeVM,""))))))))))))+IF(K$10&gt;TODAY(),0,K55), IF(K$10&gt;TODAY(),J56,J56+K55)),"")</f>
        <v>-0.768055555</v>
      </c>
      <c r="L56" s="218" t="n">
        <f aca="true">IF(EB.Anwendung&lt;&gt;"",IF(DAY(L$10)=1,IF(MONTH(Monat.Tag1)=1,ROUND(EB.ÜVMMS,9),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Monat.MMS.UeVM,IF(MONTH(Monat.Tag1)=10,September!Monat.MMS.UeVM,IF(MONTH(Monat.Tag1)=11,October!Monat.MMS.UeVM,IF(MONTH(Monat.Tag1)=12,November!Monat.MMS.UeVM,""))))))))))))+IF(L$10&gt;TODAY(),0,L55), IF(L$10&gt;TODAY(),K56,K56+L55)),"")</f>
        <v>-0.768055555</v>
      </c>
      <c r="M56" s="218" t="n">
        <f aca="true">IF(EB.Anwendung&lt;&gt;"",IF(DAY(M$10)=1,IF(MONTH(Monat.Tag1)=1,ROUND(EB.ÜVMMS,9),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Monat.MMS.UeVM,IF(MONTH(Monat.Tag1)=10,September!Monat.MMS.UeVM,IF(MONTH(Monat.Tag1)=11,October!Monat.MMS.UeVM,IF(MONTH(Monat.Tag1)=12,November!Monat.MMS.UeVM,""))))))))))))+IF(M$10&gt;TODAY(),0,M55), IF(M$10&gt;TODAY(),L56,L56+M55)),"")</f>
        <v>-0.768055555</v>
      </c>
      <c r="N56" s="218" t="n">
        <f aca="true">IF(EB.Anwendung&lt;&gt;"",IF(DAY(N$10)=1,IF(MONTH(Monat.Tag1)=1,ROUND(EB.ÜVMMS,9),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Monat.MMS.UeVM,IF(MONTH(Monat.Tag1)=10,September!Monat.MMS.UeVM,IF(MONTH(Monat.Tag1)=11,October!Monat.MMS.UeVM,IF(MONTH(Monat.Tag1)=12,November!Monat.MMS.UeVM,""))))))))))))+IF(N$10&gt;TODAY(),0,N55), IF(N$10&gt;TODAY(),M56,M56+N55)),"")</f>
        <v>-0.768055555</v>
      </c>
      <c r="O56" s="218" t="n">
        <f aca="true">IF(EB.Anwendung&lt;&gt;"",IF(DAY(O$10)=1,IF(MONTH(Monat.Tag1)=1,ROUND(EB.ÜVMMS,9),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Monat.MMS.UeVM,IF(MONTH(Monat.Tag1)=10,September!Monat.MMS.UeVM,IF(MONTH(Monat.Tag1)=11,October!Monat.MMS.UeVM,IF(MONTH(Monat.Tag1)=12,November!Monat.MMS.UeVM,""))))))))))))+IF(O$10&gt;TODAY(),0,O55), IF(O$10&gt;TODAY(),N56,N56+O55)),"")</f>
        <v>-0.768055555</v>
      </c>
      <c r="P56" s="218" t="n">
        <f aca="true">IF(EB.Anwendung&lt;&gt;"",IF(DAY(P$10)=1,IF(MONTH(Monat.Tag1)=1,ROUND(EB.ÜVMMS,9),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Monat.MMS.UeVM,IF(MONTH(Monat.Tag1)=10,September!Monat.MMS.UeVM,IF(MONTH(Monat.Tag1)=11,October!Monat.MMS.UeVM,IF(MONTH(Monat.Tag1)=12,November!Monat.MMS.UeVM,""))))))))))))+IF(P$10&gt;TODAY(),0,P55), IF(P$10&gt;TODAY(),O56,O56+P55)),"")</f>
        <v>-0.768055555</v>
      </c>
      <c r="Q56" s="218" t="n">
        <f aca="true">IF(EB.Anwendung&lt;&gt;"",IF(DAY(Q$10)=1,IF(MONTH(Monat.Tag1)=1,ROUND(EB.ÜVMMS,9),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Monat.MMS.UeVM,IF(MONTH(Monat.Tag1)=10,September!Monat.MMS.UeVM,IF(MONTH(Monat.Tag1)=11,October!Monat.MMS.UeVM,IF(MONTH(Monat.Tag1)=12,November!Monat.MMS.UeVM,""))))))))))))+IF(Q$10&gt;TODAY(),0,Q55), IF(Q$10&gt;TODAY(),P56,P56+Q55)),"")</f>
        <v>-0.768055555</v>
      </c>
      <c r="R56" s="218" t="n">
        <f aca="true">IF(EB.Anwendung&lt;&gt;"",IF(DAY(R$10)=1,IF(MONTH(Monat.Tag1)=1,ROUND(EB.ÜVMMS,9),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Monat.MMS.UeVM,IF(MONTH(Monat.Tag1)=10,September!Monat.MMS.UeVM,IF(MONTH(Monat.Tag1)=11,October!Monat.MMS.UeVM,IF(MONTH(Monat.Tag1)=12,November!Monat.MMS.UeVM,""))))))))))))+IF(R$10&gt;TODAY(),0,R55), IF(R$10&gt;TODAY(),Q56,Q56+R55)),"")</f>
        <v>-0.768055555</v>
      </c>
      <c r="S56" s="218" t="n">
        <f aca="true">IF(EB.Anwendung&lt;&gt;"",IF(DAY(S$10)=1,IF(MONTH(Monat.Tag1)=1,ROUND(EB.ÜVMMS,9),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Monat.MMS.UeVM,IF(MONTH(Monat.Tag1)=10,September!Monat.MMS.UeVM,IF(MONTH(Monat.Tag1)=11,October!Monat.MMS.UeVM,IF(MONTH(Monat.Tag1)=12,November!Monat.MMS.UeVM,""))))))))))))+IF(S$10&gt;TODAY(),0,S55), IF(S$10&gt;TODAY(),R56,R56+S55)),"")</f>
        <v>-0.768055555</v>
      </c>
      <c r="T56" s="218" t="n">
        <f aca="true">IF(EB.Anwendung&lt;&gt;"",IF(DAY(T$10)=1,IF(MONTH(Monat.Tag1)=1,ROUND(EB.ÜVMMS,9),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Monat.MMS.UeVM,IF(MONTH(Monat.Tag1)=10,September!Monat.MMS.UeVM,IF(MONTH(Monat.Tag1)=11,October!Monat.MMS.UeVM,IF(MONTH(Monat.Tag1)=12,November!Monat.MMS.UeVM,""))))))))))))+IF(T$10&gt;TODAY(),0,T55), IF(T$10&gt;TODAY(),S56,S56+T55)),"")</f>
        <v>-0.768055555</v>
      </c>
      <c r="U56" s="218" t="n">
        <f aca="true">IF(EB.Anwendung&lt;&gt;"",IF(DAY(U$10)=1,IF(MONTH(Monat.Tag1)=1,ROUND(EB.ÜVMMS,9),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Monat.MMS.UeVM,IF(MONTH(Monat.Tag1)=10,September!Monat.MMS.UeVM,IF(MONTH(Monat.Tag1)=11,October!Monat.MMS.UeVM,IF(MONTH(Monat.Tag1)=12,November!Monat.MMS.UeVM,""))))))))))))+IF(U$10&gt;TODAY(),0,U55), IF(U$10&gt;TODAY(),T56,T56+U55)),"")</f>
        <v>-0.768055555</v>
      </c>
      <c r="V56" s="218" t="n">
        <f aca="true">IF(EB.Anwendung&lt;&gt;"",IF(DAY(V$10)=1,IF(MONTH(Monat.Tag1)=1,ROUND(EB.ÜVMMS,9),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Monat.MMS.UeVM,IF(MONTH(Monat.Tag1)=10,September!Monat.MMS.UeVM,IF(MONTH(Monat.Tag1)=11,October!Monat.MMS.UeVM,IF(MONTH(Monat.Tag1)=12,November!Monat.MMS.UeVM,""))))))))))))+IF(V$10&gt;TODAY(),0,V55), IF(V$10&gt;TODAY(),U56,U56+V55)),"")</f>
        <v>-0.768055555</v>
      </c>
      <c r="W56" s="218" t="n">
        <f aca="true">IF(EB.Anwendung&lt;&gt;"",IF(DAY(W$10)=1,IF(MONTH(Monat.Tag1)=1,ROUND(EB.ÜVMMS,9),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Monat.MMS.UeVM,IF(MONTH(Monat.Tag1)=10,September!Monat.MMS.UeVM,IF(MONTH(Monat.Tag1)=11,October!Monat.MMS.UeVM,IF(MONTH(Monat.Tag1)=12,November!Monat.MMS.UeVM,""))))))))))))+IF(W$10&gt;TODAY(),0,W55), IF(W$10&gt;TODAY(),V56,V56+W55)),"")</f>
        <v>-0.768055555</v>
      </c>
      <c r="X56" s="218" t="n">
        <f aca="true">IF(EB.Anwendung&lt;&gt;"",IF(DAY(X$10)=1,IF(MONTH(Monat.Tag1)=1,ROUND(EB.ÜVMMS,9),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Monat.MMS.UeVM,IF(MONTH(Monat.Tag1)=10,September!Monat.MMS.UeVM,IF(MONTH(Monat.Tag1)=11,October!Monat.MMS.UeVM,IF(MONTH(Monat.Tag1)=12,November!Monat.MMS.UeVM,""))))))))))))+IF(X$10&gt;TODAY(),0,X55), IF(X$10&gt;TODAY(),W56,W56+X55)),"")</f>
        <v>-0.768055555</v>
      </c>
      <c r="Y56" s="218" t="n">
        <f aca="true">IF(EB.Anwendung&lt;&gt;"",IF(DAY(Y$10)=1,IF(MONTH(Monat.Tag1)=1,ROUND(EB.ÜVMMS,9),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Monat.MMS.UeVM,IF(MONTH(Monat.Tag1)=10,September!Monat.MMS.UeVM,IF(MONTH(Monat.Tag1)=11,October!Monat.MMS.UeVM,IF(MONTH(Monat.Tag1)=12,November!Monat.MMS.UeVM,""))))))))))))+IF(Y$10&gt;TODAY(),0,Y55), IF(Y$10&gt;TODAY(),X56,X56+Y55)),"")</f>
        <v>-0.768055555</v>
      </c>
      <c r="Z56" s="218" t="n">
        <f aca="true">IF(EB.Anwendung&lt;&gt;"",IF(DAY(Z$10)=1,IF(MONTH(Monat.Tag1)=1,ROUND(EB.ÜVMMS,9),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Monat.MMS.UeVM,IF(MONTH(Monat.Tag1)=10,September!Monat.MMS.UeVM,IF(MONTH(Monat.Tag1)=11,October!Monat.MMS.UeVM,IF(MONTH(Monat.Tag1)=12,November!Monat.MMS.UeVM,""))))))))))))+IF(Z$10&gt;TODAY(),0,Z55), IF(Z$10&gt;TODAY(),Y56,Y56+Z55)),"")</f>
        <v>-0.768055555</v>
      </c>
      <c r="AA56" s="218" t="n">
        <f aca="true">IF(EB.Anwendung&lt;&gt;"",IF(DAY(AA$10)=1,IF(MONTH(Monat.Tag1)=1,ROUND(EB.ÜVMMS,9),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Monat.MMS.UeVM,IF(MONTH(Monat.Tag1)=10,September!Monat.MMS.UeVM,IF(MONTH(Monat.Tag1)=11,October!Monat.MMS.UeVM,IF(MONTH(Monat.Tag1)=12,November!Monat.MMS.UeVM,""))))))))))))+IF(AA$10&gt;TODAY(),0,AA55), IF(AA$10&gt;TODAY(),Z56,Z56+AA55)),"")</f>
        <v>-0.768055555</v>
      </c>
      <c r="AB56" s="218" t="n">
        <f aca="true">IF(EB.Anwendung&lt;&gt;"",IF(DAY(AB$10)=1,IF(MONTH(Monat.Tag1)=1,ROUND(EB.ÜVMMS,9),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Monat.MMS.UeVM,IF(MONTH(Monat.Tag1)=10,September!Monat.MMS.UeVM,IF(MONTH(Monat.Tag1)=11,October!Monat.MMS.UeVM,IF(MONTH(Monat.Tag1)=12,November!Monat.MMS.UeVM,""))))))))))))+IF(AB$10&gt;TODAY(),0,AB55), IF(AB$10&gt;TODAY(),AA56,AA56+AB55)),"")</f>
        <v>-0.768055555</v>
      </c>
      <c r="AC56" s="218" t="n">
        <f aca="true">IF(EB.Anwendung&lt;&gt;"",IF(DAY(AC$10)=1,IF(MONTH(Monat.Tag1)=1,ROUND(EB.ÜVMMS,9),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Monat.MMS.UeVM,IF(MONTH(Monat.Tag1)=10,September!Monat.MMS.UeVM,IF(MONTH(Monat.Tag1)=11,October!Monat.MMS.UeVM,IF(MONTH(Monat.Tag1)=12,November!Monat.MMS.UeVM,""))))))))))))+IF(AC$10&gt;TODAY(),0,AC55), IF(AC$10&gt;TODAY(),AB56,AB56+AC55)),"")</f>
        <v>-0.768055555</v>
      </c>
      <c r="AD56" s="218" t="n">
        <f aca="true">IF(EB.Anwendung&lt;&gt;"",IF(DAY(AD$10)=1,IF(MONTH(Monat.Tag1)=1,ROUND(EB.ÜVMMS,9),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Monat.MMS.UeVM,IF(MONTH(Monat.Tag1)=10,September!Monat.MMS.UeVM,IF(MONTH(Monat.Tag1)=11,October!Monat.MMS.UeVM,IF(MONTH(Monat.Tag1)=12,November!Monat.MMS.UeVM,""))))))))))))+IF(AD$10&gt;TODAY(),0,AD55), IF(AD$10&gt;TODAY(),AC56,AC56+AD55)),"")</f>
        <v>-0.768055555</v>
      </c>
      <c r="AE56" s="218" t="n">
        <f aca="true">IF(EB.Anwendung&lt;&gt;"",IF(DAY(AE$10)=1,IF(MONTH(Monat.Tag1)=1,ROUND(EB.ÜVMMS,9),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Monat.MMS.UeVM,IF(MONTH(Monat.Tag1)=10,September!Monat.MMS.UeVM,IF(MONTH(Monat.Tag1)=11,October!Monat.MMS.UeVM,IF(MONTH(Monat.Tag1)=12,November!Monat.MMS.UeVM,""))))))))))))+IF(AE$10&gt;TODAY(),0,AE55), IF(AE$10&gt;TODAY(),AD56,AD56+AE55)),"")</f>
        <v>-0.768055555</v>
      </c>
      <c r="AF56" s="218" t="n">
        <f aca="true">IF(EB.Anwendung&lt;&gt;"",IF(DAY(AF$10)=1,IF(MONTH(Monat.Tag1)=1,ROUND(EB.ÜVMMS,9), 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Monat.MMS.UeVM,IF(MONTH(Monat.Tag1)=10,September!Monat.MMS.UeVM,IF(MONTH(Monat.Tag1)=11,October!Monat.MMS.UeVM,IF(MONTH(Monat.Tag1)=12,November!Monat.MMS.UeVM,""))))))))))))+IF(AF$10&gt;TODAY(),0,AF55), IF(AF$10&gt;TODAY(),AE56,AE56+AF55)),"")</f>
        <v>-0.768055555</v>
      </c>
      <c r="AG56" s="168" t="str">
        <f aca="false">A56</f>
        <v>current extra/minus hours</v>
      </c>
      <c r="AH56" s="184"/>
      <c r="AI56" s="207" t="n">
        <f aca="true">OFFSET(B56,0,DAY(EOMONTH(Monat.Tag1,0))-1,1,1)</f>
        <v>-0.768055555</v>
      </c>
      <c r="AJ56" s="180"/>
      <c r="AK56" s="172"/>
      <c r="AL56" s="172"/>
      <c r="AM56" s="172"/>
      <c r="AN56" s="171"/>
      <c r="AO56" s="172"/>
      <c r="AP56" s="172"/>
      <c r="AQ56" s="39"/>
    </row>
    <row r="57" s="231" customFormat="true" ht="15" hidden="false" customHeight="true" outlineLevel="1" collapsed="false">
      <c r="A57" s="219"/>
      <c r="B57" s="220"/>
      <c r="C57" s="220"/>
      <c r="D57" s="220"/>
      <c r="E57" s="152"/>
      <c r="F57" s="220"/>
      <c r="G57" s="220"/>
      <c r="H57" s="221"/>
      <c r="I57" s="220"/>
      <c r="J57" s="222"/>
      <c r="K57" s="220"/>
      <c r="L57" s="223"/>
      <c r="M57" s="220"/>
      <c r="N57" s="220"/>
      <c r="O57" s="221"/>
      <c r="P57" s="220"/>
      <c r="Q57" s="152"/>
      <c r="R57" s="220"/>
      <c r="S57" s="223"/>
      <c r="T57" s="220"/>
      <c r="U57" s="220"/>
      <c r="V57" s="221"/>
      <c r="W57" s="220"/>
      <c r="X57" s="224"/>
      <c r="Y57" s="220"/>
      <c r="Z57" s="152"/>
      <c r="AA57" s="220"/>
      <c r="AB57" s="220"/>
      <c r="AC57" s="221"/>
      <c r="AD57" s="220"/>
      <c r="AE57" s="152"/>
      <c r="AF57" s="225"/>
      <c r="AG57" s="175" t="s">
        <v>145</v>
      </c>
      <c r="AH57" s="226" t="s">
        <v>146</v>
      </c>
      <c r="AI57" s="227"/>
      <c r="AJ57" s="228"/>
      <c r="AK57" s="229"/>
      <c r="AL57" s="172"/>
      <c r="AM57" s="172"/>
      <c r="AN57" s="171"/>
      <c r="AO57" s="230"/>
      <c r="AP57" s="230"/>
      <c r="AQ57" s="96"/>
    </row>
    <row r="58" s="236" customFormat="true" ht="15" hidden="false" customHeight="true" outlineLevel="0" collapsed="false">
      <c r="A58" s="232"/>
      <c r="B58" s="223"/>
      <c r="C58" s="223"/>
      <c r="D58" s="223"/>
      <c r="E58" s="152"/>
      <c r="F58" s="223"/>
      <c r="G58" s="223"/>
      <c r="H58" s="223"/>
      <c r="I58" s="223"/>
      <c r="J58" s="152"/>
      <c r="K58" s="223"/>
      <c r="L58" s="223"/>
      <c r="M58" s="223"/>
      <c r="N58" s="223"/>
      <c r="O58" s="223"/>
      <c r="P58" s="223"/>
      <c r="Q58" s="152"/>
      <c r="R58" s="223"/>
      <c r="S58" s="223"/>
      <c r="T58" s="223"/>
      <c r="U58" s="223"/>
      <c r="V58" s="223"/>
      <c r="W58" s="223"/>
      <c r="X58" s="224"/>
      <c r="Y58" s="223"/>
      <c r="Z58" s="152"/>
      <c r="AA58" s="223"/>
      <c r="AB58" s="223"/>
      <c r="AC58" s="223"/>
      <c r="AD58" s="223"/>
      <c r="AE58" s="152"/>
      <c r="AF58" s="233"/>
      <c r="AG58" s="234" t="s">
        <v>147</v>
      </c>
      <c r="AH58" s="184"/>
      <c r="AI58" s="207" t="n">
        <f aca="false">IF(AH57="+",(Monat.ZUeZ.Total+AI57),(Monat.ZUeZ.Total-AI57))</f>
        <v>-0.768055555</v>
      </c>
      <c r="AJ58" s="33"/>
      <c r="AK58" s="235"/>
      <c r="AL58" s="216" t="n">
        <f aca="false">IF(EB.Anwendung&lt;&gt;"",IF(MONTH(Monat.Tag1)=1,EB.MMS,IF(MONTH(Monat.Tag1)=2,January!Monat.MMS.UeVM,IF(MONTH(Monat.Tag1)=3,February!Monat.MMS.UeVM,IF(MONTH(Monat.Tag1)=4,March!Monat.MMS.UeVM,IF(MONTH(Monat.Tag1)=5,April!Monat.MMS.UeVM,IF(MONTH(Monat.Tag1)=6,May!Monat.MMS.UeVM,IF(MONTH(Monat.Tag1)=7,June!Monat.MMS.UeVM,IF(MONTH(Monat.Tag1)=8,July!Monat.MMS.UeVM,IF(MONTH(Monat.Tag1)=9,Monat.MMS.UeVM,IF(MONTH(Monat.Tag1)=10,September!Monat.MMS.UeVM,IF(MONTH(Monat.Tag1)=11,October!Monat.MMS.UeVM,IF(MONTH(Monat.Tag1)=12,November!Monat.MMS.UeVM,"")))))))))))),"")</f>
        <v>-0.768055555</v>
      </c>
      <c r="AM58" s="172"/>
      <c r="AN58" s="217" t="n">
        <f aca="false">AI58</f>
        <v>-0.768055555</v>
      </c>
      <c r="AO58" s="172"/>
      <c r="AP58" s="172"/>
      <c r="AQ58" s="51"/>
    </row>
    <row r="59" s="148" customFormat="true" ht="11.25" hidden="false" customHeight="true" outlineLevel="0" collapsed="false">
      <c r="A59" s="186"/>
      <c r="B59" s="187"/>
      <c r="C59" s="187"/>
      <c r="D59" s="187"/>
      <c r="E59" s="187"/>
      <c r="F59" s="187"/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  <c r="U59" s="187"/>
      <c r="V59" s="187"/>
      <c r="W59" s="187"/>
      <c r="X59" s="187"/>
      <c r="Y59" s="187"/>
      <c r="Z59" s="187"/>
      <c r="AA59" s="187"/>
      <c r="AB59" s="187"/>
      <c r="AC59" s="187"/>
      <c r="AD59" s="187"/>
      <c r="AE59" s="187"/>
      <c r="AF59" s="188"/>
      <c r="AG59" s="168"/>
      <c r="AH59" s="146"/>
      <c r="AI59" s="179"/>
      <c r="AJ59" s="180"/>
      <c r="AK59" s="172"/>
      <c r="AL59" s="172"/>
      <c r="AM59" s="172"/>
      <c r="AN59" s="171"/>
      <c r="AO59" s="172"/>
      <c r="AP59" s="172"/>
      <c r="AQ59" s="39"/>
    </row>
    <row r="60" s="148" customFormat="true" ht="15" hidden="false" customHeight="true" outlineLevel="0" collapsed="false">
      <c r="A60" s="175" t="s">
        <v>148</v>
      </c>
      <c r="B60" s="237" t="str">
        <f aca="true">IF(EB.Wochenarbeitszeit=50/24,IF(T.50_Vetsuisse,IF(WEEKDAY(B$10,2)=7,MAX(0,SUM(OFFSET(B51,0,-MIN(6,DAY(B$10)-1),1,MIN(7,DAY(B$10))))+IF(AND(MONTH(Monat.Tag1)&lt;&gt;1,DAY(B$10)&lt;7),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Monat.AZIstWRestUeVM,IF(MONTH(Monat.Tag1)=10,September!Monat.AZIstWRestUeVM,IF(MONTH(Monat.Tag1)=11,October!Monat.AZIstWRestUeVM,IF(MONTH(Monat.Tag1)=12,November!Monat.AZIstWRestUeVM,""))))))))))),0) -1/24*50),""),""),IF(B45=0,"",B45))</f>
        <v/>
      </c>
      <c r="C60" s="237" t="str">
        <f aca="true">IF(EB.Wochenarbeitszeit=50/24,IF(T.50_Vetsuisse,IF(WEEKDAY(C$10,2)=7,MAX(0,SUM(OFFSET(C51,0,-MIN(6,DAY(C$10)-1),1,MIN(7,DAY(C$10))))+IF(AND(MONTH(Monat.Tag1)&lt;&gt;1,DAY(C$10)&lt;7),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Monat.AZIstWRestUeVM,IF(MONTH(Monat.Tag1)=10,September!Monat.AZIstWRestUeVM,IF(MONTH(Monat.Tag1)=11,October!Monat.AZIstWRestUeVM,IF(MONTH(Monat.Tag1)=12,November!Monat.AZIstWRestUeVM,""))))))))))),0) -1/24*50),""),""),IF(C45=0,"",C45))</f>
        <v/>
      </c>
      <c r="D60" s="237" t="str">
        <f aca="true">IF(EB.Wochenarbeitszeit=50/24,IF(T.50_Vetsuisse,IF(WEEKDAY(D$10,2)=7,MAX(0,SUM(OFFSET(D51,0,-MIN(6,DAY(D$10)-1),1,MIN(7,DAY(D$10))))+IF(AND(MONTH(Monat.Tag1)&lt;&gt;1,DAY(D$10)&lt;7),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Monat.AZIstWRestUeVM,IF(MONTH(Monat.Tag1)=10,September!Monat.AZIstWRestUeVM,IF(MONTH(Monat.Tag1)=11,October!Monat.AZIstWRestUeVM,IF(MONTH(Monat.Tag1)=12,November!Monat.AZIstWRestUeVM,""))))))))))),0) -1/24*50),""),""),IF(D45=0,"",D45))</f>
        <v/>
      </c>
      <c r="E60" s="238" t="str">
        <f aca="true">IF(EB.Wochenarbeitszeit=50/24,IF(T.50_Vetsuisse,IF(WEEKDAY(E$10,2)=7,MAX(0,SUM(OFFSET(E51,0,-MIN(6,DAY(E$10)-1),1,MIN(7,DAY(E$10))))+IF(AND(MONTH(Monat.Tag1)&lt;&gt;1,DAY(E$10)&lt;7),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Monat.AZIstWRestUeVM,IF(MONTH(Monat.Tag1)=10,September!Monat.AZIstWRestUeVM,IF(MONTH(Monat.Tag1)=11,October!Monat.AZIstWRestUeVM,IF(MONTH(Monat.Tag1)=12,November!Monat.AZIstWRestUeVM,""))))))))))),0) -1/24*50),""),""),IF(E45=0,"",E45))</f>
        <v/>
      </c>
      <c r="F60" s="237" t="str">
        <f aca="true">IF(EB.Wochenarbeitszeit=50/24,IF(T.50_Vetsuisse,IF(WEEKDAY(F$10,2)=7,MAX(0,SUM(OFFSET(F51,0,-MIN(6,DAY(F$10)-1),1,MIN(7,DAY(F$10))))+IF(AND(MONTH(Monat.Tag1)&lt;&gt;1,DAY(F$10)&lt;7),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Monat.AZIstWRestUeVM,IF(MONTH(Monat.Tag1)=10,September!Monat.AZIstWRestUeVM,IF(MONTH(Monat.Tag1)=11,October!Monat.AZIstWRestUeVM,IF(MONTH(Monat.Tag1)=12,November!Monat.AZIstWRestUeVM,""))))))))))),0) -1/24*50),""),""),IF(F45=0,"",F45))</f>
        <v/>
      </c>
      <c r="G60" s="237" t="str">
        <f aca="true">IF(EB.Wochenarbeitszeit=50/24,IF(T.50_Vetsuisse,IF(WEEKDAY(G$10,2)=7,MAX(0,SUM(OFFSET(G51,0,-MIN(6,DAY(G$10)-1),1,MIN(7,DAY(G$10))))+IF(AND(MONTH(Monat.Tag1)&lt;&gt;1,DAY(G$10)&lt;7),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Monat.AZIstWRestUeVM,IF(MONTH(Monat.Tag1)=10,September!Monat.AZIstWRestUeVM,IF(MONTH(Monat.Tag1)=11,October!Monat.AZIstWRestUeVM,IF(MONTH(Monat.Tag1)=12,November!Monat.AZIstWRestUeVM,""))))))))))),0) -1/24*50),""),""),IF(G45=0,"",G45))</f>
        <v/>
      </c>
      <c r="H60" s="237" t="str">
        <f aca="true">IF(EB.Wochenarbeitszeit=50/24,IF(T.50_Vetsuisse,IF(WEEKDAY(H$10,2)=7,MAX(0,SUM(OFFSET(H51,0,-MIN(6,DAY(H$10)-1),1,MIN(7,DAY(H$10))))+IF(AND(MONTH(Monat.Tag1)&lt;&gt;1,DAY(H$10)&lt;7),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Monat.AZIstWRestUeVM,IF(MONTH(Monat.Tag1)=10,September!Monat.AZIstWRestUeVM,IF(MONTH(Monat.Tag1)=11,October!Monat.AZIstWRestUeVM,IF(MONTH(Monat.Tag1)=12,November!Monat.AZIstWRestUeVM,""))))))))))),0) -1/24*50),""),""),IF(H45=0,"",H45))</f>
        <v/>
      </c>
      <c r="I60" s="237" t="str">
        <f aca="true">IF(EB.Wochenarbeitszeit=50/24,IF(T.50_Vetsuisse,IF(WEEKDAY(I$10,2)=7,MAX(0,SUM(OFFSET(I51,0,-MIN(6,DAY(I$10)-1),1,MIN(7,DAY(I$10))))+IF(AND(MONTH(Monat.Tag1)&lt;&gt;1,DAY(I$10)&lt;7),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Monat.AZIstWRestUeVM,IF(MONTH(Monat.Tag1)=10,September!Monat.AZIstWRestUeVM,IF(MONTH(Monat.Tag1)=11,October!Monat.AZIstWRestUeVM,IF(MONTH(Monat.Tag1)=12,November!Monat.AZIstWRestUeVM,""))))))))))),0) -1/24*50),""),""),IF(I45=0,"",I45))</f>
        <v/>
      </c>
      <c r="J60" s="238" t="str">
        <f aca="true">IF(EB.Wochenarbeitszeit=50/24,IF(T.50_Vetsuisse,IF(WEEKDAY(J$10,2)=7,MAX(0,SUM(OFFSET(J51,0,-MIN(6,DAY(J$10)-1),1,MIN(7,DAY(J$10))))+IF(AND(MONTH(Monat.Tag1)&lt;&gt;1,DAY(J$10)&lt;7),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Monat.AZIstWRestUeVM,IF(MONTH(Monat.Tag1)=10,September!Monat.AZIstWRestUeVM,IF(MONTH(Monat.Tag1)=11,October!Monat.AZIstWRestUeVM,IF(MONTH(Monat.Tag1)=12,November!Monat.AZIstWRestUeVM,""))))))))))),0) -1/24*50),""),""),IF(J45=0,"",J45))</f>
        <v/>
      </c>
      <c r="K60" s="237" t="str">
        <f aca="true">IF(EB.Wochenarbeitszeit=50/24,IF(T.50_Vetsuisse,IF(WEEKDAY(K$10,2)=7,MAX(0,SUM(OFFSET(K51,0,-MIN(6,DAY(K$10)-1),1,MIN(7,DAY(K$10))))+IF(AND(MONTH(Monat.Tag1)&lt;&gt;1,DAY(K$10)&lt;7),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Monat.AZIstWRestUeVM,IF(MONTH(Monat.Tag1)=10,September!Monat.AZIstWRestUeVM,IF(MONTH(Monat.Tag1)=11,October!Monat.AZIstWRestUeVM,IF(MONTH(Monat.Tag1)=12,November!Monat.AZIstWRestUeVM,""))))))))))),0) -1/24*50),""),""),IF(K45=0,"",K45))</f>
        <v/>
      </c>
      <c r="L60" s="238" t="str">
        <f aca="true">IF(EB.Wochenarbeitszeit=50/24,IF(T.50_Vetsuisse,IF(WEEKDAY(L$10,2)=7,MAX(0,SUM(OFFSET(L51,0,-MIN(6,DAY(L$10)-1),1,MIN(7,DAY(L$10))))+IF(AND(MONTH(Monat.Tag1)&lt;&gt;1,DAY(L$10)&lt;7),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Monat.AZIstWRestUeVM,IF(MONTH(Monat.Tag1)=10,September!Monat.AZIstWRestUeVM,IF(MONTH(Monat.Tag1)=11,October!Monat.AZIstWRestUeVM,IF(MONTH(Monat.Tag1)=12,November!Monat.AZIstWRestUeVM,""))))))))))),0) -1/24*50),""),""),IF(L45=0,"",L45))</f>
        <v/>
      </c>
      <c r="M60" s="237" t="str">
        <f aca="true">IF(EB.Wochenarbeitszeit=50/24,IF(T.50_Vetsuisse,IF(WEEKDAY(M$10,2)=7,MAX(0,SUM(OFFSET(M51,0,-MIN(6,DAY(M$10)-1),1,MIN(7,DAY(M$10))))+IF(AND(MONTH(Monat.Tag1)&lt;&gt;1,DAY(M$10)&lt;7),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Monat.AZIstWRestUeVM,IF(MONTH(Monat.Tag1)=10,September!Monat.AZIstWRestUeVM,IF(MONTH(Monat.Tag1)=11,October!Monat.AZIstWRestUeVM,IF(MONTH(Monat.Tag1)=12,November!Monat.AZIstWRestUeVM,""))))))))))),0) -1/24*50),""),""),IF(M45=0,"",M45))</f>
        <v/>
      </c>
      <c r="N60" s="237" t="str">
        <f aca="true">IF(EB.Wochenarbeitszeit=50/24,IF(T.50_Vetsuisse,IF(WEEKDAY(N$10,2)=7,MAX(0,SUM(OFFSET(N51,0,-MIN(6,DAY(N$10)-1),1,MIN(7,DAY(N$10))))+IF(AND(MONTH(Monat.Tag1)&lt;&gt;1,DAY(N$10)&lt;7),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Monat.AZIstWRestUeVM,IF(MONTH(Monat.Tag1)=10,September!Monat.AZIstWRestUeVM,IF(MONTH(Monat.Tag1)=11,October!Monat.AZIstWRestUeVM,IF(MONTH(Monat.Tag1)=12,November!Monat.AZIstWRestUeVM,""))))))))))),0) -1/24*50),""),""),IF(N45=0,"",N45))</f>
        <v/>
      </c>
      <c r="O60" s="237" t="str">
        <f aca="true">IF(EB.Wochenarbeitszeit=50/24,IF(T.50_Vetsuisse,IF(WEEKDAY(O$10,2)=7,MAX(0,SUM(OFFSET(O51,0,-MIN(6,DAY(O$10)-1),1,MIN(7,DAY(O$10))))+IF(AND(MONTH(Monat.Tag1)&lt;&gt;1,DAY(O$10)&lt;7),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Monat.AZIstWRestUeVM,IF(MONTH(Monat.Tag1)=10,September!Monat.AZIstWRestUeVM,IF(MONTH(Monat.Tag1)=11,October!Monat.AZIstWRestUeVM,IF(MONTH(Monat.Tag1)=12,November!Monat.AZIstWRestUeVM,""))))))))))),0) -1/24*50),""),""),IF(O45=0,"",O45))</f>
        <v/>
      </c>
      <c r="P60" s="237" t="str">
        <f aca="true">IF(EB.Wochenarbeitszeit=50/24,IF(T.50_Vetsuisse,IF(WEEKDAY(P$10,2)=7,MAX(0,SUM(OFFSET(P51,0,-MIN(6,DAY(P$10)-1),1,MIN(7,DAY(P$10))))+IF(AND(MONTH(Monat.Tag1)&lt;&gt;1,DAY(P$10)&lt;7),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Monat.AZIstWRestUeVM,IF(MONTH(Monat.Tag1)=10,September!Monat.AZIstWRestUeVM,IF(MONTH(Monat.Tag1)=11,October!Monat.AZIstWRestUeVM,IF(MONTH(Monat.Tag1)=12,November!Monat.AZIstWRestUeVM,""))))))))))),0) -1/24*50),""),""),IF(P45=0,"",P45))</f>
        <v/>
      </c>
      <c r="Q60" s="238" t="str">
        <f aca="true">IF(EB.Wochenarbeitszeit=50/24,IF(T.50_Vetsuisse,IF(WEEKDAY(Q$10,2)=7,MAX(0,SUM(OFFSET(Q51,0,-MIN(6,DAY(Q$10)-1),1,MIN(7,DAY(Q$10))))+IF(AND(MONTH(Monat.Tag1)&lt;&gt;1,DAY(Q$10)&lt;7),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Monat.AZIstWRestUeVM,IF(MONTH(Monat.Tag1)=10,September!Monat.AZIstWRestUeVM,IF(MONTH(Monat.Tag1)=11,October!Monat.AZIstWRestUeVM,IF(MONTH(Monat.Tag1)=12,November!Monat.AZIstWRestUeVM,""))))))))))),0) -1/24*50),""),""),IF(Q45=0,"",Q45))</f>
        <v/>
      </c>
      <c r="R60" s="237" t="str">
        <f aca="true">IF(EB.Wochenarbeitszeit=50/24,IF(T.50_Vetsuisse,IF(WEEKDAY(R$10,2)=7,MAX(0,SUM(OFFSET(R51,0,-MIN(6,DAY(R$10)-1),1,MIN(7,DAY(R$10))))+IF(AND(MONTH(Monat.Tag1)&lt;&gt;1,DAY(R$10)&lt;7),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Monat.AZIstWRestUeVM,IF(MONTH(Monat.Tag1)=10,September!Monat.AZIstWRestUeVM,IF(MONTH(Monat.Tag1)=11,October!Monat.AZIstWRestUeVM,IF(MONTH(Monat.Tag1)=12,November!Monat.AZIstWRestUeVM,""))))))))))),0) -1/24*50),""),""),IF(R45=0,"",R45))</f>
        <v/>
      </c>
      <c r="S60" s="238" t="str">
        <f aca="true">IF(EB.Wochenarbeitszeit=50/24,IF(T.50_Vetsuisse,IF(WEEKDAY(S$10,2)=7,MAX(0,SUM(OFFSET(S51,0,-MIN(6,DAY(S$10)-1),1,MIN(7,DAY(S$10))))+IF(AND(MONTH(Monat.Tag1)&lt;&gt;1,DAY(S$10)&lt;7),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Monat.AZIstWRestUeVM,IF(MONTH(Monat.Tag1)=10,September!Monat.AZIstWRestUeVM,IF(MONTH(Monat.Tag1)=11,October!Monat.AZIstWRestUeVM,IF(MONTH(Monat.Tag1)=12,November!Monat.AZIstWRestUeVM,""))))))))))),0) -1/24*50),""),""),IF(S45=0,"",S45))</f>
        <v/>
      </c>
      <c r="T60" s="238" t="str">
        <f aca="true">IF(EB.Wochenarbeitszeit=50/24,IF(T.50_Vetsuisse,IF(WEEKDAY(T$10,2)=7,MAX(0,SUM(OFFSET(T51,0,-MIN(6,DAY(T$10)-1),1,MIN(7,DAY(T$10))))+IF(AND(MONTH(Monat.Tag1)&lt;&gt;1,DAY(T$10)&lt;7),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Monat.AZIstWRestUeVM,IF(MONTH(Monat.Tag1)=10,September!Monat.AZIstWRestUeVM,IF(MONTH(Monat.Tag1)=11,October!Monat.AZIstWRestUeVM,IF(MONTH(Monat.Tag1)=12,November!Monat.AZIstWRestUeVM,""))))))))))),0) -1/24*50),""),""),IF(T45=0,"",T45))</f>
        <v/>
      </c>
      <c r="U60" s="237" t="str">
        <f aca="true">IF(EB.Wochenarbeitszeit=50/24,IF(T.50_Vetsuisse,IF(WEEKDAY(U$10,2)=7,MAX(0,SUM(OFFSET(U51,0,-MIN(6,DAY(U$10)-1),1,MIN(7,DAY(U$10))))+IF(AND(MONTH(Monat.Tag1)&lt;&gt;1,DAY(U$10)&lt;7),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Monat.AZIstWRestUeVM,IF(MONTH(Monat.Tag1)=10,September!Monat.AZIstWRestUeVM,IF(MONTH(Monat.Tag1)=11,October!Monat.AZIstWRestUeVM,IF(MONTH(Monat.Tag1)=12,November!Monat.AZIstWRestUeVM,""))))))))))),0) -1/24*50),""),""),IF(U45=0,"",U45))</f>
        <v/>
      </c>
      <c r="V60" s="237" t="str">
        <f aca="true">IF(EB.Wochenarbeitszeit=50/24,IF(T.50_Vetsuisse,IF(WEEKDAY(V$10,2)=7,MAX(0,SUM(OFFSET(V51,0,-MIN(6,DAY(V$10)-1),1,MIN(7,DAY(V$10))))+IF(AND(MONTH(Monat.Tag1)&lt;&gt;1,DAY(V$10)&lt;7),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Monat.AZIstWRestUeVM,IF(MONTH(Monat.Tag1)=10,September!Monat.AZIstWRestUeVM,IF(MONTH(Monat.Tag1)=11,October!Monat.AZIstWRestUeVM,IF(MONTH(Monat.Tag1)=12,November!Monat.AZIstWRestUeVM,""))))))))))),0) -1/24*50),""),""),IF(V45=0,"",V45))</f>
        <v/>
      </c>
      <c r="W60" s="237" t="str">
        <f aca="true">IF(EB.Wochenarbeitszeit=50/24,IF(T.50_Vetsuisse,IF(WEEKDAY(W$10,2)=7,MAX(0,SUM(OFFSET(W51,0,-MIN(6,DAY(W$10)-1),1,MIN(7,DAY(W$10))))+IF(AND(MONTH(Monat.Tag1)&lt;&gt;1,DAY(W$10)&lt;7),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Monat.AZIstWRestUeVM,IF(MONTH(Monat.Tag1)=10,September!Monat.AZIstWRestUeVM,IF(MONTH(Monat.Tag1)=11,October!Monat.AZIstWRestUeVM,IF(MONTH(Monat.Tag1)=12,November!Monat.AZIstWRestUeVM,""))))))))))),0) -1/24*50),""),""),IF(W45=0,"",W45))</f>
        <v/>
      </c>
      <c r="X60" s="238" t="str">
        <f aca="true">IF(EB.Wochenarbeitszeit=50/24,IF(T.50_Vetsuisse,IF(WEEKDAY(X$10,2)=7,MAX(0,SUM(OFFSET(X51,0,-MIN(6,DAY(X$10)-1),1,MIN(7,DAY(X$10))))+IF(AND(MONTH(Monat.Tag1)&lt;&gt;1,DAY(X$10)&lt;7),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Monat.AZIstWRestUeVM,IF(MONTH(Monat.Tag1)=10,September!Monat.AZIstWRestUeVM,IF(MONTH(Monat.Tag1)=11,October!Monat.AZIstWRestUeVM,IF(MONTH(Monat.Tag1)=12,November!Monat.AZIstWRestUeVM,""))))))))))),0) -1/24*50),""),""),IF(X45=0,"",X45))</f>
        <v/>
      </c>
      <c r="Y60" s="237" t="str">
        <f aca="true">IF(EB.Wochenarbeitszeit=50/24,IF(T.50_Vetsuisse,IF(WEEKDAY(Y$10,2)=7,MAX(0,SUM(OFFSET(Y51,0,-MIN(6,DAY(Y$10)-1),1,MIN(7,DAY(Y$10))))+IF(AND(MONTH(Monat.Tag1)&lt;&gt;1,DAY(Y$10)&lt;7),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Monat.AZIstWRestUeVM,IF(MONTH(Monat.Tag1)=10,September!Monat.AZIstWRestUeVM,IF(MONTH(Monat.Tag1)=11,October!Monat.AZIstWRestUeVM,IF(MONTH(Monat.Tag1)=12,November!Monat.AZIstWRestUeVM,""))))))))))),0) -1/24*50),""),""),IF(Y45=0,"",Y45))</f>
        <v/>
      </c>
      <c r="Z60" s="239" t="str">
        <f aca="true">IF(EB.Wochenarbeitszeit=50/24,IF(T.50_Vetsuisse,IF(WEEKDAY(Z$10,2)=7,MAX(0,SUM(OFFSET(Z51,0,-MIN(6,DAY(Z$10)-1),1,MIN(7,DAY(Z$10))))+IF(AND(MONTH(Monat.Tag1)&lt;&gt;1,DAY(Z$10)&lt;7),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Monat.AZIstWRestUeVM,IF(MONTH(Monat.Tag1)=10,September!Monat.AZIstWRestUeVM,IF(MONTH(Monat.Tag1)=11,October!Monat.AZIstWRestUeVM,IF(MONTH(Monat.Tag1)=12,November!Monat.AZIstWRestUeVM,""))))))))))),0) -1/24*50),""),""),IF(Z45=0,"",Z45))</f>
        <v/>
      </c>
      <c r="AA60" s="237" t="str">
        <f aca="true">IF(EB.Wochenarbeitszeit=50/24,IF(T.50_Vetsuisse,IF(WEEKDAY(AA$10,2)=7,MAX(0,SUM(OFFSET(AA51,0,-MIN(6,DAY(AA$10)-1),1,MIN(7,DAY(AA$10))))+IF(AND(MONTH(Monat.Tag1)&lt;&gt;1,DAY(AA$10)&lt;7),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Monat.AZIstWRestUeVM,IF(MONTH(Monat.Tag1)=10,September!Monat.AZIstWRestUeVM,IF(MONTH(Monat.Tag1)=11,October!Monat.AZIstWRestUeVM,IF(MONTH(Monat.Tag1)=12,November!Monat.AZIstWRestUeVM,""))))))))))),0) -1/24*50),""),""),IF(AA45=0,"",AA45))</f>
        <v/>
      </c>
      <c r="AB60" s="237" t="str">
        <f aca="true">IF(EB.Wochenarbeitszeit=50/24,IF(T.50_Vetsuisse,IF(WEEKDAY(AB$10,2)=7,MAX(0,SUM(OFFSET(AB51,0,-MIN(6,DAY(AB$10)-1),1,MIN(7,DAY(AB$10))))+IF(AND(MONTH(Monat.Tag1)&lt;&gt;1,DAY(AB$10)&lt;7),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Monat.AZIstWRestUeVM,IF(MONTH(Monat.Tag1)=10,September!Monat.AZIstWRestUeVM,IF(MONTH(Monat.Tag1)=11,October!Monat.AZIstWRestUeVM,IF(MONTH(Monat.Tag1)=12,November!Monat.AZIstWRestUeVM,""))))))))))),0) -1/24*50),""),""),IF(AB45=0,"",AB45))</f>
        <v/>
      </c>
      <c r="AC60" s="237" t="str">
        <f aca="true">IF(EB.Wochenarbeitszeit=50/24,IF(T.50_Vetsuisse,IF(WEEKDAY(AC$10,2)=7,MAX(0,SUM(OFFSET(AC51,0,-MIN(6,DAY(AC$10)-1),1,MIN(7,DAY(AC$10))))+IF(AND(MONTH(Monat.Tag1)&lt;&gt;1,DAY(AC$10)&lt;7),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Monat.AZIstWRestUeVM,IF(MONTH(Monat.Tag1)=10,September!Monat.AZIstWRestUeVM,IF(MONTH(Monat.Tag1)=11,October!Monat.AZIstWRestUeVM,IF(MONTH(Monat.Tag1)=12,November!Monat.AZIstWRestUeVM,""))))))))))),0) -1/24*50),""),""),IF(AC45=0,"",AC45))</f>
        <v/>
      </c>
      <c r="AD60" s="237" t="str">
        <f aca="true">IF(EB.Wochenarbeitszeit=50/24,IF(T.50_Vetsuisse,IF(WEEKDAY(AD$10,2)=7,MAX(0,SUM(OFFSET(AD51,0,-MIN(6,DAY(AD$10)-1),1,MIN(7,DAY(AD$10))))+IF(AND(MONTH(Monat.Tag1)&lt;&gt;1,DAY(AD$10)&lt;7),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Monat.AZIstWRestUeVM,IF(MONTH(Monat.Tag1)=10,September!Monat.AZIstWRestUeVM,IF(MONTH(Monat.Tag1)=11,October!Monat.AZIstWRestUeVM,IF(MONTH(Monat.Tag1)=12,November!Monat.AZIstWRestUeVM,""))))))))))),0) -1/24*50),""),""),IF(AD45=0,"",AD45))</f>
        <v/>
      </c>
      <c r="AE60" s="238" t="str">
        <f aca="true">IF(EB.Wochenarbeitszeit=50/24,IF(T.50_Vetsuisse,IF(WEEKDAY(AE$10,2)=7,MAX(0,SUM(OFFSET(AE51,0,-MIN(6,DAY(AE$10)-1),1,MIN(7,DAY(AE$10))))+IF(AND(MONTH(Monat.Tag1)&lt;&gt;1,DAY(AE$10)&lt;7),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Monat.AZIstWRestUeVM,IF(MONTH(Monat.Tag1)=10,September!Monat.AZIstWRestUeVM,IF(MONTH(Monat.Tag1)=11,October!Monat.AZIstWRestUeVM,IF(MONTH(Monat.Tag1)=12,November!Monat.AZIstWRestUeVM,""))))))))))),0) -1/24*50),""),""),IF(AE45=0,"",AE45))</f>
        <v/>
      </c>
      <c r="AF60" s="237" t="str">
        <f aca="true">IF(EB.Wochenarbeitszeit=50/24,IF(T.50_Vetsuisse,IF(WEEKDAY(AF$10,2)=7,MAX(0,SUM(OFFSET(AF51,0,-MIN(6,DAY(AF$10)-1),1,MIN(7,DAY(AF$10))))+IF(AND(MONTH(Monat.Tag1)&lt;&gt;1,DAY(AF$10)&lt;7), IF(MONTH(Monat.Tag1)=2,January!Monat.AZIstWRestUeVM,IF(MONTH(Monat.Tag1)=3,February!Monat.AZIstWRestUeVM,IF(MONTH(Monat.Tag1)=4,March!Monat.AZIstWRestUeVM,IF(MONTH(Monat.Tag1)=5,April!Monat.AZIstWRestUeVM,IF(MONTH(Monat.Tag1)=6,May!Monat.AZIstWRestUeVM,IF(MONTH(Monat.Tag1)=7,June!Monat.AZIstWRestUeVM,IF(MONTH(Monat.Tag1)=8,July!Monat.AZIstWRestUeVM,IF(MONTH(Monat.Tag1)=9,Monat.AZIstWRestUeVM,IF(MONTH(Monat.Tag1)=10,September!Monat.AZIstWRestUeVM,IF(MONTH(Monat.Tag1)=11,October!Monat.AZIstWRestUeVM,IF(MONTH(Monat.Tag1)=12,November!Monat.AZIstWRestUeVM,""))))))))))),0) -1/24*50),""),""),IF(AF45=0,"",AF45))</f>
        <v/>
      </c>
      <c r="AG60" s="168" t="str">
        <f aca="false">A60</f>
        <v>Ordered overtime</v>
      </c>
      <c r="AH60" s="184"/>
      <c r="AI60" s="207" t="n">
        <f aca="false">SUM(B60:AF60)</f>
        <v>0</v>
      </c>
      <c r="AJ60" s="180"/>
      <c r="AK60" s="172"/>
      <c r="AL60" s="216" t="n">
        <f aca="false">IF(EB.Anwendung&lt;&gt;"",IF(MONTH(Monat.Tag1)=1,0,IF(MONTH(Monat.Tag1)=2,January!Monat.AnUeZUeVM,IF(MONTH(Monat.Tag1)=3,February!Monat.AnUeZUeVM,IF(MONTH(Monat.Tag1)=4,March!Monat.AnUeZUeVM,IF(MONTH(Monat.Tag1)=5,April!Monat.AnUeZUeVM,IF(MONTH(Monat.Tag1)=6,May!Monat.AnUeZUeVM,IF(MONTH(Monat.Tag1)=7,June!Monat.AnUeZUeVM,IF(MONTH(Monat.Tag1)=8,July!Monat.AnUeZUeVM,IF(MONTH(Monat.Tag1)=9,Monat.AnUeZUeVM,IF(MONTH(Monat.Tag1)=10,September!Monat.AnUeZUeVM,IF(MONTH(Monat.Tag1)=11,October!Monat.AnUeZUeVM,IF(MONTH(Monat.Tag1)=12,November!Monat.AnUeZUeVM,"")))))))))))),"")</f>
        <v>0</v>
      </c>
      <c r="AM60" s="172"/>
      <c r="AN60" s="217" t="n">
        <f aca="false">AI60+AL60</f>
        <v>0</v>
      </c>
      <c r="AO60" s="217" t="n">
        <f aca="true">SUM(OFFSET(Jahr.AngÜZ,-12,0,MONTH(Monat.Tag1),1))</f>
        <v>0</v>
      </c>
      <c r="AP60" s="217" t="n">
        <f aca="false">Jahr.AngÜZ</f>
        <v>0</v>
      </c>
      <c r="AQ60" s="39"/>
    </row>
    <row r="61" s="148" customFormat="true" ht="15" hidden="false" customHeight="true" outlineLevel="0" collapsed="false">
      <c r="A61" s="175" t="s">
        <v>149</v>
      </c>
      <c r="B61" s="177"/>
      <c r="C61" s="177"/>
      <c r="D61" s="177"/>
      <c r="E61" s="177"/>
      <c r="F61" s="177"/>
      <c r="G61" s="177"/>
      <c r="H61" s="177"/>
      <c r="I61" s="177"/>
      <c r="J61" s="177"/>
      <c r="K61" s="177"/>
      <c r="L61" s="177"/>
      <c r="M61" s="177"/>
      <c r="N61" s="177"/>
      <c r="O61" s="177"/>
      <c r="P61" s="177"/>
      <c r="Q61" s="177"/>
      <c r="R61" s="177"/>
      <c r="S61" s="177"/>
      <c r="T61" s="177"/>
      <c r="U61" s="177"/>
      <c r="V61" s="177"/>
      <c r="W61" s="177"/>
      <c r="X61" s="177"/>
      <c r="Y61" s="177"/>
      <c r="Z61" s="178"/>
      <c r="AA61" s="177"/>
      <c r="AB61" s="177"/>
      <c r="AC61" s="177"/>
      <c r="AD61" s="177"/>
      <c r="AE61" s="177"/>
      <c r="AF61" s="177"/>
      <c r="AG61" s="168" t="str">
        <f aca="false">A61</f>
        <v>Compensation overtime</v>
      </c>
      <c r="AH61" s="184"/>
      <c r="AI61" s="207" t="n">
        <f aca="false">SUM(B61:AF61)</f>
        <v>0</v>
      </c>
      <c r="AJ61" s="180"/>
      <c r="AK61" s="172"/>
      <c r="AL61" s="172"/>
      <c r="AM61" s="172"/>
      <c r="AN61" s="171"/>
      <c r="AO61" s="172"/>
      <c r="AP61" s="172"/>
      <c r="AQ61" s="39"/>
    </row>
    <row r="62" s="231" customFormat="true" ht="15" hidden="true" customHeight="true" outlineLevel="1" collapsed="false">
      <c r="A62" s="219"/>
      <c r="B62" s="224"/>
      <c r="C62" s="224"/>
      <c r="D62" s="224"/>
      <c r="E62" s="152"/>
      <c r="F62" s="224"/>
      <c r="G62" s="224"/>
      <c r="H62" s="224"/>
      <c r="I62" s="224"/>
      <c r="J62" s="222"/>
      <c r="K62" s="224"/>
      <c r="L62" s="223"/>
      <c r="M62" s="224"/>
      <c r="N62" s="224"/>
      <c r="O62" s="224"/>
      <c r="P62" s="224"/>
      <c r="Q62" s="152"/>
      <c r="R62" s="224"/>
      <c r="S62" s="223"/>
      <c r="T62" s="224"/>
      <c r="U62" s="224"/>
      <c r="V62" s="224"/>
      <c r="W62" s="224"/>
      <c r="X62" s="224"/>
      <c r="Y62" s="224"/>
      <c r="Z62" s="152"/>
      <c r="AA62" s="224"/>
      <c r="AB62" s="224"/>
      <c r="AC62" s="224"/>
      <c r="AD62" s="224"/>
      <c r="AE62" s="152"/>
      <c r="AF62" s="240"/>
      <c r="AG62" s="241" t="s">
        <v>150</v>
      </c>
      <c r="AH62" s="242"/>
      <c r="AI62" s="207" t="n">
        <f aca="false">Monat.AnUeZ.Total-Monat.KomUeZ.Total</f>
        <v>0</v>
      </c>
      <c r="AJ62" s="180"/>
      <c r="AK62" s="230"/>
      <c r="AL62" s="230"/>
      <c r="AM62" s="172"/>
      <c r="AN62" s="230"/>
      <c r="AO62" s="230"/>
      <c r="AP62" s="230"/>
      <c r="AQ62" s="96"/>
    </row>
    <row r="63" s="148" customFormat="true" ht="15" hidden="false" customHeight="true" outlineLevel="0" collapsed="false">
      <c r="A63" s="186"/>
      <c r="B63" s="152"/>
      <c r="C63" s="152"/>
      <c r="D63" s="152"/>
      <c r="E63" s="152"/>
      <c r="F63" s="152"/>
      <c r="G63" s="152"/>
      <c r="H63" s="152"/>
      <c r="I63" s="152"/>
      <c r="J63" s="152"/>
      <c r="K63" s="152"/>
      <c r="L63" s="223"/>
      <c r="M63" s="152"/>
      <c r="N63" s="152"/>
      <c r="O63" s="152"/>
      <c r="P63" s="152"/>
      <c r="Q63" s="152"/>
      <c r="R63" s="152"/>
      <c r="S63" s="223"/>
      <c r="T63" s="152"/>
      <c r="U63" s="152"/>
      <c r="V63" s="152"/>
      <c r="W63" s="152"/>
      <c r="X63" s="224"/>
      <c r="Y63" s="152"/>
      <c r="Z63" s="152"/>
      <c r="AA63" s="152"/>
      <c r="AB63" s="152"/>
      <c r="AC63" s="152"/>
      <c r="AD63" s="152"/>
      <c r="AE63" s="152"/>
      <c r="AF63" s="243"/>
      <c r="AG63" s="175" t="s">
        <v>151</v>
      </c>
      <c r="AH63" s="184"/>
      <c r="AI63" s="207" t="n">
        <f aca="true">IF(T.50_Vetsuisse,0,IF(AND(AI62&gt;0,Monat.ÜZZSBerechtigt=INDEX(T.JaNein.Bereich,1,1)),(AI62*0.25),0))</f>
        <v>0</v>
      </c>
      <c r="AJ63" s="180"/>
      <c r="AK63" s="172"/>
      <c r="AL63" s="230"/>
      <c r="AM63" s="172"/>
      <c r="AN63" s="230"/>
      <c r="AO63" s="230"/>
      <c r="AP63" s="230"/>
      <c r="AQ63" s="39"/>
    </row>
    <row r="64" s="148" customFormat="true" ht="15" hidden="true" customHeight="true" outlineLevel="1" collapsed="false">
      <c r="A64" s="186"/>
      <c r="B64" s="152"/>
      <c r="C64" s="152"/>
      <c r="D64" s="152"/>
      <c r="E64" s="152"/>
      <c r="F64" s="152"/>
      <c r="G64" s="152"/>
      <c r="H64" s="152"/>
      <c r="I64" s="152"/>
      <c r="J64" s="152"/>
      <c r="K64" s="152"/>
      <c r="L64" s="223"/>
      <c r="M64" s="152"/>
      <c r="N64" s="152"/>
      <c r="O64" s="152"/>
      <c r="P64" s="152"/>
      <c r="Q64" s="152"/>
      <c r="R64" s="152"/>
      <c r="S64" s="223"/>
      <c r="T64" s="152"/>
      <c r="U64" s="152"/>
      <c r="V64" s="152"/>
      <c r="W64" s="152"/>
      <c r="X64" s="224"/>
      <c r="Y64" s="152"/>
      <c r="Z64" s="152"/>
      <c r="AA64" s="152"/>
      <c r="AB64" s="152"/>
      <c r="AC64" s="152"/>
      <c r="AD64" s="152"/>
      <c r="AE64" s="152"/>
      <c r="AF64" s="243"/>
      <c r="AG64" s="175" t="s">
        <v>152</v>
      </c>
      <c r="AH64" s="244" t="s">
        <v>146</v>
      </c>
      <c r="AI64" s="245"/>
      <c r="AJ64" s="246"/>
      <c r="AK64" s="172"/>
      <c r="AL64" s="230"/>
      <c r="AM64" s="172"/>
      <c r="AN64" s="230"/>
      <c r="AO64" s="230"/>
      <c r="AP64" s="230"/>
      <c r="AQ64" s="39"/>
    </row>
    <row r="65" s="231" customFormat="true" ht="15" hidden="false" customHeight="true" outlineLevel="0" collapsed="false">
      <c r="A65" s="219"/>
      <c r="B65" s="224"/>
      <c r="C65" s="224"/>
      <c r="D65" s="224"/>
      <c r="E65" s="152"/>
      <c r="F65" s="224"/>
      <c r="G65" s="224"/>
      <c r="H65" s="224"/>
      <c r="I65" s="224"/>
      <c r="J65" s="152"/>
      <c r="K65" s="224"/>
      <c r="L65" s="223"/>
      <c r="M65" s="224"/>
      <c r="N65" s="224"/>
      <c r="O65" s="224"/>
      <c r="P65" s="224"/>
      <c r="Q65" s="152"/>
      <c r="R65" s="224"/>
      <c r="S65" s="223"/>
      <c r="T65" s="224"/>
      <c r="U65" s="224"/>
      <c r="V65" s="224"/>
      <c r="W65" s="224"/>
      <c r="X65" s="224"/>
      <c r="Y65" s="224"/>
      <c r="Z65" s="152"/>
      <c r="AA65" s="224"/>
      <c r="AB65" s="224"/>
      <c r="AC65" s="224"/>
      <c r="AD65" s="224"/>
      <c r="AE65" s="152"/>
      <c r="AF65" s="240"/>
      <c r="AG65" s="234" t="s">
        <v>153</v>
      </c>
      <c r="AH65" s="242"/>
      <c r="AI65" s="207" t="n">
        <f aca="false">IF(AH64="+",(AI62+AI63+AI64),(AI62+AI63-AI64))</f>
        <v>0</v>
      </c>
      <c r="AJ65" s="33"/>
      <c r="AK65" s="247"/>
      <c r="AL65" s="216" t="n">
        <f aca="false">IF(EB.Anwendung&lt;&gt;"",IF(MONTH(Monat.Tag1)=1,EB.UeZ,IF(MONTH(Monat.Tag1)=2,January!Monat.UeZUeVM,IF(MONTH(Monat.Tag1)=3,February!Monat.UeZUeVM,IF(MONTH(Monat.Tag1)=4,March!Monat.UeZUeVM,IF(MONTH(Monat.Tag1)=5,April!Monat.UeZUeVM,IF(MONTH(Monat.Tag1)=6,May!Monat.UeZUeVM,IF(MONTH(Monat.Tag1)=7,June!Monat.UeZUeVM,IF(MONTH(Monat.Tag1)=8,July!Monat.UeZUeVM,IF(MONTH(Monat.Tag1)=9,Monat.UeZUeVM,IF(MONTH(Monat.Tag1)=10,September!Monat.UeZUeVM,IF(MONTH(Monat.Tag1)=11,October!Monat.UeZUeVM,IF(MONTH(Monat.Tag1)=12,November!Monat.UeZUeVM,"")))))))))))),"")</f>
        <v>0</v>
      </c>
      <c r="AM65" s="172"/>
      <c r="AN65" s="217" t="n">
        <f aca="false">AI65+AL65</f>
        <v>0</v>
      </c>
      <c r="AO65" s="217" t="n">
        <f aca="true">SUM(OFFSET(J.UeZ.Total,-12,0,MONTH(Monat.Tag1),1))</f>
        <v>0</v>
      </c>
      <c r="AP65" s="217" t="n">
        <f aca="false">J.UeZ.Total</f>
        <v>0</v>
      </c>
      <c r="AQ65" s="96"/>
    </row>
    <row r="66" s="148" customFormat="true" ht="11.25" hidden="false" customHeight="true" outlineLevel="1" collapsed="false">
      <c r="A66" s="186"/>
      <c r="B66" s="57"/>
      <c r="C66" s="57"/>
      <c r="D66" s="57"/>
      <c r="E66" s="152"/>
      <c r="F66" s="57"/>
      <c r="G66" s="57"/>
      <c r="H66" s="57"/>
      <c r="I66" s="57"/>
      <c r="J66" s="152"/>
      <c r="K66" s="57"/>
      <c r="L66" s="223"/>
      <c r="M66" s="57"/>
      <c r="N66" s="57"/>
      <c r="O66" s="57"/>
      <c r="P66" s="57"/>
      <c r="Q66" s="152"/>
      <c r="R66" s="57"/>
      <c r="S66" s="223"/>
      <c r="T66" s="57"/>
      <c r="U66" s="57"/>
      <c r="V66" s="57"/>
      <c r="W66" s="57"/>
      <c r="X66" s="224"/>
      <c r="Y66" s="57"/>
      <c r="Z66" s="152"/>
      <c r="AA66" s="57"/>
      <c r="AB66" s="57"/>
      <c r="AC66" s="57"/>
      <c r="AD66" s="57"/>
      <c r="AE66" s="152"/>
      <c r="AF66" s="179"/>
      <c r="AG66" s="175"/>
      <c r="AH66" s="146"/>
      <c r="AI66" s="179"/>
      <c r="AJ66" s="180"/>
      <c r="AK66" s="172"/>
      <c r="AL66" s="172"/>
      <c r="AM66" s="172"/>
      <c r="AN66" s="171"/>
      <c r="AO66" s="172"/>
      <c r="AP66" s="172"/>
      <c r="AQ66" s="39"/>
    </row>
    <row r="67" s="148" customFormat="true" ht="15" hidden="false" customHeight="true" outlineLevel="1" collapsed="false">
      <c r="A67" s="175" t="s">
        <v>154</v>
      </c>
      <c r="B67" s="177"/>
      <c r="C67" s="177"/>
      <c r="D67" s="177"/>
      <c r="E67" s="177"/>
      <c r="F67" s="177"/>
      <c r="G67" s="177"/>
      <c r="H67" s="177"/>
      <c r="I67" s="177"/>
      <c r="J67" s="177"/>
      <c r="K67" s="177"/>
      <c r="L67" s="177"/>
      <c r="M67" s="177"/>
      <c r="N67" s="177"/>
      <c r="O67" s="177"/>
      <c r="P67" s="177"/>
      <c r="Q67" s="177"/>
      <c r="R67" s="177"/>
      <c r="S67" s="177"/>
      <c r="T67" s="177"/>
      <c r="U67" s="177"/>
      <c r="V67" s="177"/>
      <c r="W67" s="177"/>
      <c r="X67" s="177"/>
      <c r="Y67" s="177"/>
      <c r="Z67" s="178"/>
      <c r="AA67" s="177"/>
      <c r="AB67" s="177"/>
      <c r="AC67" s="177"/>
      <c r="AD67" s="177"/>
      <c r="AE67" s="177"/>
      <c r="AF67" s="177"/>
      <c r="AG67" s="168" t="str">
        <f aca="false">A67</f>
        <v>Compensation working hours</v>
      </c>
      <c r="AH67" s="184"/>
      <c r="AI67" s="207" t="n">
        <f aca="false">SUM(B67:AF67)</f>
        <v>0</v>
      </c>
      <c r="AJ67" s="33"/>
      <c r="AK67" s="216" t="n">
        <f aca="true">OFFSET(EB.MKAStd.Knoten,MONTH(Monat.Tag1),0,1,1)</f>
        <v>0.4375</v>
      </c>
      <c r="AL67" s="248" t="n">
        <f aca="false">IF(EB.Anwendung&lt;&gt;"",IF(MONTH(Monat.Tag1)=1,0,IF(MONTH(Monat.Tag1)=2,January!Monat.KomUeVM,IF(MONTH(Monat.Tag1)=3,February!Monat.KomUeVM,IF(MONTH(Monat.Tag1)=4,March!Monat.KomUeVM,IF(MONTH(Monat.Tag1)=5,April!Monat.KomUeVM,IF(MONTH(Monat.Tag1)=6,May!Monat.KomUeVM,IF(MONTH(Monat.Tag1)=7,June!Monat.KomUeVM,IF(MONTH(Monat.Tag1)=8,July!Monat.KomUeVM,IF(MONTH(Monat.Tag1)=9,Monat.KomUeVM,IF(MONTH(Monat.Tag1)=10,September!Monat.KomUeVM,IF(MONTH(Monat.Tag1)=11,October!Monat.KomUeVM,IF(MONTH(Monat.Tag1)=12,November!Monat.KomUeVM,"")))))))))))),"")</f>
        <v>1.75</v>
      </c>
      <c r="AM67" s="172"/>
      <c r="AN67" s="217" t="n">
        <f aca="false">AK67+AL67-Monat.KomAZ.Total</f>
        <v>2.1875</v>
      </c>
      <c r="AO67" s="217" t="n">
        <f aca="true">Jahresabrechnung!P12-SUM(OFFSET(Jahresabrechnung!P15,0,0,MONTH(Monat.Tag1),1))</f>
        <v>3.9375</v>
      </c>
      <c r="AP67" s="217" t="n">
        <f aca="false">Jahresabrechnung!P28</f>
        <v>3.9375</v>
      </c>
      <c r="AQ67" s="39"/>
    </row>
    <row r="68" s="148" customFormat="true" ht="11.25" hidden="false" customHeight="true" outlineLevel="0" collapsed="false">
      <c r="A68" s="186"/>
      <c r="B68" s="187"/>
      <c r="C68" s="187"/>
      <c r="D68" s="187"/>
      <c r="E68" s="187"/>
      <c r="F68" s="187"/>
      <c r="G68" s="187"/>
      <c r="H68" s="187"/>
      <c r="I68" s="187"/>
      <c r="J68" s="187"/>
      <c r="K68" s="187"/>
      <c r="L68" s="187"/>
      <c r="M68" s="187"/>
      <c r="N68" s="187"/>
      <c r="O68" s="187"/>
      <c r="P68" s="187"/>
      <c r="Q68" s="187"/>
      <c r="R68" s="187"/>
      <c r="S68" s="187"/>
      <c r="T68" s="187"/>
      <c r="U68" s="187"/>
      <c r="V68" s="187"/>
      <c r="W68" s="187"/>
      <c r="X68" s="187"/>
      <c r="Y68" s="187"/>
      <c r="Z68" s="187"/>
      <c r="AA68" s="187"/>
      <c r="AB68" s="187"/>
      <c r="AC68" s="187"/>
      <c r="AD68" s="187"/>
      <c r="AE68" s="187"/>
      <c r="AF68" s="188"/>
      <c r="AG68" s="168"/>
      <c r="AH68" s="146"/>
      <c r="AI68" s="179"/>
      <c r="AJ68" s="180"/>
      <c r="AK68" s="172"/>
      <c r="AL68" s="172"/>
      <c r="AM68" s="172"/>
      <c r="AN68" s="171"/>
      <c r="AO68" s="172"/>
      <c r="AP68" s="172"/>
      <c r="AQ68" s="39"/>
    </row>
    <row r="69" s="148" customFormat="true" ht="15" hidden="true" customHeight="true" outlineLevel="0" collapsed="false">
      <c r="A69" s="175" t="s">
        <v>155</v>
      </c>
      <c r="B69" s="249" t="n">
        <f aca="true">IF(AND(T.50_Vetsuisse,B72=INDEX(T.JaNein.Bereich,1,1),B73&gt;0,MOD(IFERROR(MATCH(1,B13:B22,0),1),2)=0),1, IF(AND(T.ServiceCenterIrchel,B72=INDEX(T.JaNein.Bereich,1,1),B77&gt;0),1, IF(AND(T.50_Vetsuisse=0,T.ServiceCenterIrchel=0,B77&gt;0),1,0)))</f>
        <v>0</v>
      </c>
      <c r="C69" s="249" t="n">
        <f aca="true">IF(AND(T.50_Vetsuisse,C72=INDEX(T.JaNein.Bereich,1,1),C73&gt;0,MOD(IFERROR(MATCH(1,C13:C22,0),1),2)=0),1, IF(AND(T.ServiceCenterIrchel,C72=INDEX(T.JaNein.Bereich,1,1),C77&gt;0),1, IF(AND(T.50_Vetsuisse=0,T.ServiceCenterIrchel=0,C77&gt;0),1,0)))</f>
        <v>0</v>
      </c>
      <c r="D69" s="249" t="n">
        <f aca="true">IF(AND(T.50_Vetsuisse,D72=INDEX(T.JaNein.Bereich,1,1),D73&gt;0,MOD(IFERROR(MATCH(1,D13:D22,0),1),2)=0),1, IF(AND(T.ServiceCenterIrchel,D72=INDEX(T.JaNein.Bereich,1,1),D77&gt;0),1, IF(AND(T.50_Vetsuisse=0,T.ServiceCenterIrchel=0,D77&gt;0),1,0)))</f>
        <v>0</v>
      </c>
      <c r="E69" s="249" t="n">
        <f aca="true">IF(AND(T.50_Vetsuisse,E72=INDEX(T.JaNein.Bereich,1,1),E73&gt;0,MOD(IFERROR(MATCH(1,E13:E22,0),1),2)=0),1, IF(AND(T.ServiceCenterIrchel,E72=INDEX(T.JaNein.Bereich,1,1),E77&gt;0),1, IF(AND(T.50_Vetsuisse=0,T.ServiceCenterIrchel=0,E77&gt;0),1,0)))</f>
        <v>0</v>
      </c>
      <c r="F69" s="249" t="n">
        <f aca="true">IF(AND(T.50_Vetsuisse,F72=INDEX(T.JaNein.Bereich,1,1),F73&gt;0,MOD(IFERROR(MATCH(1,F13:F22,0),1),2)=0),1, IF(AND(T.ServiceCenterIrchel,F72=INDEX(T.JaNein.Bereich,1,1),F77&gt;0),1, IF(AND(T.50_Vetsuisse=0,T.ServiceCenterIrchel=0,F77&gt;0),1,0)))</f>
        <v>0</v>
      </c>
      <c r="G69" s="249" t="n">
        <f aca="true">IF(AND(T.50_Vetsuisse,G72=INDEX(T.JaNein.Bereich,1,1),G73&gt;0,MOD(IFERROR(MATCH(1,G13:G22,0),1),2)=0),1, IF(AND(T.ServiceCenterIrchel,G72=INDEX(T.JaNein.Bereich,1,1),G77&gt;0),1, IF(AND(T.50_Vetsuisse=0,T.ServiceCenterIrchel=0,G77&gt;0),1,0)))</f>
        <v>0</v>
      </c>
      <c r="H69" s="249" t="n">
        <f aca="true">IF(AND(T.50_Vetsuisse,H72=INDEX(T.JaNein.Bereich,1,1),H73&gt;0,MOD(IFERROR(MATCH(1,H13:H22,0),1),2)=0),1, IF(AND(T.ServiceCenterIrchel,H72=INDEX(T.JaNein.Bereich,1,1),H77&gt;0),1, IF(AND(T.50_Vetsuisse=0,T.ServiceCenterIrchel=0,H77&gt;0),1,0)))</f>
        <v>0</v>
      </c>
      <c r="I69" s="249" t="n">
        <f aca="true">IF(AND(T.50_Vetsuisse,I72=INDEX(T.JaNein.Bereich,1,1),I73&gt;0,MOD(IFERROR(MATCH(1,I13:I22,0),1),2)=0),1, IF(AND(T.ServiceCenterIrchel,I72=INDEX(T.JaNein.Bereich,1,1),I77&gt;0),1, IF(AND(T.50_Vetsuisse=0,T.ServiceCenterIrchel=0,I77&gt;0),1,0)))</f>
        <v>0</v>
      </c>
      <c r="J69" s="249" t="n">
        <f aca="true">IF(AND(T.50_Vetsuisse,J72=INDEX(T.JaNein.Bereich,1,1),J73&gt;0,MOD(IFERROR(MATCH(1,J13:J22,0),1),2)=0),1, IF(AND(T.ServiceCenterIrchel,J72=INDEX(T.JaNein.Bereich,1,1),J77&gt;0),1, IF(AND(T.50_Vetsuisse=0,T.ServiceCenterIrchel=0,J77&gt;0),1,0)))</f>
        <v>0</v>
      </c>
      <c r="K69" s="249" t="n">
        <f aca="true">IF(AND(T.50_Vetsuisse,K72=INDEX(T.JaNein.Bereich,1,1),K73&gt;0,MOD(IFERROR(MATCH(1,K13:K22,0),1),2)=0),1, IF(AND(T.ServiceCenterIrchel,K72=INDEX(T.JaNein.Bereich,1,1),K77&gt;0),1, IF(AND(T.50_Vetsuisse=0,T.ServiceCenterIrchel=0,K77&gt;0),1,0)))</f>
        <v>0</v>
      </c>
      <c r="L69" s="249" t="n">
        <f aca="true">IF(AND(T.50_Vetsuisse,L72=INDEX(T.JaNein.Bereich,1,1),L73&gt;0,MOD(IFERROR(MATCH(1,L13:L22,0),1),2)=0),1, IF(AND(T.ServiceCenterIrchel,L72=INDEX(T.JaNein.Bereich,1,1),L77&gt;0),1, IF(AND(T.50_Vetsuisse=0,T.ServiceCenterIrchel=0,L77&gt;0),1,0)))</f>
        <v>0</v>
      </c>
      <c r="M69" s="249" t="n">
        <f aca="true">IF(AND(T.50_Vetsuisse,M72=INDEX(T.JaNein.Bereich,1,1),M73&gt;0,MOD(IFERROR(MATCH(1,M13:M22,0),1),2)=0),1, IF(AND(T.ServiceCenterIrchel,M72=INDEX(T.JaNein.Bereich,1,1),M77&gt;0),1, IF(AND(T.50_Vetsuisse=0,T.ServiceCenterIrchel=0,M77&gt;0),1,0)))</f>
        <v>0</v>
      </c>
      <c r="N69" s="249" t="n">
        <f aca="true">IF(AND(T.50_Vetsuisse,N72=INDEX(T.JaNein.Bereich,1,1),N73&gt;0,MOD(IFERROR(MATCH(1,N13:N22,0),1),2)=0),1, IF(AND(T.ServiceCenterIrchel,N72=INDEX(T.JaNein.Bereich,1,1),N77&gt;0),1, IF(AND(T.50_Vetsuisse=0,T.ServiceCenterIrchel=0,N77&gt;0),1,0)))</f>
        <v>0</v>
      </c>
      <c r="O69" s="249" t="n">
        <f aca="true">IF(AND(T.50_Vetsuisse,O72=INDEX(T.JaNein.Bereich,1,1),O73&gt;0,MOD(IFERROR(MATCH(1,O13:O22,0),1),2)=0),1, IF(AND(T.ServiceCenterIrchel,O72=INDEX(T.JaNein.Bereich,1,1),O77&gt;0),1, IF(AND(T.50_Vetsuisse=0,T.ServiceCenterIrchel=0,O77&gt;0),1,0)))</f>
        <v>0</v>
      </c>
      <c r="P69" s="249" t="n">
        <f aca="true">IF(AND(T.50_Vetsuisse,P72=INDEX(T.JaNein.Bereich,1,1),P73&gt;0,MOD(IFERROR(MATCH(1,P13:P22,0),1),2)=0),1, IF(AND(T.ServiceCenterIrchel,P72=INDEX(T.JaNein.Bereich,1,1),P77&gt;0),1, IF(AND(T.50_Vetsuisse=0,T.ServiceCenterIrchel=0,P77&gt;0),1,0)))</f>
        <v>0</v>
      </c>
      <c r="Q69" s="249" t="n">
        <f aca="true">IF(AND(T.50_Vetsuisse,Q72=INDEX(T.JaNein.Bereich,1,1),Q73&gt;0,MOD(IFERROR(MATCH(1,Q13:Q22,0),1),2)=0),1, IF(AND(T.ServiceCenterIrchel,Q72=INDEX(T.JaNein.Bereich,1,1),Q77&gt;0),1, IF(AND(T.50_Vetsuisse=0,T.ServiceCenterIrchel=0,Q77&gt;0),1,0)))</f>
        <v>0</v>
      </c>
      <c r="R69" s="249" t="n">
        <f aca="true">IF(AND(T.50_Vetsuisse,R72=INDEX(T.JaNein.Bereich,1,1),R73&gt;0,MOD(IFERROR(MATCH(1,R13:R22,0),1),2)=0),1, IF(AND(T.ServiceCenterIrchel,R72=INDEX(T.JaNein.Bereich,1,1),R77&gt;0),1, IF(AND(T.50_Vetsuisse=0,T.ServiceCenterIrchel=0,R77&gt;0),1,0)))</f>
        <v>0</v>
      </c>
      <c r="S69" s="249" t="n">
        <f aca="true">IF(AND(T.50_Vetsuisse,S72=INDEX(T.JaNein.Bereich,1,1),S73&gt;0,MOD(IFERROR(MATCH(1,S13:S22,0),1),2)=0),1, IF(AND(T.ServiceCenterIrchel,S72=INDEX(T.JaNein.Bereich,1,1),S77&gt;0),1, IF(AND(T.50_Vetsuisse=0,T.ServiceCenterIrchel=0,S77&gt;0),1,0)))</f>
        <v>0</v>
      </c>
      <c r="T69" s="249" t="n">
        <f aca="true">IF(AND(T.50_Vetsuisse,T72=INDEX(T.JaNein.Bereich,1,1),T73&gt;0,MOD(IFERROR(MATCH(1,T13:T22,0),1),2)=0),1, IF(AND(T.ServiceCenterIrchel,T72=INDEX(T.JaNein.Bereich,1,1),T77&gt;0),1, IF(AND(T.50_Vetsuisse=0,T.ServiceCenterIrchel=0,T77&gt;0),1,0)))</f>
        <v>0</v>
      </c>
      <c r="U69" s="249" t="n">
        <f aca="true">IF(AND(T.50_Vetsuisse,U72=INDEX(T.JaNein.Bereich,1,1),U73&gt;0,MOD(IFERROR(MATCH(1,U13:U22,0),1),2)=0),1, IF(AND(T.ServiceCenterIrchel,U72=INDEX(T.JaNein.Bereich,1,1),U77&gt;0),1, IF(AND(T.50_Vetsuisse=0,T.ServiceCenterIrchel=0,U77&gt;0),1,0)))</f>
        <v>0</v>
      </c>
      <c r="V69" s="249" t="n">
        <f aca="true">IF(AND(T.50_Vetsuisse,V72=INDEX(T.JaNein.Bereich,1,1),V73&gt;0,MOD(IFERROR(MATCH(1,V13:V22,0),1),2)=0),1, IF(AND(T.ServiceCenterIrchel,V72=INDEX(T.JaNein.Bereich,1,1),V77&gt;0),1, IF(AND(T.50_Vetsuisse=0,T.ServiceCenterIrchel=0,V77&gt;0),1,0)))</f>
        <v>0</v>
      </c>
      <c r="W69" s="249" t="n">
        <f aca="true">IF(AND(T.50_Vetsuisse,W72=INDEX(T.JaNein.Bereich,1,1),W73&gt;0,MOD(IFERROR(MATCH(1,W13:W22,0),1),2)=0),1, IF(AND(T.ServiceCenterIrchel,W72=INDEX(T.JaNein.Bereich,1,1),W77&gt;0),1, IF(AND(T.50_Vetsuisse=0,T.ServiceCenterIrchel=0,W77&gt;0),1,0)))</f>
        <v>0</v>
      </c>
      <c r="X69" s="249" t="n">
        <f aca="true">IF(AND(T.50_Vetsuisse,X72=INDEX(T.JaNein.Bereich,1,1),X73&gt;0,MOD(IFERROR(MATCH(1,X13:X22,0),1),2)=0),1, IF(AND(T.ServiceCenterIrchel,X72=INDEX(T.JaNein.Bereich,1,1),X77&gt;0),1, IF(AND(T.50_Vetsuisse=0,T.ServiceCenterIrchel=0,X77&gt;0),1,0)))</f>
        <v>0</v>
      </c>
      <c r="Y69" s="249" t="n">
        <f aca="true">IF(AND(T.50_Vetsuisse,Y72=INDEX(T.JaNein.Bereich,1,1),Y73&gt;0,MOD(IFERROR(MATCH(1,Y13:Y22,0),1),2)=0),1, IF(AND(T.ServiceCenterIrchel,Y72=INDEX(T.JaNein.Bereich,1,1),Y77&gt;0),1, IF(AND(T.50_Vetsuisse=0,T.ServiceCenterIrchel=0,Y77&gt;0),1,0)))</f>
        <v>0</v>
      </c>
      <c r="Z69" s="249" t="n">
        <f aca="true">IF(AND(T.50_Vetsuisse,Z72=INDEX(T.JaNein.Bereich,1,1),Z73&gt;0,MOD(IFERROR(MATCH(1,Z13:Z22,0),1),2)=0),1, IF(AND(T.ServiceCenterIrchel,Z72=INDEX(T.JaNein.Bereich,1,1),Z77&gt;0),1, IF(AND(T.50_Vetsuisse=0,T.ServiceCenterIrchel=0,Z77&gt;0),1,0)))</f>
        <v>0</v>
      </c>
      <c r="AA69" s="249" t="n">
        <f aca="true">IF(AND(T.50_Vetsuisse,AA72=INDEX(T.JaNein.Bereich,1,1),AA73&gt;0,MOD(IFERROR(MATCH(1,AA13:AA22,0),1),2)=0),1, IF(AND(T.ServiceCenterIrchel,AA72=INDEX(T.JaNein.Bereich,1,1),AA77&gt;0),1, IF(AND(T.50_Vetsuisse=0,T.ServiceCenterIrchel=0,AA77&gt;0),1,0)))</f>
        <v>0</v>
      </c>
      <c r="AB69" s="249" t="n">
        <f aca="true">IF(AND(T.50_Vetsuisse,AB72=INDEX(T.JaNein.Bereich,1,1),AB73&gt;0,MOD(IFERROR(MATCH(1,AB13:AB22,0),1),2)=0),1, IF(AND(T.ServiceCenterIrchel,AB72=INDEX(T.JaNein.Bereich,1,1),AB77&gt;0),1, IF(AND(T.50_Vetsuisse=0,T.ServiceCenterIrchel=0,AB77&gt;0),1,0)))</f>
        <v>0</v>
      </c>
      <c r="AC69" s="249" t="n">
        <f aca="true">IF(AND(T.50_Vetsuisse,AC72=INDEX(T.JaNein.Bereich,1,1),AC73&gt;0,MOD(IFERROR(MATCH(1,AC13:AC22,0),1),2)=0),1, IF(AND(T.ServiceCenterIrchel,AC72=INDEX(T.JaNein.Bereich,1,1),AC77&gt;0),1, IF(AND(T.50_Vetsuisse=0,T.ServiceCenterIrchel=0,AC77&gt;0),1,0)))</f>
        <v>0</v>
      </c>
      <c r="AD69" s="249" t="n">
        <f aca="true">IF(AND(T.50_Vetsuisse,AD72=INDEX(T.JaNein.Bereich,1,1),AD73&gt;0,MOD(IFERROR(MATCH(1,AD13:AD22,0),1),2)=0),1, IF(AND(T.ServiceCenterIrchel,AD72=INDEX(T.JaNein.Bereich,1,1),AD77&gt;0),1, IF(AND(T.50_Vetsuisse=0,T.ServiceCenterIrchel=0,AD77&gt;0),1,0)))</f>
        <v>0</v>
      </c>
      <c r="AE69" s="249" t="n">
        <f aca="true">IF(AND(T.50_Vetsuisse,AE72=INDEX(T.JaNein.Bereich,1,1),AE73&gt;0,MOD(IFERROR(MATCH(1,AE13:AE22,0),1),2)=0),1, IF(AND(T.ServiceCenterIrchel,AE72=INDEX(T.JaNein.Bereich,1,1),AE77&gt;0),1, IF(AND(T.50_Vetsuisse=0,T.ServiceCenterIrchel=0,AE77&gt;0),1,0)))</f>
        <v>0</v>
      </c>
      <c r="AF69" s="249" t="n">
        <f aca="true">IF(AND(T.50_Vetsuisse,AF72=INDEX(T.JaNein.Bereich,1,1),AF73&gt;0,MOD(IFERROR(MATCH(1,AF13:AF22,0),1),2)=0),1, IF(AND(T.ServiceCenterIrchel,AF72=INDEX(T.JaNein.Bereich,1,1),AF77&gt;0),1, IF(AND(T.50_Vetsuisse=0,T.ServiceCenterIrchel=0,AF77&gt;0),1,0)))</f>
        <v>0</v>
      </c>
      <c r="AG69" s="168" t="str">
        <f aca="false">A69</f>
        <v>Counter night shift</v>
      </c>
      <c r="AH69" s="250"/>
      <c r="AI69" s="251" t="n">
        <f aca="false">SUM(B69:AF69)</f>
        <v>0</v>
      </c>
      <c r="AJ69" s="33"/>
      <c r="AK69" s="192"/>
      <c r="AL69" s="252" t="n">
        <f aca="false">IF(EB.Anwendung&lt;&gt;"",IF(MONTH(Monat.Tag1)=1,0,IF(MONTH(Monat.Tag1)=2,January!Monat.ZählerNDUe,IF(MONTH(Monat.Tag1)=3,February!Monat.ZählerNDUe,IF(MONTH(Monat.Tag1)=4,March!Monat.ZählerNDUe,IF(MONTH(Monat.Tag1)=5,April!Monat.ZählerNDUe,IF(MONTH(Monat.Tag1)=6,May!Monat.ZählerNDUe,IF(MONTH(Monat.Tag1)=7,June!Monat.ZählerNDUe,IF(MONTH(Monat.Tag1)=8,July!Monat.ZählerNDUe,IF(MONTH(Monat.Tag1)=9,Monat.ZählerNDUe,IF(MONTH(Monat.Tag1)=10,September!Monat.ZählerNDUe,IF(MONTH(Monat.Tag1)=11,October!Monat.ZählerNDUe,IF(MONTH(Monat.Tag1)=12,November!Monat.ZählerNDUe,"")))))))))))),"")</f>
        <v>0</v>
      </c>
      <c r="AM69" s="172"/>
      <c r="AN69" s="253" t="n">
        <f aca="false">AL69+AI69</f>
        <v>0</v>
      </c>
      <c r="AO69" s="171"/>
      <c r="AP69" s="171"/>
      <c r="AQ69" s="39"/>
    </row>
    <row r="70" s="148" customFormat="true" ht="15" hidden="true" customHeight="true" outlineLevel="0" collapsed="false">
      <c r="A70" s="175" t="s">
        <v>156</v>
      </c>
      <c r="B70" s="249" t="n">
        <f aca="false">IF(DAY(B$10)=1,$AL$69,A70)+B69</f>
        <v>0</v>
      </c>
      <c r="C70" s="249" t="n">
        <f aca="false">IF(DAY(C$10)=1,$AL$69,B70)+C69</f>
        <v>0</v>
      </c>
      <c r="D70" s="249" t="n">
        <f aca="false">IF(DAY(D$10)=1,$AL$69,C70)+D69</f>
        <v>0</v>
      </c>
      <c r="E70" s="249" t="n">
        <f aca="false">IF(DAY(E$10)=1,$AL$69,D70)+E69</f>
        <v>0</v>
      </c>
      <c r="F70" s="249" t="n">
        <f aca="false">IF(DAY(F$10)=1,$AL$69,E70)+F69</f>
        <v>0</v>
      </c>
      <c r="G70" s="249" t="n">
        <f aca="false">IF(DAY(G$10)=1,$AL$69,F70)+G69</f>
        <v>0</v>
      </c>
      <c r="H70" s="249" t="n">
        <f aca="false">IF(DAY(H$10)=1,$AL$69,G70)+H69</f>
        <v>0</v>
      </c>
      <c r="I70" s="249" t="n">
        <f aca="false">IF(DAY(I$10)=1,$AL$69,H70)+I69</f>
        <v>0</v>
      </c>
      <c r="J70" s="249" t="n">
        <f aca="false">IF(DAY(J$10)=1,$AL$69,I70)+J69</f>
        <v>0</v>
      </c>
      <c r="K70" s="249" t="n">
        <f aca="false">IF(DAY(K$10)=1,$AL$69,J70)+K69</f>
        <v>0</v>
      </c>
      <c r="L70" s="249" t="n">
        <f aca="false">IF(DAY(L$10)=1,$AL$69,K70)+L69</f>
        <v>0</v>
      </c>
      <c r="M70" s="249" t="n">
        <f aca="false">IF(DAY(M$10)=1,$AL$69,L70)+M69</f>
        <v>0</v>
      </c>
      <c r="N70" s="249" t="n">
        <f aca="false">IF(DAY(N$10)=1,$AL$69,M70)+N69</f>
        <v>0</v>
      </c>
      <c r="O70" s="249" t="n">
        <f aca="false">IF(DAY(O$10)=1,$AL$69,N70)+O69</f>
        <v>0</v>
      </c>
      <c r="P70" s="249" t="n">
        <f aca="false">IF(DAY(P$10)=1,$AL$69,O70)+P69</f>
        <v>0</v>
      </c>
      <c r="Q70" s="249" t="n">
        <f aca="false">IF(DAY(Q$10)=1,$AL$69,P70)+Q69</f>
        <v>0</v>
      </c>
      <c r="R70" s="249" t="n">
        <f aca="false">IF(DAY(R$10)=1,$AL$69,Q70)+R69</f>
        <v>0</v>
      </c>
      <c r="S70" s="249" t="n">
        <f aca="false">IF(DAY(S$10)=1,$AL$69,R70)+S69</f>
        <v>0</v>
      </c>
      <c r="T70" s="249" t="n">
        <f aca="false">IF(DAY(T$10)=1,$AL$69,S70)+T69</f>
        <v>0</v>
      </c>
      <c r="U70" s="249" t="n">
        <f aca="false">IF(DAY(U$10)=1,$AL$69,T70)+U69</f>
        <v>0</v>
      </c>
      <c r="V70" s="249" t="n">
        <f aca="false">IF(DAY(V$10)=1,$AL$69,U70)+V69</f>
        <v>0</v>
      </c>
      <c r="W70" s="249" t="n">
        <f aca="false">IF(DAY(W$10)=1,$AL$69,V70)+W69</f>
        <v>0</v>
      </c>
      <c r="X70" s="249" t="n">
        <f aca="false">IF(DAY(X$10)=1,$AL$69,W70)+X69</f>
        <v>0</v>
      </c>
      <c r="Y70" s="249" t="n">
        <f aca="false">IF(DAY(Y$10)=1,$AL$69,X70)+Y69</f>
        <v>0</v>
      </c>
      <c r="Z70" s="249" t="n">
        <f aca="false">IF(DAY(Z$10)=1,$AL$69,Y70)+Z69</f>
        <v>0</v>
      </c>
      <c r="AA70" s="249" t="n">
        <f aca="false">IF(DAY(AA$10)=1,$AL$69,Z70)+AA69</f>
        <v>0</v>
      </c>
      <c r="AB70" s="249" t="n">
        <f aca="false">IF(DAY(AB$10)=1,$AL$69,AA70)+AB69</f>
        <v>0</v>
      </c>
      <c r="AC70" s="249" t="n">
        <f aca="false">IF(DAY(AC$10)=1,$AL$69,AB70)+AC69</f>
        <v>0</v>
      </c>
      <c r="AD70" s="249" t="n">
        <f aca="false">IF(DAY(AD$10)=1,$AL$69,AC70)+AD69</f>
        <v>0</v>
      </c>
      <c r="AE70" s="249" t="n">
        <f aca="false">IF(DAY(AE$10)=1,$AL$69,AD70)+AE69</f>
        <v>0</v>
      </c>
      <c r="AF70" s="249" t="n">
        <f aca="false">IF(DAY(AF$10)=1,$AL$69,AE70)+AF69</f>
        <v>0</v>
      </c>
      <c r="AG70" s="168" t="str">
        <f aca="false">A70</f>
        <v>Balance counter night shift</v>
      </c>
      <c r="AH70" s="197"/>
      <c r="AI70" s="192"/>
      <c r="AJ70" s="27"/>
      <c r="AK70" s="235"/>
      <c r="AL70" s="235"/>
      <c r="AM70" s="172"/>
      <c r="AN70" s="254"/>
      <c r="AO70" s="171"/>
      <c r="AP70" s="171"/>
      <c r="AQ70" s="39"/>
    </row>
    <row r="71" s="148" customFormat="true" ht="15" hidden="true" customHeight="true" outlineLevel="1" collapsed="false">
      <c r="A71" s="175" t="s">
        <v>157</v>
      </c>
      <c r="B71" s="176"/>
      <c r="C71" s="176"/>
      <c r="D71" s="176"/>
      <c r="E71" s="177"/>
      <c r="F71" s="176"/>
      <c r="G71" s="176"/>
      <c r="H71" s="176"/>
      <c r="I71" s="176"/>
      <c r="J71" s="177"/>
      <c r="K71" s="176"/>
      <c r="L71" s="177"/>
      <c r="M71" s="176"/>
      <c r="N71" s="176"/>
      <c r="O71" s="176"/>
      <c r="P71" s="176"/>
      <c r="Q71" s="177"/>
      <c r="R71" s="176"/>
      <c r="S71" s="177"/>
      <c r="T71" s="177"/>
      <c r="U71" s="176"/>
      <c r="V71" s="176"/>
      <c r="W71" s="176"/>
      <c r="X71" s="177"/>
      <c r="Y71" s="176"/>
      <c r="Z71" s="178"/>
      <c r="AA71" s="176"/>
      <c r="AB71" s="176"/>
      <c r="AC71" s="176"/>
      <c r="AD71" s="176"/>
      <c r="AE71" s="177"/>
      <c r="AF71" s="176"/>
      <c r="AG71" s="168" t="str">
        <f aca="false">A71</f>
        <v>Compensation TS night shift</v>
      </c>
      <c r="AH71" s="184"/>
      <c r="AI71" s="207" t="n">
        <f aca="false">SUM(B71:AF71)</f>
        <v>0</v>
      </c>
      <c r="AJ71" s="33"/>
      <c r="AK71" s="235"/>
      <c r="AL71" s="216" t="n">
        <f aca="false">IF(EB.Anwendung&lt;&gt;"",IF(MONTH(Monat.Tag1)=1,0,IF(MONTH(Monat.Tag1)=2,January!Monat.KompZZSNDUeVM,IF(MONTH(Monat.Tag1)=3,February!Monat.KompZZSNDUeVM,IF(MONTH(Monat.Tag1)=4,March!Monat.KompZZSNDUeVM,IF(MONTH(Monat.Tag1)=5,April!Monat.KompZZSNDUeVM,IF(MONTH(Monat.Tag1)=6,May!Monat.KompZZSNDUeVM,IF(MONTH(Monat.Tag1)=7,June!Monat.KompZZSNDUeVM,IF(MONTH(Monat.Tag1)=8,July!Monat.KompZZSNDUeVM,IF(MONTH(Monat.Tag1)=9,Monat.KompZZSNDUeVM,IF(MONTH(Monat.Tag1)=10,September!Monat.KompZZSNDUeVM,IF(MONTH(Monat.Tag1)=11,October!Monat.KompZZSNDUeVM,IF(MONTH(Monat.Tag1)=12,November!Monat.KompZZSNDUeVM,"")))))))))))),"")</f>
        <v>0</v>
      </c>
      <c r="AM71" s="172"/>
      <c r="AN71" s="217" t="n">
        <f aca="false">AI71+AL71</f>
        <v>0</v>
      </c>
      <c r="AO71" s="217" t="n">
        <f aca="true">SUM(OFFSET(Jahr.KompZZSND,-12,0,MONTH(Monat.Tag1),1))</f>
        <v>0</v>
      </c>
      <c r="AP71" s="217" t="n">
        <f aca="false">Jahr.KompZZSND</f>
        <v>0</v>
      </c>
      <c r="AQ71" s="39"/>
    </row>
    <row r="72" s="148" customFormat="true" ht="15" hidden="true" customHeight="true" outlineLevel="1" collapsed="false">
      <c r="A72" s="175" t="s">
        <v>158</v>
      </c>
      <c r="B72" s="255"/>
      <c r="C72" s="255"/>
      <c r="D72" s="255"/>
      <c r="E72" s="255"/>
      <c r="F72" s="255"/>
      <c r="G72" s="255"/>
      <c r="H72" s="255"/>
      <c r="I72" s="255"/>
      <c r="J72" s="255"/>
      <c r="K72" s="255"/>
      <c r="L72" s="255"/>
      <c r="M72" s="255"/>
      <c r="N72" s="255"/>
      <c r="O72" s="255"/>
      <c r="P72" s="255"/>
      <c r="Q72" s="255"/>
      <c r="R72" s="255"/>
      <c r="S72" s="255"/>
      <c r="T72" s="255"/>
      <c r="U72" s="255"/>
      <c r="V72" s="255"/>
      <c r="W72" s="255"/>
      <c r="X72" s="255"/>
      <c r="Y72" s="255"/>
      <c r="Z72" s="255"/>
      <c r="AA72" s="255"/>
      <c r="AB72" s="255"/>
      <c r="AC72" s="255"/>
      <c r="AD72" s="255"/>
      <c r="AE72" s="255"/>
      <c r="AF72" s="255"/>
      <c r="AG72" s="168" t="str">
        <f aca="false">A72</f>
        <v>Start pl. night shift Yes/No</v>
      </c>
      <c r="AH72" s="184"/>
      <c r="AI72" s="192"/>
      <c r="AJ72" s="198" t="n">
        <f aca="true">IFERROR(SUMPRODUCT((B72:AF72=INDEX(T.JaNein.Bereich,1))*(B72:AF72&lt;&gt;"")),0)</f>
        <v>0</v>
      </c>
      <c r="AK72" s="235"/>
      <c r="AL72" s="198" t="n">
        <f aca="false">AL69</f>
        <v>0</v>
      </c>
      <c r="AM72" s="172"/>
      <c r="AN72" s="253" t="n">
        <f aca="false">AN69</f>
        <v>0</v>
      </c>
      <c r="AO72" s="172"/>
      <c r="AP72" s="172"/>
      <c r="AQ72" s="39"/>
    </row>
    <row r="73" s="148" customFormat="true" ht="15" hidden="false" customHeight="true" outlineLevel="1" collapsed="false">
      <c r="A73" s="175" t="s">
        <v>159</v>
      </c>
      <c r="B73" s="256" t="n">
        <f aca="false">IF(B$12=0,0,IF(OR(T.50_Vetsuisse,T.ServiceCenterIrchel),ROUND(B14-B13+MAX(0,T.Nachtab-MAX(T.Nachtbis,B14))-MAX(0,T.Nachtab-MAX(B13,T.Nachtbis))+(B13&gt;B14)*(1+T.Nachtbis-T.Nachtab)+B16-B15+MAX(0,T.Nachtab-MAX(T.Nachtbis,B16))-MAX(0,T.Nachtab-MAX(B15,T.Nachtbis))+(B15&gt;B16)*(1+T.Nachtbis-T.Nachtab)+B18-B17+MAX(0,T.Nachtab-MAX(T.Nachtbis,B18))-MAX(0,T.Nachtab-MAX(B17,T.Nachtbis))+(B17&gt;B18)*(1+T.Nachtbis-T.Nachtab)+B20-B19+MAX(0,T.Nachtab-MAX(T.Nachtbis,B20))-MAX(0,T.Nachtab-MAX(B19,T.Nachtbis))+(B19&gt;B20)*(1+T.Nachtbis-T.Nachtab)+B22-B21+MAX(0,T.Nachtab-MAX(T.Nachtbis,B22))-MAX(0,T.Nachtab-MAX(B21,T.Nachtbis))+(B21&gt;B22)*(1+T.Nachtbis-T.Nachtab),9), IF(AND(WEEKDAY(B$10,2)&lt;6,B$11&lt;&gt;0),ROUND(B36-B35+MAX(0,T.Nachtab-MAX(T.Nachtbis,B36))-MAX(0,T.Nachtab-MAX(B35,T.Nachtbis))+(B35&gt;B36)*(1+T.Nachtbis-T.Nachtab)+B38-B37+MAX(0,T.Nachtab-MAX(T.Nachtbis,B38))-MAX(0,T.Nachtab-MAX(B37,T.Nachtbis))+(B37&gt;B38)*(1+T.Nachtbis-T.Nachtab)+B40-B39+MAX(0,T.Nachtab-MAX(T.Nachtbis,B40))-MAX(0,T.Nachtab-MAX(B39,T.Nachtbis))+(B39&gt;B40)*(1+T.Nachtbis-T.Nachtab)+B42-B41+MAX(0,T.Nachtab-MAX(T.Nachtbis,B42))-MAX(0,T.Nachtab-MAX(B41,T.Nachtbis))+(B41&gt;B42)*(1+T.Nachtbis-T.Nachtab)+B44-B43+MAX(0,T.Nachtab-MAX(T.Nachtbis,B44))-MAX(0,T.Nachtab-MAX(B43,T.Nachtbis))+(B43&gt;B44)*(1+T.Nachtbis-T.Nachtab),9),0)))</f>
        <v>0</v>
      </c>
      <c r="C73" s="256" t="n">
        <f aca="false">IF(C$12=0,0,IF(OR(T.50_Vetsuisse,T.ServiceCenterIrchel),ROUND(C14-C13+MAX(0,T.Nachtab-MAX(T.Nachtbis,C14))-MAX(0,T.Nachtab-MAX(C13,T.Nachtbis))+(C13&gt;C14)*(1+T.Nachtbis-T.Nachtab)+C16-C15+MAX(0,T.Nachtab-MAX(T.Nachtbis,C16))-MAX(0,T.Nachtab-MAX(C15,T.Nachtbis))+(C15&gt;C16)*(1+T.Nachtbis-T.Nachtab)+C18-C17+MAX(0,T.Nachtab-MAX(T.Nachtbis,C18))-MAX(0,T.Nachtab-MAX(C17,T.Nachtbis))+(C17&gt;C18)*(1+T.Nachtbis-T.Nachtab)+C20-C19+MAX(0,T.Nachtab-MAX(T.Nachtbis,C20))-MAX(0,T.Nachtab-MAX(C19,T.Nachtbis))+(C19&gt;C20)*(1+T.Nachtbis-T.Nachtab)+C22-C21+MAX(0,T.Nachtab-MAX(T.Nachtbis,C22))-MAX(0,T.Nachtab-MAX(C21,T.Nachtbis))+(C21&gt;C22)*(1+T.Nachtbis-T.Nachtab),9), IF(AND(WEEKDAY(C$10,2)&lt;6,C$11&lt;&gt;0),ROUND(C36-C35+MAX(0,T.Nachtab-MAX(T.Nachtbis,C36))-MAX(0,T.Nachtab-MAX(C35,T.Nachtbis))+(C35&gt;C36)*(1+T.Nachtbis-T.Nachtab)+C38-C37+MAX(0,T.Nachtab-MAX(T.Nachtbis,C38))-MAX(0,T.Nachtab-MAX(C37,T.Nachtbis))+(C37&gt;C38)*(1+T.Nachtbis-T.Nachtab)+C40-C39+MAX(0,T.Nachtab-MAX(T.Nachtbis,C40))-MAX(0,T.Nachtab-MAX(C39,T.Nachtbis))+(C39&gt;C40)*(1+T.Nachtbis-T.Nachtab)+C42-C41+MAX(0,T.Nachtab-MAX(T.Nachtbis,C42))-MAX(0,T.Nachtab-MAX(C41,T.Nachtbis))+(C41&gt;C42)*(1+T.Nachtbis-T.Nachtab)+C44-C43+MAX(0,T.Nachtab-MAX(T.Nachtbis,C44))-MAX(0,T.Nachtab-MAX(C43,T.Nachtbis))+(C43&gt;C44)*(1+T.Nachtbis-T.Nachtab),9),0)))</f>
        <v>0</v>
      </c>
      <c r="D73" s="256" t="n">
        <f aca="false">IF(D$12=0,0,IF(OR(T.50_Vetsuisse,T.ServiceCenterIrchel),ROUND(D14-D13+MAX(0,T.Nachtab-MAX(T.Nachtbis,D14))-MAX(0,T.Nachtab-MAX(D13,T.Nachtbis))+(D13&gt;D14)*(1+T.Nachtbis-T.Nachtab)+D16-D15+MAX(0,T.Nachtab-MAX(T.Nachtbis,D16))-MAX(0,T.Nachtab-MAX(D15,T.Nachtbis))+(D15&gt;D16)*(1+T.Nachtbis-T.Nachtab)+D18-D17+MAX(0,T.Nachtab-MAX(T.Nachtbis,D18))-MAX(0,T.Nachtab-MAX(D17,T.Nachtbis))+(D17&gt;D18)*(1+T.Nachtbis-T.Nachtab)+D20-D19+MAX(0,T.Nachtab-MAX(T.Nachtbis,D20))-MAX(0,T.Nachtab-MAX(D19,T.Nachtbis))+(D19&gt;D20)*(1+T.Nachtbis-T.Nachtab)+D22-D21+MAX(0,T.Nachtab-MAX(T.Nachtbis,D22))-MAX(0,T.Nachtab-MAX(D21,T.Nachtbis))+(D21&gt;D22)*(1+T.Nachtbis-T.Nachtab),9), IF(AND(WEEKDAY(D$10,2)&lt;6,D$11&lt;&gt;0),ROUND(D36-D35+MAX(0,T.Nachtab-MAX(T.Nachtbis,D36))-MAX(0,T.Nachtab-MAX(D35,T.Nachtbis))+(D35&gt;D36)*(1+T.Nachtbis-T.Nachtab)+D38-D37+MAX(0,T.Nachtab-MAX(T.Nachtbis,D38))-MAX(0,T.Nachtab-MAX(D37,T.Nachtbis))+(D37&gt;D38)*(1+T.Nachtbis-T.Nachtab)+D40-D39+MAX(0,T.Nachtab-MAX(T.Nachtbis,D40))-MAX(0,T.Nachtab-MAX(D39,T.Nachtbis))+(D39&gt;D40)*(1+T.Nachtbis-T.Nachtab)+D42-D41+MAX(0,T.Nachtab-MAX(T.Nachtbis,D42))-MAX(0,T.Nachtab-MAX(D41,T.Nachtbis))+(D41&gt;D42)*(1+T.Nachtbis-T.Nachtab)+D44-D43+MAX(0,T.Nachtab-MAX(T.Nachtbis,D44))-MAX(0,T.Nachtab-MAX(D43,T.Nachtbis))+(D43&gt;D44)*(1+T.Nachtbis-T.Nachtab),9),0)))</f>
        <v>0</v>
      </c>
      <c r="E73" s="256" t="n">
        <f aca="false">IF(E$12=0,0,IF(OR(T.50_Vetsuisse,T.ServiceCenterIrchel),ROUND(E14-E13+MAX(0,T.Nachtab-MAX(T.Nachtbis,E14))-MAX(0,T.Nachtab-MAX(E13,T.Nachtbis))+(E13&gt;E14)*(1+T.Nachtbis-T.Nachtab)+E16-E15+MAX(0,T.Nachtab-MAX(T.Nachtbis,E16))-MAX(0,T.Nachtab-MAX(E15,T.Nachtbis))+(E15&gt;E16)*(1+T.Nachtbis-T.Nachtab)+E18-E17+MAX(0,T.Nachtab-MAX(T.Nachtbis,E18))-MAX(0,T.Nachtab-MAX(E17,T.Nachtbis))+(E17&gt;E18)*(1+T.Nachtbis-T.Nachtab)+E20-E19+MAX(0,T.Nachtab-MAX(T.Nachtbis,E20))-MAX(0,T.Nachtab-MAX(E19,T.Nachtbis))+(E19&gt;E20)*(1+T.Nachtbis-T.Nachtab)+E22-E21+MAX(0,T.Nachtab-MAX(T.Nachtbis,E22))-MAX(0,T.Nachtab-MAX(E21,T.Nachtbis))+(E21&gt;E22)*(1+T.Nachtbis-T.Nachtab),9), IF(AND(WEEKDAY(E$10,2)&lt;6,E$11&lt;&gt;0),ROUND(E36-E35+MAX(0,T.Nachtab-MAX(T.Nachtbis,E36))-MAX(0,T.Nachtab-MAX(E35,T.Nachtbis))+(E35&gt;E36)*(1+T.Nachtbis-T.Nachtab)+E38-E37+MAX(0,T.Nachtab-MAX(T.Nachtbis,E38))-MAX(0,T.Nachtab-MAX(E37,T.Nachtbis))+(E37&gt;E38)*(1+T.Nachtbis-T.Nachtab)+E40-E39+MAX(0,T.Nachtab-MAX(T.Nachtbis,E40))-MAX(0,T.Nachtab-MAX(E39,T.Nachtbis))+(E39&gt;E40)*(1+T.Nachtbis-T.Nachtab)+E42-E41+MAX(0,T.Nachtab-MAX(T.Nachtbis,E42))-MAX(0,T.Nachtab-MAX(E41,T.Nachtbis))+(E41&gt;E42)*(1+T.Nachtbis-T.Nachtab)+E44-E43+MAX(0,T.Nachtab-MAX(T.Nachtbis,E44))-MAX(0,T.Nachtab-MAX(E43,T.Nachtbis))+(E43&gt;E44)*(1+T.Nachtbis-T.Nachtab),9),0)))</f>
        <v>0</v>
      </c>
      <c r="F73" s="256" t="n">
        <f aca="false">IF(F$12=0,0,IF(OR(T.50_Vetsuisse,T.ServiceCenterIrchel),ROUND(F14-F13+MAX(0,T.Nachtab-MAX(T.Nachtbis,F14))-MAX(0,T.Nachtab-MAX(F13,T.Nachtbis))+(F13&gt;F14)*(1+T.Nachtbis-T.Nachtab)+F16-F15+MAX(0,T.Nachtab-MAX(T.Nachtbis,F16))-MAX(0,T.Nachtab-MAX(F15,T.Nachtbis))+(F15&gt;F16)*(1+T.Nachtbis-T.Nachtab)+F18-F17+MAX(0,T.Nachtab-MAX(T.Nachtbis,F18))-MAX(0,T.Nachtab-MAX(F17,T.Nachtbis))+(F17&gt;F18)*(1+T.Nachtbis-T.Nachtab)+F20-F19+MAX(0,T.Nachtab-MAX(T.Nachtbis,F20))-MAX(0,T.Nachtab-MAX(F19,T.Nachtbis))+(F19&gt;F20)*(1+T.Nachtbis-T.Nachtab)+F22-F21+MAX(0,T.Nachtab-MAX(T.Nachtbis,F22))-MAX(0,T.Nachtab-MAX(F21,T.Nachtbis))+(F21&gt;F22)*(1+T.Nachtbis-T.Nachtab),9), IF(AND(WEEKDAY(F$10,2)&lt;6,F$11&lt;&gt;0),ROUND(F36-F35+MAX(0,T.Nachtab-MAX(T.Nachtbis,F36))-MAX(0,T.Nachtab-MAX(F35,T.Nachtbis))+(F35&gt;F36)*(1+T.Nachtbis-T.Nachtab)+F38-F37+MAX(0,T.Nachtab-MAX(T.Nachtbis,F38))-MAX(0,T.Nachtab-MAX(F37,T.Nachtbis))+(F37&gt;F38)*(1+T.Nachtbis-T.Nachtab)+F40-F39+MAX(0,T.Nachtab-MAX(T.Nachtbis,F40))-MAX(0,T.Nachtab-MAX(F39,T.Nachtbis))+(F39&gt;F40)*(1+T.Nachtbis-T.Nachtab)+F42-F41+MAX(0,T.Nachtab-MAX(T.Nachtbis,F42))-MAX(0,T.Nachtab-MAX(F41,T.Nachtbis))+(F41&gt;F42)*(1+T.Nachtbis-T.Nachtab)+F44-F43+MAX(0,T.Nachtab-MAX(T.Nachtbis,F44))-MAX(0,T.Nachtab-MAX(F43,T.Nachtbis))+(F43&gt;F44)*(1+T.Nachtbis-T.Nachtab),9),0)))</f>
        <v>0</v>
      </c>
      <c r="G73" s="256" t="n">
        <f aca="false">IF(G$12=0,0,IF(OR(T.50_Vetsuisse,T.ServiceCenterIrchel),ROUND(G14-G13+MAX(0,T.Nachtab-MAX(T.Nachtbis,G14))-MAX(0,T.Nachtab-MAX(G13,T.Nachtbis))+(G13&gt;G14)*(1+T.Nachtbis-T.Nachtab)+G16-G15+MAX(0,T.Nachtab-MAX(T.Nachtbis,G16))-MAX(0,T.Nachtab-MAX(G15,T.Nachtbis))+(G15&gt;G16)*(1+T.Nachtbis-T.Nachtab)+G18-G17+MAX(0,T.Nachtab-MAX(T.Nachtbis,G18))-MAX(0,T.Nachtab-MAX(G17,T.Nachtbis))+(G17&gt;G18)*(1+T.Nachtbis-T.Nachtab)+G20-G19+MAX(0,T.Nachtab-MAX(T.Nachtbis,G20))-MAX(0,T.Nachtab-MAX(G19,T.Nachtbis))+(G19&gt;G20)*(1+T.Nachtbis-T.Nachtab)+G22-G21+MAX(0,T.Nachtab-MAX(T.Nachtbis,G22))-MAX(0,T.Nachtab-MAX(G21,T.Nachtbis))+(G21&gt;G22)*(1+T.Nachtbis-T.Nachtab),9), IF(AND(WEEKDAY(G$10,2)&lt;6,G$11&lt;&gt;0),ROUND(G36-G35+MAX(0,T.Nachtab-MAX(T.Nachtbis,G36))-MAX(0,T.Nachtab-MAX(G35,T.Nachtbis))+(G35&gt;G36)*(1+T.Nachtbis-T.Nachtab)+G38-G37+MAX(0,T.Nachtab-MAX(T.Nachtbis,G38))-MAX(0,T.Nachtab-MAX(G37,T.Nachtbis))+(G37&gt;G38)*(1+T.Nachtbis-T.Nachtab)+G40-G39+MAX(0,T.Nachtab-MAX(T.Nachtbis,G40))-MAX(0,T.Nachtab-MAX(G39,T.Nachtbis))+(G39&gt;G40)*(1+T.Nachtbis-T.Nachtab)+G42-G41+MAX(0,T.Nachtab-MAX(T.Nachtbis,G42))-MAX(0,T.Nachtab-MAX(G41,T.Nachtbis))+(G41&gt;G42)*(1+T.Nachtbis-T.Nachtab)+G44-G43+MAX(0,T.Nachtab-MAX(T.Nachtbis,G44))-MAX(0,T.Nachtab-MAX(G43,T.Nachtbis))+(G43&gt;G44)*(1+T.Nachtbis-T.Nachtab),9),0)))</f>
        <v>0</v>
      </c>
      <c r="H73" s="256" t="n">
        <f aca="false">IF(H$12=0,0,IF(OR(T.50_Vetsuisse,T.ServiceCenterIrchel),ROUND(H14-H13+MAX(0,T.Nachtab-MAX(T.Nachtbis,H14))-MAX(0,T.Nachtab-MAX(H13,T.Nachtbis))+(H13&gt;H14)*(1+T.Nachtbis-T.Nachtab)+H16-H15+MAX(0,T.Nachtab-MAX(T.Nachtbis,H16))-MAX(0,T.Nachtab-MAX(H15,T.Nachtbis))+(H15&gt;H16)*(1+T.Nachtbis-T.Nachtab)+H18-H17+MAX(0,T.Nachtab-MAX(T.Nachtbis,H18))-MAX(0,T.Nachtab-MAX(H17,T.Nachtbis))+(H17&gt;H18)*(1+T.Nachtbis-T.Nachtab)+H20-H19+MAX(0,T.Nachtab-MAX(T.Nachtbis,H20))-MAX(0,T.Nachtab-MAX(H19,T.Nachtbis))+(H19&gt;H20)*(1+T.Nachtbis-T.Nachtab)+H22-H21+MAX(0,T.Nachtab-MAX(T.Nachtbis,H22))-MAX(0,T.Nachtab-MAX(H21,T.Nachtbis))+(H21&gt;H22)*(1+T.Nachtbis-T.Nachtab),9), IF(AND(WEEKDAY(H$10,2)&lt;6,H$11&lt;&gt;0),ROUND(H36-H35+MAX(0,T.Nachtab-MAX(T.Nachtbis,H36))-MAX(0,T.Nachtab-MAX(H35,T.Nachtbis))+(H35&gt;H36)*(1+T.Nachtbis-T.Nachtab)+H38-H37+MAX(0,T.Nachtab-MAX(T.Nachtbis,H38))-MAX(0,T.Nachtab-MAX(H37,T.Nachtbis))+(H37&gt;H38)*(1+T.Nachtbis-T.Nachtab)+H40-H39+MAX(0,T.Nachtab-MAX(T.Nachtbis,H40))-MAX(0,T.Nachtab-MAX(H39,T.Nachtbis))+(H39&gt;H40)*(1+T.Nachtbis-T.Nachtab)+H42-H41+MAX(0,T.Nachtab-MAX(T.Nachtbis,H42))-MAX(0,T.Nachtab-MAX(H41,T.Nachtbis))+(H41&gt;H42)*(1+T.Nachtbis-T.Nachtab)+H44-H43+MAX(0,T.Nachtab-MAX(T.Nachtbis,H44))-MAX(0,T.Nachtab-MAX(H43,T.Nachtbis))+(H43&gt;H44)*(1+T.Nachtbis-T.Nachtab),9),0)))</f>
        <v>0</v>
      </c>
      <c r="I73" s="256" t="n">
        <f aca="false">IF(I$12=0,0,IF(OR(T.50_Vetsuisse,T.ServiceCenterIrchel),ROUND(I14-I13+MAX(0,T.Nachtab-MAX(T.Nachtbis,I14))-MAX(0,T.Nachtab-MAX(I13,T.Nachtbis))+(I13&gt;I14)*(1+T.Nachtbis-T.Nachtab)+I16-I15+MAX(0,T.Nachtab-MAX(T.Nachtbis,I16))-MAX(0,T.Nachtab-MAX(I15,T.Nachtbis))+(I15&gt;I16)*(1+T.Nachtbis-T.Nachtab)+I18-I17+MAX(0,T.Nachtab-MAX(T.Nachtbis,I18))-MAX(0,T.Nachtab-MAX(I17,T.Nachtbis))+(I17&gt;I18)*(1+T.Nachtbis-T.Nachtab)+I20-I19+MAX(0,T.Nachtab-MAX(T.Nachtbis,I20))-MAX(0,T.Nachtab-MAX(I19,T.Nachtbis))+(I19&gt;I20)*(1+T.Nachtbis-T.Nachtab)+I22-I21+MAX(0,T.Nachtab-MAX(T.Nachtbis,I22))-MAX(0,T.Nachtab-MAX(I21,T.Nachtbis))+(I21&gt;I22)*(1+T.Nachtbis-T.Nachtab),9), IF(AND(WEEKDAY(I$10,2)&lt;6,I$11&lt;&gt;0),ROUND(I36-I35+MAX(0,T.Nachtab-MAX(T.Nachtbis,I36))-MAX(0,T.Nachtab-MAX(I35,T.Nachtbis))+(I35&gt;I36)*(1+T.Nachtbis-T.Nachtab)+I38-I37+MAX(0,T.Nachtab-MAX(T.Nachtbis,I38))-MAX(0,T.Nachtab-MAX(I37,T.Nachtbis))+(I37&gt;I38)*(1+T.Nachtbis-T.Nachtab)+I40-I39+MAX(0,T.Nachtab-MAX(T.Nachtbis,I40))-MAX(0,T.Nachtab-MAX(I39,T.Nachtbis))+(I39&gt;I40)*(1+T.Nachtbis-T.Nachtab)+I42-I41+MAX(0,T.Nachtab-MAX(T.Nachtbis,I42))-MAX(0,T.Nachtab-MAX(I41,T.Nachtbis))+(I41&gt;I42)*(1+T.Nachtbis-T.Nachtab)+I44-I43+MAX(0,T.Nachtab-MAX(T.Nachtbis,I44))-MAX(0,T.Nachtab-MAX(I43,T.Nachtbis))+(I43&gt;I44)*(1+T.Nachtbis-T.Nachtab),9),0)))</f>
        <v>0</v>
      </c>
      <c r="J73" s="256" t="n">
        <f aca="false">IF(J$12=0,0,IF(OR(T.50_Vetsuisse,T.ServiceCenterIrchel),ROUND(J14-J13+MAX(0,T.Nachtab-MAX(T.Nachtbis,J14))-MAX(0,T.Nachtab-MAX(J13,T.Nachtbis))+(J13&gt;J14)*(1+T.Nachtbis-T.Nachtab)+J16-J15+MAX(0,T.Nachtab-MAX(T.Nachtbis,J16))-MAX(0,T.Nachtab-MAX(J15,T.Nachtbis))+(J15&gt;J16)*(1+T.Nachtbis-T.Nachtab)+J18-J17+MAX(0,T.Nachtab-MAX(T.Nachtbis,J18))-MAX(0,T.Nachtab-MAX(J17,T.Nachtbis))+(J17&gt;J18)*(1+T.Nachtbis-T.Nachtab)+J20-J19+MAX(0,T.Nachtab-MAX(T.Nachtbis,J20))-MAX(0,T.Nachtab-MAX(J19,T.Nachtbis))+(J19&gt;J20)*(1+T.Nachtbis-T.Nachtab)+J22-J21+MAX(0,T.Nachtab-MAX(T.Nachtbis,J22))-MAX(0,T.Nachtab-MAX(J21,T.Nachtbis))+(J21&gt;J22)*(1+T.Nachtbis-T.Nachtab),9), IF(AND(WEEKDAY(J$10,2)&lt;6,J$11&lt;&gt;0),ROUND(J36-J35+MAX(0,T.Nachtab-MAX(T.Nachtbis,J36))-MAX(0,T.Nachtab-MAX(J35,T.Nachtbis))+(J35&gt;J36)*(1+T.Nachtbis-T.Nachtab)+J38-J37+MAX(0,T.Nachtab-MAX(T.Nachtbis,J38))-MAX(0,T.Nachtab-MAX(J37,T.Nachtbis))+(J37&gt;J38)*(1+T.Nachtbis-T.Nachtab)+J40-J39+MAX(0,T.Nachtab-MAX(T.Nachtbis,J40))-MAX(0,T.Nachtab-MAX(J39,T.Nachtbis))+(J39&gt;J40)*(1+T.Nachtbis-T.Nachtab)+J42-J41+MAX(0,T.Nachtab-MAX(T.Nachtbis,J42))-MAX(0,T.Nachtab-MAX(J41,T.Nachtbis))+(J41&gt;J42)*(1+T.Nachtbis-T.Nachtab)+J44-J43+MAX(0,T.Nachtab-MAX(T.Nachtbis,J44))-MAX(0,T.Nachtab-MAX(J43,T.Nachtbis))+(J43&gt;J44)*(1+T.Nachtbis-T.Nachtab),9),0)))</f>
        <v>0</v>
      </c>
      <c r="K73" s="256" t="n">
        <f aca="false">IF(K$12=0,0,IF(OR(T.50_Vetsuisse,T.ServiceCenterIrchel),ROUND(K14-K13+MAX(0,T.Nachtab-MAX(T.Nachtbis,K14))-MAX(0,T.Nachtab-MAX(K13,T.Nachtbis))+(K13&gt;K14)*(1+T.Nachtbis-T.Nachtab)+K16-K15+MAX(0,T.Nachtab-MAX(T.Nachtbis,K16))-MAX(0,T.Nachtab-MAX(K15,T.Nachtbis))+(K15&gt;K16)*(1+T.Nachtbis-T.Nachtab)+K18-K17+MAX(0,T.Nachtab-MAX(T.Nachtbis,K18))-MAX(0,T.Nachtab-MAX(K17,T.Nachtbis))+(K17&gt;K18)*(1+T.Nachtbis-T.Nachtab)+K20-K19+MAX(0,T.Nachtab-MAX(T.Nachtbis,K20))-MAX(0,T.Nachtab-MAX(K19,T.Nachtbis))+(K19&gt;K20)*(1+T.Nachtbis-T.Nachtab)+K22-K21+MAX(0,T.Nachtab-MAX(T.Nachtbis,K22))-MAX(0,T.Nachtab-MAX(K21,T.Nachtbis))+(K21&gt;K22)*(1+T.Nachtbis-T.Nachtab),9), IF(AND(WEEKDAY(K$10,2)&lt;6,K$11&lt;&gt;0),ROUND(K36-K35+MAX(0,T.Nachtab-MAX(T.Nachtbis,K36))-MAX(0,T.Nachtab-MAX(K35,T.Nachtbis))+(K35&gt;K36)*(1+T.Nachtbis-T.Nachtab)+K38-K37+MAX(0,T.Nachtab-MAX(T.Nachtbis,K38))-MAX(0,T.Nachtab-MAX(K37,T.Nachtbis))+(K37&gt;K38)*(1+T.Nachtbis-T.Nachtab)+K40-K39+MAX(0,T.Nachtab-MAX(T.Nachtbis,K40))-MAX(0,T.Nachtab-MAX(K39,T.Nachtbis))+(K39&gt;K40)*(1+T.Nachtbis-T.Nachtab)+K42-K41+MAX(0,T.Nachtab-MAX(T.Nachtbis,K42))-MAX(0,T.Nachtab-MAX(K41,T.Nachtbis))+(K41&gt;K42)*(1+T.Nachtbis-T.Nachtab)+K44-K43+MAX(0,T.Nachtab-MAX(T.Nachtbis,K44))-MAX(0,T.Nachtab-MAX(K43,T.Nachtbis))+(K43&gt;K44)*(1+T.Nachtbis-T.Nachtab),9),0)))</f>
        <v>0</v>
      </c>
      <c r="L73" s="256" t="n">
        <f aca="false">IF(L$12=0,0,IF(OR(T.50_Vetsuisse,T.ServiceCenterIrchel),ROUND(L14-L13+MAX(0,T.Nachtab-MAX(T.Nachtbis,L14))-MAX(0,T.Nachtab-MAX(L13,T.Nachtbis))+(L13&gt;L14)*(1+T.Nachtbis-T.Nachtab)+L16-L15+MAX(0,T.Nachtab-MAX(T.Nachtbis,L16))-MAX(0,T.Nachtab-MAX(L15,T.Nachtbis))+(L15&gt;L16)*(1+T.Nachtbis-T.Nachtab)+L18-L17+MAX(0,T.Nachtab-MAX(T.Nachtbis,L18))-MAX(0,T.Nachtab-MAX(L17,T.Nachtbis))+(L17&gt;L18)*(1+T.Nachtbis-T.Nachtab)+L20-L19+MAX(0,T.Nachtab-MAX(T.Nachtbis,L20))-MAX(0,T.Nachtab-MAX(L19,T.Nachtbis))+(L19&gt;L20)*(1+T.Nachtbis-T.Nachtab)+L22-L21+MAX(0,T.Nachtab-MAX(T.Nachtbis,L22))-MAX(0,T.Nachtab-MAX(L21,T.Nachtbis))+(L21&gt;L22)*(1+T.Nachtbis-T.Nachtab),9), IF(AND(WEEKDAY(L$10,2)&lt;6,L$11&lt;&gt;0),ROUND(L36-L35+MAX(0,T.Nachtab-MAX(T.Nachtbis,L36))-MAX(0,T.Nachtab-MAX(L35,T.Nachtbis))+(L35&gt;L36)*(1+T.Nachtbis-T.Nachtab)+L38-L37+MAX(0,T.Nachtab-MAX(T.Nachtbis,L38))-MAX(0,T.Nachtab-MAX(L37,T.Nachtbis))+(L37&gt;L38)*(1+T.Nachtbis-T.Nachtab)+L40-L39+MAX(0,T.Nachtab-MAX(T.Nachtbis,L40))-MAX(0,T.Nachtab-MAX(L39,T.Nachtbis))+(L39&gt;L40)*(1+T.Nachtbis-T.Nachtab)+L42-L41+MAX(0,T.Nachtab-MAX(T.Nachtbis,L42))-MAX(0,T.Nachtab-MAX(L41,T.Nachtbis))+(L41&gt;L42)*(1+T.Nachtbis-T.Nachtab)+L44-L43+MAX(0,T.Nachtab-MAX(T.Nachtbis,L44))-MAX(0,T.Nachtab-MAX(L43,T.Nachtbis))+(L43&gt;L44)*(1+T.Nachtbis-T.Nachtab),9),0)))</f>
        <v>0</v>
      </c>
      <c r="M73" s="256" t="n">
        <f aca="false">IF(M$12=0,0,IF(OR(T.50_Vetsuisse,T.ServiceCenterIrchel),ROUND(M14-M13+MAX(0,T.Nachtab-MAX(T.Nachtbis,M14))-MAX(0,T.Nachtab-MAX(M13,T.Nachtbis))+(M13&gt;M14)*(1+T.Nachtbis-T.Nachtab)+M16-M15+MAX(0,T.Nachtab-MAX(T.Nachtbis,M16))-MAX(0,T.Nachtab-MAX(M15,T.Nachtbis))+(M15&gt;M16)*(1+T.Nachtbis-T.Nachtab)+M18-M17+MAX(0,T.Nachtab-MAX(T.Nachtbis,M18))-MAX(0,T.Nachtab-MAX(M17,T.Nachtbis))+(M17&gt;M18)*(1+T.Nachtbis-T.Nachtab)+M20-M19+MAX(0,T.Nachtab-MAX(T.Nachtbis,M20))-MAX(0,T.Nachtab-MAX(M19,T.Nachtbis))+(M19&gt;M20)*(1+T.Nachtbis-T.Nachtab)+M22-M21+MAX(0,T.Nachtab-MAX(T.Nachtbis,M22))-MAX(0,T.Nachtab-MAX(M21,T.Nachtbis))+(M21&gt;M22)*(1+T.Nachtbis-T.Nachtab),9), IF(AND(WEEKDAY(M$10,2)&lt;6,M$11&lt;&gt;0),ROUND(M36-M35+MAX(0,T.Nachtab-MAX(T.Nachtbis,M36))-MAX(0,T.Nachtab-MAX(M35,T.Nachtbis))+(M35&gt;M36)*(1+T.Nachtbis-T.Nachtab)+M38-M37+MAX(0,T.Nachtab-MAX(T.Nachtbis,M38))-MAX(0,T.Nachtab-MAX(M37,T.Nachtbis))+(M37&gt;M38)*(1+T.Nachtbis-T.Nachtab)+M40-M39+MAX(0,T.Nachtab-MAX(T.Nachtbis,M40))-MAX(0,T.Nachtab-MAX(M39,T.Nachtbis))+(M39&gt;M40)*(1+T.Nachtbis-T.Nachtab)+M42-M41+MAX(0,T.Nachtab-MAX(T.Nachtbis,M42))-MAX(0,T.Nachtab-MAX(M41,T.Nachtbis))+(M41&gt;M42)*(1+T.Nachtbis-T.Nachtab)+M44-M43+MAX(0,T.Nachtab-MAX(T.Nachtbis,M44))-MAX(0,T.Nachtab-MAX(M43,T.Nachtbis))+(M43&gt;M44)*(1+T.Nachtbis-T.Nachtab),9),0)))</f>
        <v>0</v>
      </c>
      <c r="N73" s="256" t="n">
        <f aca="false">IF(N$12=0,0,IF(OR(T.50_Vetsuisse,T.ServiceCenterIrchel),ROUND(N14-N13+MAX(0,T.Nachtab-MAX(T.Nachtbis,N14))-MAX(0,T.Nachtab-MAX(N13,T.Nachtbis))+(N13&gt;N14)*(1+T.Nachtbis-T.Nachtab)+N16-N15+MAX(0,T.Nachtab-MAX(T.Nachtbis,N16))-MAX(0,T.Nachtab-MAX(N15,T.Nachtbis))+(N15&gt;N16)*(1+T.Nachtbis-T.Nachtab)+N18-N17+MAX(0,T.Nachtab-MAX(T.Nachtbis,N18))-MAX(0,T.Nachtab-MAX(N17,T.Nachtbis))+(N17&gt;N18)*(1+T.Nachtbis-T.Nachtab)+N20-N19+MAX(0,T.Nachtab-MAX(T.Nachtbis,N20))-MAX(0,T.Nachtab-MAX(N19,T.Nachtbis))+(N19&gt;N20)*(1+T.Nachtbis-T.Nachtab)+N22-N21+MAX(0,T.Nachtab-MAX(T.Nachtbis,N22))-MAX(0,T.Nachtab-MAX(N21,T.Nachtbis))+(N21&gt;N22)*(1+T.Nachtbis-T.Nachtab),9), IF(AND(WEEKDAY(N$10,2)&lt;6,N$11&lt;&gt;0),ROUND(N36-N35+MAX(0,T.Nachtab-MAX(T.Nachtbis,N36))-MAX(0,T.Nachtab-MAX(N35,T.Nachtbis))+(N35&gt;N36)*(1+T.Nachtbis-T.Nachtab)+N38-N37+MAX(0,T.Nachtab-MAX(T.Nachtbis,N38))-MAX(0,T.Nachtab-MAX(N37,T.Nachtbis))+(N37&gt;N38)*(1+T.Nachtbis-T.Nachtab)+N40-N39+MAX(0,T.Nachtab-MAX(T.Nachtbis,N40))-MAX(0,T.Nachtab-MAX(N39,T.Nachtbis))+(N39&gt;N40)*(1+T.Nachtbis-T.Nachtab)+N42-N41+MAX(0,T.Nachtab-MAX(T.Nachtbis,N42))-MAX(0,T.Nachtab-MAX(N41,T.Nachtbis))+(N41&gt;N42)*(1+T.Nachtbis-T.Nachtab)+N44-N43+MAX(0,T.Nachtab-MAX(T.Nachtbis,N44))-MAX(0,T.Nachtab-MAX(N43,T.Nachtbis))+(N43&gt;N44)*(1+T.Nachtbis-T.Nachtab),9),0)))</f>
        <v>0</v>
      </c>
      <c r="O73" s="256" t="n">
        <f aca="false">IF(O$12=0,0,IF(OR(T.50_Vetsuisse,T.ServiceCenterIrchel),ROUND(O14-O13+MAX(0,T.Nachtab-MAX(T.Nachtbis,O14))-MAX(0,T.Nachtab-MAX(O13,T.Nachtbis))+(O13&gt;O14)*(1+T.Nachtbis-T.Nachtab)+O16-O15+MAX(0,T.Nachtab-MAX(T.Nachtbis,O16))-MAX(0,T.Nachtab-MAX(O15,T.Nachtbis))+(O15&gt;O16)*(1+T.Nachtbis-T.Nachtab)+O18-O17+MAX(0,T.Nachtab-MAX(T.Nachtbis,O18))-MAX(0,T.Nachtab-MAX(O17,T.Nachtbis))+(O17&gt;O18)*(1+T.Nachtbis-T.Nachtab)+O20-O19+MAX(0,T.Nachtab-MAX(T.Nachtbis,O20))-MAX(0,T.Nachtab-MAX(O19,T.Nachtbis))+(O19&gt;O20)*(1+T.Nachtbis-T.Nachtab)+O22-O21+MAX(0,T.Nachtab-MAX(T.Nachtbis,O22))-MAX(0,T.Nachtab-MAX(O21,T.Nachtbis))+(O21&gt;O22)*(1+T.Nachtbis-T.Nachtab),9), IF(AND(WEEKDAY(O$10,2)&lt;6,O$11&lt;&gt;0),ROUND(O36-O35+MAX(0,T.Nachtab-MAX(T.Nachtbis,O36))-MAX(0,T.Nachtab-MAX(O35,T.Nachtbis))+(O35&gt;O36)*(1+T.Nachtbis-T.Nachtab)+O38-O37+MAX(0,T.Nachtab-MAX(T.Nachtbis,O38))-MAX(0,T.Nachtab-MAX(O37,T.Nachtbis))+(O37&gt;O38)*(1+T.Nachtbis-T.Nachtab)+O40-O39+MAX(0,T.Nachtab-MAX(T.Nachtbis,O40))-MAX(0,T.Nachtab-MAX(O39,T.Nachtbis))+(O39&gt;O40)*(1+T.Nachtbis-T.Nachtab)+O42-O41+MAX(0,T.Nachtab-MAX(T.Nachtbis,O42))-MAX(0,T.Nachtab-MAX(O41,T.Nachtbis))+(O41&gt;O42)*(1+T.Nachtbis-T.Nachtab)+O44-O43+MAX(0,T.Nachtab-MAX(T.Nachtbis,O44))-MAX(0,T.Nachtab-MAX(O43,T.Nachtbis))+(O43&gt;O44)*(1+T.Nachtbis-T.Nachtab),9),0)))</f>
        <v>0</v>
      </c>
      <c r="P73" s="256" t="n">
        <f aca="false">IF(P$12=0,0,IF(OR(T.50_Vetsuisse,T.ServiceCenterIrchel),ROUND(P14-P13+MAX(0,T.Nachtab-MAX(T.Nachtbis,P14))-MAX(0,T.Nachtab-MAX(P13,T.Nachtbis))+(P13&gt;P14)*(1+T.Nachtbis-T.Nachtab)+P16-P15+MAX(0,T.Nachtab-MAX(T.Nachtbis,P16))-MAX(0,T.Nachtab-MAX(P15,T.Nachtbis))+(P15&gt;P16)*(1+T.Nachtbis-T.Nachtab)+P18-P17+MAX(0,T.Nachtab-MAX(T.Nachtbis,P18))-MAX(0,T.Nachtab-MAX(P17,T.Nachtbis))+(P17&gt;P18)*(1+T.Nachtbis-T.Nachtab)+P20-P19+MAX(0,T.Nachtab-MAX(T.Nachtbis,P20))-MAX(0,T.Nachtab-MAX(P19,T.Nachtbis))+(P19&gt;P20)*(1+T.Nachtbis-T.Nachtab)+P22-P21+MAX(0,T.Nachtab-MAX(T.Nachtbis,P22))-MAX(0,T.Nachtab-MAX(P21,T.Nachtbis))+(P21&gt;P22)*(1+T.Nachtbis-T.Nachtab),9), IF(AND(WEEKDAY(P$10,2)&lt;6,P$11&lt;&gt;0),ROUND(P36-P35+MAX(0,T.Nachtab-MAX(T.Nachtbis,P36))-MAX(0,T.Nachtab-MAX(P35,T.Nachtbis))+(P35&gt;P36)*(1+T.Nachtbis-T.Nachtab)+P38-P37+MAX(0,T.Nachtab-MAX(T.Nachtbis,P38))-MAX(0,T.Nachtab-MAX(P37,T.Nachtbis))+(P37&gt;P38)*(1+T.Nachtbis-T.Nachtab)+P40-P39+MAX(0,T.Nachtab-MAX(T.Nachtbis,P40))-MAX(0,T.Nachtab-MAX(P39,T.Nachtbis))+(P39&gt;P40)*(1+T.Nachtbis-T.Nachtab)+P42-P41+MAX(0,T.Nachtab-MAX(T.Nachtbis,P42))-MAX(0,T.Nachtab-MAX(P41,T.Nachtbis))+(P41&gt;P42)*(1+T.Nachtbis-T.Nachtab)+P44-P43+MAX(0,T.Nachtab-MAX(T.Nachtbis,P44))-MAX(0,T.Nachtab-MAX(P43,T.Nachtbis))+(P43&gt;P44)*(1+T.Nachtbis-T.Nachtab),9),0)))</f>
        <v>0</v>
      </c>
      <c r="Q73" s="256" t="n">
        <f aca="false">IF(Q$12=0,0,IF(OR(T.50_Vetsuisse,T.ServiceCenterIrchel),ROUND(Q14-Q13+MAX(0,T.Nachtab-MAX(T.Nachtbis,Q14))-MAX(0,T.Nachtab-MAX(Q13,T.Nachtbis))+(Q13&gt;Q14)*(1+T.Nachtbis-T.Nachtab)+Q16-Q15+MAX(0,T.Nachtab-MAX(T.Nachtbis,Q16))-MAX(0,T.Nachtab-MAX(Q15,T.Nachtbis))+(Q15&gt;Q16)*(1+T.Nachtbis-T.Nachtab)+Q18-Q17+MAX(0,T.Nachtab-MAX(T.Nachtbis,Q18))-MAX(0,T.Nachtab-MAX(Q17,T.Nachtbis))+(Q17&gt;Q18)*(1+T.Nachtbis-T.Nachtab)+Q20-Q19+MAX(0,T.Nachtab-MAX(T.Nachtbis,Q20))-MAX(0,T.Nachtab-MAX(Q19,T.Nachtbis))+(Q19&gt;Q20)*(1+T.Nachtbis-T.Nachtab)+Q22-Q21+MAX(0,T.Nachtab-MAX(T.Nachtbis,Q22))-MAX(0,T.Nachtab-MAX(Q21,T.Nachtbis))+(Q21&gt;Q22)*(1+T.Nachtbis-T.Nachtab),9), IF(AND(WEEKDAY(Q$10,2)&lt;6,Q$11&lt;&gt;0),ROUND(Q36-Q35+MAX(0,T.Nachtab-MAX(T.Nachtbis,Q36))-MAX(0,T.Nachtab-MAX(Q35,T.Nachtbis))+(Q35&gt;Q36)*(1+T.Nachtbis-T.Nachtab)+Q38-Q37+MAX(0,T.Nachtab-MAX(T.Nachtbis,Q38))-MAX(0,T.Nachtab-MAX(Q37,T.Nachtbis))+(Q37&gt;Q38)*(1+T.Nachtbis-T.Nachtab)+Q40-Q39+MAX(0,T.Nachtab-MAX(T.Nachtbis,Q40))-MAX(0,T.Nachtab-MAX(Q39,T.Nachtbis))+(Q39&gt;Q40)*(1+T.Nachtbis-T.Nachtab)+Q42-Q41+MAX(0,T.Nachtab-MAX(T.Nachtbis,Q42))-MAX(0,T.Nachtab-MAX(Q41,T.Nachtbis))+(Q41&gt;Q42)*(1+T.Nachtbis-T.Nachtab)+Q44-Q43+MAX(0,T.Nachtab-MAX(T.Nachtbis,Q44))-MAX(0,T.Nachtab-MAX(Q43,T.Nachtbis))+(Q43&gt;Q44)*(1+T.Nachtbis-T.Nachtab),9),0)))</f>
        <v>0</v>
      </c>
      <c r="R73" s="256" t="n">
        <f aca="false">IF(R$12=0,0,IF(OR(T.50_Vetsuisse,T.ServiceCenterIrchel),ROUND(R14-R13+MAX(0,T.Nachtab-MAX(T.Nachtbis,R14))-MAX(0,T.Nachtab-MAX(R13,T.Nachtbis))+(R13&gt;R14)*(1+T.Nachtbis-T.Nachtab)+R16-R15+MAX(0,T.Nachtab-MAX(T.Nachtbis,R16))-MAX(0,T.Nachtab-MAX(R15,T.Nachtbis))+(R15&gt;R16)*(1+T.Nachtbis-T.Nachtab)+R18-R17+MAX(0,T.Nachtab-MAX(T.Nachtbis,R18))-MAX(0,T.Nachtab-MAX(R17,T.Nachtbis))+(R17&gt;R18)*(1+T.Nachtbis-T.Nachtab)+R20-R19+MAX(0,T.Nachtab-MAX(T.Nachtbis,R20))-MAX(0,T.Nachtab-MAX(R19,T.Nachtbis))+(R19&gt;R20)*(1+T.Nachtbis-T.Nachtab)+R22-R21+MAX(0,T.Nachtab-MAX(T.Nachtbis,R22))-MAX(0,T.Nachtab-MAX(R21,T.Nachtbis))+(R21&gt;R22)*(1+T.Nachtbis-T.Nachtab),9), IF(AND(WEEKDAY(R$10,2)&lt;6,R$11&lt;&gt;0),ROUND(R36-R35+MAX(0,T.Nachtab-MAX(T.Nachtbis,R36))-MAX(0,T.Nachtab-MAX(R35,T.Nachtbis))+(R35&gt;R36)*(1+T.Nachtbis-T.Nachtab)+R38-R37+MAX(0,T.Nachtab-MAX(T.Nachtbis,R38))-MAX(0,T.Nachtab-MAX(R37,T.Nachtbis))+(R37&gt;R38)*(1+T.Nachtbis-T.Nachtab)+R40-R39+MAX(0,T.Nachtab-MAX(T.Nachtbis,R40))-MAX(0,T.Nachtab-MAX(R39,T.Nachtbis))+(R39&gt;R40)*(1+T.Nachtbis-T.Nachtab)+R42-R41+MAX(0,T.Nachtab-MAX(T.Nachtbis,R42))-MAX(0,T.Nachtab-MAX(R41,T.Nachtbis))+(R41&gt;R42)*(1+T.Nachtbis-T.Nachtab)+R44-R43+MAX(0,T.Nachtab-MAX(T.Nachtbis,R44))-MAX(0,T.Nachtab-MAX(R43,T.Nachtbis))+(R43&gt;R44)*(1+T.Nachtbis-T.Nachtab),9),0)))</f>
        <v>0</v>
      </c>
      <c r="S73" s="256" t="n">
        <f aca="false">IF(S$12=0,0,IF(OR(T.50_Vetsuisse,T.ServiceCenterIrchel),ROUND(S14-S13+MAX(0,T.Nachtab-MAX(T.Nachtbis,S14))-MAX(0,T.Nachtab-MAX(S13,T.Nachtbis))+(S13&gt;S14)*(1+T.Nachtbis-T.Nachtab)+S16-S15+MAX(0,T.Nachtab-MAX(T.Nachtbis,S16))-MAX(0,T.Nachtab-MAX(S15,T.Nachtbis))+(S15&gt;S16)*(1+T.Nachtbis-T.Nachtab)+S18-S17+MAX(0,T.Nachtab-MAX(T.Nachtbis,S18))-MAX(0,T.Nachtab-MAX(S17,T.Nachtbis))+(S17&gt;S18)*(1+T.Nachtbis-T.Nachtab)+S20-S19+MAX(0,T.Nachtab-MAX(T.Nachtbis,S20))-MAX(0,T.Nachtab-MAX(S19,T.Nachtbis))+(S19&gt;S20)*(1+T.Nachtbis-T.Nachtab)+S22-S21+MAX(0,T.Nachtab-MAX(T.Nachtbis,S22))-MAX(0,T.Nachtab-MAX(S21,T.Nachtbis))+(S21&gt;S22)*(1+T.Nachtbis-T.Nachtab),9), IF(AND(WEEKDAY(S$10,2)&lt;6,S$11&lt;&gt;0),ROUND(S36-S35+MAX(0,T.Nachtab-MAX(T.Nachtbis,S36))-MAX(0,T.Nachtab-MAX(S35,T.Nachtbis))+(S35&gt;S36)*(1+T.Nachtbis-T.Nachtab)+S38-S37+MAX(0,T.Nachtab-MAX(T.Nachtbis,S38))-MAX(0,T.Nachtab-MAX(S37,T.Nachtbis))+(S37&gt;S38)*(1+T.Nachtbis-T.Nachtab)+S40-S39+MAX(0,T.Nachtab-MAX(T.Nachtbis,S40))-MAX(0,T.Nachtab-MAX(S39,T.Nachtbis))+(S39&gt;S40)*(1+T.Nachtbis-T.Nachtab)+S42-S41+MAX(0,T.Nachtab-MAX(T.Nachtbis,S42))-MAX(0,T.Nachtab-MAX(S41,T.Nachtbis))+(S41&gt;S42)*(1+T.Nachtbis-T.Nachtab)+S44-S43+MAX(0,T.Nachtab-MAX(T.Nachtbis,S44))-MAX(0,T.Nachtab-MAX(S43,T.Nachtbis))+(S43&gt;S44)*(1+T.Nachtbis-T.Nachtab),9),0)))</f>
        <v>0</v>
      </c>
      <c r="T73" s="256" t="n">
        <f aca="false">IF(T$12=0,0,IF(OR(T.50_Vetsuisse,T.ServiceCenterIrchel),ROUND(T14-T13+MAX(0,T.Nachtab-MAX(T.Nachtbis,T14))-MAX(0,T.Nachtab-MAX(T13,T.Nachtbis))+(T13&gt;T14)*(1+T.Nachtbis-T.Nachtab)+T16-T15+MAX(0,T.Nachtab-MAX(T.Nachtbis,T16))-MAX(0,T.Nachtab-MAX(T15,T.Nachtbis))+(T15&gt;T16)*(1+T.Nachtbis-T.Nachtab)+T18-T17+MAX(0,T.Nachtab-MAX(T.Nachtbis,T18))-MAX(0,T.Nachtab-MAX(T17,T.Nachtbis))+(T17&gt;T18)*(1+T.Nachtbis-T.Nachtab)+T20-T19+MAX(0,T.Nachtab-MAX(T.Nachtbis,T20))-MAX(0,T.Nachtab-MAX(T19,T.Nachtbis))+(T19&gt;T20)*(1+T.Nachtbis-T.Nachtab)+T22-T21+MAX(0,T.Nachtab-MAX(T.Nachtbis,T22))-MAX(0,T.Nachtab-MAX(T21,T.Nachtbis))+(T21&gt;T22)*(1+T.Nachtbis-T.Nachtab),9), IF(AND(WEEKDAY(T$10,2)&lt;6,T$11&lt;&gt;0),ROUND(T36-T35+MAX(0,T.Nachtab-MAX(T.Nachtbis,T36))-MAX(0,T.Nachtab-MAX(T35,T.Nachtbis))+(T35&gt;T36)*(1+T.Nachtbis-T.Nachtab)+T38-T37+MAX(0,T.Nachtab-MAX(T.Nachtbis,T38))-MAX(0,T.Nachtab-MAX(T37,T.Nachtbis))+(T37&gt;T38)*(1+T.Nachtbis-T.Nachtab)+T40-T39+MAX(0,T.Nachtab-MAX(T.Nachtbis,T40))-MAX(0,T.Nachtab-MAX(T39,T.Nachtbis))+(T39&gt;T40)*(1+T.Nachtbis-T.Nachtab)+T42-T41+MAX(0,T.Nachtab-MAX(T.Nachtbis,T42))-MAX(0,T.Nachtab-MAX(T41,T.Nachtbis))+(T41&gt;T42)*(1+T.Nachtbis-T.Nachtab)+T44-T43+MAX(0,T.Nachtab-MAX(T.Nachtbis,T44))-MAX(0,T.Nachtab-MAX(T43,T.Nachtbis))+(T43&gt;T44)*(1+T.Nachtbis-T.Nachtab),9),0)))</f>
        <v>0</v>
      </c>
      <c r="U73" s="256" t="n">
        <f aca="false">IF(U$12=0,0,IF(OR(T.50_Vetsuisse,T.ServiceCenterIrchel),ROUND(U14-U13+MAX(0,T.Nachtab-MAX(T.Nachtbis,U14))-MAX(0,T.Nachtab-MAX(U13,T.Nachtbis))+(U13&gt;U14)*(1+T.Nachtbis-T.Nachtab)+U16-U15+MAX(0,T.Nachtab-MAX(T.Nachtbis,U16))-MAX(0,T.Nachtab-MAX(U15,T.Nachtbis))+(U15&gt;U16)*(1+T.Nachtbis-T.Nachtab)+U18-U17+MAX(0,T.Nachtab-MAX(T.Nachtbis,U18))-MAX(0,T.Nachtab-MAX(U17,T.Nachtbis))+(U17&gt;U18)*(1+T.Nachtbis-T.Nachtab)+U20-U19+MAX(0,T.Nachtab-MAX(T.Nachtbis,U20))-MAX(0,T.Nachtab-MAX(U19,T.Nachtbis))+(U19&gt;U20)*(1+T.Nachtbis-T.Nachtab)+U22-U21+MAX(0,T.Nachtab-MAX(T.Nachtbis,U22))-MAX(0,T.Nachtab-MAX(U21,T.Nachtbis))+(U21&gt;U22)*(1+T.Nachtbis-T.Nachtab),9), IF(AND(WEEKDAY(U$10,2)&lt;6,U$11&lt;&gt;0),ROUND(U36-U35+MAX(0,T.Nachtab-MAX(T.Nachtbis,U36))-MAX(0,T.Nachtab-MAX(U35,T.Nachtbis))+(U35&gt;U36)*(1+T.Nachtbis-T.Nachtab)+U38-U37+MAX(0,T.Nachtab-MAX(T.Nachtbis,U38))-MAX(0,T.Nachtab-MAX(U37,T.Nachtbis))+(U37&gt;U38)*(1+T.Nachtbis-T.Nachtab)+U40-U39+MAX(0,T.Nachtab-MAX(T.Nachtbis,U40))-MAX(0,T.Nachtab-MAX(U39,T.Nachtbis))+(U39&gt;U40)*(1+T.Nachtbis-T.Nachtab)+U42-U41+MAX(0,T.Nachtab-MAX(T.Nachtbis,U42))-MAX(0,T.Nachtab-MAX(U41,T.Nachtbis))+(U41&gt;U42)*(1+T.Nachtbis-T.Nachtab)+U44-U43+MAX(0,T.Nachtab-MAX(T.Nachtbis,U44))-MAX(0,T.Nachtab-MAX(U43,T.Nachtbis))+(U43&gt;U44)*(1+T.Nachtbis-T.Nachtab),9),0)))</f>
        <v>0</v>
      </c>
      <c r="V73" s="256" t="n">
        <f aca="false">IF(V$12=0,0,IF(OR(T.50_Vetsuisse,T.ServiceCenterIrchel),ROUND(V14-V13+MAX(0,T.Nachtab-MAX(T.Nachtbis,V14))-MAX(0,T.Nachtab-MAX(V13,T.Nachtbis))+(V13&gt;V14)*(1+T.Nachtbis-T.Nachtab)+V16-V15+MAX(0,T.Nachtab-MAX(T.Nachtbis,V16))-MAX(0,T.Nachtab-MAX(V15,T.Nachtbis))+(V15&gt;V16)*(1+T.Nachtbis-T.Nachtab)+V18-V17+MAX(0,T.Nachtab-MAX(T.Nachtbis,V18))-MAX(0,T.Nachtab-MAX(V17,T.Nachtbis))+(V17&gt;V18)*(1+T.Nachtbis-T.Nachtab)+V20-V19+MAX(0,T.Nachtab-MAX(T.Nachtbis,V20))-MAX(0,T.Nachtab-MAX(V19,T.Nachtbis))+(V19&gt;V20)*(1+T.Nachtbis-T.Nachtab)+V22-V21+MAX(0,T.Nachtab-MAX(T.Nachtbis,V22))-MAX(0,T.Nachtab-MAX(V21,T.Nachtbis))+(V21&gt;V22)*(1+T.Nachtbis-T.Nachtab),9), IF(AND(WEEKDAY(V$10,2)&lt;6,V$11&lt;&gt;0),ROUND(V36-V35+MAX(0,T.Nachtab-MAX(T.Nachtbis,V36))-MAX(0,T.Nachtab-MAX(V35,T.Nachtbis))+(V35&gt;V36)*(1+T.Nachtbis-T.Nachtab)+V38-V37+MAX(0,T.Nachtab-MAX(T.Nachtbis,V38))-MAX(0,T.Nachtab-MAX(V37,T.Nachtbis))+(V37&gt;V38)*(1+T.Nachtbis-T.Nachtab)+V40-V39+MAX(0,T.Nachtab-MAX(T.Nachtbis,V40))-MAX(0,T.Nachtab-MAX(V39,T.Nachtbis))+(V39&gt;V40)*(1+T.Nachtbis-T.Nachtab)+V42-V41+MAX(0,T.Nachtab-MAX(T.Nachtbis,V42))-MAX(0,T.Nachtab-MAX(V41,T.Nachtbis))+(V41&gt;V42)*(1+T.Nachtbis-T.Nachtab)+V44-V43+MAX(0,T.Nachtab-MAX(T.Nachtbis,V44))-MAX(0,T.Nachtab-MAX(V43,T.Nachtbis))+(V43&gt;V44)*(1+T.Nachtbis-T.Nachtab),9),0)))</f>
        <v>0</v>
      </c>
      <c r="W73" s="256" t="n">
        <f aca="false">IF(W$12=0,0,IF(OR(T.50_Vetsuisse,T.ServiceCenterIrchel),ROUND(W14-W13+MAX(0,T.Nachtab-MAX(T.Nachtbis,W14))-MAX(0,T.Nachtab-MAX(W13,T.Nachtbis))+(W13&gt;W14)*(1+T.Nachtbis-T.Nachtab)+W16-W15+MAX(0,T.Nachtab-MAX(T.Nachtbis,W16))-MAX(0,T.Nachtab-MAX(W15,T.Nachtbis))+(W15&gt;W16)*(1+T.Nachtbis-T.Nachtab)+W18-W17+MAX(0,T.Nachtab-MAX(T.Nachtbis,W18))-MAX(0,T.Nachtab-MAX(W17,T.Nachtbis))+(W17&gt;W18)*(1+T.Nachtbis-T.Nachtab)+W20-W19+MAX(0,T.Nachtab-MAX(T.Nachtbis,W20))-MAX(0,T.Nachtab-MAX(W19,T.Nachtbis))+(W19&gt;W20)*(1+T.Nachtbis-T.Nachtab)+W22-W21+MAX(0,T.Nachtab-MAX(T.Nachtbis,W22))-MAX(0,T.Nachtab-MAX(W21,T.Nachtbis))+(W21&gt;W22)*(1+T.Nachtbis-T.Nachtab),9), IF(AND(WEEKDAY(W$10,2)&lt;6,W$11&lt;&gt;0),ROUND(W36-W35+MAX(0,T.Nachtab-MAX(T.Nachtbis,W36))-MAX(0,T.Nachtab-MAX(W35,T.Nachtbis))+(W35&gt;W36)*(1+T.Nachtbis-T.Nachtab)+W38-W37+MAX(0,T.Nachtab-MAX(T.Nachtbis,W38))-MAX(0,T.Nachtab-MAX(W37,T.Nachtbis))+(W37&gt;W38)*(1+T.Nachtbis-T.Nachtab)+W40-W39+MAX(0,T.Nachtab-MAX(T.Nachtbis,W40))-MAX(0,T.Nachtab-MAX(W39,T.Nachtbis))+(W39&gt;W40)*(1+T.Nachtbis-T.Nachtab)+W42-W41+MAX(0,T.Nachtab-MAX(T.Nachtbis,W42))-MAX(0,T.Nachtab-MAX(W41,T.Nachtbis))+(W41&gt;W42)*(1+T.Nachtbis-T.Nachtab)+W44-W43+MAX(0,T.Nachtab-MAX(T.Nachtbis,W44))-MAX(0,T.Nachtab-MAX(W43,T.Nachtbis))+(W43&gt;W44)*(1+T.Nachtbis-T.Nachtab),9),0)))</f>
        <v>0</v>
      </c>
      <c r="X73" s="256" t="n">
        <f aca="false">IF(X$12=0,0,IF(OR(T.50_Vetsuisse,T.ServiceCenterIrchel),ROUND(X14-X13+MAX(0,T.Nachtab-MAX(T.Nachtbis,X14))-MAX(0,T.Nachtab-MAX(X13,T.Nachtbis))+(X13&gt;X14)*(1+T.Nachtbis-T.Nachtab)+X16-X15+MAX(0,T.Nachtab-MAX(T.Nachtbis,X16))-MAX(0,T.Nachtab-MAX(X15,T.Nachtbis))+(X15&gt;X16)*(1+T.Nachtbis-T.Nachtab)+X18-X17+MAX(0,T.Nachtab-MAX(T.Nachtbis,X18))-MAX(0,T.Nachtab-MAX(X17,T.Nachtbis))+(X17&gt;X18)*(1+T.Nachtbis-T.Nachtab)+X20-X19+MAX(0,T.Nachtab-MAX(T.Nachtbis,X20))-MAX(0,T.Nachtab-MAX(X19,T.Nachtbis))+(X19&gt;X20)*(1+T.Nachtbis-T.Nachtab)+X22-X21+MAX(0,T.Nachtab-MAX(T.Nachtbis,X22))-MAX(0,T.Nachtab-MAX(X21,T.Nachtbis))+(X21&gt;X22)*(1+T.Nachtbis-T.Nachtab),9), IF(AND(WEEKDAY(X$10,2)&lt;6,X$11&lt;&gt;0),ROUND(X36-X35+MAX(0,T.Nachtab-MAX(T.Nachtbis,X36))-MAX(0,T.Nachtab-MAX(X35,T.Nachtbis))+(X35&gt;X36)*(1+T.Nachtbis-T.Nachtab)+X38-X37+MAX(0,T.Nachtab-MAX(T.Nachtbis,X38))-MAX(0,T.Nachtab-MAX(X37,T.Nachtbis))+(X37&gt;X38)*(1+T.Nachtbis-T.Nachtab)+X40-X39+MAX(0,T.Nachtab-MAX(T.Nachtbis,X40))-MAX(0,T.Nachtab-MAX(X39,T.Nachtbis))+(X39&gt;X40)*(1+T.Nachtbis-T.Nachtab)+X42-X41+MAX(0,T.Nachtab-MAX(T.Nachtbis,X42))-MAX(0,T.Nachtab-MAX(X41,T.Nachtbis))+(X41&gt;X42)*(1+T.Nachtbis-T.Nachtab)+X44-X43+MAX(0,T.Nachtab-MAX(T.Nachtbis,X44))-MAX(0,T.Nachtab-MAX(X43,T.Nachtbis))+(X43&gt;X44)*(1+T.Nachtbis-T.Nachtab),9),0)))</f>
        <v>0</v>
      </c>
      <c r="Y73" s="256" t="n">
        <f aca="false">IF(Y$12=0,0,IF(OR(T.50_Vetsuisse,T.ServiceCenterIrchel),ROUND(Y14-Y13+MAX(0,T.Nachtab-MAX(T.Nachtbis,Y14))-MAX(0,T.Nachtab-MAX(Y13,T.Nachtbis))+(Y13&gt;Y14)*(1+T.Nachtbis-T.Nachtab)+Y16-Y15+MAX(0,T.Nachtab-MAX(T.Nachtbis,Y16))-MAX(0,T.Nachtab-MAX(Y15,T.Nachtbis))+(Y15&gt;Y16)*(1+T.Nachtbis-T.Nachtab)+Y18-Y17+MAX(0,T.Nachtab-MAX(T.Nachtbis,Y18))-MAX(0,T.Nachtab-MAX(Y17,T.Nachtbis))+(Y17&gt;Y18)*(1+T.Nachtbis-T.Nachtab)+Y20-Y19+MAX(0,T.Nachtab-MAX(T.Nachtbis,Y20))-MAX(0,T.Nachtab-MAX(Y19,T.Nachtbis))+(Y19&gt;Y20)*(1+T.Nachtbis-T.Nachtab)+Y22-Y21+MAX(0,T.Nachtab-MAX(T.Nachtbis,Y22))-MAX(0,T.Nachtab-MAX(Y21,T.Nachtbis))+(Y21&gt;Y22)*(1+T.Nachtbis-T.Nachtab),9), IF(AND(WEEKDAY(Y$10,2)&lt;6,Y$11&lt;&gt;0),ROUND(Y36-Y35+MAX(0,T.Nachtab-MAX(T.Nachtbis,Y36))-MAX(0,T.Nachtab-MAX(Y35,T.Nachtbis))+(Y35&gt;Y36)*(1+T.Nachtbis-T.Nachtab)+Y38-Y37+MAX(0,T.Nachtab-MAX(T.Nachtbis,Y38))-MAX(0,T.Nachtab-MAX(Y37,T.Nachtbis))+(Y37&gt;Y38)*(1+T.Nachtbis-T.Nachtab)+Y40-Y39+MAX(0,T.Nachtab-MAX(T.Nachtbis,Y40))-MAX(0,T.Nachtab-MAX(Y39,T.Nachtbis))+(Y39&gt;Y40)*(1+T.Nachtbis-T.Nachtab)+Y42-Y41+MAX(0,T.Nachtab-MAX(T.Nachtbis,Y42))-MAX(0,T.Nachtab-MAX(Y41,T.Nachtbis))+(Y41&gt;Y42)*(1+T.Nachtbis-T.Nachtab)+Y44-Y43+MAX(0,T.Nachtab-MAX(T.Nachtbis,Y44))-MAX(0,T.Nachtab-MAX(Y43,T.Nachtbis))+(Y43&gt;Y44)*(1+T.Nachtbis-T.Nachtab),9),0)))</f>
        <v>0</v>
      </c>
      <c r="Z73" s="256" t="n">
        <f aca="false">IF(Z$12=0,0,IF(OR(T.50_Vetsuisse,T.ServiceCenterIrchel),ROUND(Z14-Z13+MAX(0,T.Nachtab-MAX(T.Nachtbis,Z14))-MAX(0,T.Nachtab-MAX(Z13,T.Nachtbis))+(Z13&gt;Z14)*(1+T.Nachtbis-T.Nachtab)+Z16-Z15+MAX(0,T.Nachtab-MAX(T.Nachtbis,Z16))-MAX(0,T.Nachtab-MAX(Z15,T.Nachtbis))+(Z15&gt;Z16)*(1+T.Nachtbis-T.Nachtab)+Z18-Z17+MAX(0,T.Nachtab-MAX(T.Nachtbis,Z18))-MAX(0,T.Nachtab-MAX(Z17,T.Nachtbis))+(Z17&gt;Z18)*(1+T.Nachtbis-T.Nachtab)+Z20-Z19+MAX(0,T.Nachtab-MAX(T.Nachtbis,Z20))-MAX(0,T.Nachtab-MAX(Z19,T.Nachtbis))+(Z19&gt;Z20)*(1+T.Nachtbis-T.Nachtab)+Z22-Z21+MAX(0,T.Nachtab-MAX(T.Nachtbis,Z22))-MAX(0,T.Nachtab-MAX(Z21,T.Nachtbis))+(Z21&gt;Z22)*(1+T.Nachtbis-T.Nachtab),9), IF(AND(WEEKDAY(Z$10,2)&lt;6,Z$11&lt;&gt;0),ROUND(Z36-Z35+MAX(0,T.Nachtab-MAX(T.Nachtbis,Z36))-MAX(0,T.Nachtab-MAX(Z35,T.Nachtbis))+(Z35&gt;Z36)*(1+T.Nachtbis-T.Nachtab)+Z38-Z37+MAX(0,T.Nachtab-MAX(T.Nachtbis,Z38))-MAX(0,T.Nachtab-MAX(Z37,T.Nachtbis))+(Z37&gt;Z38)*(1+T.Nachtbis-T.Nachtab)+Z40-Z39+MAX(0,T.Nachtab-MAX(T.Nachtbis,Z40))-MAX(0,T.Nachtab-MAX(Z39,T.Nachtbis))+(Z39&gt;Z40)*(1+T.Nachtbis-T.Nachtab)+Z42-Z41+MAX(0,T.Nachtab-MAX(T.Nachtbis,Z42))-MAX(0,T.Nachtab-MAX(Z41,T.Nachtbis))+(Z41&gt;Z42)*(1+T.Nachtbis-T.Nachtab)+Z44-Z43+MAX(0,T.Nachtab-MAX(T.Nachtbis,Z44))-MAX(0,T.Nachtab-MAX(Z43,T.Nachtbis))+(Z43&gt;Z44)*(1+T.Nachtbis-T.Nachtab),9),0)))</f>
        <v>0</v>
      </c>
      <c r="AA73" s="256" t="n">
        <f aca="false">IF(AA$12=0,0,IF(OR(T.50_Vetsuisse,T.ServiceCenterIrchel),ROUND(AA14-AA13+MAX(0,T.Nachtab-MAX(T.Nachtbis,AA14))-MAX(0,T.Nachtab-MAX(AA13,T.Nachtbis))+(AA13&gt;AA14)*(1+T.Nachtbis-T.Nachtab)+AA16-AA15+MAX(0,T.Nachtab-MAX(T.Nachtbis,AA16))-MAX(0,T.Nachtab-MAX(AA15,T.Nachtbis))+(AA15&gt;AA16)*(1+T.Nachtbis-T.Nachtab)+AA18-AA17+MAX(0,T.Nachtab-MAX(T.Nachtbis,AA18))-MAX(0,T.Nachtab-MAX(AA17,T.Nachtbis))+(AA17&gt;AA18)*(1+T.Nachtbis-T.Nachtab)+AA20-AA19+MAX(0,T.Nachtab-MAX(T.Nachtbis,AA20))-MAX(0,T.Nachtab-MAX(AA19,T.Nachtbis))+(AA19&gt;AA20)*(1+T.Nachtbis-T.Nachtab)+AA22-AA21+MAX(0,T.Nachtab-MAX(T.Nachtbis,AA22))-MAX(0,T.Nachtab-MAX(AA21,T.Nachtbis))+(AA21&gt;AA22)*(1+T.Nachtbis-T.Nachtab),9), IF(AND(WEEKDAY(AA$10,2)&lt;6,AA$11&lt;&gt;0),ROUND(AA36-AA35+MAX(0,T.Nachtab-MAX(T.Nachtbis,AA36))-MAX(0,T.Nachtab-MAX(AA35,T.Nachtbis))+(AA35&gt;AA36)*(1+T.Nachtbis-T.Nachtab)+AA38-AA37+MAX(0,T.Nachtab-MAX(T.Nachtbis,AA38))-MAX(0,T.Nachtab-MAX(AA37,T.Nachtbis))+(AA37&gt;AA38)*(1+T.Nachtbis-T.Nachtab)+AA40-AA39+MAX(0,T.Nachtab-MAX(T.Nachtbis,AA40))-MAX(0,T.Nachtab-MAX(AA39,T.Nachtbis))+(AA39&gt;AA40)*(1+T.Nachtbis-T.Nachtab)+AA42-AA41+MAX(0,T.Nachtab-MAX(T.Nachtbis,AA42))-MAX(0,T.Nachtab-MAX(AA41,T.Nachtbis))+(AA41&gt;AA42)*(1+T.Nachtbis-T.Nachtab)+AA44-AA43+MAX(0,T.Nachtab-MAX(T.Nachtbis,AA44))-MAX(0,T.Nachtab-MAX(AA43,T.Nachtbis))+(AA43&gt;AA44)*(1+T.Nachtbis-T.Nachtab),9),0)))</f>
        <v>0</v>
      </c>
      <c r="AB73" s="256" t="n">
        <f aca="false">IF(AB$12=0,0,IF(OR(T.50_Vetsuisse,T.ServiceCenterIrchel),ROUND(AB14-AB13+MAX(0,T.Nachtab-MAX(T.Nachtbis,AB14))-MAX(0,T.Nachtab-MAX(AB13,T.Nachtbis))+(AB13&gt;AB14)*(1+T.Nachtbis-T.Nachtab)+AB16-AB15+MAX(0,T.Nachtab-MAX(T.Nachtbis,AB16))-MAX(0,T.Nachtab-MAX(AB15,T.Nachtbis))+(AB15&gt;AB16)*(1+T.Nachtbis-T.Nachtab)+AB18-AB17+MAX(0,T.Nachtab-MAX(T.Nachtbis,AB18))-MAX(0,T.Nachtab-MAX(AB17,T.Nachtbis))+(AB17&gt;AB18)*(1+T.Nachtbis-T.Nachtab)+AB20-AB19+MAX(0,T.Nachtab-MAX(T.Nachtbis,AB20))-MAX(0,T.Nachtab-MAX(AB19,T.Nachtbis))+(AB19&gt;AB20)*(1+T.Nachtbis-T.Nachtab)+AB22-AB21+MAX(0,T.Nachtab-MAX(T.Nachtbis,AB22))-MAX(0,T.Nachtab-MAX(AB21,T.Nachtbis))+(AB21&gt;AB22)*(1+T.Nachtbis-T.Nachtab),9), IF(AND(WEEKDAY(AB$10,2)&lt;6,AB$11&lt;&gt;0),ROUND(AB36-AB35+MAX(0,T.Nachtab-MAX(T.Nachtbis,AB36))-MAX(0,T.Nachtab-MAX(AB35,T.Nachtbis))+(AB35&gt;AB36)*(1+T.Nachtbis-T.Nachtab)+AB38-AB37+MAX(0,T.Nachtab-MAX(T.Nachtbis,AB38))-MAX(0,T.Nachtab-MAX(AB37,T.Nachtbis))+(AB37&gt;AB38)*(1+T.Nachtbis-T.Nachtab)+AB40-AB39+MAX(0,T.Nachtab-MAX(T.Nachtbis,AB40))-MAX(0,T.Nachtab-MAX(AB39,T.Nachtbis))+(AB39&gt;AB40)*(1+T.Nachtbis-T.Nachtab)+AB42-AB41+MAX(0,T.Nachtab-MAX(T.Nachtbis,AB42))-MAX(0,T.Nachtab-MAX(AB41,T.Nachtbis))+(AB41&gt;AB42)*(1+T.Nachtbis-T.Nachtab)+AB44-AB43+MAX(0,T.Nachtab-MAX(T.Nachtbis,AB44))-MAX(0,T.Nachtab-MAX(AB43,T.Nachtbis))+(AB43&gt;AB44)*(1+T.Nachtbis-T.Nachtab),9),0)))</f>
        <v>0</v>
      </c>
      <c r="AC73" s="256" t="n">
        <f aca="false">IF(AC$12=0,0,IF(OR(T.50_Vetsuisse,T.ServiceCenterIrchel),ROUND(AC14-AC13+MAX(0,T.Nachtab-MAX(T.Nachtbis,AC14))-MAX(0,T.Nachtab-MAX(AC13,T.Nachtbis))+(AC13&gt;AC14)*(1+T.Nachtbis-T.Nachtab)+AC16-AC15+MAX(0,T.Nachtab-MAX(T.Nachtbis,AC16))-MAX(0,T.Nachtab-MAX(AC15,T.Nachtbis))+(AC15&gt;AC16)*(1+T.Nachtbis-T.Nachtab)+AC18-AC17+MAX(0,T.Nachtab-MAX(T.Nachtbis,AC18))-MAX(0,T.Nachtab-MAX(AC17,T.Nachtbis))+(AC17&gt;AC18)*(1+T.Nachtbis-T.Nachtab)+AC20-AC19+MAX(0,T.Nachtab-MAX(T.Nachtbis,AC20))-MAX(0,T.Nachtab-MAX(AC19,T.Nachtbis))+(AC19&gt;AC20)*(1+T.Nachtbis-T.Nachtab)+AC22-AC21+MAX(0,T.Nachtab-MAX(T.Nachtbis,AC22))-MAX(0,T.Nachtab-MAX(AC21,T.Nachtbis))+(AC21&gt;AC22)*(1+T.Nachtbis-T.Nachtab),9), IF(AND(WEEKDAY(AC$10,2)&lt;6,AC$11&lt;&gt;0),ROUND(AC36-AC35+MAX(0,T.Nachtab-MAX(T.Nachtbis,AC36))-MAX(0,T.Nachtab-MAX(AC35,T.Nachtbis))+(AC35&gt;AC36)*(1+T.Nachtbis-T.Nachtab)+AC38-AC37+MAX(0,T.Nachtab-MAX(T.Nachtbis,AC38))-MAX(0,T.Nachtab-MAX(AC37,T.Nachtbis))+(AC37&gt;AC38)*(1+T.Nachtbis-T.Nachtab)+AC40-AC39+MAX(0,T.Nachtab-MAX(T.Nachtbis,AC40))-MAX(0,T.Nachtab-MAX(AC39,T.Nachtbis))+(AC39&gt;AC40)*(1+T.Nachtbis-T.Nachtab)+AC42-AC41+MAX(0,T.Nachtab-MAX(T.Nachtbis,AC42))-MAX(0,T.Nachtab-MAX(AC41,T.Nachtbis))+(AC41&gt;AC42)*(1+T.Nachtbis-T.Nachtab)+AC44-AC43+MAX(0,T.Nachtab-MAX(T.Nachtbis,AC44))-MAX(0,T.Nachtab-MAX(AC43,T.Nachtbis))+(AC43&gt;AC44)*(1+T.Nachtbis-T.Nachtab),9),0)))</f>
        <v>0</v>
      </c>
      <c r="AD73" s="256" t="n">
        <f aca="false">IF(AD$12=0,0,IF(OR(T.50_Vetsuisse,T.ServiceCenterIrchel),ROUND(AD14-AD13+MAX(0,T.Nachtab-MAX(T.Nachtbis,AD14))-MAX(0,T.Nachtab-MAX(AD13,T.Nachtbis))+(AD13&gt;AD14)*(1+T.Nachtbis-T.Nachtab)+AD16-AD15+MAX(0,T.Nachtab-MAX(T.Nachtbis,AD16))-MAX(0,T.Nachtab-MAX(AD15,T.Nachtbis))+(AD15&gt;AD16)*(1+T.Nachtbis-T.Nachtab)+AD18-AD17+MAX(0,T.Nachtab-MAX(T.Nachtbis,AD18))-MAX(0,T.Nachtab-MAX(AD17,T.Nachtbis))+(AD17&gt;AD18)*(1+T.Nachtbis-T.Nachtab)+AD20-AD19+MAX(0,T.Nachtab-MAX(T.Nachtbis,AD20))-MAX(0,T.Nachtab-MAX(AD19,T.Nachtbis))+(AD19&gt;AD20)*(1+T.Nachtbis-T.Nachtab)+AD22-AD21+MAX(0,T.Nachtab-MAX(T.Nachtbis,AD22))-MAX(0,T.Nachtab-MAX(AD21,T.Nachtbis))+(AD21&gt;AD22)*(1+T.Nachtbis-T.Nachtab),9), IF(AND(WEEKDAY(AD$10,2)&lt;6,AD$11&lt;&gt;0),ROUND(AD36-AD35+MAX(0,T.Nachtab-MAX(T.Nachtbis,AD36))-MAX(0,T.Nachtab-MAX(AD35,T.Nachtbis))+(AD35&gt;AD36)*(1+T.Nachtbis-T.Nachtab)+AD38-AD37+MAX(0,T.Nachtab-MAX(T.Nachtbis,AD38))-MAX(0,T.Nachtab-MAX(AD37,T.Nachtbis))+(AD37&gt;AD38)*(1+T.Nachtbis-T.Nachtab)+AD40-AD39+MAX(0,T.Nachtab-MAX(T.Nachtbis,AD40))-MAX(0,T.Nachtab-MAX(AD39,T.Nachtbis))+(AD39&gt;AD40)*(1+T.Nachtbis-T.Nachtab)+AD42-AD41+MAX(0,T.Nachtab-MAX(T.Nachtbis,AD42))-MAX(0,T.Nachtab-MAX(AD41,T.Nachtbis))+(AD41&gt;AD42)*(1+T.Nachtbis-T.Nachtab)+AD44-AD43+MAX(0,T.Nachtab-MAX(T.Nachtbis,AD44))-MAX(0,T.Nachtab-MAX(AD43,T.Nachtbis))+(AD43&gt;AD44)*(1+T.Nachtbis-T.Nachtab),9),0)))</f>
        <v>0</v>
      </c>
      <c r="AE73" s="256" t="n">
        <f aca="false">IF(AE$12=0,0,IF(OR(T.50_Vetsuisse,T.ServiceCenterIrchel),ROUND(AE14-AE13+MAX(0,T.Nachtab-MAX(T.Nachtbis,AE14))-MAX(0,T.Nachtab-MAX(AE13,T.Nachtbis))+(AE13&gt;AE14)*(1+T.Nachtbis-T.Nachtab)+AE16-AE15+MAX(0,T.Nachtab-MAX(T.Nachtbis,AE16))-MAX(0,T.Nachtab-MAX(AE15,T.Nachtbis))+(AE15&gt;AE16)*(1+T.Nachtbis-T.Nachtab)+AE18-AE17+MAX(0,T.Nachtab-MAX(T.Nachtbis,AE18))-MAX(0,T.Nachtab-MAX(AE17,T.Nachtbis))+(AE17&gt;AE18)*(1+T.Nachtbis-T.Nachtab)+AE20-AE19+MAX(0,T.Nachtab-MAX(T.Nachtbis,AE20))-MAX(0,T.Nachtab-MAX(AE19,T.Nachtbis))+(AE19&gt;AE20)*(1+T.Nachtbis-T.Nachtab)+AE22-AE21+MAX(0,T.Nachtab-MAX(T.Nachtbis,AE22))-MAX(0,T.Nachtab-MAX(AE21,T.Nachtbis))+(AE21&gt;AE22)*(1+T.Nachtbis-T.Nachtab),9), IF(AND(WEEKDAY(AE$10,2)&lt;6,AE$11&lt;&gt;0),ROUND(AE36-AE35+MAX(0,T.Nachtab-MAX(T.Nachtbis,AE36))-MAX(0,T.Nachtab-MAX(AE35,T.Nachtbis))+(AE35&gt;AE36)*(1+T.Nachtbis-T.Nachtab)+AE38-AE37+MAX(0,T.Nachtab-MAX(T.Nachtbis,AE38))-MAX(0,T.Nachtab-MAX(AE37,T.Nachtbis))+(AE37&gt;AE38)*(1+T.Nachtbis-T.Nachtab)+AE40-AE39+MAX(0,T.Nachtab-MAX(T.Nachtbis,AE40))-MAX(0,T.Nachtab-MAX(AE39,T.Nachtbis))+(AE39&gt;AE40)*(1+T.Nachtbis-T.Nachtab)+AE42-AE41+MAX(0,T.Nachtab-MAX(T.Nachtbis,AE42))-MAX(0,T.Nachtab-MAX(AE41,T.Nachtbis))+(AE41&gt;AE42)*(1+T.Nachtbis-T.Nachtab)+AE44-AE43+MAX(0,T.Nachtab-MAX(T.Nachtbis,AE44))-MAX(0,T.Nachtab-MAX(AE43,T.Nachtbis))+(AE43&gt;AE44)*(1+T.Nachtbis-T.Nachtab),9),0)))</f>
        <v>0</v>
      </c>
      <c r="AF73" s="256" t="n">
        <f aca="false">IF(AF$12=0,0,IF(OR(T.50_Vetsuisse,T.ServiceCenterIrchel),ROUND(AF14-AF13+MAX(0,T.Nachtab-MAX(T.Nachtbis,AF14))-MAX(0,T.Nachtab-MAX(AF13,T.Nachtbis))+(AF13&gt;AF14)*(1+T.Nachtbis-T.Nachtab)+AF16-AF15+MAX(0,T.Nachtab-MAX(T.Nachtbis,AF16))-MAX(0,T.Nachtab-MAX(AF15,T.Nachtbis))+(AF15&gt;AF16)*(1+T.Nachtbis-T.Nachtab)+AF18-AF17+MAX(0,T.Nachtab-MAX(T.Nachtbis,AF18))-MAX(0,T.Nachtab-MAX(AF17,T.Nachtbis))+(AF17&gt;AF18)*(1+T.Nachtbis-T.Nachtab)+AF20-AF19+MAX(0,T.Nachtab-MAX(T.Nachtbis,AF20))-MAX(0,T.Nachtab-MAX(AF19,T.Nachtbis))+(AF19&gt;AF20)*(1+T.Nachtbis-T.Nachtab)+AF22-AF21+MAX(0,T.Nachtab-MAX(T.Nachtbis,AF22))-MAX(0,T.Nachtab-MAX(AF21,T.Nachtbis))+(AF21&gt;AF22)*(1+T.Nachtbis-T.Nachtab),9), IF(AND(WEEKDAY(AF$10,2)&lt;6,AF$11&lt;&gt;0),ROUND(AF36-AF35+MAX(0,T.Nachtab-MAX(T.Nachtbis,AF36))-MAX(0,T.Nachtab-MAX(AF35,T.Nachtbis))+(AF35&gt;AF36)*(1+T.Nachtbis-T.Nachtab)+AF38-AF37+MAX(0,T.Nachtab-MAX(T.Nachtbis,AF38))-MAX(0,T.Nachtab-MAX(AF37,T.Nachtbis))+(AF37&gt;AF38)*(1+T.Nachtbis-T.Nachtab)+AF40-AF39+MAX(0,T.Nachtab-MAX(T.Nachtbis,AF40))-MAX(0,T.Nachtab-MAX(AF39,T.Nachtbis))+(AF39&gt;AF40)*(1+T.Nachtbis-T.Nachtab)+AF42-AF41+MAX(0,T.Nachtab-MAX(T.Nachtbis,AF42))-MAX(0,T.Nachtab-MAX(AF41,T.Nachtbis))+(AF41&gt;AF42)*(1+T.Nachtbis-T.Nachtab)+AF44-AF43+MAX(0,T.Nachtab-MAX(T.Nachtbis,AF44))-MAX(0,T.Nachtab-MAX(AF43,T.Nachtbis))+(AF43&gt;AF44)*(1+T.Nachtbis-T.Nachtab),9),0)))</f>
        <v>0</v>
      </c>
      <c r="AG73" s="168" t="str">
        <f aca="false">A73</f>
        <v>Night shift</v>
      </c>
      <c r="AH73" s="197"/>
      <c r="AI73" s="207" t="n">
        <f aca="false">SUM(B73:AF73)</f>
        <v>0</v>
      </c>
      <c r="AJ73" s="198" t="n">
        <f aca="false">IF(OR(T.50_Vetsuisse,T.ServiceCenterIrchel),AI69, IFERROR(SUMPRODUCT((B77:AF77&gt;0)*(B77:AF77&lt;&gt;"")),0))</f>
        <v>0</v>
      </c>
      <c r="AK73" s="192"/>
      <c r="AL73" s="216" t="n">
        <f aca="false">IF(EB.Anwendung&lt;&gt;"",IF(MONTH(Monat.Tag1)=1,0,IF(MONTH(Monat.Tag1)=2,January!Monat.NDUeVM,IF(MONTH(Monat.Tag1)=3,February!Monat.NDUeVM,IF(MONTH(Monat.Tag1)=4,March!Monat.NDUeVM,IF(MONTH(Monat.Tag1)=5,April!Monat.NDUeVM,IF(MONTH(Monat.Tag1)=6,May!Monat.NDUeVM,IF(MONTH(Monat.Tag1)=7,June!Monat.NDUeVM,IF(MONTH(Monat.Tag1)=8,July!Monat.NDUeVM,IF(MONTH(Monat.Tag1)=9,Monat.NDUeVM,IF(MONTH(Monat.Tag1)=10,September!Monat.NDUeVM,IF(MONTH(Monat.Tag1)=11,October!Monat.NDUeVM,IF(MONTH(Monat.Tag1)=12,November!Monat.NDUeVM,"")))))))))))),"")</f>
        <v>0</v>
      </c>
      <c r="AM73" s="172"/>
      <c r="AN73" s="217" t="n">
        <f aca="false">AI73+AL73</f>
        <v>0</v>
      </c>
      <c r="AO73" s="171"/>
      <c r="AP73" s="171"/>
      <c r="AQ73" s="39"/>
    </row>
    <row r="74" s="148" customFormat="true" ht="3.75" hidden="true" customHeight="true" outlineLevel="0" collapsed="false">
      <c r="A74" s="186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179"/>
      <c r="AG74" s="168"/>
      <c r="AH74" s="146"/>
      <c r="AI74" s="179"/>
      <c r="AJ74" s="180"/>
      <c r="AK74" s="172"/>
      <c r="AL74" s="172"/>
      <c r="AM74" s="172"/>
      <c r="AN74" s="171"/>
      <c r="AO74" s="172"/>
      <c r="AP74" s="172"/>
      <c r="AQ74" s="39"/>
    </row>
    <row r="75" s="148" customFormat="true" ht="16.5" hidden="true" customHeight="true" outlineLevel="1" collapsed="false">
      <c r="A75" s="181" t="s">
        <v>160</v>
      </c>
      <c r="B75" s="182" t="n">
        <f aca="false">IF(B73&gt;0,ROUND(B73- IF(B13&lt;T.Nachtbis,MIN(T.Nachtbis-B13,B14-B13)+IF(B15&lt;T.Nachtbis,MIN(T.Nachtbis-B15,B16-B15)+IF(B17&lt;T.Nachtbis,MIN(T.Nachtbis-B17,B18-B17)+IF(B19&lt;T.Nachtbis,MIN(T.Nachtbis-B19,B20-B19)+IF(B21&lt;T.Nachtbis,MIN(T.Nachtbis-B21,B22-B21),0),0),0),0),0),9),0)</f>
        <v>0</v>
      </c>
      <c r="C75" s="182" t="n">
        <f aca="false">IF(C73&gt;0,ROUND(C73- IF(C13&lt;T.Nachtbis,MIN(T.Nachtbis-C13,C14-C13)+IF(C15&lt;T.Nachtbis,MIN(T.Nachtbis-C15,C16-C15)+IF(C17&lt;T.Nachtbis,MIN(T.Nachtbis-C17,C18-C17)+IF(C19&lt;T.Nachtbis,MIN(T.Nachtbis-C19,C20-C19)+IF(C21&lt;T.Nachtbis,MIN(T.Nachtbis-C21,C22-C21),0),0),0),0),0),9),0)</f>
        <v>0</v>
      </c>
      <c r="D75" s="182" t="n">
        <f aca="false">IF(D73&gt;0,ROUND(D73- IF(D13&lt;T.Nachtbis,MIN(T.Nachtbis-D13,D14-D13)+IF(D15&lt;T.Nachtbis,MIN(T.Nachtbis-D15,D16-D15)+IF(D17&lt;T.Nachtbis,MIN(T.Nachtbis-D17,D18-D17)+IF(D19&lt;T.Nachtbis,MIN(T.Nachtbis-D19,D20-D19)+IF(D21&lt;T.Nachtbis,MIN(T.Nachtbis-D21,D22-D21),0),0),0),0),0),9),0)</f>
        <v>0</v>
      </c>
      <c r="E75" s="182" t="n">
        <f aca="false">IF(E73&gt;0,ROUND(E73- IF(E13&lt;T.Nachtbis,MIN(T.Nachtbis-E13,E14-E13)+IF(E15&lt;T.Nachtbis,MIN(T.Nachtbis-E15,E16-E15)+IF(E17&lt;T.Nachtbis,MIN(T.Nachtbis-E17,E18-E17)+IF(E19&lt;T.Nachtbis,MIN(T.Nachtbis-E19,E20-E19)+IF(E21&lt;T.Nachtbis,MIN(T.Nachtbis-E21,E22-E21),0),0),0),0),0),9),0)</f>
        <v>0</v>
      </c>
      <c r="F75" s="182" t="n">
        <f aca="false">IF(F73&gt;0,ROUND(F73- IF(F13&lt;T.Nachtbis,MIN(T.Nachtbis-F13,F14-F13)+IF(F15&lt;T.Nachtbis,MIN(T.Nachtbis-F15,F16-F15)+IF(F17&lt;T.Nachtbis,MIN(T.Nachtbis-F17,F18-F17)+IF(F19&lt;T.Nachtbis,MIN(T.Nachtbis-F19,F20-F19)+IF(F21&lt;T.Nachtbis,MIN(T.Nachtbis-F21,F22-F21),0),0),0),0),0),9),0)</f>
        <v>0</v>
      </c>
      <c r="G75" s="182" t="n">
        <f aca="false">IF(G73&gt;0,ROUND(G73- IF(G13&lt;T.Nachtbis,MIN(T.Nachtbis-G13,G14-G13)+IF(G15&lt;T.Nachtbis,MIN(T.Nachtbis-G15,G16-G15)+IF(G17&lt;T.Nachtbis,MIN(T.Nachtbis-G17,G18-G17)+IF(G19&lt;T.Nachtbis,MIN(T.Nachtbis-G19,G20-G19)+IF(G21&lt;T.Nachtbis,MIN(T.Nachtbis-G21,G22-G21),0),0),0),0),0),9),0)</f>
        <v>0</v>
      </c>
      <c r="H75" s="182" t="n">
        <f aca="false">IF(H73&gt;0,ROUND(H73- IF(H13&lt;T.Nachtbis,MIN(T.Nachtbis-H13,H14-H13)+IF(H15&lt;T.Nachtbis,MIN(T.Nachtbis-H15,H16-H15)+IF(H17&lt;T.Nachtbis,MIN(T.Nachtbis-H17,H18-H17)+IF(H19&lt;T.Nachtbis,MIN(T.Nachtbis-H19,H20-H19)+IF(H21&lt;T.Nachtbis,MIN(T.Nachtbis-H21,H22-H21),0),0),0),0),0),9),0)</f>
        <v>0</v>
      </c>
      <c r="I75" s="182" t="n">
        <f aca="false">IF(I73&gt;0,ROUND(I73- IF(I13&lt;T.Nachtbis,MIN(T.Nachtbis-I13,I14-I13)+IF(I15&lt;T.Nachtbis,MIN(T.Nachtbis-I15,I16-I15)+IF(I17&lt;T.Nachtbis,MIN(T.Nachtbis-I17,I18-I17)+IF(I19&lt;T.Nachtbis,MIN(T.Nachtbis-I19,I20-I19)+IF(I21&lt;T.Nachtbis,MIN(T.Nachtbis-I21,I22-I21),0),0),0),0),0),9),0)</f>
        <v>0</v>
      </c>
      <c r="J75" s="182" t="n">
        <f aca="false">IF(J73&gt;0,ROUND(J73- IF(J13&lt;T.Nachtbis,MIN(T.Nachtbis-J13,J14-J13)+IF(J15&lt;T.Nachtbis,MIN(T.Nachtbis-J15,J16-J15)+IF(J17&lt;T.Nachtbis,MIN(T.Nachtbis-J17,J18-J17)+IF(J19&lt;T.Nachtbis,MIN(T.Nachtbis-J19,J20-J19)+IF(J21&lt;T.Nachtbis,MIN(T.Nachtbis-J21,J22-J21),0),0),0),0),0),9),0)</f>
        <v>0</v>
      </c>
      <c r="K75" s="182" t="n">
        <f aca="false">IF(K73&gt;0,ROUND(K73- IF(K13&lt;T.Nachtbis,MIN(T.Nachtbis-K13,K14-K13)+IF(K15&lt;T.Nachtbis,MIN(T.Nachtbis-K15,K16-K15)+IF(K17&lt;T.Nachtbis,MIN(T.Nachtbis-K17,K18-K17)+IF(K19&lt;T.Nachtbis,MIN(T.Nachtbis-K19,K20-K19)+IF(K21&lt;T.Nachtbis,MIN(T.Nachtbis-K21,K22-K21),0),0),0),0),0),9),0)</f>
        <v>0</v>
      </c>
      <c r="L75" s="182" t="n">
        <f aca="false">IF(L73&gt;0,ROUND(L73- IF(L13&lt;T.Nachtbis,MIN(T.Nachtbis-L13,L14-L13)+IF(L15&lt;T.Nachtbis,MIN(T.Nachtbis-L15,L16-L15)+IF(L17&lt;T.Nachtbis,MIN(T.Nachtbis-L17,L18-L17)+IF(L19&lt;T.Nachtbis,MIN(T.Nachtbis-L19,L20-L19)+IF(L21&lt;T.Nachtbis,MIN(T.Nachtbis-L21,L22-L21),0),0),0),0),0),9),0)</f>
        <v>0</v>
      </c>
      <c r="M75" s="182" t="n">
        <f aca="false">IF(M73&gt;0,ROUND(M73- IF(M13&lt;T.Nachtbis,MIN(T.Nachtbis-M13,M14-M13)+IF(M15&lt;T.Nachtbis,MIN(T.Nachtbis-M15,M16-M15)+IF(M17&lt;T.Nachtbis,MIN(T.Nachtbis-M17,M18-M17)+IF(M19&lt;T.Nachtbis,MIN(T.Nachtbis-M19,M20-M19)+IF(M21&lt;T.Nachtbis,MIN(T.Nachtbis-M21,M22-M21),0),0),0),0),0),9),0)</f>
        <v>0</v>
      </c>
      <c r="N75" s="182" t="n">
        <f aca="false">IF(N73&gt;0,ROUND(N73- IF(N13&lt;T.Nachtbis,MIN(T.Nachtbis-N13,N14-N13)+IF(N15&lt;T.Nachtbis,MIN(T.Nachtbis-N15,N16-N15)+IF(N17&lt;T.Nachtbis,MIN(T.Nachtbis-N17,N18-N17)+IF(N19&lt;T.Nachtbis,MIN(T.Nachtbis-N19,N20-N19)+IF(N21&lt;T.Nachtbis,MIN(T.Nachtbis-N21,N22-N21),0),0),0),0),0),9),0)</f>
        <v>0</v>
      </c>
      <c r="O75" s="182" t="n">
        <f aca="false">IF(O73&gt;0,ROUND(O73- IF(O13&lt;T.Nachtbis,MIN(T.Nachtbis-O13,O14-O13)+IF(O15&lt;T.Nachtbis,MIN(T.Nachtbis-O15,O16-O15)+IF(O17&lt;T.Nachtbis,MIN(T.Nachtbis-O17,O18-O17)+IF(O19&lt;T.Nachtbis,MIN(T.Nachtbis-O19,O20-O19)+IF(O21&lt;T.Nachtbis,MIN(T.Nachtbis-O21,O22-O21),0),0),0),0),0),9),0)</f>
        <v>0</v>
      </c>
      <c r="P75" s="182" t="n">
        <f aca="false">IF(P73&gt;0,ROUND(P73- IF(P13&lt;T.Nachtbis,MIN(T.Nachtbis-P13,P14-P13)+IF(P15&lt;T.Nachtbis,MIN(T.Nachtbis-P15,P16-P15)+IF(P17&lt;T.Nachtbis,MIN(T.Nachtbis-P17,P18-P17)+IF(P19&lt;T.Nachtbis,MIN(T.Nachtbis-P19,P20-P19)+IF(P21&lt;T.Nachtbis,MIN(T.Nachtbis-P21,P22-P21),0),0),0),0),0),9),0)</f>
        <v>0</v>
      </c>
      <c r="Q75" s="182" t="n">
        <f aca="false">IF(Q73&gt;0,ROUND(Q73- IF(Q13&lt;T.Nachtbis,MIN(T.Nachtbis-Q13,Q14-Q13)+IF(Q15&lt;T.Nachtbis,MIN(T.Nachtbis-Q15,Q16-Q15)+IF(Q17&lt;T.Nachtbis,MIN(T.Nachtbis-Q17,Q18-Q17)+IF(Q19&lt;T.Nachtbis,MIN(T.Nachtbis-Q19,Q20-Q19)+IF(Q21&lt;T.Nachtbis,MIN(T.Nachtbis-Q21,Q22-Q21),0),0),0),0),0),9),0)</f>
        <v>0</v>
      </c>
      <c r="R75" s="182" t="n">
        <f aca="false">IF(R73&gt;0,ROUND(R73- IF(R13&lt;T.Nachtbis,MIN(T.Nachtbis-R13,R14-R13)+IF(R15&lt;T.Nachtbis,MIN(T.Nachtbis-R15,R16-R15)+IF(R17&lt;T.Nachtbis,MIN(T.Nachtbis-R17,R18-R17)+IF(R19&lt;T.Nachtbis,MIN(T.Nachtbis-R19,R20-R19)+IF(R21&lt;T.Nachtbis,MIN(T.Nachtbis-R21,R22-R21),0),0),0),0),0),9),0)</f>
        <v>0</v>
      </c>
      <c r="S75" s="182" t="n">
        <f aca="false">IF(S73&gt;0,ROUND(S73- IF(S13&lt;T.Nachtbis,MIN(T.Nachtbis-S13,S14-S13)+IF(S15&lt;T.Nachtbis,MIN(T.Nachtbis-S15,S16-S15)+IF(S17&lt;T.Nachtbis,MIN(T.Nachtbis-S17,S18-S17)+IF(S19&lt;T.Nachtbis,MIN(T.Nachtbis-S19,S20-S19)+IF(S21&lt;T.Nachtbis,MIN(T.Nachtbis-S21,S22-S21),0),0),0),0),0),9),0)</f>
        <v>0</v>
      </c>
      <c r="T75" s="182" t="n">
        <f aca="false">IF(T73&gt;0,ROUND(T73- IF(T13&lt;T.Nachtbis,MIN(T.Nachtbis-T13,T14-T13)+IF(T15&lt;T.Nachtbis,MIN(T.Nachtbis-T15,T16-T15)+IF(T17&lt;T.Nachtbis,MIN(T.Nachtbis-T17,T18-T17)+IF(T19&lt;T.Nachtbis,MIN(T.Nachtbis-T19,T20-T19)+IF(T21&lt;T.Nachtbis,MIN(T.Nachtbis-T21,T22-T21),0),0),0),0),0),9),0)</f>
        <v>0</v>
      </c>
      <c r="U75" s="182" t="n">
        <f aca="false">IF(U73&gt;0,ROUND(U73- IF(U13&lt;T.Nachtbis,MIN(T.Nachtbis-U13,U14-U13)+IF(U15&lt;T.Nachtbis,MIN(T.Nachtbis-U15,U16-U15)+IF(U17&lt;T.Nachtbis,MIN(T.Nachtbis-U17,U18-U17)+IF(U19&lt;T.Nachtbis,MIN(T.Nachtbis-U19,U20-U19)+IF(U21&lt;T.Nachtbis,MIN(T.Nachtbis-U21,U22-U21),0),0),0),0),0),9),0)</f>
        <v>0</v>
      </c>
      <c r="V75" s="182" t="n">
        <f aca="false">IF(V73&gt;0,ROUND(V73- IF(V13&lt;T.Nachtbis,MIN(T.Nachtbis-V13,V14-V13)+IF(V15&lt;T.Nachtbis,MIN(T.Nachtbis-V15,V16-V15)+IF(V17&lt;T.Nachtbis,MIN(T.Nachtbis-V17,V18-V17)+IF(V19&lt;T.Nachtbis,MIN(T.Nachtbis-V19,V20-V19)+IF(V21&lt;T.Nachtbis,MIN(T.Nachtbis-V21,V22-V21),0),0),0),0),0),9),0)</f>
        <v>0</v>
      </c>
      <c r="W75" s="182" t="n">
        <f aca="false">IF(W73&gt;0,ROUND(W73- IF(W13&lt;T.Nachtbis,MIN(T.Nachtbis-W13,W14-W13)+IF(W15&lt;T.Nachtbis,MIN(T.Nachtbis-W15,W16-W15)+IF(W17&lt;T.Nachtbis,MIN(T.Nachtbis-W17,W18-W17)+IF(W19&lt;T.Nachtbis,MIN(T.Nachtbis-W19,W20-W19)+IF(W21&lt;T.Nachtbis,MIN(T.Nachtbis-W21,W22-W21),0),0),0),0),0),9),0)</f>
        <v>0</v>
      </c>
      <c r="X75" s="182" t="n">
        <f aca="false">IF(X73&gt;0,ROUND(X73- IF(X13&lt;T.Nachtbis,MIN(T.Nachtbis-X13,X14-X13)+IF(X15&lt;T.Nachtbis,MIN(T.Nachtbis-X15,X16-X15)+IF(X17&lt;T.Nachtbis,MIN(T.Nachtbis-X17,X18-X17)+IF(X19&lt;T.Nachtbis,MIN(T.Nachtbis-X19,X20-X19)+IF(X21&lt;T.Nachtbis,MIN(T.Nachtbis-X21,X22-X21),0),0),0),0),0),9),0)</f>
        <v>0</v>
      </c>
      <c r="Y75" s="182" t="n">
        <f aca="false">IF(Y73&gt;0,ROUND(Y73- IF(Y13&lt;T.Nachtbis,MIN(T.Nachtbis-Y13,Y14-Y13)+IF(Y15&lt;T.Nachtbis,MIN(T.Nachtbis-Y15,Y16-Y15)+IF(Y17&lt;T.Nachtbis,MIN(T.Nachtbis-Y17,Y18-Y17)+IF(Y19&lt;T.Nachtbis,MIN(T.Nachtbis-Y19,Y20-Y19)+IF(Y21&lt;T.Nachtbis,MIN(T.Nachtbis-Y21,Y22-Y21),0),0),0),0),0),9),0)</f>
        <v>0</v>
      </c>
      <c r="Z75" s="182" t="n">
        <f aca="false">IF(Z73&gt;0,ROUND(Z73- IF(Z13&lt;T.Nachtbis,MIN(T.Nachtbis-Z13,Z14-Z13)+IF(Z15&lt;T.Nachtbis,MIN(T.Nachtbis-Z15,Z16-Z15)+IF(Z17&lt;T.Nachtbis,MIN(T.Nachtbis-Z17,Z18-Z17)+IF(Z19&lt;T.Nachtbis,MIN(T.Nachtbis-Z19,Z20-Z19)+IF(Z21&lt;T.Nachtbis,MIN(T.Nachtbis-Z21,Z22-Z21),0),0),0),0),0),9),0)</f>
        <v>0</v>
      </c>
      <c r="AA75" s="182" t="n">
        <f aca="false">IF(AA73&gt;0,ROUND(AA73- IF(AA13&lt;T.Nachtbis,MIN(T.Nachtbis-AA13,AA14-AA13)+IF(AA15&lt;T.Nachtbis,MIN(T.Nachtbis-AA15,AA16-AA15)+IF(AA17&lt;T.Nachtbis,MIN(T.Nachtbis-AA17,AA18-AA17)+IF(AA19&lt;T.Nachtbis,MIN(T.Nachtbis-AA19,AA20-AA19)+IF(AA21&lt;T.Nachtbis,MIN(T.Nachtbis-AA21,AA22-AA21),0),0),0),0),0),9),0)</f>
        <v>0</v>
      </c>
      <c r="AB75" s="182" t="n">
        <f aca="false">IF(AB73&gt;0,ROUND(AB73- IF(AB13&lt;T.Nachtbis,MIN(T.Nachtbis-AB13,AB14-AB13)+IF(AB15&lt;T.Nachtbis,MIN(T.Nachtbis-AB15,AB16-AB15)+IF(AB17&lt;T.Nachtbis,MIN(T.Nachtbis-AB17,AB18-AB17)+IF(AB19&lt;T.Nachtbis,MIN(T.Nachtbis-AB19,AB20-AB19)+IF(AB21&lt;T.Nachtbis,MIN(T.Nachtbis-AB21,AB22-AB21),0),0),0),0),0),9),0)</f>
        <v>0</v>
      </c>
      <c r="AC75" s="182" t="n">
        <f aca="false">IF(AC73&gt;0,ROUND(AC73- IF(AC13&lt;T.Nachtbis,MIN(T.Nachtbis-AC13,AC14-AC13)+IF(AC15&lt;T.Nachtbis,MIN(T.Nachtbis-AC15,AC16-AC15)+IF(AC17&lt;T.Nachtbis,MIN(T.Nachtbis-AC17,AC18-AC17)+IF(AC19&lt;T.Nachtbis,MIN(T.Nachtbis-AC19,AC20-AC19)+IF(AC21&lt;T.Nachtbis,MIN(T.Nachtbis-AC21,AC22-AC21),0),0),0),0),0),9),0)</f>
        <v>0</v>
      </c>
      <c r="AD75" s="182" t="n">
        <f aca="false">IF(AD73&gt;0,ROUND(AD73- IF(AD13&lt;T.Nachtbis,MIN(T.Nachtbis-AD13,AD14-AD13)+IF(AD15&lt;T.Nachtbis,MIN(T.Nachtbis-AD15,AD16-AD15)+IF(AD17&lt;T.Nachtbis,MIN(T.Nachtbis-AD17,AD18-AD17)+IF(AD19&lt;T.Nachtbis,MIN(T.Nachtbis-AD19,AD20-AD19)+IF(AD21&lt;T.Nachtbis,MIN(T.Nachtbis-AD21,AD22-AD21),0),0),0),0),0),9),0)</f>
        <v>0</v>
      </c>
      <c r="AE75" s="182" t="n">
        <f aca="false">IF(AE73&gt;0,ROUND(AE73- IF(AE13&lt;T.Nachtbis,MIN(T.Nachtbis-AE13,AE14-AE13)+IF(AE15&lt;T.Nachtbis,MIN(T.Nachtbis-AE15,AE16-AE15)+IF(AE17&lt;T.Nachtbis,MIN(T.Nachtbis-AE17,AE18-AE17)+IF(AE19&lt;T.Nachtbis,MIN(T.Nachtbis-AE19,AE20-AE19)+IF(AE21&lt;T.Nachtbis,MIN(T.Nachtbis-AE21,AE22-AE21),0),0),0),0),0),9),0)</f>
        <v>0</v>
      </c>
      <c r="AF75" s="182" t="n">
        <f aca="false">IF(AF73&gt;0,ROUND(AF73- IF(AF13&lt;T.Nachtbis,MIN(T.Nachtbis-AF13,AF14-AF13)+IF(AF15&lt;T.Nachtbis,MIN(T.Nachtbis-AF15,AF16-AF15)+IF(AF17&lt;T.Nachtbis,MIN(T.Nachtbis-AF17,AF18-AF17)+IF(AF19&lt;T.Nachtbis,MIN(T.Nachtbis-AF19,AF20-AF19)+IF(AF21&lt;T.Nachtbis,MIN(T.Nachtbis-AF21,AF22-AF21),0),0),0),0),0),9),0)</f>
        <v>0</v>
      </c>
      <c r="AG75" s="183" t="str">
        <f aca="false">A75</f>
        <v>Total NS hours today</v>
      </c>
      <c r="AH75" s="146"/>
      <c r="AI75" s="179"/>
      <c r="AJ75" s="180"/>
      <c r="AK75" s="172"/>
      <c r="AL75" s="172"/>
      <c r="AM75" s="172"/>
      <c r="AN75" s="171"/>
      <c r="AO75" s="172"/>
      <c r="AP75" s="172"/>
      <c r="AQ75" s="39"/>
    </row>
    <row r="76" s="148" customFormat="true" ht="16.5" hidden="true" customHeight="true" outlineLevel="1" collapsed="false">
      <c r="A76" s="181" t="s">
        <v>161</v>
      </c>
      <c r="B76" s="193" t="n">
        <f aca="false">B73-B75</f>
        <v>0</v>
      </c>
      <c r="C76" s="193" t="n">
        <f aca="false">C73-C75</f>
        <v>0</v>
      </c>
      <c r="D76" s="193" t="n">
        <f aca="false">D73-D75</f>
        <v>0</v>
      </c>
      <c r="E76" s="193" t="n">
        <f aca="false">E73-E75</f>
        <v>0</v>
      </c>
      <c r="F76" s="193" t="n">
        <f aca="false">F73-F75</f>
        <v>0</v>
      </c>
      <c r="G76" s="193" t="n">
        <f aca="false">G73-G75</f>
        <v>0</v>
      </c>
      <c r="H76" s="193" t="n">
        <f aca="false">H73-H75</f>
        <v>0</v>
      </c>
      <c r="I76" s="193" t="n">
        <f aca="false">I73-I75</f>
        <v>0</v>
      </c>
      <c r="J76" s="193" t="n">
        <f aca="false">J73-J75</f>
        <v>0</v>
      </c>
      <c r="K76" s="193" t="n">
        <f aca="false">K73-K75</f>
        <v>0</v>
      </c>
      <c r="L76" s="193" t="n">
        <f aca="false">L73-L75</f>
        <v>0</v>
      </c>
      <c r="M76" s="193" t="n">
        <f aca="false">M73-M75</f>
        <v>0</v>
      </c>
      <c r="N76" s="193" t="n">
        <f aca="false">N73-N75</f>
        <v>0</v>
      </c>
      <c r="O76" s="193" t="n">
        <f aca="false">O73-O75</f>
        <v>0</v>
      </c>
      <c r="P76" s="193" t="n">
        <f aca="false">P73-P75</f>
        <v>0</v>
      </c>
      <c r="Q76" s="193" t="n">
        <f aca="false">Q73-Q75</f>
        <v>0</v>
      </c>
      <c r="R76" s="193" t="n">
        <f aca="false">R73-R75</f>
        <v>0</v>
      </c>
      <c r="S76" s="193" t="n">
        <f aca="false">S73-S75</f>
        <v>0</v>
      </c>
      <c r="T76" s="193" t="n">
        <f aca="false">T73-T75</f>
        <v>0</v>
      </c>
      <c r="U76" s="193" t="n">
        <f aca="false">U73-U75</f>
        <v>0</v>
      </c>
      <c r="V76" s="193" t="n">
        <f aca="false">V73-V75</f>
        <v>0</v>
      </c>
      <c r="W76" s="193" t="n">
        <f aca="false">W73-W75</f>
        <v>0</v>
      </c>
      <c r="X76" s="193" t="n">
        <f aca="false">X73-X75</f>
        <v>0</v>
      </c>
      <c r="Y76" s="193" t="n">
        <f aca="false">Y73-Y75</f>
        <v>0</v>
      </c>
      <c r="Z76" s="193" t="n">
        <f aca="false">Z73-Z75</f>
        <v>0</v>
      </c>
      <c r="AA76" s="193" t="n">
        <f aca="false">AA73-AA75</f>
        <v>0</v>
      </c>
      <c r="AB76" s="193" t="n">
        <f aca="false">AB73-AB75</f>
        <v>0</v>
      </c>
      <c r="AC76" s="193" t="n">
        <f aca="false">AC73-AC75</f>
        <v>0</v>
      </c>
      <c r="AD76" s="193" t="n">
        <f aca="false">AD73-AD75</f>
        <v>0</v>
      </c>
      <c r="AE76" s="193" t="n">
        <f aca="false">AE73-AE75</f>
        <v>0</v>
      </c>
      <c r="AF76" s="193" t="n">
        <f aca="false">AF73-AF75</f>
        <v>0</v>
      </c>
      <c r="AG76" s="183" t="str">
        <f aca="false">A76</f>
        <v>Total NS hours yesterday</v>
      </c>
      <c r="AH76" s="146"/>
      <c r="AI76" s="179"/>
      <c r="AJ76" s="180"/>
      <c r="AK76" s="172"/>
      <c r="AL76" s="172"/>
      <c r="AM76" s="199" t="n">
        <f aca="false">IF(EB.Anwendung&lt;&gt;"",IF(MONTH(Monat.Tag1)=12,0,IF(MONTH(Monat.Tag1)=1,February!Monat.NDgesternTag1,IF(MONTH(Monat.Tag1)=2,March!Monat.NDgesternTag1,IF(MONTH(Monat.Tag1)=3,April!Monat.NDgesternTag1,IF(MONTH(Monat.Tag1)=4,May!Monat.NDgesternTag1,IF(MONTH(Monat.Tag1)=5,June!Monat.NDgesternTag1,IF(MONTH(Monat.Tag1)=6,July!Monat.NDgesternTag1,IF(MONTH(Monat.Tag1)=7,Monat.NDgesternTag1,IF(MONTH(Monat.Tag1)=8,September!Monat.NDgesternTag1,IF(MONTH(Monat.Tag1)=9,October!Monat.NDgesternTag1,IF(MONTH(Monat.Tag1)=10,November!Monat.NDgesternTag1,IF(MONTH(Monat.Tag1)=11,December!Monat.NDgesternTag1,"")))))))))))),"")</f>
        <v>0</v>
      </c>
      <c r="AN76" s="171"/>
      <c r="AO76" s="172"/>
      <c r="AP76" s="172"/>
      <c r="AQ76" s="39"/>
    </row>
    <row r="77" s="148" customFormat="true" ht="16.5" hidden="true" customHeight="true" outlineLevel="1" collapsed="false">
      <c r="A77" s="181" t="s">
        <v>162</v>
      </c>
      <c r="B77" s="182" t="n">
        <f aca="false">B75+IF(B$10=EOMONTH(B$10,0),$AM76,C76)</f>
        <v>0</v>
      </c>
      <c r="C77" s="182" t="n">
        <f aca="false">C75+IF(C$10=EOMONTH(C$10,0),$AM76,D76)</f>
        <v>0</v>
      </c>
      <c r="D77" s="182" t="n">
        <f aca="false">D75+IF(D$10=EOMONTH(D$10,0),$AM76,E76)</f>
        <v>0</v>
      </c>
      <c r="E77" s="182" t="n">
        <f aca="false">E75+IF(E$10=EOMONTH(E$10,0),$AM76,F76)</f>
        <v>0</v>
      </c>
      <c r="F77" s="182" t="n">
        <f aca="false">F75+IF(F$10=EOMONTH(F$10,0),$AM76,G76)</f>
        <v>0</v>
      </c>
      <c r="G77" s="182" t="n">
        <f aca="false">G75+IF(G$10=EOMONTH(G$10,0),$AM76,H76)</f>
        <v>0</v>
      </c>
      <c r="H77" s="182" t="n">
        <f aca="false">H75+IF(H$10=EOMONTH(H$10,0),$AM76,I76)</f>
        <v>0</v>
      </c>
      <c r="I77" s="182" t="n">
        <f aca="false">I75+IF(I$10=EOMONTH(I$10,0),$AM76,J76)</f>
        <v>0</v>
      </c>
      <c r="J77" s="182" t="n">
        <f aca="false">J75+IF(J$10=EOMONTH(J$10,0),$AM76,K76)</f>
        <v>0</v>
      </c>
      <c r="K77" s="182" t="n">
        <f aca="false">K75+IF(K$10=EOMONTH(K$10,0),$AM76,L76)</f>
        <v>0</v>
      </c>
      <c r="L77" s="182" t="n">
        <f aca="false">L75+IF(L$10=EOMONTH(L$10,0),$AM76,M76)</f>
        <v>0</v>
      </c>
      <c r="M77" s="182" t="n">
        <f aca="false">M75+IF(M$10=EOMONTH(M$10,0),$AM76,N76)</f>
        <v>0</v>
      </c>
      <c r="N77" s="182" t="n">
        <f aca="false">N75+IF(N$10=EOMONTH(N$10,0),$AM76,O76)</f>
        <v>0</v>
      </c>
      <c r="O77" s="182" t="n">
        <f aca="false">O75+IF(O$10=EOMONTH(O$10,0),$AM76,P76)</f>
        <v>0</v>
      </c>
      <c r="P77" s="182" t="n">
        <f aca="false">P75+IF(P$10=EOMONTH(P$10,0),$AM76,Q76)</f>
        <v>0</v>
      </c>
      <c r="Q77" s="182" t="n">
        <f aca="false">Q75+IF(Q$10=EOMONTH(Q$10,0),$AM76,R76)</f>
        <v>0</v>
      </c>
      <c r="R77" s="182" t="n">
        <f aca="false">R75+IF(R$10=EOMONTH(R$10,0),$AM76,S76)</f>
        <v>0</v>
      </c>
      <c r="S77" s="182" t="n">
        <f aca="false">S75+IF(S$10=EOMONTH(S$10,0),$AM76,T76)</f>
        <v>0</v>
      </c>
      <c r="T77" s="182" t="n">
        <f aca="false">T75+IF(T$10=EOMONTH(T$10,0),$AM76,U76)</f>
        <v>0</v>
      </c>
      <c r="U77" s="182" t="n">
        <f aca="false">U75+IF(U$10=EOMONTH(U$10,0),$AM76,V76)</f>
        <v>0</v>
      </c>
      <c r="V77" s="182" t="n">
        <f aca="false">V75+IF(V$10=EOMONTH(V$10,0),$AM76,W76)</f>
        <v>0</v>
      </c>
      <c r="W77" s="182" t="n">
        <f aca="false">W75+IF(W$10=EOMONTH(W$10,0),$AM76,X76)</f>
        <v>0</v>
      </c>
      <c r="X77" s="182" t="n">
        <f aca="false">X75+IF(X$10=EOMONTH(X$10,0),$AM76,Y76)</f>
        <v>0</v>
      </c>
      <c r="Y77" s="182" t="n">
        <f aca="false">Y75+IF(Y$10=EOMONTH(Y$10,0),$AM76,Z76)</f>
        <v>0</v>
      </c>
      <c r="Z77" s="182" t="n">
        <f aca="false">Z75+IF(Z$10=EOMONTH(Z$10,0),$AM76,AA76)</f>
        <v>0</v>
      </c>
      <c r="AA77" s="182" t="n">
        <f aca="false">AA75+IF(AA$10=EOMONTH(AA$10,0),$AM76,AB76)</f>
        <v>0</v>
      </c>
      <c r="AB77" s="182" t="n">
        <f aca="false">AB75+IF(AB$10=EOMONTH(AB$10,0),$AM76,AC76)</f>
        <v>0</v>
      </c>
      <c r="AC77" s="182" t="n">
        <f aca="false">AC75+IF(AC$10=EOMONTH(AC$10,0),$AM76,AD76)</f>
        <v>0</v>
      </c>
      <c r="AD77" s="182" t="n">
        <f aca="false">AD75+IF(AD$10=EOMONTH(AD$10,0),$AM76,AE76)</f>
        <v>0</v>
      </c>
      <c r="AE77" s="182" t="n">
        <f aca="false">AE75+IF(AE$10=EOMONTH(AE$10,0),$AM76,AF76)</f>
        <v>0</v>
      </c>
      <c r="AF77" s="182" t="n">
        <f aca="false">AF75+IF(AF$10=EOMONTH(AF$10,0),$AM76,AG76)</f>
        <v>0</v>
      </c>
      <c r="AG77" s="183" t="str">
        <f aca="false">A77</f>
        <v>Total NS hours</v>
      </c>
      <c r="AH77" s="184"/>
      <c r="AI77" s="185" t="n">
        <f aca="false">SUM(B77:AF77)</f>
        <v>0</v>
      </c>
      <c r="AJ77" s="180"/>
      <c r="AK77" s="172"/>
      <c r="AL77" s="172"/>
      <c r="AM77" s="172"/>
      <c r="AN77" s="171"/>
      <c r="AO77" s="172"/>
      <c r="AP77" s="172"/>
      <c r="AQ77" s="39"/>
    </row>
    <row r="78" s="148" customFormat="true" ht="3.75" hidden="true" customHeight="true" outlineLevel="0" collapsed="false">
      <c r="A78" s="186"/>
      <c r="B78" s="187"/>
      <c r="C78" s="187"/>
      <c r="D78" s="187"/>
      <c r="E78" s="187"/>
      <c r="F78" s="187"/>
      <c r="G78" s="187"/>
      <c r="H78" s="187"/>
      <c r="I78" s="187"/>
      <c r="J78" s="187"/>
      <c r="K78" s="187"/>
      <c r="L78" s="187"/>
      <c r="M78" s="187"/>
      <c r="N78" s="187"/>
      <c r="O78" s="187"/>
      <c r="P78" s="187"/>
      <c r="Q78" s="187"/>
      <c r="R78" s="187"/>
      <c r="S78" s="187"/>
      <c r="T78" s="187"/>
      <c r="U78" s="187"/>
      <c r="V78" s="187"/>
      <c r="W78" s="187"/>
      <c r="X78" s="187"/>
      <c r="Y78" s="187"/>
      <c r="Z78" s="187"/>
      <c r="AA78" s="187"/>
      <c r="AB78" s="187"/>
      <c r="AC78" s="187"/>
      <c r="AD78" s="187"/>
      <c r="AE78" s="187"/>
      <c r="AF78" s="188"/>
      <c r="AG78" s="168"/>
      <c r="AH78" s="202"/>
      <c r="AI78" s="188"/>
      <c r="AJ78" s="180"/>
      <c r="AK78" s="172"/>
      <c r="AL78" s="172"/>
      <c r="AM78" s="172"/>
      <c r="AN78" s="171"/>
      <c r="AO78" s="172"/>
      <c r="AP78" s="172"/>
      <c r="AQ78" s="39"/>
    </row>
    <row r="79" s="148" customFormat="true" ht="15" hidden="true" customHeight="true" outlineLevel="1" collapsed="false">
      <c r="A79" s="175" t="s">
        <v>84</v>
      </c>
      <c r="B79" s="256" t="n">
        <f aca="false">IF(AND(T.50_Vetsuisse,B70&gt;24),ROUND(B73*T.50_VetsuisseZZSND,9), IF(AND(T.ServiceCenterIrchel,B69&gt;0,B77&gt;=ROUND(1/24*8,9)),ROUND(B77*T.ServiceCenterIrchelZZSND,9),))</f>
        <v>0</v>
      </c>
      <c r="C79" s="256" t="n">
        <f aca="false">IF(AND(T.50_Vetsuisse,C70&gt;24),ROUND(C73*T.50_VetsuisseZZSND,9), IF(AND(T.ServiceCenterIrchel,C69&gt;0,C77&gt;=ROUND(1/24*8,9)),ROUND(C77*T.ServiceCenterIrchelZZSND,9),))</f>
        <v>0</v>
      </c>
      <c r="D79" s="256" t="n">
        <f aca="false">IF(AND(T.50_Vetsuisse,D70&gt;24),ROUND(D73*T.50_VetsuisseZZSND,9), IF(AND(T.ServiceCenterIrchel,D69&gt;0,D77&gt;=ROUND(1/24*8,9)),ROUND(D77*T.ServiceCenterIrchelZZSND,9),))</f>
        <v>0</v>
      </c>
      <c r="E79" s="256" t="n">
        <f aca="false">IF(AND(T.50_Vetsuisse,E70&gt;24),ROUND(E73*T.50_VetsuisseZZSND,9), IF(AND(T.ServiceCenterIrchel,E69&gt;0,E77&gt;=ROUND(1/24*8,9)),ROUND(E77*T.ServiceCenterIrchelZZSND,9),))</f>
        <v>0</v>
      </c>
      <c r="F79" s="256" t="n">
        <f aca="false">IF(AND(T.50_Vetsuisse,F70&gt;24),ROUND(F73*T.50_VetsuisseZZSND,9), IF(AND(T.ServiceCenterIrchel,F69&gt;0,F77&gt;=ROUND(1/24*8,9)),ROUND(F77*T.ServiceCenterIrchelZZSND,9),))</f>
        <v>0</v>
      </c>
      <c r="G79" s="256" t="n">
        <f aca="false">IF(AND(T.50_Vetsuisse,G70&gt;24),ROUND(G73*T.50_VetsuisseZZSND,9), IF(AND(T.ServiceCenterIrchel,G69&gt;0,G77&gt;=ROUND(1/24*8,9)),ROUND(G77*T.ServiceCenterIrchelZZSND,9),))</f>
        <v>0</v>
      </c>
      <c r="H79" s="256" t="n">
        <f aca="false">IF(AND(T.50_Vetsuisse,H70&gt;24),ROUND(H73*T.50_VetsuisseZZSND,9), IF(AND(T.ServiceCenterIrchel,H69&gt;0,H77&gt;=ROUND(1/24*8,9)),ROUND(H77*T.ServiceCenterIrchelZZSND,9),))</f>
        <v>0</v>
      </c>
      <c r="I79" s="256" t="n">
        <f aca="false">IF(AND(T.50_Vetsuisse,I70&gt;24),ROUND(I73*T.50_VetsuisseZZSND,9), IF(AND(T.ServiceCenterIrchel,I69&gt;0,I77&gt;=ROUND(1/24*8,9)),ROUND(I77*T.ServiceCenterIrchelZZSND,9),))</f>
        <v>0</v>
      </c>
      <c r="J79" s="256" t="n">
        <f aca="false">IF(AND(T.50_Vetsuisse,J70&gt;24),ROUND(J73*T.50_VetsuisseZZSND,9), IF(AND(T.ServiceCenterIrchel,J69&gt;0,J77&gt;=ROUND(1/24*8,9)),ROUND(J77*T.ServiceCenterIrchelZZSND,9),))</f>
        <v>0</v>
      </c>
      <c r="K79" s="256" t="n">
        <f aca="false">IF(AND(T.50_Vetsuisse,K70&gt;24),ROUND(K73*T.50_VetsuisseZZSND,9), IF(AND(T.ServiceCenterIrchel,K69&gt;0,K77&gt;=ROUND(1/24*8,9)),ROUND(K77*T.ServiceCenterIrchelZZSND,9),))</f>
        <v>0</v>
      </c>
      <c r="L79" s="256" t="n">
        <f aca="false">IF(AND(T.50_Vetsuisse,L70&gt;24),ROUND(L73*T.50_VetsuisseZZSND,9), IF(AND(T.ServiceCenterIrchel,L69&gt;0,L77&gt;=ROUND(1/24*8,9)),ROUND(L77*T.ServiceCenterIrchelZZSND,9),))</f>
        <v>0</v>
      </c>
      <c r="M79" s="256" t="n">
        <f aca="false">IF(AND(T.50_Vetsuisse,M70&gt;24),ROUND(M73*T.50_VetsuisseZZSND,9), IF(AND(T.ServiceCenterIrchel,M69&gt;0,M77&gt;=ROUND(1/24*8,9)),ROUND(M77*T.ServiceCenterIrchelZZSND,9),))</f>
        <v>0</v>
      </c>
      <c r="N79" s="256" t="n">
        <f aca="false">IF(AND(T.50_Vetsuisse,N70&gt;24),ROUND(N73*T.50_VetsuisseZZSND,9), IF(AND(T.ServiceCenterIrchel,N69&gt;0,N77&gt;=ROUND(1/24*8,9)),ROUND(N77*T.ServiceCenterIrchelZZSND,9),))</f>
        <v>0</v>
      </c>
      <c r="O79" s="256" t="n">
        <f aca="false">IF(AND(T.50_Vetsuisse,O70&gt;24),ROUND(O73*T.50_VetsuisseZZSND,9), IF(AND(T.ServiceCenterIrchel,O69&gt;0,O77&gt;=ROUND(1/24*8,9)),ROUND(O77*T.ServiceCenterIrchelZZSND,9),))</f>
        <v>0</v>
      </c>
      <c r="P79" s="256" t="n">
        <f aca="false">IF(AND(T.50_Vetsuisse,P70&gt;24),ROUND(P73*T.50_VetsuisseZZSND,9), IF(AND(T.ServiceCenterIrchel,P69&gt;0,P77&gt;=ROUND(1/24*8,9)),ROUND(P77*T.ServiceCenterIrchelZZSND,9),))</f>
        <v>0</v>
      </c>
      <c r="Q79" s="256" t="n">
        <f aca="false">IF(AND(T.50_Vetsuisse,Q70&gt;24),ROUND(Q73*T.50_VetsuisseZZSND,9), IF(AND(T.ServiceCenterIrchel,Q69&gt;0,Q77&gt;=ROUND(1/24*8,9)),ROUND(Q77*T.ServiceCenterIrchelZZSND,9),))</f>
        <v>0</v>
      </c>
      <c r="R79" s="256" t="n">
        <f aca="false">IF(AND(T.50_Vetsuisse,R70&gt;24),ROUND(R73*T.50_VetsuisseZZSND,9), IF(AND(T.ServiceCenterIrchel,R69&gt;0,R77&gt;=ROUND(1/24*8,9)),ROUND(R77*T.ServiceCenterIrchelZZSND,9),))</f>
        <v>0</v>
      </c>
      <c r="S79" s="256" t="n">
        <f aca="false">IF(AND(T.50_Vetsuisse,S70&gt;24),ROUND(S73*T.50_VetsuisseZZSND,9), IF(AND(T.ServiceCenterIrchel,S69&gt;0,S77&gt;=ROUND(1/24*8,9)),ROUND(S77*T.ServiceCenterIrchelZZSND,9),))</f>
        <v>0</v>
      </c>
      <c r="T79" s="256" t="n">
        <f aca="false">IF(AND(T.50_Vetsuisse,T70&gt;24),ROUND(T73*T.50_VetsuisseZZSND,9), IF(AND(T.ServiceCenterIrchel,T69&gt;0,T77&gt;=ROUND(1/24*8,9)),ROUND(T77*T.ServiceCenterIrchelZZSND,9),))</f>
        <v>0</v>
      </c>
      <c r="U79" s="256" t="n">
        <f aca="false">IF(AND(T.50_Vetsuisse,U70&gt;24),ROUND(U73*T.50_VetsuisseZZSND,9), IF(AND(T.ServiceCenterIrchel,U69&gt;0,U77&gt;=ROUND(1/24*8,9)),ROUND(U77*T.ServiceCenterIrchelZZSND,9),))</f>
        <v>0</v>
      </c>
      <c r="V79" s="256" t="n">
        <f aca="false">IF(AND(T.50_Vetsuisse,V70&gt;24),ROUND(V73*T.50_VetsuisseZZSND,9), IF(AND(T.ServiceCenterIrchel,V69&gt;0,V77&gt;=ROUND(1/24*8,9)),ROUND(V77*T.ServiceCenterIrchelZZSND,9),))</f>
        <v>0</v>
      </c>
      <c r="W79" s="256" t="n">
        <f aca="false">IF(AND(T.50_Vetsuisse,W70&gt;24),ROUND(W73*T.50_VetsuisseZZSND,9), IF(AND(T.ServiceCenterIrchel,W69&gt;0,W77&gt;=ROUND(1/24*8,9)),ROUND(W77*T.ServiceCenterIrchelZZSND,9),))</f>
        <v>0</v>
      </c>
      <c r="X79" s="256" t="n">
        <f aca="false">IF(AND(T.50_Vetsuisse,X70&gt;24),ROUND(X73*T.50_VetsuisseZZSND,9), IF(AND(T.ServiceCenterIrchel,X69&gt;0,X77&gt;=ROUND(1/24*8,9)),ROUND(X77*T.ServiceCenterIrchelZZSND,9),))</f>
        <v>0</v>
      </c>
      <c r="Y79" s="256" t="n">
        <f aca="false">IF(AND(T.50_Vetsuisse,Y70&gt;24),ROUND(Y73*T.50_VetsuisseZZSND,9), IF(AND(T.ServiceCenterIrchel,Y69&gt;0,Y77&gt;=ROUND(1/24*8,9)),ROUND(Y77*T.ServiceCenterIrchelZZSND,9),))</f>
        <v>0</v>
      </c>
      <c r="Z79" s="256" t="n">
        <f aca="false">IF(AND(T.50_Vetsuisse,Z70&gt;24),ROUND(Z73*T.50_VetsuisseZZSND,9), IF(AND(T.ServiceCenterIrchel,Z69&gt;0,Z77&gt;=ROUND(1/24*8,9)),ROUND(Z77*T.ServiceCenterIrchelZZSND,9),))</f>
        <v>0</v>
      </c>
      <c r="AA79" s="256" t="n">
        <f aca="false">IF(AND(T.50_Vetsuisse,AA70&gt;24),ROUND(AA73*T.50_VetsuisseZZSND,9), IF(AND(T.ServiceCenterIrchel,AA69&gt;0,AA77&gt;=ROUND(1/24*8,9)),ROUND(AA77*T.ServiceCenterIrchelZZSND,9),))</f>
        <v>0</v>
      </c>
      <c r="AB79" s="256" t="n">
        <f aca="false">IF(AND(T.50_Vetsuisse,AB70&gt;24),ROUND(AB73*T.50_VetsuisseZZSND,9), IF(AND(T.ServiceCenterIrchel,AB69&gt;0,AB77&gt;=ROUND(1/24*8,9)),ROUND(AB77*T.ServiceCenterIrchelZZSND,9),))</f>
        <v>0</v>
      </c>
      <c r="AC79" s="256" t="n">
        <f aca="false">IF(AND(T.50_Vetsuisse,AC70&gt;24),ROUND(AC73*T.50_VetsuisseZZSND,9), IF(AND(T.ServiceCenterIrchel,AC69&gt;0,AC77&gt;=ROUND(1/24*8,9)),ROUND(AC77*T.ServiceCenterIrchelZZSND,9),))</f>
        <v>0</v>
      </c>
      <c r="AD79" s="256" t="n">
        <f aca="false">IF(AND(T.50_Vetsuisse,AD70&gt;24),ROUND(AD73*T.50_VetsuisseZZSND,9), IF(AND(T.ServiceCenterIrchel,AD69&gt;0,AD77&gt;=ROUND(1/24*8,9)),ROUND(AD77*T.ServiceCenterIrchelZZSND,9),))</f>
        <v>0</v>
      </c>
      <c r="AE79" s="256" t="n">
        <f aca="false">IF(AND(T.50_Vetsuisse,AE70&gt;24),ROUND(AE73*T.50_VetsuisseZZSND,9), IF(AND(T.ServiceCenterIrchel,AE69&gt;0,AE77&gt;=ROUND(1/24*8,9)),ROUND(AE77*T.ServiceCenterIrchelZZSND,9),))</f>
        <v>0</v>
      </c>
      <c r="AF79" s="256" t="n">
        <f aca="false">IF(AND(T.50_Vetsuisse,AF70&gt;24),ROUND(AF73*T.50_VetsuisseZZSND,9), IF(AND(T.ServiceCenterIrchel,AF69&gt;0,AF77&gt;=ROUND(1/24*8,9)),ROUND(AF77*T.ServiceCenterIrchelZZSND,9),))</f>
        <v>0</v>
      </c>
      <c r="AG79" s="168" t="str">
        <f aca="false">A79</f>
        <v>Time supplement night shift</v>
      </c>
      <c r="AH79" s="250"/>
      <c r="AI79" s="207" t="n">
        <f aca="false">SUM(B79:AF79)</f>
        <v>0</v>
      </c>
      <c r="AJ79" s="33"/>
      <c r="AK79" s="192"/>
      <c r="AL79" s="216" t="n">
        <f aca="false">IF(EB.Anwendung&lt;&gt;"",IF(MONTH(Monat.Tag1)=1,EB.ZZNd,IF(MONTH(Monat.Tag1)=2,January!Monat.ZZNdUe,IF(MONTH(Monat.Tag1)=3,February!Monat.ZZNdUe,IF(MONTH(Monat.Tag1)=4,March!Monat.ZZNdUe,IF(MONTH(Monat.Tag1)=5,April!Monat.ZZNdUe,IF(MONTH(Monat.Tag1)=6,May!Monat.ZZNdUe,IF(MONTH(Monat.Tag1)=7,June!Monat.ZZNdUe,IF(MONTH(Monat.Tag1)=8,July!Monat.ZZNdUe,IF(MONTH(Monat.Tag1)=9,Monat.ZZNdUe,IF(MONTH(Monat.Tag1)=10,September!Monat.ZZNdUe,IF(MONTH(Monat.Tag1)=11,October!Monat.ZZNdUe,IF(MONTH(Monat.Tag1)=12,November!Monat.ZZNdUe,"")))))))))))),"")</f>
        <v>0</v>
      </c>
      <c r="AM79" s="172"/>
      <c r="AN79" s="217" t="n">
        <f aca="false">AI79+AL79-AI71</f>
        <v>0</v>
      </c>
      <c r="AO79" s="217" t="n">
        <f aca="true">OFFSET(Jahr.ZZSNDSaldo,-13+MONTH(Monat.Tag1),0,1,1)</f>
        <v>0</v>
      </c>
      <c r="AP79" s="217" t="n">
        <f aca="false">Jahr.ZZSNDSaldo</f>
        <v>0</v>
      </c>
      <c r="AQ79" s="39"/>
    </row>
    <row r="80" s="148" customFormat="true" ht="15" hidden="true" customHeight="true" outlineLevel="1" collapsed="false">
      <c r="A80" s="175" t="s">
        <v>163</v>
      </c>
      <c r="B80" s="256" t="str">
        <f aca="false">IF(T.50_Vetsuisse,IF(OR(B$12=0,B$11=0,WEEKDAY(B$10,2)&gt;5),0,ROUND(MAX(0,T.Abendbis-MAX(B13,T.Abendab))-MAX(0,T.Abendbis-MAX(T.Abendab,B14))+(B13&gt;B14)*(1+T.Abendab-T.Abendbis)+MAX(0,T.Abendbis-MAX(B15,T.Abendab))-MAX(0,T.Abendbis-MAX(T.Abendab,B16))+(B15&gt;B16)*(1+T.Abendab-T.Abendbis)+MAX(0,T.Abendbis-MAX(B17,T.Abendab))-MAX(0,T.Abendbis-MAX(T.Abendab,B18))+(B17&gt;B18)*(1+T.Abendab-T.Abendbis)+MAX(0,T.Abendbis-MAX(B19,T.Abendab))-MAX(0,T.Abendbis-MAX(T.Abendab,B20))+(B19&gt;B20)*(1+T.Abendab-T.Abendbis)+MAX(0,T.Abendbis-MAX(B21,T.Abendab))-MAX(0,T.Abendbis-MAX(T.Abendab,B22))+(B21&gt;B22)*(1+T.Abendab-T.Abendbis),9)),"")</f>
        <v/>
      </c>
      <c r="C80" s="256" t="str">
        <f aca="false">IF(T.50_Vetsuisse,IF(OR(C$12=0,C$11=0,WEEKDAY(C$10,2)&gt;5),0,ROUND(MAX(0,T.Abendbis-MAX(C13,T.Abendab))-MAX(0,T.Abendbis-MAX(T.Abendab,C14))+(C13&gt;C14)*(1+T.Abendab-T.Abendbis)+MAX(0,T.Abendbis-MAX(C15,T.Abendab))-MAX(0,T.Abendbis-MAX(T.Abendab,C16))+(C15&gt;C16)*(1+T.Abendab-T.Abendbis)+MAX(0,T.Abendbis-MAX(C17,T.Abendab))-MAX(0,T.Abendbis-MAX(T.Abendab,C18))+(C17&gt;C18)*(1+T.Abendab-T.Abendbis)+MAX(0,T.Abendbis-MAX(C19,T.Abendab))-MAX(0,T.Abendbis-MAX(T.Abendab,C20))+(C19&gt;C20)*(1+T.Abendab-T.Abendbis)+MAX(0,T.Abendbis-MAX(C21,T.Abendab))-MAX(0,T.Abendbis-MAX(T.Abendab,C22))+(C21&gt;C22)*(1+T.Abendab-T.Abendbis),9)),"")</f>
        <v/>
      </c>
      <c r="D80" s="256" t="str">
        <f aca="false">IF(T.50_Vetsuisse,IF(OR(D$12=0,D$11=0,WEEKDAY(D$10,2)&gt;5),0,ROUND(MAX(0,T.Abendbis-MAX(D13,T.Abendab))-MAX(0,T.Abendbis-MAX(T.Abendab,D14))+(D13&gt;D14)*(1+T.Abendab-T.Abendbis)+MAX(0,T.Abendbis-MAX(D15,T.Abendab))-MAX(0,T.Abendbis-MAX(T.Abendab,D16))+(D15&gt;D16)*(1+T.Abendab-T.Abendbis)+MAX(0,T.Abendbis-MAX(D17,T.Abendab))-MAX(0,T.Abendbis-MAX(T.Abendab,D18))+(D17&gt;D18)*(1+T.Abendab-T.Abendbis)+MAX(0,T.Abendbis-MAX(D19,T.Abendab))-MAX(0,T.Abendbis-MAX(T.Abendab,D20))+(D19&gt;D20)*(1+T.Abendab-T.Abendbis)+MAX(0,T.Abendbis-MAX(D21,T.Abendab))-MAX(0,T.Abendbis-MAX(T.Abendab,D22))+(D21&gt;D22)*(1+T.Abendab-T.Abendbis),9)),"")</f>
        <v/>
      </c>
      <c r="E80" s="256" t="str">
        <f aca="false">IF(T.50_Vetsuisse,IF(OR(E$12=0,E$11=0,WEEKDAY(E$10,2)&gt;5),0,ROUND(MAX(0,T.Abendbis-MAX(E13,T.Abendab))-MAX(0,T.Abendbis-MAX(T.Abendab,E14))+(E13&gt;E14)*(1+T.Abendab-T.Abendbis)+MAX(0,T.Abendbis-MAX(E15,T.Abendab))-MAX(0,T.Abendbis-MAX(T.Abendab,E16))+(E15&gt;E16)*(1+T.Abendab-T.Abendbis)+MAX(0,T.Abendbis-MAX(E17,T.Abendab))-MAX(0,T.Abendbis-MAX(T.Abendab,E18))+(E17&gt;E18)*(1+T.Abendab-T.Abendbis)+MAX(0,T.Abendbis-MAX(E19,T.Abendab))-MAX(0,T.Abendbis-MAX(T.Abendab,E20))+(E19&gt;E20)*(1+T.Abendab-T.Abendbis)+MAX(0,T.Abendbis-MAX(E21,T.Abendab))-MAX(0,T.Abendbis-MAX(T.Abendab,E22))+(E21&gt;E22)*(1+T.Abendab-T.Abendbis),9)),"")</f>
        <v/>
      </c>
      <c r="F80" s="256" t="str">
        <f aca="false">IF(T.50_Vetsuisse,IF(OR(F$12=0,F$11=0,WEEKDAY(F$10,2)&gt;5),0,ROUND(MAX(0,T.Abendbis-MAX(F13,T.Abendab))-MAX(0,T.Abendbis-MAX(T.Abendab,F14))+(F13&gt;F14)*(1+T.Abendab-T.Abendbis)+MAX(0,T.Abendbis-MAX(F15,T.Abendab))-MAX(0,T.Abendbis-MAX(T.Abendab,F16))+(F15&gt;F16)*(1+T.Abendab-T.Abendbis)+MAX(0,T.Abendbis-MAX(F17,T.Abendab))-MAX(0,T.Abendbis-MAX(T.Abendab,F18))+(F17&gt;F18)*(1+T.Abendab-T.Abendbis)+MAX(0,T.Abendbis-MAX(F19,T.Abendab))-MAX(0,T.Abendbis-MAX(T.Abendab,F20))+(F19&gt;F20)*(1+T.Abendab-T.Abendbis)+MAX(0,T.Abendbis-MAX(F21,T.Abendab))-MAX(0,T.Abendbis-MAX(T.Abendab,F22))+(F21&gt;F22)*(1+T.Abendab-T.Abendbis),9)),"")</f>
        <v/>
      </c>
      <c r="G80" s="256" t="str">
        <f aca="false">IF(T.50_Vetsuisse,IF(OR(G$12=0,G$11=0,WEEKDAY(G$10,2)&gt;5),0,ROUND(MAX(0,T.Abendbis-MAX(G13,T.Abendab))-MAX(0,T.Abendbis-MAX(T.Abendab,G14))+(G13&gt;G14)*(1+T.Abendab-T.Abendbis)+MAX(0,T.Abendbis-MAX(G15,T.Abendab))-MAX(0,T.Abendbis-MAX(T.Abendab,G16))+(G15&gt;G16)*(1+T.Abendab-T.Abendbis)+MAX(0,T.Abendbis-MAX(G17,T.Abendab))-MAX(0,T.Abendbis-MAX(T.Abendab,G18))+(G17&gt;G18)*(1+T.Abendab-T.Abendbis)+MAX(0,T.Abendbis-MAX(G19,T.Abendab))-MAX(0,T.Abendbis-MAX(T.Abendab,G20))+(G19&gt;G20)*(1+T.Abendab-T.Abendbis)+MAX(0,T.Abendbis-MAX(G21,T.Abendab))-MAX(0,T.Abendbis-MAX(T.Abendab,G22))+(G21&gt;G22)*(1+T.Abendab-T.Abendbis),9)),"")</f>
        <v/>
      </c>
      <c r="H80" s="256" t="str">
        <f aca="false">IF(T.50_Vetsuisse,IF(OR(H$12=0,H$11=0,WEEKDAY(H$10,2)&gt;5),0,ROUND(MAX(0,T.Abendbis-MAX(H13,T.Abendab))-MAX(0,T.Abendbis-MAX(T.Abendab,H14))+(H13&gt;H14)*(1+T.Abendab-T.Abendbis)+MAX(0,T.Abendbis-MAX(H15,T.Abendab))-MAX(0,T.Abendbis-MAX(T.Abendab,H16))+(H15&gt;H16)*(1+T.Abendab-T.Abendbis)+MAX(0,T.Abendbis-MAX(H17,T.Abendab))-MAX(0,T.Abendbis-MAX(T.Abendab,H18))+(H17&gt;H18)*(1+T.Abendab-T.Abendbis)+MAX(0,T.Abendbis-MAX(H19,T.Abendab))-MAX(0,T.Abendbis-MAX(T.Abendab,H20))+(H19&gt;H20)*(1+T.Abendab-T.Abendbis)+MAX(0,T.Abendbis-MAX(H21,T.Abendab))-MAX(0,T.Abendbis-MAX(T.Abendab,H22))+(H21&gt;H22)*(1+T.Abendab-T.Abendbis),9)),"")</f>
        <v/>
      </c>
      <c r="I80" s="256" t="str">
        <f aca="false">IF(T.50_Vetsuisse,IF(OR(I$12=0,I$11=0,WEEKDAY(I$10,2)&gt;5),0,ROUND(MAX(0,T.Abendbis-MAX(I13,T.Abendab))-MAX(0,T.Abendbis-MAX(T.Abendab,I14))+(I13&gt;I14)*(1+T.Abendab-T.Abendbis)+MAX(0,T.Abendbis-MAX(I15,T.Abendab))-MAX(0,T.Abendbis-MAX(T.Abendab,I16))+(I15&gt;I16)*(1+T.Abendab-T.Abendbis)+MAX(0,T.Abendbis-MAX(I17,T.Abendab))-MAX(0,T.Abendbis-MAX(T.Abendab,I18))+(I17&gt;I18)*(1+T.Abendab-T.Abendbis)+MAX(0,T.Abendbis-MAX(I19,T.Abendab))-MAX(0,T.Abendbis-MAX(T.Abendab,I20))+(I19&gt;I20)*(1+T.Abendab-T.Abendbis)+MAX(0,T.Abendbis-MAX(I21,T.Abendab))-MAX(0,T.Abendbis-MAX(T.Abendab,I22))+(I21&gt;I22)*(1+T.Abendab-T.Abendbis),9)),"")</f>
        <v/>
      </c>
      <c r="J80" s="256" t="str">
        <f aca="false">IF(T.50_Vetsuisse,IF(OR(J$12=0,J$11=0,WEEKDAY(J$10,2)&gt;5),0,ROUND(MAX(0,T.Abendbis-MAX(J13,T.Abendab))-MAX(0,T.Abendbis-MAX(T.Abendab,J14))+(J13&gt;J14)*(1+T.Abendab-T.Abendbis)+MAX(0,T.Abendbis-MAX(J15,T.Abendab))-MAX(0,T.Abendbis-MAX(T.Abendab,J16))+(J15&gt;J16)*(1+T.Abendab-T.Abendbis)+MAX(0,T.Abendbis-MAX(J17,T.Abendab))-MAX(0,T.Abendbis-MAX(T.Abendab,J18))+(J17&gt;J18)*(1+T.Abendab-T.Abendbis)+MAX(0,T.Abendbis-MAX(J19,T.Abendab))-MAX(0,T.Abendbis-MAX(T.Abendab,J20))+(J19&gt;J20)*(1+T.Abendab-T.Abendbis)+MAX(0,T.Abendbis-MAX(J21,T.Abendab))-MAX(0,T.Abendbis-MAX(T.Abendab,J22))+(J21&gt;J22)*(1+T.Abendab-T.Abendbis),9)),"")</f>
        <v/>
      </c>
      <c r="K80" s="256" t="str">
        <f aca="false">IF(T.50_Vetsuisse,IF(OR(K$12=0,K$11=0,WEEKDAY(K$10,2)&gt;5),0,ROUND(MAX(0,T.Abendbis-MAX(K13,T.Abendab))-MAX(0,T.Abendbis-MAX(T.Abendab,K14))+(K13&gt;K14)*(1+T.Abendab-T.Abendbis)+MAX(0,T.Abendbis-MAX(K15,T.Abendab))-MAX(0,T.Abendbis-MAX(T.Abendab,K16))+(K15&gt;K16)*(1+T.Abendab-T.Abendbis)+MAX(0,T.Abendbis-MAX(K17,T.Abendab))-MAX(0,T.Abendbis-MAX(T.Abendab,K18))+(K17&gt;K18)*(1+T.Abendab-T.Abendbis)+MAX(0,T.Abendbis-MAX(K19,T.Abendab))-MAX(0,T.Abendbis-MAX(T.Abendab,K20))+(K19&gt;K20)*(1+T.Abendab-T.Abendbis)+MAX(0,T.Abendbis-MAX(K21,T.Abendab))-MAX(0,T.Abendbis-MAX(T.Abendab,K22))+(K21&gt;K22)*(1+T.Abendab-T.Abendbis),9)),"")</f>
        <v/>
      </c>
      <c r="L80" s="256" t="str">
        <f aca="false">IF(T.50_Vetsuisse,IF(OR(L$12=0,L$11=0,WEEKDAY(L$10,2)&gt;5),0,ROUND(MAX(0,T.Abendbis-MAX(L13,T.Abendab))-MAX(0,T.Abendbis-MAX(T.Abendab,L14))+(L13&gt;L14)*(1+T.Abendab-T.Abendbis)+MAX(0,T.Abendbis-MAX(L15,T.Abendab))-MAX(0,T.Abendbis-MAX(T.Abendab,L16))+(L15&gt;L16)*(1+T.Abendab-T.Abendbis)+MAX(0,T.Abendbis-MAX(L17,T.Abendab))-MAX(0,T.Abendbis-MAX(T.Abendab,L18))+(L17&gt;L18)*(1+T.Abendab-T.Abendbis)+MAX(0,T.Abendbis-MAX(L19,T.Abendab))-MAX(0,T.Abendbis-MAX(T.Abendab,L20))+(L19&gt;L20)*(1+T.Abendab-T.Abendbis)+MAX(0,T.Abendbis-MAX(L21,T.Abendab))-MAX(0,T.Abendbis-MAX(T.Abendab,L22))+(L21&gt;L22)*(1+T.Abendab-T.Abendbis),9)),"")</f>
        <v/>
      </c>
      <c r="M80" s="256" t="str">
        <f aca="false">IF(T.50_Vetsuisse,IF(OR(M$12=0,M$11=0,WEEKDAY(M$10,2)&gt;5),0,ROUND(MAX(0,T.Abendbis-MAX(M13,T.Abendab))-MAX(0,T.Abendbis-MAX(T.Abendab,M14))+(M13&gt;M14)*(1+T.Abendab-T.Abendbis)+MAX(0,T.Abendbis-MAX(M15,T.Abendab))-MAX(0,T.Abendbis-MAX(T.Abendab,M16))+(M15&gt;M16)*(1+T.Abendab-T.Abendbis)+MAX(0,T.Abendbis-MAX(M17,T.Abendab))-MAX(0,T.Abendbis-MAX(T.Abendab,M18))+(M17&gt;M18)*(1+T.Abendab-T.Abendbis)+MAX(0,T.Abendbis-MAX(M19,T.Abendab))-MAX(0,T.Abendbis-MAX(T.Abendab,M20))+(M19&gt;M20)*(1+T.Abendab-T.Abendbis)+MAX(0,T.Abendbis-MAX(M21,T.Abendab))-MAX(0,T.Abendbis-MAX(T.Abendab,M22))+(M21&gt;M22)*(1+T.Abendab-T.Abendbis),9)),"")</f>
        <v/>
      </c>
      <c r="N80" s="256" t="str">
        <f aca="false">IF(T.50_Vetsuisse,IF(OR(N$12=0,N$11=0,WEEKDAY(N$10,2)&gt;5),0,ROUND(MAX(0,T.Abendbis-MAX(N13,T.Abendab))-MAX(0,T.Abendbis-MAX(T.Abendab,N14))+(N13&gt;N14)*(1+T.Abendab-T.Abendbis)+MAX(0,T.Abendbis-MAX(N15,T.Abendab))-MAX(0,T.Abendbis-MAX(T.Abendab,N16))+(N15&gt;N16)*(1+T.Abendab-T.Abendbis)+MAX(0,T.Abendbis-MAX(N17,T.Abendab))-MAX(0,T.Abendbis-MAX(T.Abendab,N18))+(N17&gt;N18)*(1+T.Abendab-T.Abendbis)+MAX(0,T.Abendbis-MAX(N19,T.Abendab))-MAX(0,T.Abendbis-MAX(T.Abendab,N20))+(N19&gt;N20)*(1+T.Abendab-T.Abendbis)+MAX(0,T.Abendbis-MAX(N21,T.Abendab))-MAX(0,T.Abendbis-MAX(T.Abendab,N22))+(N21&gt;N22)*(1+T.Abendab-T.Abendbis),9)),"")</f>
        <v/>
      </c>
      <c r="O80" s="256" t="str">
        <f aca="false">IF(T.50_Vetsuisse,IF(OR(O$12=0,O$11=0,WEEKDAY(O$10,2)&gt;5),0,ROUND(MAX(0,T.Abendbis-MAX(O13,T.Abendab))-MAX(0,T.Abendbis-MAX(T.Abendab,O14))+(O13&gt;O14)*(1+T.Abendab-T.Abendbis)+MAX(0,T.Abendbis-MAX(O15,T.Abendab))-MAX(0,T.Abendbis-MAX(T.Abendab,O16))+(O15&gt;O16)*(1+T.Abendab-T.Abendbis)+MAX(0,T.Abendbis-MAX(O17,T.Abendab))-MAX(0,T.Abendbis-MAX(T.Abendab,O18))+(O17&gt;O18)*(1+T.Abendab-T.Abendbis)+MAX(0,T.Abendbis-MAX(O19,T.Abendab))-MAX(0,T.Abendbis-MAX(T.Abendab,O20))+(O19&gt;O20)*(1+T.Abendab-T.Abendbis)+MAX(0,T.Abendbis-MAX(O21,T.Abendab))-MAX(0,T.Abendbis-MAX(T.Abendab,O22))+(O21&gt;O22)*(1+T.Abendab-T.Abendbis),9)),"")</f>
        <v/>
      </c>
      <c r="P80" s="256" t="str">
        <f aca="false">IF(T.50_Vetsuisse,IF(OR(P$12=0,P$11=0,WEEKDAY(P$10,2)&gt;5),0,ROUND(MAX(0,T.Abendbis-MAX(P13,T.Abendab))-MAX(0,T.Abendbis-MAX(T.Abendab,P14))+(P13&gt;P14)*(1+T.Abendab-T.Abendbis)+MAX(0,T.Abendbis-MAX(P15,T.Abendab))-MAX(0,T.Abendbis-MAX(T.Abendab,P16))+(P15&gt;P16)*(1+T.Abendab-T.Abendbis)+MAX(0,T.Abendbis-MAX(P17,T.Abendab))-MAX(0,T.Abendbis-MAX(T.Abendab,P18))+(P17&gt;P18)*(1+T.Abendab-T.Abendbis)+MAX(0,T.Abendbis-MAX(P19,T.Abendab))-MAX(0,T.Abendbis-MAX(T.Abendab,P20))+(P19&gt;P20)*(1+T.Abendab-T.Abendbis)+MAX(0,T.Abendbis-MAX(P21,T.Abendab))-MAX(0,T.Abendbis-MAX(T.Abendab,P22))+(P21&gt;P22)*(1+T.Abendab-T.Abendbis),9)),"")</f>
        <v/>
      </c>
      <c r="Q80" s="256" t="str">
        <f aca="false">IF(T.50_Vetsuisse,IF(OR(Q$12=0,Q$11=0,WEEKDAY(Q$10,2)&gt;5),0,ROUND(MAX(0,T.Abendbis-MAX(Q13,T.Abendab))-MAX(0,T.Abendbis-MAX(T.Abendab,Q14))+(Q13&gt;Q14)*(1+T.Abendab-T.Abendbis)+MAX(0,T.Abendbis-MAX(Q15,T.Abendab))-MAX(0,T.Abendbis-MAX(T.Abendab,Q16))+(Q15&gt;Q16)*(1+T.Abendab-T.Abendbis)+MAX(0,T.Abendbis-MAX(Q17,T.Abendab))-MAX(0,T.Abendbis-MAX(T.Abendab,Q18))+(Q17&gt;Q18)*(1+T.Abendab-T.Abendbis)+MAX(0,T.Abendbis-MAX(Q19,T.Abendab))-MAX(0,T.Abendbis-MAX(T.Abendab,Q20))+(Q19&gt;Q20)*(1+T.Abendab-T.Abendbis)+MAX(0,T.Abendbis-MAX(Q21,T.Abendab))-MAX(0,T.Abendbis-MAX(T.Abendab,Q22))+(Q21&gt;Q22)*(1+T.Abendab-T.Abendbis),9)),"")</f>
        <v/>
      </c>
      <c r="R80" s="256" t="str">
        <f aca="false">IF(T.50_Vetsuisse,IF(OR(R$12=0,R$11=0,WEEKDAY(R$10,2)&gt;5),0,ROUND(MAX(0,T.Abendbis-MAX(R13,T.Abendab))-MAX(0,T.Abendbis-MAX(T.Abendab,R14))+(R13&gt;R14)*(1+T.Abendab-T.Abendbis)+MAX(0,T.Abendbis-MAX(R15,T.Abendab))-MAX(0,T.Abendbis-MAX(T.Abendab,R16))+(R15&gt;R16)*(1+T.Abendab-T.Abendbis)+MAX(0,T.Abendbis-MAX(R17,T.Abendab))-MAX(0,T.Abendbis-MAX(T.Abendab,R18))+(R17&gt;R18)*(1+T.Abendab-T.Abendbis)+MAX(0,T.Abendbis-MAX(R19,T.Abendab))-MAX(0,T.Abendbis-MAX(T.Abendab,R20))+(R19&gt;R20)*(1+T.Abendab-T.Abendbis)+MAX(0,T.Abendbis-MAX(R21,T.Abendab))-MAX(0,T.Abendbis-MAX(T.Abendab,R22))+(R21&gt;R22)*(1+T.Abendab-T.Abendbis),9)),"")</f>
        <v/>
      </c>
      <c r="S80" s="256" t="str">
        <f aca="false">IF(T.50_Vetsuisse,IF(OR(S$12=0,S$11=0,WEEKDAY(S$10,2)&gt;5),0,ROUND(MAX(0,T.Abendbis-MAX(S13,T.Abendab))-MAX(0,T.Abendbis-MAX(T.Abendab,S14))+(S13&gt;S14)*(1+T.Abendab-T.Abendbis)+MAX(0,T.Abendbis-MAX(S15,T.Abendab))-MAX(0,T.Abendbis-MAX(T.Abendab,S16))+(S15&gt;S16)*(1+T.Abendab-T.Abendbis)+MAX(0,T.Abendbis-MAX(S17,T.Abendab))-MAX(0,T.Abendbis-MAX(T.Abendab,S18))+(S17&gt;S18)*(1+T.Abendab-T.Abendbis)+MAX(0,T.Abendbis-MAX(S19,T.Abendab))-MAX(0,T.Abendbis-MAX(T.Abendab,S20))+(S19&gt;S20)*(1+T.Abendab-T.Abendbis)+MAX(0,T.Abendbis-MAX(S21,T.Abendab))-MAX(0,T.Abendbis-MAX(T.Abendab,S22))+(S21&gt;S22)*(1+T.Abendab-T.Abendbis),9)),"")</f>
        <v/>
      </c>
      <c r="T80" s="256" t="str">
        <f aca="false">IF(T.50_Vetsuisse,IF(OR(T$12=0,T$11=0,WEEKDAY(T$10,2)&gt;5),0,ROUND(MAX(0,T.Abendbis-MAX(T13,T.Abendab))-MAX(0,T.Abendbis-MAX(T.Abendab,T14))+(T13&gt;T14)*(1+T.Abendab-T.Abendbis)+MAX(0,T.Abendbis-MAX(T15,T.Abendab))-MAX(0,T.Abendbis-MAX(T.Abendab,T16))+(T15&gt;T16)*(1+T.Abendab-T.Abendbis)+MAX(0,T.Abendbis-MAX(T17,T.Abendab))-MAX(0,T.Abendbis-MAX(T.Abendab,T18))+(T17&gt;T18)*(1+T.Abendab-T.Abendbis)+MAX(0,T.Abendbis-MAX(T19,T.Abendab))-MAX(0,T.Abendbis-MAX(T.Abendab,T20))+(T19&gt;T20)*(1+T.Abendab-T.Abendbis)+MAX(0,T.Abendbis-MAX(T21,T.Abendab))-MAX(0,T.Abendbis-MAX(T.Abendab,T22))+(T21&gt;T22)*(1+T.Abendab-T.Abendbis),9)),"")</f>
        <v/>
      </c>
      <c r="U80" s="256" t="str">
        <f aca="false">IF(T.50_Vetsuisse,IF(OR(U$12=0,U$11=0,WEEKDAY(U$10,2)&gt;5),0,ROUND(MAX(0,T.Abendbis-MAX(U13,T.Abendab))-MAX(0,T.Abendbis-MAX(T.Abendab,U14))+(U13&gt;U14)*(1+T.Abendab-T.Abendbis)+MAX(0,T.Abendbis-MAX(U15,T.Abendab))-MAX(0,T.Abendbis-MAX(T.Abendab,U16))+(U15&gt;U16)*(1+T.Abendab-T.Abendbis)+MAX(0,T.Abendbis-MAX(U17,T.Abendab))-MAX(0,T.Abendbis-MAX(T.Abendab,U18))+(U17&gt;U18)*(1+T.Abendab-T.Abendbis)+MAX(0,T.Abendbis-MAX(U19,T.Abendab))-MAX(0,T.Abendbis-MAX(T.Abendab,U20))+(U19&gt;U20)*(1+T.Abendab-T.Abendbis)+MAX(0,T.Abendbis-MAX(U21,T.Abendab))-MAX(0,T.Abendbis-MAX(T.Abendab,U22))+(U21&gt;U22)*(1+T.Abendab-T.Abendbis),9)),"")</f>
        <v/>
      </c>
      <c r="V80" s="256" t="str">
        <f aca="false">IF(T.50_Vetsuisse,IF(OR(V$12=0,V$11=0,WEEKDAY(V$10,2)&gt;5),0,ROUND(MAX(0,T.Abendbis-MAX(V13,T.Abendab))-MAX(0,T.Abendbis-MAX(T.Abendab,V14))+(V13&gt;V14)*(1+T.Abendab-T.Abendbis)+MAX(0,T.Abendbis-MAX(V15,T.Abendab))-MAX(0,T.Abendbis-MAX(T.Abendab,V16))+(V15&gt;V16)*(1+T.Abendab-T.Abendbis)+MAX(0,T.Abendbis-MAX(V17,T.Abendab))-MAX(0,T.Abendbis-MAX(T.Abendab,V18))+(V17&gt;V18)*(1+T.Abendab-T.Abendbis)+MAX(0,T.Abendbis-MAX(V19,T.Abendab))-MAX(0,T.Abendbis-MAX(T.Abendab,V20))+(V19&gt;V20)*(1+T.Abendab-T.Abendbis)+MAX(0,T.Abendbis-MAX(V21,T.Abendab))-MAX(0,T.Abendbis-MAX(T.Abendab,V22))+(V21&gt;V22)*(1+T.Abendab-T.Abendbis),9)),"")</f>
        <v/>
      </c>
      <c r="W80" s="256" t="str">
        <f aca="false">IF(T.50_Vetsuisse,IF(OR(W$12=0,W$11=0,WEEKDAY(W$10,2)&gt;5),0,ROUND(MAX(0,T.Abendbis-MAX(W13,T.Abendab))-MAX(0,T.Abendbis-MAX(T.Abendab,W14))+(W13&gt;W14)*(1+T.Abendab-T.Abendbis)+MAX(0,T.Abendbis-MAX(W15,T.Abendab))-MAX(0,T.Abendbis-MAX(T.Abendab,W16))+(W15&gt;W16)*(1+T.Abendab-T.Abendbis)+MAX(0,T.Abendbis-MAX(W17,T.Abendab))-MAX(0,T.Abendbis-MAX(T.Abendab,W18))+(W17&gt;W18)*(1+T.Abendab-T.Abendbis)+MAX(0,T.Abendbis-MAX(W19,T.Abendab))-MAX(0,T.Abendbis-MAX(T.Abendab,W20))+(W19&gt;W20)*(1+T.Abendab-T.Abendbis)+MAX(0,T.Abendbis-MAX(W21,T.Abendab))-MAX(0,T.Abendbis-MAX(T.Abendab,W22))+(W21&gt;W22)*(1+T.Abendab-T.Abendbis),9)),"")</f>
        <v/>
      </c>
      <c r="X80" s="256" t="str">
        <f aca="false">IF(T.50_Vetsuisse,IF(OR(X$12=0,X$11=0,WEEKDAY(X$10,2)&gt;5),0,ROUND(MAX(0,T.Abendbis-MAX(X13,T.Abendab))-MAX(0,T.Abendbis-MAX(T.Abendab,X14))+(X13&gt;X14)*(1+T.Abendab-T.Abendbis)+MAX(0,T.Abendbis-MAX(X15,T.Abendab))-MAX(0,T.Abendbis-MAX(T.Abendab,X16))+(X15&gt;X16)*(1+T.Abendab-T.Abendbis)+MAX(0,T.Abendbis-MAX(X17,T.Abendab))-MAX(0,T.Abendbis-MAX(T.Abendab,X18))+(X17&gt;X18)*(1+T.Abendab-T.Abendbis)+MAX(0,T.Abendbis-MAX(X19,T.Abendab))-MAX(0,T.Abendbis-MAX(T.Abendab,X20))+(X19&gt;X20)*(1+T.Abendab-T.Abendbis)+MAX(0,T.Abendbis-MAX(X21,T.Abendab))-MAX(0,T.Abendbis-MAX(T.Abendab,X22))+(X21&gt;X22)*(1+T.Abendab-T.Abendbis),9)),"")</f>
        <v/>
      </c>
      <c r="Y80" s="256" t="str">
        <f aca="false">IF(T.50_Vetsuisse,IF(OR(Y$12=0,Y$11=0,WEEKDAY(Y$10,2)&gt;5),0,ROUND(MAX(0,T.Abendbis-MAX(Y13,T.Abendab))-MAX(0,T.Abendbis-MAX(T.Abendab,Y14))+(Y13&gt;Y14)*(1+T.Abendab-T.Abendbis)+MAX(0,T.Abendbis-MAX(Y15,T.Abendab))-MAX(0,T.Abendbis-MAX(T.Abendab,Y16))+(Y15&gt;Y16)*(1+T.Abendab-T.Abendbis)+MAX(0,T.Abendbis-MAX(Y17,T.Abendab))-MAX(0,T.Abendbis-MAX(T.Abendab,Y18))+(Y17&gt;Y18)*(1+T.Abendab-T.Abendbis)+MAX(0,T.Abendbis-MAX(Y19,T.Abendab))-MAX(0,T.Abendbis-MAX(T.Abendab,Y20))+(Y19&gt;Y20)*(1+T.Abendab-T.Abendbis)+MAX(0,T.Abendbis-MAX(Y21,T.Abendab))-MAX(0,T.Abendbis-MAX(T.Abendab,Y22))+(Y21&gt;Y22)*(1+T.Abendab-T.Abendbis),9)),"")</f>
        <v/>
      </c>
      <c r="Z80" s="256" t="str">
        <f aca="false">IF(T.50_Vetsuisse,IF(OR(Z$12=0,Z$11=0,WEEKDAY(Z$10,2)&gt;5),0,ROUND(MAX(0,T.Abendbis-MAX(Z13,T.Abendab))-MAX(0,T.Abendbis-MAX(T.Abendab,Z14))+(Z13&gt;Z14)*(1+T.Abendab-T.Abendbis)+MAX(0,T.Abendbis-MAX(Z15,T.Abendab))-MAX(0,T.Abendbis-MAX(T.Abendab,Z16))+(Z15&gt;Z16)*(1+T.Abendab-T.Abendbis)+MAX(0,T.Abendbis-MAX(Z17,T.Abendab))-MAX(0,T.Abendbis-MAX(T.Abendab,Z18))+(Z17&gt;Z18)*(1+T.Abendab-T.Abendbis)+MAX(0,T.Abendbis-MAX(Z19,T.Abendab))-MAX(0,T.Abendbis-MAX(T.Abendab,Z20))+(Z19&gt;Z20)*(1+T.Abendab-T.Abendbis)+MAX(0,T.Abendbis-MAX(Z21,T.Abendab))-MAX(0,T.Abendbis-MAX(T.Abendab,Z22))+(Z21&gt;Z22)*(1+T.Abendab-T.Abendbis),9)),"")</f>
        <v/>
      </c>
      <c r="AA80" s="256" t="str">
        <f aca="false">IF(T.50_Vetsuisse,IF(OR(AA$12=0,AA$11=0,WEEKDAY(AA$10,2)&gt;5),0,ROUND(MAX(0,T.Abendbis-MAX(AA13,T.Abendab))-MAX(0,T.Abendbis-MAX(T.Abendab,AA14))+(AA13&gt;AA14)*(1+T.Abendab-T.Abendbis)+MAX(0,T.Abendbis-MAX(AA15,T.Abendab))-MAX(0,T.Abendbis-MAX(T.Abendab,AA16))+(AA15&gt;AA16)*(1+T.Abendab-T.Abendbis)+MAX(0,T.Abendbis-MAX(AA17,T.Abendab))-MAX(0,T.Abendbis-MAX(T.Abendab,AA18))+(AA17&gt;AA18)*(1+T.Abendab-T.Abendbis)+MAX(0,T.Abendbis-MAX(AA19,T.Abendab))-MAX(0,T.Abendbis-MAX(T.Abendab,AA20))+(AA19&gt;AA20)*(1+T.Abendab-T.Abendbis)+MAX(0,T.Abendbis-MAX(AA21,T.Abendab))-MAX(0,T.Abendbis-MAX(T.Abendab,AA22))+(AA21&gt;AA22)*(1+T.Abendab-T.Abendbis),9)),"")</f>
        <v/>
      </c>
      <c r="AB80" s="256" t="str">
        <f aca="false">IF(T.50_Vetsuisse,IF(OR(AB$12=0,AB$11=0,WEEKDAY(AB$10,2)&gt;5),0,ROUND(MAX(0,T.Abendbis-MAX(AB13,T.Abendab))-MAX(0,T.Abendbis-MAX(T.Abendab,AB14))+(AB13&gt;AB14)*(1+T.Abendab-T.Abendbis)+MAX(0,T.Abendbis-MAX(AB15,T.Abendab))-MAX(0,T.Abendbis-MAX(T.Abendab,AB16))+(AB15&gt;AB16)*(1+T.Abendab-T.Abendbis)+MAX(0,T.Abendbis-MAX(AB17,T.Abendab))-MAX(0,T.Abendbis-MAX(T.Abendab,AB18))+(AB17&gt;AB18)*(1+T.Abendab-T.Abendbis)+MAX(0,T.Abendbis-MAX(AB19,T.Abendab))-MAX(0,T.Abendbis-MAX(T.Abendab,AB20))+(AB19&gt;AB20)*(1+T.Abendab-T.Abendbis)+MAX(0,T.Abendbis-MAX(AB21,T.Abendab))-MAX(0,T.Abendbis-MAX(T.Abendab,AB22))+(AB21&gt;AB22)*(1+T.Abendab-T.Abendbis),9)),"")</f>
        <v/>
      </c>
      <c r="AC80" s="256" t="str">
        <f aca="false">IF(T.50_Vetsuisse,IF(OR(AC$12=0,AC$11=0,WEEKDAY(AC$10,2)&gt;5),0,ROUND(MAX(0,T.Abendbis-MAX(AC13,T.Abendab))-MAX(0,T.Abendbis-MAX(T.Abendab,AC14))+(AC13&gt;AC14)*(1+T.Abendab-T.Abendbis)+MAX(0,T.Abendbis-MAX(AC15,T.Abendab))-MAX(0,T.Abendbis-MAX(T.Abendab,AC16))+(AC15&gt;AC16)*(1+T.Abendab-T.Abendbis)+MAX(0,T.Abendbis-MAX(AC17,T.Abendab))-MAX(0,T.Abendbis-MAX(T.Abendab,AC18))+(AC17&gt;AC18)*(1+T.Abendab-T.Abendbis)+MAX(0,T.Abendbis-MAX(AC19,T.Abendab))-MAX(0,T.Abendbis-MAX(T.Abendab,AC20))+(AC19&gt;AC20)*(1+T.Abendab-T.Abendbis)+MAX(0,T.Abendbis-MAX(AC21,T.Abendab))-MAX(0,T.Abendbis-MAX(T.Abendab,AC22))+(AC21&gt;AC22)*(1+T.Abendab-T.Abendbis),9)),"")</f>
        <v/>
      </c>
      <c r="AD80" s="256" t="str">
        <f aca="false">IF(T.50_Vetsuisse,IF(OR(AD$12=0,AD$11=0,WEEKDAY(AD$10,2)&gt;5),0,ROUND(MAX(0,T.Abendbis-MAX(AD13,T.Abendab))-MAX(0,T.Abendbis-MAX(T.Abendab,AD14))+(AD13&gt;AD14)*(1+T.Abendab-T.Abendbis)+MAX(0,T.Abendbis-MAX(AD15,T.Abendab))-MAX(0,T.Abendbis-MAX(T.Abendab,AD16))+(AD15&gt;AD16)*(1+T.Abendab-T.Abendbis)+MAX(0,T.Abendbis-MAX(AD17,T.Abendab))-MAX(0,T.Abendbis-MAX(T.Abendab,AD18))+(AD17&gt;AD18)*(1+T.Abendab-T.Abendbis)+MAX(0,T.Abendbis-MAX(AD19,T.Abendab))-MAX(0,T.Abendbis-MAX(T.Abendab,AD20))+(AD19&gt;AD20)*(1+T.Abendab-T.Abendbis)+MAX(0,T.Abendbis-MAX(AD21,T.Abendab))-MAX(0,T.Abendbis-MAX(T.Abendab,AD22))+(AD21&gt;AD22)*(1+T.Abendab-T.Abendbis),9)),"")</f>
        <v/>
      </c>
      <c r="AE80" s="256" t="str">
        <f aca="false">IF(T.50_Vetsuisse,IF(OR(AE$12=0,AE$11=0,WEEKDAY(AE$10,2)&gt;5),0,ROUND(MAX(0,T.Abendbis-MAX(AE13,T.Abendab))-MAX(0,T.Abendbis-MAX(T.Abendab,AE14))+(AE13&gt;AE14)*(1+T.Abendab-T.Abendbis)+MAX(0,T.Abendbis-MAX(AE15,T.Abendab))-MAX(0,T.Abendbis-MAX(T.Abendab,AE16))+(AE15&gt;AE16)*(1+T.Abendab-T.Abendbis)+MAX(0,T.Abendbis-MAX(AE17,T.Abendab))-MAX(0,T.Abendbis-MAX(T.Abendab,AE18))+(AE17&gt;AE18)*(1+T.Abendab-T.Abendbis)+MAX(0,T.Abendbis-MAX(AE19,T.Abendab))-MAX(0,T.Abendbis-MAX(T.Abendab,AE20))+(AE19&gt;AE20)*(1+T.Abendab-T.Abendbis)+MAX(0,T.Abendbis-MAX(AE21,T.Abendab))-MAX(0,T.Abendbis-MAX(T.Abendab,AE22))+(AE21&gt;AE22)*(1+T.Abendab-T.Abendbis),9)),"")</f>
        <v/>
      </c>
      <c r="AF80" s="256" t="str">
        <f aca="false">IF(T.50_Vetsuisse,IF(OR(AF$12=0,AF$11=0,WEEKDAY(AF$10,2)&gt;5),0,ROUND(MAX(0,T.Abendbis-MAX(AF13,T.Abendab))-MAX(0,T.Abendbis-MAX(T.Abendab,AF14))+(AF13&gt;AF14)*(1+T.Abendab-T.Abendbis)+MAX(0,T.Abendbis-MAX(AF15,T.Abendab))-MAX(0,T.Abendbis-MAX(T.Abendab,AF16))+(AF15&gt;AF16)*(1+T.Abendab-T.Abendbis)+MAX(0,T.Abendbis-MAX(AF17,T.Abendab))-MAX(0,T.Abendbis-MAX(T.Abendab,AF18))+(AF17&gt;AF18)*(1+T.Abendab-T.Abendbis)+MAX(0,T.Abendbis-MAX(AF19,T.Abendab))-MAX(0,T.Abendbis-MAX(T.Abendab,AF20))+(AF19&gt;AF20)*(1+T.Abendab-T.Abendbis)+MAX(0,T.Abendbis-MAX(AF21,T.Abendab))-MAX(0,T.Abendbis-MAX(T.Abendab,AF22))+(AF21&gt;AF22)*(1+T.Abendab-T.Abendbis),9)),"")</f>
        <v/>
      </c>
      <c r="AG80" s="168" t="str">
        <f aca="false">A80</f>
        <v>Evening work</v>
      </c>
      <c r="AH80" s="250"/>
      <c r="AI80" s="207" t="n">
        <f aca="false">SUM(B80:AF80)</f>
        <v>0</v>
      </c>
      <c r="AJ80" s="33"/>
      <c r="AK80" s="192"/>
      <c r="AL80" s="216" t="n">
        <f aca="false">IF(EB.Anwendung&lt;&gt;"",IF(MONTH(Monat.Tag1)=1,0,IF(MONTH(Monat.Tag1)=2,January!Monat.AAUeVM,IF(MONTH(Monat.Tag1)=3,February!Monat.AAUeVM,IF(MONTH(Monat.Tag1)=4,March!Monat.AAUeVM,IF(MONTH(Monat.Tag1)=5,April!Monat.AAUeVM,IF(MONTH(Monat.Tag1)=6,May!Monat.AAUeVM,IF(MONTH(Monat.Tag1)=7,June!Monat.AAUeVM,IF(MONTH(Monat.Tag1)=8,July!Monat.AAUeVM,IF(MONTH(Monat.Tag1)=9,Monat.AAUeVM,IF(MONTH(Monat.Tag1)=10,September!Monat.AAUeVM,IF(MONTH(Monat.Tag1)=11,October!Monat.AAUeVM,IF(MONTH(Monat.Tag1)=12,November!Monat.AAUeVM,"")))))))))))),"")</f>
        <v>0</v>
      </c>
      <c r="AM80" s="172"/>
      <c r="AN80" s="217" t="n">
        <f aca="false">AI80+AL80</f>
        <v>0</v>
      </c>
      <c r="AO80" s="171"/>
      <c r="AP80" s="171"/>
      <c r="AQ80" s="39"/>
    </row>
    <row r="81" s="148" customFormat="true" ht="15" hidden="false" customHeight="true" outlineLevel="1" collapsed="false">
      <c r="A81" s="175" t="s">
        <v>164</v>
      </c>
      <c r="B81" s="256" t="n">
        <f aca="true">IF(EB.Wochenarbeitszeit=50/24,"",IF(B$12=0,0,IF(OR(WEEKDAY(B$10,2)&gt;5,B$11=0),IF(NOT(B$34=INDEX(T.Pikett.Bereich,1)),1,0),IF(WEEKDAY(B$10,2)&lt;6,IF(AND(OR(B$34=INDEX(T.Pikett.Bereich,2),B$34=INDEX(T.Pikett.Bereich,3)),B$11=1),8/24,0))+IF(WEEKDAY(B$10,2)&lt;6,IF(AND(OR(B$34=INDEX(T.Pikett.Bereich,2),B$34=INDEX(T.Pikett.Bereich,3)),B$11=6/8.4),10/24,0)) +IF(WEEKDAY(B$10,2)&lt;6,IF(AND(OR(B$34=INDEX(T.Pikett.Bereich,2),B$34=INDEX(T.Pikett.Bereich,3)),B$11=0.5),0.5,0)) +IF(AND(B$34=INDEX(T.Pikett.Bereich,4),B$11=6/8.4),0.75,0)+IF(AND(B$34=INDEX(T.Pikett.Bereich,4),B$11=1),16/24,0) +IF(AND(B$34=INDEX(T.Pikett.Bereich,4),B$11=0.5),20/24,0))))</f>
        <v>0</v>
      </c>
      <c r="C81" s="256" t="n">
        <f aca="true">IF(EB.Wochenarbeitszeit=50/24,"",IF(C$12=0,0,IF(OR(WEEKDAY(C$10,2)&gt;5,C$11=0),IF(NOT(C$34=INDEX(T.Pikett.Bereich,1)),1,0),IF(WEEKDAY(C$10,2)&lt;6,IF(AND(OR(C$34=INDEX(T.Pikett.Bereich,2),C$34=INDEX(T.Pikett.Bereich,3)),C$11=1),8/24,0))+IF(WEEKDAY(C$10,2)&lt;6,IF(AND(OR(C$34=INDEX(T.Pikett.Bereich,2),C$34=INDEX(T.Pikett.Bereich,3)),C$11=6/8.4),10/24,0)) +IF(WEEKDAY(C$10,2)&lt;6,IF(AND(OR(C$34=INDEX(T.Pikett.Bereich,2),C$34=INDEX(T.Pikett.Bereich,3)),C$11=0.5),0.5,0)) +IF(AND(C$34=INDEX(T.Pikett.Bereich,4),C$11=6/8.4),0.75,0)+IF(AND(C$34=INDEX(T.Pikett.Bereich,4),C$11=1),16/24,0) +IF(AND(C$34=INDEX(T.Pikett.Bereich,4),C$11=0.5),20/24,0))))</f>
        <v>0</v>
      </c>
      <c r="D81" s="256" t="n">
        <f aca="true">IF(EB.Wochenarbeitszeit=50/24,"",IF(D$12=0,0,IF(OR(WEEKDAY(D$10,2)&gt;5,D$11=0),IF(NOT(D$34=INDEX(T.Pikett.Bereich,1)),1,0),IF(WEEKDAY(D$10,2)&lt;6,IF(AND(OR(D$34=INDEX(T.Pikett.Bereich,2),D$34=INDEX(T.Pikett.Bereich,3)),D$11=1),8/24,0))+IF(WEEKDAY(D$10,2)&lt;6,IF(AND(OR(D$34=INDEX(T.Pikett.Bereich,2),D$34=INDEX(T.Pikett.Bereich,3)),D$11=6/8.4),10/24,0)) +IF(WEEKDAY(D$10,2)&lt;6,IF(AND(OR(D$34=INDEX(T.Pikett.Bereich,2),D$34=INDEX(T.Pikett.Bereich,3)),D$11=0.5),0.5,0)) +IF(AND(D$34=INDEX(T.Pikett.Bereich,4),D$11=6/8.4),0.75,0)+IF(AND(D$34=INDEX(T.Pikett.Bereich,4),D$11=1),16/24,0) +IF(AND(D$34=INDEX(T.Pikett.Bereich,4),D$11=0.5),20/24,0))))</f>
        <v>0</v>
      </c>
      <c r="E81" s="256" t="n">
        <f aca="true">IF(EB.Wochenarbeitszeit=50/24,"",IF(E$12=0,0,IF(OR(WEEKDAY(E$10,2)&gt;5,E$11=0),IF(NOT(E$34=INDEX(T.Pikett.Bereich,1)),1,0),IF(WEEKDAY(E$10,2)&lt;6,IF(AND(OR(E$34=INDEX(T.Pikett.Bereich,2),E$34=INDEX(T.Pikett.Bereich,3)),E$11=1),8/24,0))+IF(WEEKDAY(E$10,2)&lt;6,IF(AND(OR(E$34=INDEX(T.Pikett.Bereich,2),E$34=INDEX(T.Pikett.Bereich,3)),E$11=6/8.4),10/24,0)) +IF(WEEKDAY(E$10,2)&lt;6,IF(AND(OR(E$34=INDEX(T.Pikett.Bereich,2),E$34=INDEX(T.Pikett.Bereich,3)),E$11=0.5),0.5,0)) +IF(AND(E$34=INDEX(T.Pikett.Bereich,4),E$11=6/8.4),0.75,0)+IF(AND(E$34=INDEX(T.Pikett.Bereich,4),E$11=1),16/24,0) +IF(AND(E$34=INDEX(T.Pikett.Bereich,4),E$11=0.5),20/24,0))))</f>
        <v>0</v>
      </c>
      <c r="F81" s="256" t="n">
        <f aca="true">IF(EB.Wochenarbeitszeit=50/24,"",IF(F$12=0,0,IF(OR(WEEKDAY(F$10,2)&gt;5,F$11=0),IF(NOT(F$34=INDEX(T.Pikett.Bereich,1)),1,0),IF(WEEKDAY(F$10,2)&lt;6,IF(AND(OR(F$34=INDEX(T.Pikett.Bereich,2),F$34=INDEX(T.Pikett.Bereich,3)),F$11=1),8/24,0))+IF(WEEKDAY(F$10,2)&lt;6,IF(AND(OR(F$34=INDEX(T.Pikett.Bereich,2),F$34=INDEX(T.Pikett.Bereich,3)),F$11=6/8.4),10/24,0)) +IF(WEEKDAY(F$10,2)&lt;6,IF(AND(OR(F$34=INDEX(T.Pikett.Bereich,2),F$34=INDEX(T.Pikett.Bereich,3)),F$11=0.5),0.5,0)) +IF(AND(F$34=INDEX(T.Pikett.Bereich,4),F$11=6/8.4),0.75,0)+IF(AND(F$34=INDEX(T.Pikett.Bereich,4),F$11=1),16/24,0) +IF(AND(F$34=INDEX(T.Pikett.Bereich,4),F$11=0.5),20/24,0))))</f>
        <v>0</v>
      </c>
      <c r="G81" s="256" t="n">
        <f aca="true">IF(EB.Wochenarbeitszeit=50/24,"",IF(G$12=0,0,IF(OR(WEEKDAY(G$10,2)&gt;5,G$11=0),IF(NOT(G$34=INDEX(T.Pikett.Bereich,1)),1,0),IF(WEEKDAY(G$10,2)&lt;6,IF(AND(OR(G$34=INDEX(T.Pikett.Bereich,2),G$34=INDEX(T.Pikett.Bereich,3)),G$11=1),8/24,0))+IF(WEEKDAY(G$10,2)&lt;6,IF(AND(OR(G$34=INDEX(T.Pikett.Bereich,2),G$34=INDEX(T.Pikett.Bereich,3)),G$11=6/8.4),10/24,0)) +IF(WEEKDAY(G$10,2)&lt;6,IF(AND(OR(G$34=INDEX(T.Pikett.Bereich,2),G$34=INDEX(T.Pikett.Bereich,3)),G$11=0.5),0.5,0)) +IF(AND(G$34=INDEX(T.Pikett.Bereich,4),G$11=6/8.4),0.75,0)+IF(AND(G$34=INDEX(T.Pikett.Bereich,4),G$11=1),16/24,0) +IF(AND(G$34=INDEX(T.Pikett.Bereich,4),G$11=0.5),20/24,0))))</f>
        <v>0</v>
      </c>
      <c r="H81" s="256" t="n">
        <f aca="true">IF(EB.Wochenarbeitszeit=50/24,"",IF(H$12=0,0,IF(OR(WEEKDAY(H$10,2)&gt;5,H$11=0),IF(NOT(H$34=INDEX(T.Pikett.Bereich,1)),1,0),IF(WEEKDAY(H$10,2)&lt;6,IF(AND(OR(H$34=INDEX(T.Pikett.Bereich,2),H$34=INDEX(T.Pikett.Bereich,3)),H$11=1),8/24,0))+IF(WEEKDAY(H$10,2)&lt;6,IF(AND(OR(H$34=INDEX(T.Pikett.Bereich,2),H$34=INDEX(T.Pikett.Bereich,3)),H$11=6/8.4),10/24,0)) +IF(WEEKDAY(H$10,2)&lt;6,IF(AND(OR(H$34=INDEX(T.Pikett.Bereich,2),H$34=INDEX(T.Pikett.Bereich,3)),H$11=0.5),0.5,0)) +IF(AND(H$34=INDEX(T.Pikett.Bereich,4),H$11=6/8.4),0.75,0)+IF(AND(H$34=INDEX(T.Pikett.Bereich,4),H$11=1),16/24,0) +IF(AND(H$34=INDEX(T.Pikett.Bereich,4),H$11=0.5),20/24,0))))</f>
        <v>0</v>
      </c>
      <c r="I81" s="256" t="n">
        <f aca="true">IF(EB.Wochenarbeitszeit=50/24,"",IF(I$12=0,0,IF(OR(WEEKDAY(I$10,2)&gt;5,I$11=0),IF(NOT(I$34=INDEX(T.Pikett.Bereich,1)),1,0),IF(WEEKDAY(I$10,2)&lt;6,IF(AND(OR(I$34=INDEX(T.Pikett.Bereich,2),I$34=INDEX(T.Pikett.Bereich,3)),I$11=1),8/24,0))+IF(WEEKDAY(I$10,2)&lt;6,IF(AND(OR(I$34=INDEX(T.Pikett.Bereich,2),I$34=INDEX(T.Pikett.Bereich,3)),I$11=6/8.4),10/24,0)) +IF(WEEKDAY(I$10,2)&lt;6,IF(AND(OR(I$34=INDEX(T.Pikett.Bereich,2),I$34=INDEX(T.Pikett.Bereich,3)),I$11=0.5),0.5,0)) +IF(AND(I$34=INDEX(T.Pikett.Bereich,4),I$11=6/8.4),0.75,0)+IF(AND(I$34=INDEX(T.Pikett.Bereich,4),I$11=1),16/24,0) +IF(AND(I$34=INDEX(T.Pikett.Bereich,4),I$11=0.5),20/24,0))))</f>
        <v>0</v>
      </c>
      <c r="J81" s="256" t="n">
        <f aca="true">IF(EB.Wochenarbeitszeit=50/24,"",IF(J$12=0,0,IF(OR(WEEKDAY(J$10,2)&gt;5,J$11=0),IF(NOT(J$34=INDEX(T.Pikett.Bereich,1)),1,0),IF(WEEKDAY(J$10,2)&lt;6,IF(AND(OR(J$34=INDEX(T.Pikett.Bereich,2),J$34=INDEX(T.Pikett.Bereich,3)),J$11=1),8/24,0))+IF(WEEKDAY(J$10,2)&lt;6,IF(AND(OR(J$34=INDEX(T.Pikett.Bereich,2),J$34=INDEX(T.Pikett.Bereich,3)),J$11=6/8.4),10/24,0)) +IF(WEEKDAY(J$10,2)&lt;6,IF(AND(OR(J$34=INDEX(T.Pikett.Bereich,2),J$34=INDEX(T.Pikett.Bereich,3)),J$11=0.5),0.5,0)) +IF(AND(J$34=INDEX(T.Pikett.Bereich,4),J$11=6/8.4),0.75,0)+IF(AND(J$34=INDEX(T.Pikett.Bereich,4),J$11=1),16/24,0) +IF(AND(J$34=INDEX(T.Pikett.Bereich,4),J$11=0.5),20/24,0))))</f>
        <v>0</v>
      </c>
      <c r="K81" s="256" t="n">
        <f aca="true">IF(EB.Wochenarbeitszeit=50/24,"",IF(K$12=0,0,IF(OR(WEEKDAY(K$10,2)&gt;5,K$11=0),IF(NOT(K$34=INDEX(T.Pikett.Bereich,1)),1,0),IF(WEEKDAY(K$10,2)&lt;6,IF(AND(OR(K$34=INDEX(T.Pikett.Bereich,2),K$34=INDEX(T.Pikett.Bereich,3)),K$11=1),8/24,0))+IF(WEEKDAY(K$10,2)&lt;6,IF(AND(OR(K$34=INDEX(T.Pikett.Bereich,2),K$34=INDEX(T.Pikett.Bereich,3)),K$11=6/8.4),10/24,0)) +IF(WEEKDAY(K$10,2)&lt;6,IF(AND(OR(K$34=INDEX(T.Pikett.Bereich,2),K$34=INDEX(T.Pikett.Bereich,3)),K$11=0.5),0.5,0)) +IF(AND(K$34=INDEX(T.Pikett.Bereich,4),K$11=6/8.4),0.75,0)+IF(AND(K$34=INDEX(T.Pikett.Bereich,4),K$11=1),16/24,0) +IF(AND(K$34=INDEX(T.Pikett.Bereich,4),K$11=0.5),20/24,0))))</f>
        <v>0</v>
      </c>
      <c r="L81" s="256" t="n">
        <f aca="true">IF(EB.Wochenarbeitszeit=50/24,"",IF(L$12=0,0,IF(OR(WEEKDAY(L$10,2)&gt;5,L$11=0),IF(NOT(L$34=INDEX(T.Pikett.Bereich,1)),1,0),IF(WEEKDAY(L$10,2)&lt;6,IF(AND(OR(L$34=INDEX(T.Pikett.Bereich,2),L$34=INDEX(T.Pikett.Bereich,3)),L$11=1),8/24,0))+IF(WEEKDAY(L$10,2)&lt;6,IF(AND(OR(L$34=INDEX(T.Pikett.Bereich,2),L$34=INDEX(T.Pikett.Bereich,3)),L$11=6/8.4),10/24,0)) +IF(WEEKDAY(L$10,2)&lt;6,IF(AND(OR(L$34=INDEX(T.Pikett.Bereich,2),L$34=INDEX(T.Pikett.Bereich,3)),L$11=0.5),0.5,0)) +IF(AND(L$34=INDEX(T.Pikett.Bereich,4),L$11=6/8.4),0.75,0)+IF(AND(L$34=INDEX(T.Pikett.Bereich,4),L$11=1),16/24,0) +IF(AND(L$34=INDEX(T.Pikett.Bereich,4),L$11=0.5),20/24,0))))</f>
        <v>0</v>
      </c>
      <c r="M81" s="256" t="n">
        <f aca="true">IF(EB.Wochenarbeitszeit=50/24,"",IF(M$12=0,0,IF(OR(WEEKDAY(M$10,2)&gt;5,M$11=0),IF(NOT(M$34=INDEX(T.Pikett.Bereich,1)),1,0),IF(WEEKDAY(M$10,2)&lt;6,IF(AND(OR(M$34=INDEX(T.Pikett.Bereich,2),M$34=INDEX(T.Pikett.Bereich,3)),M$11=1),8/24,0))+IF(WEEKDAY(M$10,2)&lt;6,IF(AND(OR(M$34=INDEX(T.Pikett.Bereich,2),M$34=INDEX(T.Pikett.Bereich,3)),M$11=6/8.4),10/24,0)) +IF(WEEKDAY(M$10,2)&lt;6,IF(AND(OR(M$34=INDEX(T.Pikett.Bereich,2),M$34=INDEX(T.Pikett.Bereich,3)),M$11=0.5),0.5,0)) +IF(AND(M$34=INDEX(T.Pikett.Bereich,4),M$11=6/8.4),0.75,0)+IF(AND(M$34=INDEX(T.Pikett.Bereich,4),M$11=1),16/24,0) +IF(AND(M$34=INDEX(T.Pikett.Bereich,4),M$11=0.5),20/24,0))))</f>
        <v>0</v>
      </c>
      <c r="N81" s="256" t="n">
        <f aca="true">IF(EB.Wochenarbeitszeit=50/24,"",IF(N$12=0,0,IF(OR(WEEKDAY(N$10,2)&gt;5,N$11=0),IF(NOT(N$34=INDEX(T.Pikett.Bereich,1)),1,0),IF(WEEKDAY(N$10,2)&lt;6,IF(AND(OR(N$34=INDEX(T.Pikett.Bereich,2),N$34=INDEX(T.Pikett.Bereich,3)),N$11=1),8/24,0))+IF(WEEKDAY(N$10,2)&lt;6,IF(AND(OR(N$34=INDEX(T.Pikett.Bereich,2),N$34=INDEX(T.Pikett.Bereich,3)),N$11=6/8.4),10/24,0)) +IF(WEEKDAY(N$10,2)&lt;6,IF(AND(OR(N$34=INDEX(T.Pikett.Bereich,2),N$34=INDEX(T.Pikett.Bereich,3)),N$11=0.5),0.5,0)) +IF(AND(N$34=INDEX(T.Pikett.Bereich,4),N$11=6/8.4),0.75,0)+IF(AND(N$34=INDEX(T.Pikett.Bereich,4),N$11=1),16/24,0) +IF(AND(N$34=INDEX(T.Pikett.Bereich,4),N$11=0.5),20/24,0))))</f>
        <v>0</v>
      </c>
      <c r="O81" s="256" t="n">
        <f aca="true">IF(EB.Wochenarbeitszeit=50/24,"",IF(O$12=0,0,IF(OR(WEEKDAY(O$10,2)&gt;5,O$11=0),IF(NOT(O$34=INDEX(T.Pikett.Bereich,1)),1,0),IF(WEEKDAY(O$10,2)&lt;6,IF(AND(OR(O$34=INDEX(T.Pikett.Bereich,2),O$34=INDEX(T.Pikett.Bereich,3)),O$11=1),8/24,0))+IF(WEEKDAY(O$10,2)&lt;6,IF(AND(OR(O$34=INDEX(T.Pikett.Bereich,2),O$34=INDEX(T.Pikett.Bereich,3)),O$11=6/8.4),10/24,0)) +IF(WEEKDAY(O$10,2)&lt;6,IF(AND(OR(O$34=INDEX(T.Pikett.Bereich,2),O$34=INDEX(T.Pikett.Bereich,3)),O$11=0.5),0.5,0)) +IF(AND(O$34=INDEX(T.Pikett.Bereich,4),O$11=6/8.4),0.75,0)+IF(AND(O$34=INDEX(T.Pikett.Bereich,4),O$11=1),16/24,0) +IF(AND(O$34=INDEX(T.Pikett.Bereich,4),O$11=0.5),20/24,0))))</f>
        <v>0</v>
      </c>
      <c r="P81" s="256" t="n">
        <f aca="true">IF(EB.Wochenarbeitszeit=50/24,"",IF(P$12=0,0,IF(OR(WEEKDAY(P$10,2)&gt;5,P$11=0),IF(NOT(P$34=INDEX(T.Pikett.Bereich,1)),1,0),IF(WEEKDAY(P$10,2)&lt;6,IF(AND(OR(P$34=INDEX(T.Pikett.Bereich,2),P$34=INDEX(T.Pikett.Bereich,3)),P$11=1),8/24,0))+IF(WEEKDAY(P$10,2)&lt;6,IF(AND(OR(P$34=INDEX(T.Pikett.Bereich,2),P$34=INDEX(T.Pikett.Bereich,3)),P$11=6/8.4),10/24,0)) +IF(WEEKDAY(P$10,2)&lt;6,IF(AND(OR(P$34=INDEX(T.Pikett.Bereich,2),P$34=INDEX(T.Pikett.Bereich,3)),P$11=0.5),0.5,0)) +IF(AND(P$34=INDEX(T.Pikett.Bereich,4),P$11=6/8.4),0.75,0)+IF(AND(P$34=INDEX(T.Pikett.Bereich,4),P$11=1),16/24,0) +IF(AND(P$34=INDEX(T.Pikett.Bereich,4),P$11=0.5),20/24,0))))</f>
        <v>0</v>
      </c>
      <c r="Q81" s="256" t="n">
        <f aca="true">IF(EB.Wochenarbeitszeit=50/24,"",IF(Q$12=0,0,IF(OR(WEEKDAY(Q$10,2)&gt;5,Q$11=0),IF(NOT(Q$34=INDEX(T.Pikett.Bereich,1)),1,0),IF(WEEKDAY(Q$10,2)&lt;6,IF(AND(OR(Q$34=INDEX(T.Pikett.Bereich,2),Q$34=INDEX(T.Pikett.Bereich,3)),Q$11=1),8/24,0))+IF(WEEKDAY(Q$10,2)&lt;6,IF(AND(OR(Q$34=INDEX(T.Pikett.Bereich,2),Q$34=INDEX(T.Pikett.Bereich,3)),Q$11=6/8.4),10/24,0)) +IF(WEEKDAY(Q$10,2)&lt;6,IF(AND(OR(Q$34=INDEX(T.Pikett.Bereich,2),Q$34=INDEX(T.Pikett.Bereich,3)),Q$11=0.5),0.5,0)) +IF(AND(Q$34=INDEX(T.Pikett.Bereich,4),Q$11=6/8.4),0.75,0)+IF(AND(Q$34=INDEX(T.Pikett.Bereich,4),Q$11=1),16/24,0) +IF(AND(Q$34=INDEX(T.Pikett.Bereich,4),Q$11=0.5),20/24,0))))</f>
        <v>0</v>
      </c>
      <c r="R81" s="256" t="n">
        <f aca="true">IF(EB.Wochenarbeitszeit=50/24,"",IF(R$12=0,0,IF(OR(WEEKDAY(R$10,2)&gt;5,R$11=0),IF(NOT(R$34=INDEX(T.Pikett.Bereich,1)),1,0),IF(WEEKDAY(R$10,2)&lt;6,IF(AND(OR(R$34=INDEX(T.Pikett.Bereich,2),R$34=INDEX(T.Pikett.Bereich,3)),R$11=1),8/24,0))+IF(WEEKDAY(R$10,2)&lt;6,IF(AND(OR(R$34=INDEX(T.Pikett.Bereich,2),R$34=INDEX(T.Pikett.Bereich,3)),R$11=6/8.4),10/24,0)) +IF(WEEKDAY(R$10,2)&lt;6,IF(AND(OR(R$34=INDEX(T.Pikett.Bereich,2),R$34=INDEX(T.Pikett.Bereich,3)),R$11=0.5),0.5,0)) +IF(AND(R$34=INDEX(T.Pikett.Bereich,4),R$11=6/8.4),0.75,0)+IF(AND(R$34=INDEX(T.Pikett.Bereich,4),R$11=1),16/24,0) +IF(AND(R$34=INDEX(T.Pikett.Bereich,4),R$11=0.5),20/24,0))))</f>
        <v>0</v>
      </c>
      <c r="S81" s="256" t="n">
        <f aca="true">IF(EB.Wochenarbeitszeit=50/24,"",IF(S$12=0,0,IF(OR(WEEKDAY(S$10,2)&gt;5,S$11=0),IF(NOT(S$34=INDEX(T.Pikett.Bereich,1)),1,0),IF(WEEKDAY(S$10,2)&lt;6,IF(AND(OR(S$34=INDEX(T.Pikett.Bereich,2),S$34=INDEX(T.Pikett.Bereich,3)),S$11=1),8/24,0))+IF(WEEKDAY(S$10,2)&lt;6,IF(AND(OR(S$34=INDEX(T.Pikett.Bereich,2),S$34=INDEX(T.Pikett.Bereich,3)),S$11=6/8.4),10/24,0)) +IF(WEEKDAY(S$10,2)&lt;6,IF(AND(OR(S$34=INDEX(T.Pikett.Bereich,2),S$34=INDEX(T.Pikett.Bereich,3)),S$11=0.5),0.5,0)) +IF(AND(S$34=INDEX(T.Pikett.Bereich,4),S$11=6/8.4),0.75,0)+IF(AND(S$34=INDEX(T.Pikett.Bereich,4),S$11=1),16/24,0) +IF(AND(S$34=INDEX(T.Pikett.Bereich,4),S$11=0.5),20/24,0))))</f>
        <v>0</v>
      </c>
      <c r="T81" s="256" t="n">
        <f aca="true">IF(EB.Wochenarbeitszeit=50/24,"",IF(T$12=0,0,IF(OR(WEEKDAY(T$10,2)&gt;5,T$11=0),IF(NOT(T$34=INDEX(T.Pikett.Bereich,1)),1,0),IF(WEEKDAY(T$10,2)&lt;6,IF(AND(OR(T$34=INDEX(T.Pikett.Bereich,2),T$34=INDEX(T.Pikett.Bereich,3)),T$11=1),8/24,0))+IF(WEEKDAY(T$10,2)&lt;6,IF(AND(OR(T$34=INDEX(T.Pikett.Bereich,2),T$34=INDEX(T.Pikett.Bereich,3)),T$11=6/8.4),10/24,0)) +IF(WEEKDAY(T$10,2)&lt;6,IF(AND(OR(T$34=INDEX(T.Pikett.Bereich,2),T$34=INDEX(T.Pikett.Bereich,3)),T$11=0.5),0.5,0)) +IF(AND(T$34=INDEX(T.Pikett.Bereich,4),T$11=6/8.4),0.75,0)+IF(AND(T$34=INDEX(T.Pikett.Bereich,4),T$11=1),16/24,0) +IF(AND(T$34=INDEX(T.Pikett.Bereich,4),T$11=0.5),20/24,0))))</f>
        <v>0</v>
      </c>
      <c r="U81" s="256" t="n">
        <f aca="true">IF(EB.Wochenarbeitszeit=50/24,"",IF(U$12=0,0,IF(OR(WEEKDAY(U$10,2)&gt;5,U$11=0),IF(NOT(U$34=INDEX(T.Pikett.Bereich,1)),1,0),IF(WEEKDAY(U$10,2)&lt;6,IF(AND(OR(U$34=INDEX(T.Pikett.Bereich,2),U$34=INDEX(T.Pikett.Bereich,3)),U$11=1),8/24,0))+IF(WEEKDAY(U$10,2)&lt;6,IF(AND(OR(U$34=INDEX(T.Pikett.Bereich,2),U$34=INDEX(T.Pikett.Bereich,3)),U$11=6/8.4),10/24,0)) +IF(WEEKDAY(U$10,2)&lt;6,IF(AND(OR(U$34=INDEX(T.Pikett.Bereich,2),U$34=INDEX(T.Pikett.Bereich,3)),U$11=0.5),0.5,0)) +IF(AND(U$34=INDEX(T.Pikett.Bereich,4),U$11=6/8.4),0.75,0)+IF(AND(U$34=INDEX(T.Pikett.Bereich,4),U$11=1),16/24,0) +IF(AND(U$34=INDEX(T.Pikett.Bereich,4),U$11=0.5),20/24,0))))</f>
        <v>0</v>
      </c>
      <c r="V81" s="256" t="n">
        <f aca="true">IF(EB.Wochenarbeitszeit=50/24,"",IF(V$12=0,0,IF(OR(WEEKDAY(V$10,2)&gt;5,V$11=0),IF(NOT(V$34=INDEX(T.Pikett.Bereich,1)),1,0),IF(WEEKDAY(V$10,2)&lt;6,IF(AND(OR(V$34=INDEX(T.Pikett.Bereich,2),V$34=INDEX(T.Pikett.Bereich,3)),V$11=1),8/24,0))+IF(WEEKDAY(V$10,2)&lt;6,IF(AND(OR(V$34=INDEX(T.Pikett.Bereich,2),V$34=INDEX(T.Pikett.Bereich,3)),V$11=6/8.4),10/24,0)) +IF(WEEKDAY(V$10,2)&lt;6,IF(AND(OR(V$34=INDEX(T.Pikett.Bereich,2),V$34=INDEX(T.Pikett.Bereich,3)),V$11=0.5),0.5,0)) +IF(AND(V$34=INDEX(T.Pikett.Bereich,4),V$11=6/8.4),0.75,0)+IF(AND(V$34=INDEX(T.Pikett.Bereich,4),V$11=1),16/24,0) +IF(AND(V$34=INDEX(T.Pikett.Bereich,4),V$11=0.5),20/24,0))))</f>
        <v>0</v>
      </c>
      <c r="W81" s="256" t="n">
        <f aca="true">IF(EB.Wochenarbeitszeit=50/24,"",IF(W$12=0,0,IF(OR(WEEKDAY(W$10,2)&gt;5,W$11=0),IF(NOT(W$34=INDEX(T.Pikett.Bereich,1)),1,0),IF(WEEKDAY(W$10,2)&lt;6,IF(AND(OR(W$34=INDEX(T.Pikett.Bereich,2),W$34=INDEX(T.Pikett.Bereich,3)),W$11=1),8/24,0))+IF(WEEKDAY(W$10,2)&lt;6,IF(AND(OR(W$34=INDEX(T.Pikett.Bereich,2),W$34=INDEX(T.Pikett.Bereich,3)),W$11=6/8.4),10/24,0)) +IF(WEEKDAY(W$10,2)&lt;6,IF(AND(OR(W$34=INDEX(T.Pikett.Bereich,2),W$34=INDEX(T.Pikett.Bereich,3)),W$11=0.5),0.5,0)) +IF(AND(W$34=INDEX(T.Pikett.Bereich,4),W$11=6/8.4),0.75,0)+IF(AND(W$34=INDEX(T.Pikett.Bereich,4),W$11=1),16/24,0) +IF(AND(W$34=INDEX(T.Pikett.Bereich,4),W$11=0.5),20/24,0))))</f>
        <v>0</v>
      </c>
      <c r="X81" s="256" t="n">
        <f aca="true">IF(EB.Wochenarbeitszeit=50/24,"",IF(X$12=0,0,IF(OR(WEEKDAY(X$10,2)&gt;5,X$11=0),IF(NOT(X$34=INDEX(T.Pikett.Bereich,1)),1,0),IF(WEEKDAY(X$10,2)&lt;6,IF(AND(OR(X$34=INDEX(T.Pikett.Bereich,2),X$34=INDEX(T.Pikett.Bereich,3)),X$11=1),8/24,0))+IF(WEEKDAY(X$10,2)&lt;6,IF(AND(OR(X$34=INDEX(T.Pikett.Bereich,2),X$34=INDEX(T.Pikett.Bereich,3)),X$11=6/8.4),10/24,0)) +IF(WEEKDAY(X$10,2)&lt;6,IF(AND(OR(X$34=INDEX(T.Pikett.Bereich,2),X$34=INDEX(T.Pikett.Bereich,3)),X$11=0.5),0.5,0)) +IF(AND(X$34=INDEX(T.Pikett.Bereich,4),X$11=6/8.4),0.75,0)+IF(AND(X$34=INDEX(T.Pikett.Bereich,4),X$11=1),16/24,0) +IF(AND(X$34=INDEX(T.Pikett.Bereich,4),X$11=0.5),20/24,0))))</f>
        <v>0</v>
      </c>
      <c r="Y81" s="256" t="n">
        <f aca="true">IF(EB.Wochenarbeitszeit=50/24,"",IF(Y$12=0,0,IF(OR(WEEKDAY(Y$10,2)&gt;5,Y$11=0),IF(NOT(Y$34=INDEX(T.Pikett.Bereich,1)),1,0),IF(WEEKDAY(Y$10,2)&lt;6,IF(AND(OR(Y$34=INDEX(T.Pikett.Bereich,2),Y$34=INDEX(T.Pikett.Bereich,3)),Y$11=1),8/24,0))+IF(WEEKDAY(Y$10,2)&lt;6,IF(AND(OR(Y$34=INDEX(T.Pikett.Bereich,2),Y$34=INDEX(T.Pikett.Bereich,3)),Y$11=6/8.4),10/24,0)) +IF(WEEKDAY(Y$10,2)&lt;6,IF(AND(OR(Y$34=INDEX(T.Pikett.Bereich,2),Y$34=INDEX(T.Pikett.Bereich,3)),Y$11=0.5),0.5,0)) +IF(AND(Y$34=INDEX(T.Pikett.Bereich,4),Y$11=6/8.4),0.75,0)+IF(AND(Y$34=INDEX(T.Pikett.Bereich,4),Y$11=1),16/24,0) +IF(AND(Y$34=INDEX(T.Pikett.Bereich,4),Y$11=0.5),20/24,0))))</f>
        <v>0</v>
      </c>
      <c r="Z81" s="256" t="n">
        <f aca="true">IF(EB.Wochenarbeitszeit=50/24,"",IF(Z$12=0,0,IF(OR(WEEKDAY(Z$10,2)&gt;5,Z$11=0),IF(NOT(Z$34=INDEX(T.Pikett.Bereich,1)),1,0),IF(WEEKDAY(Z$10,2)&lt;6,IF(AND(OR(Z$34=INDEX(T.Pikett.Bereich,2),Z$34=INDEX(T.Pikett.Bereich,3)),Z$11=1),8/24,0))+IF(WEEKDAY(Z$10,2)&lt;6,IF(AND(OR(Z$34=INDEX(T.Pikett.Bereich,2),Z$34=INDEX(T.Pikett.Bereich,3)),Z$11=6/8.4),10/24,0)) +IF(WEEKDAY(Z$10,2)&lt;6,IF(AND(OR(Z$34=INDEX(T.Pikett.Bereich,2),Z$34=INDEX(T.Pikett.Bereich,3)),Z$11=0.5),0.5,0)) +IF(AND(Z$34=INDEX(T.Pikett.Bereich,4),Z$11=6/8.4),0.75,0)+IF(AND(Z$34=INDEX(T.Pikett.Bereich,4),Z$11=1),16/24,0) +IF(AND(Z$34=INDEX(T.Pikett.Bereich,4),Z$11=0.5),20/24,0))))</f>
        <v>0</v>
      </c>
      <c r="AA81" s="256" t="n">
        <f aca="true">IF(EB.Wochenarbeitszeit=50/24,"",IF(AA$12=0,0,IF(OR(WEEKDAY(AA$10,2)&gt;5,AA$11=0),IF(NOT(AA$34=INDEX(T.Pikett.Bereich,1)),1,0),IF(WEEKDAY(AA$10,2)&lt;6,IF(AND(OR(AA$34=INDEX(T.Pikett.Bereich,2),AA$34=INDEX(T.Pikett.Bereich,3)),AA$11=1),8/24,0))+IF(WEEKDAY(AA$10,2)&lt;6,IF(AND(OR(AA$34=INDEX(T.Pikett.Bereich,2),AA$34=INDEX(T.Pikett.Bereich,3)),AA$11=6/8.4),10/24,0)) +IF(WEEKDAY(AA$10,2)&lt;6,IF(AND(OR(AA$34=INDEX(T.Pikett.Bereich,2),AA$34=INDEX(T.Pikett.Bereich,3)),AA$11=0.5),0.5,0)) +IF(AND(AA$34=INDEX(T.Pikett.Bereich,4),AA$11=6/8.4),0.75,0)+IF(AND(AA$34=INDEX(T.Pikett.Bereich,4),AA$11=1),16/24,0) +IF(AND(AA$34=INDEX(T.Pikett.Bereich,4),AA$11=0.5),20/24,0))))</f>
        <v>0</v>
      </c>
      <c r="AB81" s="256" t="n">
        <f aca="true">IF(EB.Wochenarbeitszeit=50/24,"",IF(AB$12=0,0,IF(OR(WEEKDAY(AB$10,2)&gt;5,AB$11=0),IF(NOT(AB$34=INDEX(T.Pikett.Bereich,1)),1,0),IF(WEEKDAY(AB$10,2)&lt;6,IF(AND(OR(AB$34=INDEX(T.Pikett.Bereich,2),AB$34=INDEX(T.Pikett.Bereich,3)),AB$11=1),8/24,0))+IF(WEEKDAY(AB$10,2)&lt;6,IF(AND(OR(AB$34=INDEX(T.Pikett.Bereich,2),AB$34=INDEX(T.Pikett.Bereich,3)),AB$11=6/8.4),10/24,0)) +IF(WEEKDAY(AB$10,2)&lt;6,IF(AND(OR(AB$34=INDEX(T.Pikett.Bereich,2),AB$34=INDEX(T.Pikett.Bereich,3)),AB$11=0.5),0.5,0)) +IF(AND(AB$34=INDEX(T.Pikett.Bereich,4),AB$11=6/8.4),0.75,0)+IF(AND(AB$34=INDEX(T.Pikett.Bereich,4),AB$11=1),16/24,0) +IF(AND(AB$34=INDEX(T.Pikett.Bereich,4),AB$11=0.5),20/24,0))))</f>
        <v>0</v>
      </c>
      <c r="AC81" s="256" t="n">
        <f aca="true">IF(EB.Wochenarbeitszeit=50/24,"",IF(AC$12=0,0,IF(OR(WEEKDAY(AC$10,2)&gt;5,AC$11=0),IF(NOT(AC$34=INDEX(T.Pikett.Bereich,1)),1,0),IF(WEEKDAY(AC$10,2)&lt;6,IF(AND(OR(AC$34=INDEX(T.Pikett.Bereich,2),AC$34=INDEX(T.Pikett.Bereich,3)),AC$11=1),8/24,0))+IF(WEEKDAY(AC$10,2)&lt;6,IF(AND(OR(AC$34=INDEX(T.Pikett.Bereich,2),AC$34=INDEX(T.Pikett.Bereich,3)),AC$11=6/8.4),10/24,0)) +IF(WEEKDAY(AC$10,2)&lt;6,IF(AND(OR(AC$34=INDEX(T.Pikett.Bereich,2),AC$34=INDEX(T.Pikett.Bereich,3)),AC$11=0.5),0.5,0)) +IF(AND(AC$34=INDEX(T.Pikett.Bereich,4),AC$11=6/8.4),0.75,0)+IF(AND(AC$34=INDEX(T.Pikett.Bereich,4),AC$11=1),16/24,0) +IF(AND(AC$34=INDEX(T.Pikett.Bereich,4),AC$11=0.5),20/24,0))))</f>
        <v>0</v>
      </c>
      <c r="AD81" s="256" t="n">
        <f aca="true">IF(EB.Wochenarbeitszeit=50/24,"",IF(AD$12=0,0,IF(OR(WEEKDAY(AD$10,2)&gt;5,AD$11=0),IF(NOT(AD$34=INDEX(T.Pikett.Bereich,1)),1,0),IF(WEEKDAY(AD$10,2)&lt;6,IF(AND(OR(AD$34=INDEX(T.Pikett.Bereich,2),AD$34=INDEX(T.Pikett.Bereich,3)),AD$11=1),8/24,0))+IF(WEEKDAY(AD$10,2)&lt;6,IF(AND(OR(AD$34=INDEX(T.Pikett.Bereich,2),AD$34=INDEX(T.Pikett.Bereich,3)),AD$11=6/8.4),10/24,0)) +IF(WEEKDAY(AD$10,2)&lt;6,IF(AND(OR(AD$34=INDEX(T.Pikett.Bereich,2),AD$34=INDEX(T.Pikett.Bereich,3)),AD$11=0.5),0.5,0)) +IF(AND(AD$34=INDEX(T.Pikett.Bereich,4),AD$11=6/8.4),0.75,0)+IF(AND(AD$34=INDEX(T.Pikett.Bereich,4),AD$11=1),16/24,0) +IF(AND(AD$34=INDEX(T.Pikett.Bereich,4),AD$11=0.5),20/24,0))))</f>
        <v>0</v>
      </c>
      <c r="AE81" s="256" t="n">
        <f aca="true">IF(EB.Wochenarbeitszeit=50/24,"",IF(AE$12=0,0,IF(OR(WEEKDAY(AE$10,2)&gt;5,AE$11=0),IF(NOT(AE$34=INDEX(T.Pikett.Bereich,1)),1,0),IF(WEEKDAY(AE$10,2)&lt;6,IF(AND(OR(AE$34=INDEX(T.Pikett.Bereich,2),AE$34=INDEX(T.Pikett.Bereich,3)),AE$11=1),8/24,0))+IF(WEEKDAY(AE$10,2)&lt;6,IF(AND(OR(AE$34=INDEX(T.Pikett.Bereich,2),AE$34=INDEX(T.Pikett.Bereich,3)),AE$11=6/8.4),10/24,0)) +IF(WEEKDAY(AE$10,2)&lt;6,IF(AND(OR(AE$34=INDEX(T.Pikett.Bereich,2),AE$34=INDEX(T.Pikett.Bereich,3)),AE$11=0.5),0.5,0)) +IF(AND(AE$34=INDEX(T.Pikett.Bereich,4),AE$11=6/8.4),0.75,0)+IF(AND(AE$34=INDEX(T.Pikett.Bereich,4),AE$11=1),16/24,0) +IF(AND(AE$34=INDEX(T.Pikett.Bereich,4),AE$11=0.5),20/24,0))))</f>
        <v>0</v>
      </c>
      <c r="AF81" s="256" t="n">
        <f aca="true">IF(EB.Wochenarbeitszeit=50/24,"",IF(AF$12=0,0,IF(OR(WEEKDAY(AF$10,2)&gt;5,AF$11=0),IF(NOT(AF$34=INDEX(T.Pikett.Bereich,1)),1,0),IF(WEEKDAY(AF$10,2)&lt;6,IF(AND(OR(AF$34=INDEX(T.Pikett.Bereich,2),AF$34=INDEX(T.Pikett.Bereich,3)),AF$11=1),8/24,0))+IF(WEEKDAY(AF$10,2)&lt;6,IF(AND(OR(AF$34=INDEX(T.Pikett.Bereich,2),AF$34=INDEX(T.Pikett.Bereich,3)),AF$11=6/8.4),10/24,0)) +IF(WEEKDAY(AF$10,2)&lt;6,IF(AND(OR(AF$34=INDEX(T.Pikett.Bereich,2),AF$34=INDEX(T.Pikett.Bereich,3)),AF$11=0.5),0.5,0)) +IF(AND(AF$34=INDEX(T.Pikett.Bereich,4),AF$11=6/8.4),0.75,0)+IF(AND(AF$34=INDEX(T.Pikett.Bereich,4),AF$11=1),16/24,0) +IF(AND(AF$34=INDEX(T.Pikett.Bereich,4),AF$11=0.5),20/24,0))))</f>
        <v>0</v>
      </c>
      <c r="AG81" s="168" t="str">
        <f aca="false">A81</f>
        <v>On-call duty</v>
      </c>
      <c r="AH81" s="250"/>
      <c r="AI81" s="207" t="n">
        <f aca="false">SUM(B81:AF81)</f>
        <v>0</v>
      </c>
      <c r="AJ81" s="33"/>
      <c r="AK81" s="192"/>
      <c r="AL81" s="216" t="n">
        <f aca="false">IF(EB.Anwendung&lt;&gt;"",IF(MONTH(Monat.Tag1)=1,0,IF(MONTH(Monat.Tag1)=2,January!Monat.BDUeVM,IF(MONTH(Monat.Tag1)=3,February!Monat.BDUeVM,IF(MONTH(Monat.Tag1)=4,March!Monat.BDUeVM,IF(MONTH(Monat.Tag1)=5,April!Monat.BDUeVM,IF(MONTH(Monat.Tag1)=6,May!Monat.BDUeVM,IF(MONTH(Monat.Tag1)=7,June!Monat.BDUeVM,IF(MONTH(Monat.Tag1)=8,July!Monat.BDUeVM,IF(MONTH(Monat.Tag1)=9,Monat.BDUeVM,IF(MONTH(Monat.Tag1)=10,September!Monat.BDUeVM,IF(MONTH(Monat.Tag1)=11,October!Monat.BDUeVM,IF(MONTH(Monat.Tag1)=12,November!Monat.BDUeVM,"")))))))))))),"")</f>
        <v>0</v>
      </c>
      <c r="AM81" s="172"/>
      <c r="AN81" s="217" t="n">
        <f aca="false">AI81+AL81</f>
        <v>0</v>
      </c>
      <c r="AO81" s="171"/>
      <c r="AP81" s="171"/>
      <c r="AQ81" s="39"/>
    </row>
    <row r="82" s="148" customFormat="true" ht="15" hidden="false" customHeight="true" outlineLevel="1" collapsed="false">
      <c r="A82" s="175" t="s">
        <v>165</v>
      </c>
      <c r="B82" s="256" t="str">
        <f aca="false">IF(B$12=0,"",IF(OR(WEEKDAY(B$10,2)&gt;5,B$11=0), IF(T.50_NoVetsuisse,B45, IF(T.50_Vetsuisse,IF(B23-B73=0,"",B23-B73), IF(T.ServiceCenterIrchel,B23, B60))),))</f>
        <v/>
      </c>
      <c r="C82" s="256" t="n">
        <f aca="false">IF(C$12=0,"",IF(OR(WEEKDAY(C$10,2)&gt;5,C$11=0), IF(T.50_NoVetsuisse,C45, IF(T.50_Vetsuisse,IF(C23-C73=0,"",C23-C73), IF(T.ServiceCenterIrchel,C23, C60))),))</f>
        <v>0</v>
      </c>
      <c r="D82" s="257" t="n">
        <f aca="false">IF(D$12=0,"",IF(OR(WEEKDAY(D$10,2)&gt;5,D$11=0), IF(T.50_NoVetsuisse,D45, IF(T.50_Vetsuisse,IF(D23-D73=0,"",D23-D73), IF(T.ServiceCenterIrchel,D23, D60))),))</f>
        <v>0</v>
      </c>
      <c r="E82" s="256" t="str">
        <f aca="false">IF(E$12=0,"",IF(OR(WEEKDAY(E$10,2)&gt;5,E$11=0), IF(T.50_NoVetsuisse,E45, IF(T.50_Vetsuisse,IF(E23-E73=0,"",E23-E73), IF(T.ServiceCenterIrchel,E23, E60))),))</f>
        <v/>
      </c>
      <c r="F82" s="257" t="str">
        <f aca="false">IF(F$12=0,"",IF(OR(WEEKDAY(F$10,2)&gt;5,F$11=0), IF(T.50_NoVetsuisse,F45, IF(T.50_Vetsuisse,IF(F23-F73=0,"",F23-F73), IF(T.ServiceCenterIrchel,F23, F60))),))</f>
        <v/>
      </c>
      <c r="G82" s="257" t="n">
        <f aca="false">IF(G$12=0,"",IF(OR(WEEKDAY(G$10,2)&gt;5,G$11=0), IF(T.50_NoVetsuisse,G45, IF(T.50_Vetsuisse,IF(G23-G73=0,"",G23-G73), IF(T.ServiceCenterIrchel,G23, G60))),))</f>
        <v>0</v>
      </c>
      <c r="H82" s="257" t="n">
        <f aca="false">IF(H$12=0,"",IF(OR(WEEKDAY(H$10,2)&gt;5,H$11=0), IF(T.50_NoVetsuisse,H45, IF(T.50_Vetsuisse,IF(H23-H73=0,"",H23-H73), IF(T.ServiceCenterIrchel,H23, H60))),))</f>
        <v>0</v>
      </c>
      <c r="I82" s="257" t="n">
        <f aca="false">IF(I$12=0,"",IF(OR(WEEKDAY(I$10,2)&gt;5,I$11=0), IF(T.50_NoVetsuisse,I45, IF(T.50_Vetsuisse,IF(I23-I73=0,"",I23-I73), IF(T.ServiceCenterIrchel,I23, I60))),))</f>
        <v>0</v>
      </c>
      <c r="J82" s="256" t="n">
        <f aca="false">IF(J$12=0,"",IF(OR(WEEKDAY(J$10,2)&gt;5,J$11=0), IF(T.50_NoVetsuisse,J45, IF(T.50_Vetsuisse,IF(J23-J73=0,"",J23-J73), IF(T.ServiceCenterIrchel,J23, J60))),))</f>
        <v>0</v>
      </c>
      <c r="K82" s="257" t="n">
        <f aca="false">IF(K$12=0,"",IF(OR(WEEKDAY(K$10,2)&gt;5,K$11=0), IF(T.50_NoVetsuisse,K45, IF(T.50_Vetsuisse,IF(K23-K73=0,"",K23-K73), IF(T.ServiceCenterIrchel,K23, K60))),))</f>
        <v>0</v>
      </c>
      <c r="L82" s="256" t="str">
        <f aca="false">IF(L$12=0,"",IF(OR(WEEKDAY(L$10,2)&gt;5,L$11=0), IF(T.50_NoVetsuisse,L45, IF(T.50_Vetsuisse,IF(L23-L73=0,"",L23-L73), IF(T.ServiceCenterIrchel,L23, L60))),))</f>
        <v/>
      </c>
      <c r="M82" s="257" t="str">
        <f aca="false">IF(M$12=0,"",IF(OR(WEEKDAY(M$10,2)&gt;5,M$11=0), IF(T.50_NoVetsuisse,M45, IF(T.50_Vetsuisse,IF(M23-M73=0,"",M23-M73), IF(T.ServiceCenterIrchel,M23, M60))),))</f>
        <v/>
      </c>
      <c r="N82" s="257" t="n">
        <f aca="false">IF(N$12=0,"",IF(OR(WEEKDAY(N$10,2)&gt;5,N$11=0), IF(T.50_NoVetsuisse,N45, IF(T.50_Vetsuisse,IF(N23-N73=0,"",N23-N73), IF(T.ServiceCenterIrchel,N23, N60))),))</f>
        <v>0</v>
      </c>
      <c r="O82" s="257" t="n">
        <f aca="false">IF(O$12=0,"",IF(OR(WEEKDAY(O$10,2)&gt;5,O$11=0), IF(T.50_NoVetsuisse,O45, IF(T.50_Vetsuisse,IF(O23-O73=0,"",O23-O73), IF(T.ServiceCenterIrchel,O23, O60))),))</f>
        <v>0</v>
      </c>
      <c r="P82" s="257" t="n">
        <f aca="false">IF(P$12=0,"",IF(OR(WEEKDAY(P$10,2)&gt;5,P$11=0), IF(T.50_NoVetsuisse,P45, IF(T.50_Vetsuisse,IF(P23-P73=0,"",P23-P73), IF(T.ServiceCenterIrchel,P23, P60))),))</f>
        <v>0</v>
      </c>
      <c r="Q82" s="256" t="n">
        <f aca="false">IF(Q$12=0,"",IF(OR(WEEKDAY(Q$10,2)&gt;5,Q$11=0), IF(T.50_NoVetsuisse,Q45, IF(T.50_Vetsuisse,IF(Q23-Q73=0,"",Q23-Q73), IF(T.ServiceCenterIrchel,Q23, Q60))),))</f>
        <v>0</v>
      </c>
      <c r="R82" s="257" t="n">
        <f aca="false">IF(R$12=0,"",IF(OR(WEEKDAY(R$10,2)&gt;5,R$11=0), IF(T.50_NoVetsuisse,R45, IF(T.50_Vetsuisse,IF(R23-R73=0,"",R23-R73), IF(T.ServiceCenterIrchel,R23, R60))),))</f>
        <v>0</v>
      </c>
      <c r="S82" s="256" t="str">
        <f aca="false">IF(S$12=0,"",IF(OR(WEEKDAY(S$10,2)&gt;5,S$11=0), IF(T.50_NoVetsuisse,S45, IF(T.50_Vetsuisse,IF(S23-S73=0,"",S23-S73), IF(T.ServiceCenterIrchel,S23, S60))),))</f>
        <v/>
      </c>
      <c r="T82" s="256" t="str">
        <f aca="false">IF(T$12=0,"",IF(OR(WEEKDAY(T$10,2)&gt;5,T$11=0), IF(T.50_NoVetsuisse,T45, IF(T.50_Vetsuisse,IF(T23-T73=0,"",T23-T73), IF(T.ServiceCenterIrchel,T23, T60))),))</f>
        <v/>
      </c>
      <c r="U82" s="257" t="n">
        <f aca="false">IF(U$12=0,"",IF(OR(WEEKDAY(U$10,2)&gt;5,U$11=0), IF(T.50_NoVetsuisse,U45, IF(T.50_Vetsuisse,IF(U23-U73=0,"",U23-U73), IF(T.ServiceCenterIrchel,U23, U60))),))</f>
        <v>0</v>
      </c>
      <c r="V82" s="257" t="n">
        <f aca="false">IF(V$12=0,"",IF(OR(WEEKDAY(V$10,2)&gt;5,V$11=0), IF(T.50_NoVetsuisse,V45, IF(T.50_Vetsuisse,IF(V23-V73=0,"",V23-V73), IF(T.ServiceCenterIrchel,V23, V60))),))</f>
        <v>0</v>
      </c>
      <c r="W82" s="257" t="n">
        <f aca="false">IF(W$12=0,"",IF(OR(WEEKDAY(W$10,2)&gt;5,W$11=0), IF(T.50_NoVetsuisse,W45, IF(T.50_Vetsuisse,IF(W23-W73=0,"",W23-W73), IF(T.ServiceCenterIrchel,W23, W60))),))</f>
        <v>0</v>
      </c>
      <c r="X82" s="256" t="n">
        <f aca="false">IF(X$12=0,"",IF(OR(WEEKDAY(X$10,2)&gt;5,X$11=0), IF(T.50_NoVetsuisse,X45, IF(T.50_Vetsuisse,IF(X23-X73=0,"",X23-X73), IF(T.ServiceCenterIrchel,X23, X60))),))</f>
        <v>0</v>
      </c>
      <c r="Y82" s="257" t="n">
        <f aca="false">IF(Y$12=0,"",IF(OR(WEEKDAY(Y$10,2)&gt;5,Y$11=0), IF(T.50_NoVetsuisse,Y45, IF(T.50_Vetsuisse,IF(Y23-Y73=0,"",Y23-Y73), IF(T.ServiceCenterIrchel,Y23, Y60))),))</f>
        <v>0</v>
      </c>
      <c r="Z82" s="258" t="str">
        <f aca="false">IF(Z$12=0,"",IF(OR(WEEKDAY(Z$10,2)&gt;5,Z$11=0), IF(T.50_NoVetsuisse,Z45, IF(T.50_Vetsuisse,IF(Z23-Z73=0,"",Z23-Z73), IF(T.ServiceCenterIrchel,Z23, Z60))),))</f>
        <v/>
      </c>
      <c r="AA82" s="257" t="str">
        <f aca="false">IF(AA$12=0,"",IF(OR(WEEKDAY(AA$10,2)&gt;5,AA$11=0), IF(T.50_NoVetsuisse,AA45, IF(T.50_Vetsuisse,IF(AA23-AA73=0,"",AA23-AA73), IF(T.ServiceCenterIrchel,AA23, AA60))),))</f>
        <v/>
      </c>
      <c r="AB82" s="257" t="n">
        <f aca="false">IF(AB$12=0,"",IF(OR(WEEKDAY(AB$10,2)&gt;5,AB$11=0), IF(T.50_NoVetsuisse,AB45, IF(T.50_Vetsuisse,IF(AB23-AB73=0,"",AB23-AB73), IF(T.ServiceCenterIrchel,AB23, AB60))),))</f>
        <v>0</v>
      </c>
      <c r="AC82" s="257" t="n">
        <f aca="false">IF(AC$12=0,"",IF(OR(WEEKDAY(AC$10,2)&gt;5,AC$11=0), IF(T.50_NoVetsuisse,AC45, IF(T.50_Vetsuisse,IF(AC23-AC73=0,"",AC23-AC73), IF(T.ServiceCenterIrchel,AC23, AC60))),))</f>
        <v>0</v>
      </c>
      <c r="AD82" s="257" t="n">
        <f aca="false">IF(AD$12=0,"",IF(OR(WEEKDAY(AD$10,2)&gt;5,AD$11=0), IF(T.50_NoVetsuisse,AD45, IF(T.50_Vetsuisse,IF(AD23-AD73=0,"",AD23-AD73), IF(T.ServiceCenterIrchel,AD23, AD60))),))</f>
        <v>0</v>
      </c>
      <c r="AE82" s="256" t="n">
        <f aca="false">IF(AE$12=0,"",IF(OR(WEEKDAY(AE$10,2)&gt;5,AE$11=0), IF(T.50_NoVetsuisse,AE45, IF(T.50_Vetsuisse,IF(AE23-AE73=0,"",AE23-AE73), IF(T.ServiceCenterIrchel,AE23, AE60))),))</f>
        <v>0</v>
      </c>
      <c r="AF82" s="257" t="n">
        <f aca="false">IF(AF$12=0,"",IF(OR(WEEKDAY(AF$10,2)&gt;5,AF$11=0), IF(T.50_NoVetsuisse,AF45, IF(T.50_Vetsuisse,IF(AF23-AF73=0,"",AF23-AF73), IF(T.ServiceCenterIrchel,AF23, AF60))),))</f>
        <v>0</v>
      </c>
      <c r="AG82" s="168" t="str">
        <f aca="false">A82</f>
        <v>Saturday/Sunday shift</v>
      </c>
      <c r="AH82" s="197"/>
      <c r="AI82" s="207" t="n">
        <f aca="false">SUM(B82:AF82)</f>
        <v>0</v>
      </c>
      <c r="AJ82" s="198" t="n">
        <f aca="false">IFERROR(SUMPRODUCT((B82:AF82&gt;0)*(B82:AF82&lt;&gt;"")),0)</f>
        <v>0</v>
      </c>
      <c r="AK82" s="192"/>
      <c r="AL82" s="216" t="n">
        <f aca="false">IF(EB.Anwendung&lt;&gt;"",IF(MONTH(Monat.Tag1)=1,0,IF(MONTH(Monat.Tag1)=2,January!Monat.SDUeVM,IF(MONTH(Monat.Tag1)=3,February!Monat.SDUeVM,IF(MONTH(Monat.Tag1)=4,March!Monat.SDUeVM,IF(MONTH(Monat.Tag1)=5,April!Monat.SDUeVM,IF(MONTH(Monat.Tag1)=6,May!Monat.SDUeVM,IF(MONTH(Monat.Tag1)=7,June!Monat.SDUeVM,IF(MONTH(Monat.Tag1)=8,July!Monat.SDUeVM,IF(MONTH(Monat.Tag1)=9,Monat.SDUeVM,IF(MONTH(Monat.Tag1)=10,September!Monat.SDUeVM,IF(MONTH(Monat.Tag1)=11,October!Monat.SDUeVM,IF(MONTH(Monat.Tag1)=12,November!Monat.SDUeVM,"")))))))))))),"")</f>
        <v>0</v>
      </c>
      <c r="AM82" s="172"/>
      <c r="AN82" s="217" t="n">
        <f aca="false">AI82+AL82</f>
        <v>0</v>
      </c>
      <c r="AO82" s="171"/>
      <c r="AP82" s="171"/>
      <c r="AQ82" s="39"/>
    </row>
    <row r="83" s="148" customFormat="true" ht="11.25" hidden="false" customHeight="true" outlineLevel="1" collapsed="false">
      <c r="A83" s="186"/>
      <c r="B83" s="194"/>
      <c r="C83" s="194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4"/>
      <c r="O83" s="194"/>
      <c r="P83" s="194"/>
      <c r="Q83" s="194"/>
      <c r="R83" s="194"/>
      <c r="S83" s="194"/>
      <c r="T83" s="194"/>
      <c r="U83" s="194"/>
      <c r="V83" s="194"/>
      <c r="W83" s="194"/>
      <c r="X83" s="194"/>
      <c r="Y83" s="194"/>
      <c r="Z83" s="194"/>
      <c r="AA83" s="194"/>
      <c r="AB83" s="194"/>
      <c r="AC83" s="194"/>
      <c r="AD83" s="194"/>
      <c r="AE83" s="194"/>
      <c r="AF83" s="195"/>
      <c r="AG83" s="168"/>
      <c r="AH83" s="197"/>
      <c r="AI83" s="192"/>
      <c r="AJ83" s="27"/>
      <c r="AK83" s="235"/>
      <c r="AL83" s="235"/>
      <c r="AM83" s="172"/>
      <c r="AN83" s="254"/>
      <c r="AO83" s="259"/>
      <c r="AP83" s="259"/>
      <c r="AQ83" s="39"/>
    </row>
    <row r="84" s="148" customFormat="true" ht="15" hidden="false" customHeight="true" outlineLevel="0" collapsed="false">
      <c r="A84" s="175" t="s">
        <v>166</v>
      </c>
      <c r="B84" s="176"/>
      <c r="C84" s="176"/>
      <c r="D84" s="176"/>
      <c r="E84" s="176"/>
      <c r="F84" s="176"/>
      <c r="G84" s="176"/>
      <c r="H84" s="176"/>
      <c r="I84" s="176"/>
      <c r="J84" s="176"/>
      <c r="K84" s="176"/>
      <c r="L84" s="176"/>
      <c r="M84" s="176"/>
      <c r="N84" s="176"/>
      <c r="O84" s="176"/>
      <c r="P84" s="176"/>
      <c r="Q84" s="176"/>
      <c r="R84" s="176"/>
      <c r="S84" s="176"/>
      <c r="T84" s="176"/>
      <c r="U84" s="176"/>
      <c r="V84" s="176"/>
      <c r="W84" s="176"/>
      <c r="X84" s="176"/>
      <c r="Y84" s="176"/>
      <c r="Z84" s="190"/>
      <c r="AA84" s="176"/>
      <c r="AB84" s="176"/>
      <c r="AC84" s="176"/>
      <c r="AD84" s="176"/>
      <c r="AE84" s="176"/>
      <c r="AF84" s="176"/>
      <c r="AG84" s="168" t="str">
        <f aca="false">A84</f>
        <v>Vacation</v>
      </c>
      <c r="AH84" s="184"/>
      <c r="AI84" s="207" t="n">
        <f aca="false">SUM(B84:AF84)</f>
        <v>0</v>
      </c>
      <c r="AJ84" s="33"/>
      <c r="AK84" s="216" t="n">
        <f aca="true">OFFSET(EB.MFAStd.Knoten,MONTH(Monat.Tag1),0,1,1)</f>
        <v>0.583333333333333</v>
      </c>
      <c r="AL84" s="216" t="n">
        <f aca="false">IF(EB.Anwendung&lt;&gt;"",IF(MONTH(Monat.Tag1)=1,EB.FerienBer,IF(MONTH(Monat.Tag1)=2,January!Monat.FerienUeVM,IF(MONTH(Monat.Tag1)=3,February!Monat.FerienUeVM,IF(MONTH(Monat.Tag1)=4,March!Monat.FerienUeVM,IF(MONTH(Monat.Tag1)=5,April!Monat.FerienUeVM,IF(MONTH(Monat.Tag1)=6,May!Monat.FerienUeVM,IF(MONTH(Monat.Tag1)=7,June!Monat.FerienUeVM,IF(MONTH(Monat.Tag1)=8,July!Monat.FerienUeVM,IF(MONTH(Monat.Tag1)=9,Monat.FerienUeVM,IF(MONTH(Monat.Tag1)=10,September!Monat.FerienUeVM,IF(MONTH(Monat.Tag1)=11,October!Monat.FerienUeVM,IF(MONTH(Monat.Tag1)=12,November!Monat.FerienUeVM,"")))))))))))),"")</f>
        <v>2.33333333333333</v>
      </c>
      <c r="AM84" s="172"/>
      <c r="AN84" s="217" t="n">
        <f aca="false">IF(AH85="+",(AK84+AL84-Monat.Ferien.Total+AI85),(AK84+AL84-Monat.Ferien.Total-AI85))</f>
        <v>2.91666666666667</v>
      </c>
      <c r="AO84" s="217" t="n">
        <f aca="true">SUM(Jahresabrechnung!AC12:AC13)-SUM(OFFSET(Jahresabrechnung!AC15,0,0,MONTH(Monat.Tag1),1))</f>
        <v>5.25</v>
      </c>
      <c r="AP84" s="217" t="n">
        <f aca="false">J.FerienUE.Total</f>
        <v>5.25</v>
      </c>
      <c r="AQ84" s="39"/>
    </row>
    <row r="85" s="148" customFormat="true" ht="15" hidden="false" customHeight="true" outlineLevel="0" collapsed="false">
      <c r="A85" s="186"/>
      <c r="B85" s="191"/>
      <c r="C85" s="191"/>
      <c r="D85" s="191"/>
      <c r="E85" s="191"/>
      <c r="F85" s="191"/>
      <c r="G85" s="191"/>
      <c r="H85" s="191"/>
      <c r="I85" s="191"/>
      <c r="J85" s="191"/>
      <c r="K85" s="191"/>
      <c r="L85" s="191"/>
      <c r="M85" s="191"/>
      <c r="N85" s="191"/>
      <c r="O85" s="191"/>
      <c r="P85" s="191"/>
      <c r="Q85" s="191"/>
      <c r="R85" s="191"/>
      <c r="S85" s="191"/>
      <c r="T85" s="191"/>
      <c r="U85" s="191"/>
      <c r="V85" s="191"/>
      <c r="W85" s="191"/>
      <c r="X85" s="191"/>
      <c r="Y85" s="191"/>
      <c r="Z85" s="191"/>
      <c r="AA85" s="191"/>
      <c r="AB85" s="191"/>
      <c r="AC85" s="191"/>
      <c r="AD85" s="191"/>
      <c r="AE85" s="191"/>
      <c r="AF85" s="192"/>
      <c r="AG85" s="175" t="s">
        <v>167</v>
      </c>
      <c r="AH85" s="244" t="s">
        <v>146</v>
      </c>
      <c r="AI85" s="260"/>
      <c r="AJ85" s="246"/>
      <c r="AK85" s="172"/>
      <c r="AL85" s="172"/>
      <c r="AM85" s="172"/>
      <c r="AN85" s="171"/>
      <c r="AO85" s="261"/>
      <c r="AP85" s="261"/>
      <c r="AQ85" s="39"/>
    </row>
    <row r="86" s="148" customFormat="true" ht="15" hidden="false" customHeight="true" outlineLevel="0" collapsed="false">
      <c r="A86" s="175" t="s">
        <v>168</v>
      </c>
      <c r="B86" s="176"/>
      <c r="C86" s="176"/>
      <c r="D86" s="176"/>
      <c r="E86" s="177"/>
      <c r="F86" s="176"/>
      <c r="G86" s="176"/>
      <c r="H86" s="176"/>
      <c r="I86" s="176"/>
      <c r="J86" s="177"/>
      <c r="K86" s="176"/>
      <c r="L86" s="177"/>
      <c r="M86" s="176"/>
      <c r="N86" s="176"/>
      <c r="O86" s="176"/>
      <c r="P86" s="176"/>
      <c r="Q86" s="177"/>
      <c r="R86" s="176"/>
      <c r="S86" s="177"/>
      <c r="T86" s="177"/>
      <c r="U86" s="176"/>
      <c r="V86" s="176"/>
      <c r="W86" s="176"/>
      <c r="X86" s="177"/>
      <c r="Y86" s="176"/>
      <c r="Z86" s="178"/>
      <c r="AA86" s="176"/>
      <c r="AB86" s="176"/>
      <c r="AC86" s="176"/>
      <c r="AD86" s="176"/>
      <c r="AE86" s="177"/>
      <c r="AF86" s="176"/>
      <c r="AG86" s="168" t="str">
        <f aca="false">A86</f>
        <v>Consultation</v>
      </c>
      <c r="AH86" s="184"/>
      <c r="AI86" s="207" t="n">
        <f aca="false">SUM(B86:AF86)</f>
        <v>0</v>
      </c>
      <c r="AJ86" s="33"/>
      <c r="AK86" s="235"/>
      <c r="AL86" s="216" t="n">
        <f aca="false">IF(EB.Anwendung&lt;&gt;"",IF(MONTH(Monat.Tag1)=1,0,IF(MONTH(Monat.Tag1)=2,January!Monat.ArztUeVM,IF(MONTH(Monat.Tag1)=3,February!Monat.ArztUeVM,IF(MONTH(Monat.Tag1)=4,March!Monat.ArztUeVM,IF(MONTH(Monat.Tag1)=5,April!Monat.ArztUeVM,IF(MONTH(Monat.Tag1)=6,May!Monat.ArztUeVM,IF(MONTH(Monat.Tag1)=7,June!Monat.ArztUeVM,IF(MONTH(Monat.Tag1)=8,July!Monat.ArztUeVM,IF(MONTH(Monat.Tag1)=9,Monat.ArztUeVM,IF(MONTH(Monat.Tag1)=10,September!Monat.ArztUeVM,IF(MONTH(Monat.Tag1)=11,October!Monat.ArztUeVM,IF(MONTH(Monat.Tag1)=12,November!Monat.ArztUeVM,"")))))))))))),"")</f>
        <v>0</v>
      </c>
      <c r="AM86" s="172"/>
      <c r="AN86" s="217" t="n">
        <f aca="false">AI86+AL86</f>
        <v>0</v>
      </c>
      <c r="AO86" s="171"/>
      <c r="AP86" s="171"/>
      <c r="AQ86" s="39"/>
    </row>
    <row r="87" s="148" customFormat="true" ht="15" hidden="false" customHeight="true" outlineLevel="0" collapsed="false">
      <c r="A87" s="175" t="s">
        <v>169</v>
      </c>
      <c r="B87" s="176"/>
      <c r="C87" s="176"/>
      <c r="D87" s="176"/>
      <c r="E87" s="177"/>
      <c r="F87" s="176"/>
      <c r="G87" s="176"/>
      <c r="H87" s="176"/>
      <c r="I87" s="176"/>
      <c r="J87" s="177"/>
      <c r="K87" s="176"/>
      <c r="L87" s="177"/>
      <c r="M87" s="176"/>
      <c r="N87" s="176"/>
      <c r="O87" s="176"/>
      <c r="P87" s="176"/>
      <c r="Q87" s="177"/>
      <c r="R87" s="176"/>
      <c r="S87" s="177"/>
      <c r="T87" s="177"/>
      <c r="U87" s="176"/>
      <c r="V87" s="176"/>
      <c r="W87" s="176"/>
      <c r="X87" s="177"/>
      <c r="Y87" s="176"/>
      <c r="Z87" s="178"/>
      <c r="AA87" s="176"/>
      <c r="AB87" s="176"/>
      <c r="AC87" s="176"/>
      <c r="AD87" s="176"/>
      <c r="AE87" s="177"/>
      <c r="AF87" s="176"/>
      <c r="AG87" s="168" t="str">
        <f aca="false">A87</f>
        <v>Illness</v>
      </c>
      <c r="AH87" s="184"/>
      <c r="AI87" s="207" t="n">
        <f aca="false">SUM(B87:AF87)</f>
        <v>0</v>
      </c>
      <c r="AJ87" s="33"/>
      <c r="AK87" s="235"/>
      <c r="AL87" s="216" t="n">
        <f aca="false">IF(EB.Anwendung&lt;&gt;"",IF(MONTH(Monat.Tag1)=1,0,IF(MONTH(Monat.Tag1)=2,January!Monat.KrankUeVM,IF(MONTH(Monat.Tag1)=3,February!Monat.KrankUeVM,IF(MONTH(Monat.Tag1)=4,March!Monat.KrankUeVM,IF(MONTH(Monat.Tag1)=5,April!Monat.KrankUeVM,IF(MONTH(Monat.Tag1)=6,May!Monat.KrankUeVM,IF(MONTH(Monat.Tag1)=7,June!Monat.KrankUeVM,IF(MONTH(Monat.Tag1)=8,July!Monat.KrankUeVM,IF(MONTH(Monat.Tag1)=9,Monat.KrankUeVM,IF(MONTH(Monat.Tag1)=10,September!Monat.KrankUeVM,IF(MONTH(Monat.Tag1)=11,October!Monat.KrankUeVM,IF(MONTH(Monat.Tag1)=12,November!Monat.KrankUeVM,"")))))))))))),"")</f>
        <v>0</v>
      </c>
      <c r="AM87" s="172"/>
      <c r="AN87" s="217" t="n">
        <f aca="false">AI87+AL87</f>
        <v>0</v>
      </c>
      <c r="AO87" s="171"/>
      <c r="AP87" s="171"/>
      <c r="AQ87" s="39"/>
    </row>
    <row r="88" s="148" customFormat="true" ht="15" hidden="false" customHeight="true" outlineLevel="0" collapsed="false">
      <c r="A88" s="175" t="s">
        <v>170</v>
      </c>
      <c r="B88" s="176"/>
      <c r="C88" s="176"/>
      <c r="D88" s="176"/>
      <c r="E88" s="177"/>
      <c r="F88" s="176"/>
      <c r="G88" s="176"/>
      <c r="H88" s="176"/>
      <c r="I88" s="176"/>
      <c r="J88" s="177"/>
      <c r="K88" s="176"/>
      <c r="L88" s="177"/>
      <c r="M88" s="176"/>
      <c r="N88" s="176"/>
      <c r="O88" s="176"/>
      <c r="P88" s="176"/>
      <c r="Q88" s="177"/>
      <c r="R88" s="176"/>
      <c r="S88" s="177"/>
      <c r="T88" s="177"/>
      <c r="U88" s="176"/>
      <c r="V88" s="176"/>
      <c r="W88" s="176"/>
      <c r="X88" s="177"/>
      <c r="Y88" s="176"/>
      <c r="Z88" s="178"/>
      <c r="AA88" s="176"/>
      <c r="AB88" s="176"/>
      <c r="AC88" s="176"/>
      <c r="AD88" s="176"/>
      <c r="AE88" s="177"/>
      <c r="AF88" s="176"/>
      <c r="AG88" s="168" t="str">
        <f aca="false">A88</f>
        <v>Work-related accident</v>
      </c>
      <c r="AH88" s="184"/>
      <c r="AI88" s="207" t="n">
        <f aca="false">SUM(B88:AF88)</f>
        <v>0</v>
      </c>
      <c r="AJ88" s="33"/>
      <c r="AK88" s="235"/>
      <c r="AL88" s="216" t="n">
        <f aca="false">IF(EB.Anwendung&lt;&gt;"",IF(MONTH(Monat.Tag1)=1,0,IF(MONTH(Monat.Tag1)=2,January!Monat.BUUeVM,IF(MONTH(Monat.Tag1)=3,February!Monat.BUUeVM,IF(MONTH(Monat.Tag1)=4,March!Monat.BUUeVM,IF(MONTH(Monat.Tag1)=5,April!Monat.BUUeVM,IF(MONTH(Monat.Tag1)=6,May!Monat.BUUeVM,IF(MONTH(Monat.Tag1)=7,June!Monat.BUUeVM,IF(MONTH(Monat.Tag1)=8,July!Monat.BUUeVM,IF(MONTH(Monat.Tag1)=9,Monat.BUUeVM,IF(MONTH(Monat.Tag1)=10,September!Monat.BUUeVM,IF(MONTH(Monat.Tag1)=11,October!Monat.BUUeVM,IF(MONTH(Monat.Tag1)=12,November!Monat.BUUeVM,"")))))))))))),"")</f>
        <v>0</v>
      </c>
      <c r="AM88" s="172"/>
      <c r="AN88" s="217" t="n">
        <f aca="false">AI88+AL88</f>
        <v>0</v>
      </c>
      <c r="AO88" s="171"/>
      <c r="AP88" s="171"/>
      <c r="AQ88" s="39"/>
    </row>
    <row r="89" s="148" customFormat="true" ht="15" hidden="false" customHeight="true" outlineLevel="0" collapsed="false">
      <c r="A89" s="175" t="s">
        <v>171</v>
      </c>
      <c r="B89" s="176"/>
      <c r="C89" s="176"/>
      <c r="D89" s="176"/>
      <c r="E89" s="177"/>
      <c r="F89" s="176"/>
      <c r="G89" s="176"/>
      <c r="H89" s="176"/>
      <c r="I89" s="176"/>
      <c r="J89" s="177"/>
      <c r="K89" s="176"/>
      <c r="L89" s="177"/>
      <c r="M89" s="176"/>
      <c r="N89" s="176"/>
      <c r="O89" s="176"/>
      <c r="P89" s="176"/>
      <c r="Q89" s="177"/>
      <c r="R89" s="176"/>
      <c r="S89" s="177"/>
      <c r="T89" s="177"/>
      <c r="U89" s="176"/>
      <c r="V89" s="176"/>
      <c r="W89" s="176"/>
      <c r="X89" s="177"/>
      <c r="Y89" s="176"/>
      <c r="Z89" s="178"/>
      <c r="AA89" s="176"/>
      <c r="AB89" s="176"/>
      <c r="AC89" s="176"/>
      <c r="AD89" s="176"/>
      <c r="AE89" s="177"/>
      <c r="AF89" s="176"/>
      <c r="AG89" s="168" t="str">
        <f aca="false">A89</f>
        <v>Non-work-related accident</v>
      </c>
      <c r="AH89" s="184"/>
      <c r="AI89" s="207" t="n">
        <f aca="false">SUM(B89:AF89)</f>
        <v>0</v>
      </c>
      <c r="AJ89" s="33"/>
      <c r="AK89" s="235"/>
      <c r="AL89" s="216" t="n">
        <f aca="false">IF(EB.Anwendung&lt;&gt;"",IF(MONTH(Monat.Tag1)=1,0,IF(MONTH(Monat.Tag1)=2,January!Monat.NBUUeVM,IF(MONTH(Monat.Tag1)=3,February!Monat.NBUUeVM,IF(MONTH(Monat.Tag1)=4,March!Monat.NBUUeVM,IF(MONTH(Monat.Tag1)=5,April!Monat.NBUUeVM,IF(MONTH(Monat.Tag1)=6,May!Monat.NBUUeVM,IF(MONTH(Monat.Tag1)=7,June!Monat.NBUUeVM,IF(MONTH(Monat.Tag1)=8,July!Monat.NBUUeVM,IF(MONTH(Monat.Tag1)=9,Monat.NBUUeVM,IF(MONTH(Monat.Tag1)=10,September!Monat.NBUUeVM,IF(MONTH(Monat.Tag1)=11,October!Monat.NBUUeVM,IF(MONTH(Monat.Tag1)=12,November!Monat.NBUUeVM,"")))))))))))),"")</f>
        <v>0</v>
      </c>
      <c r="AM89" s="172"/>
      <c r="AN89" s="217" t="n">
        <f aca="false">AI89+AL89</f>
        <v>0</v>
      </c>
      <c r="AO89" s="171"/>
      <c r="AP89" s="171"/>
      <c r="AQ89" s="39"/>
    </row>
    <row r="90" s="148" customFormat="true" ht="15" hidden="false" customHeight="true" outlineLevel="0" collapsed="false">
      <c r="A90" s="175" t="s">
        <v>172</v>
      </c>
      <c r="B90" s="176"/>
      <c r="C90" s="176"/>
      <c r="D90" s="176"/>
      <c r="E90" s="177"/>
      <c r="F90" s="176"/>
      <c r="G90" s="176"/>
      <c r="H90" s="176"/>
      <c r="I90" s="176"/>
      <c r="J90" s="177"/>
      <c r="K90" s="176"/>
      <c r="L90" s="177"/>
      <c r="M90" s="176"/>
      <c r="N90" s="176"/>
      <c r="O90" s="176"/>
      <c r="P90" s="176"/>
      <c r="Q90" s="177"/>
      <c r="R90" s="176"/>
      <c r="S90" s="177"/>
      <c r="T90" s="177"/>
      <c r="U90" s="176"/>
      <c r="V90" s="176"/>
      <c r="W90" s="176"/>
      <c r="X90" s="177"/>
      <c r="Y90" s="176"/>
      <c r="Z90" s="178"/>
      <c r="AA90" s="176"/>
      <c r="AB90" s="176"/>
      <c r="AC90" s="176"/>
      <c r="AD90" s="176"/>
      <c r="AE90" s="177"/>
      <c r="AF90" s="176"/>
      <c r="AG90" s="168" t="str">
        <f aca="false">A90</f>
        <v>Military/civilian service</v>
      </c>
      <c r="AH90" s="184"/>
      <c r="AI90" s="207" t="n">
        <f aca="false">SUM(B90:AF90)</f>
        <v>0</v>
      </c>
      <c r="AJ90" s="33"/>
      <c r="AK90" s="235"/>
      <c r="AL90" s="216" t="n">
        <f aca="false">IF(EB.Anwendung&lt;&gt;"",IF(MONTH(Monat.Tag1)=1,0,IF(MONTH(Monat.Tag1)=2,January!Monat.MZSUeVM,IF(MONTH(Monat.Tag1)=3,February!Monat.MZSUeVM,IF(MONTH(Monat.Tag1)=4,March!Monat.MZSUeVM,IF(MONTH(Monat.Tag1)=5,April!Monat.MZSUeVM,IF(MONTH(Monat.Tag1)=6,May!Monat.MZSUeVM,IF(MONTH(Monat.Tag1)=7,June!Monat.MZSUeVM,IF(MONTH(Monat.Tag1)=8,July!Monat.MZSUeVM,IF(MONTH(Monat.Tag1)=9,Monat.MZSUeVM,IF(MONTH(Monat.Tag1)=10,September!Monat.MZSUeVM,IF(MONTH(Monat.Tag1)=11,October!Monat.MZSUeVM,IF(MONTH(Monat.Tag1)=12,November!Monat.MZSUeVM,"")))))))))))),"")</f>
        <v>0</v>
      </c>
      <c r="AM90" s="172"/>
      <c r="AN90" s="217" t="n">
        <f aca="false">AI90+AL90</f>
        <v>0</v>
      </c>
      <c r="AO90" s="171"/>
      <c r="AP90" s="171"/>
      <c r="AQ90" s="39"/>
    </row>
    <row r="91" s="148" customFormat="true" ht="15" hidden="false" customHeight="true" outlineLevel="0" collapsed="false">
      <c r="A91" s="175" t="s">
        <v>173</v>
      </c>
      <c r="B91" s="176"/>
      <c r="C91" s="176"/>
      <c r="D91" s="176"/>
      <c r="E91" s="177"/>
      <c r="F91" s="176"/>
      <c r="G91" s="176"/>
      <c r="H91" s="176"/>
      <c r="I91" s="176"/>
      <c r="J91" s="177"/>
      <c r="K91" s="176"/>
      <c r="L91" s="177"/>
      <c r="M91" s="176"/>
      <c r="N91" s="176"/>
      <c r="O91" s="176"/>
      <c r="P91" s="176"/>
      <c r="Q91" s="177"/>
      <c r="R91" s="176"/>
      <c r="S91" s="177"/>
      <c r="T91" s="177"/>
      <c r="U91" s="176"/>
      <c r="V91" s="176"/>
      <c r="W91" s="176"/>
      <c r="X91" s="177"/>
      <c r="Y91" s="176"/>
      <c r="Z91" s="178"/>
      <c r="AA91" s="176"/>
      <c r="AB91" s="176"/>
      <c r="AC91" s="176"/>
      <c r="AD91" s="176"/>
      <c r="AE91" s="177"/>
      <c r="AF91" s="176"/>
      <c r="AG91" s="168" t="str">
        <f aca="false">A91</f>
        <v>Continuing education</v>
      </c>
      <c r="AH91" s="184"/>
      <c r="AI91" s="207" t="n">
        <f aca="false">SUM(B91:AF91)</f>
        <v>0</v>
      </c>
      <c r="AJ91" s="33"/>
      <c r="AK91" s="235"/>
      <c r="AL91" s="216" t="n">
        <f aca="false">IF(EB.Anwendung&lt;&gt;"",IF(MONTH(Monat.Tag1)=1,0,IF(MONTH(Monat.Tag1)=2,January!Monat.WBUeVM,IF(MONTH(Monat.Tag1)=3,February!Monat.WBUeVM,IF(MONTH(Monat.Tag1)=4,March!Monat.WBUeVM,IF(MONTH(Monat.Tag1)=5,April!Monat.WBUeVM,IF(MONTH(Monat.Tag1)=6,May!Monat.WBUeVM,IF(MONTH(Monat.Tag1)=7,June!Monat.WBUeVM,IF(MONTH(Monat.Tag1)=8,July!Monat.WBUeVM,IF(MONTH(Monat.Tag1)=9,Monat.WBUeVM,IF(MONTH(Monat.Tag1)=10,September!Monat.WBUeVM,IF(MONTH(Monat.Tag1)=11,October!Monat.WBUeVM,IF(MONTH(Monat.Tag1)=12,November!Monat.WBUeVM,"")))))))))))),"")</f>
        <v>0</v>
      </c>
      <c r="AM91" s="172"/>
      <c r="AN91" s="217" t="n">
        <f aca="false">AI91+AL91</f>
        <v>0</v>
      </c>
      <c r="AO91" s="171"/>
      <c r="AP91" s="171"/>
      <c r="AQ91" s="39"/>
    </row>
    <row r="92" s="148" customFormat="true" ht="15" hidden="false" customHeight="true" outlineLevel="0" collapsed="false">
      <c r="A92" s="175" t="s">
        <v>174</v>
      </c>
      <c r="B92" s="176"/>
      <c r="C92" s="176"/>
      <c r="D92" s="176"/>
      <c r="E92" s="177"/>
      <c r="F92" s="176"/>
      <c r="G92" s="176"/>
      <c r="H92" s="176"/>
      <c r="I92" s="176"/>
      <c r="J92" s="177"/>
      <c r="K92" s="176"/>
      <c r="L92" s="177"/>
      <c r="M92" s="176"/>
      <c r="N92" s="176"/>
      <c r="O92" s="176"/>
      <c r="P92" s="176"/>
      <c r="Q92" s="177"/>
      <c r="R92" s="176"/>
      <c r="S92" s="177"/>
      <c r="T92" s="177"/>
      <c r="U92" s="176"/>
      <c r="V92" s="176"/>
      <c r="W92" s="176"/>
      <c r="X92" s="177"/>
      <c r="Y92" s="176"/>
      <c r="Z92" s="178"/>
      <c r="AA92" s="176"/>
      <c r="AB92" s="176"/>
      <c r="AC92" s="176"/>
      <c r="AD92" s="176"/>
      <c r="AE92" s="177"/>
      <c r="AF92" s="176"/>
      <c r="AG92" s="168" t="str">
        <f aca="false">A92</f>
        <v>Paid leave</v>
      </c>
      <c r="AH92" s="184"/>
      <c r="AI92" s="207" t="n">
        <f aca="false">SUM(B92:AF92)</f>
        <v>0</v>
      </c>
      <c r="AJ92" s="33"/>
      <c r="AK92" s="235"/>
      <c r="AL92" s="216" t="n">
        <f aca="false">IF(EB.Anwendung&lt;&gt;"",IF(MONTH(Monat.Tag1)=1,0,IF(MONTH(Monat.Tag1)=2,January!Monat.BesUrlaubUeVM,IF(MONTH(Monat.Tag1)=3,February!Monat.BesUrlaubUeVM,IF(MONTH(Monat.Tag1)=4,March!Monat.BesUrlaubUeVM,IF(MONTH(Monat.Tag1)=5,April!Monat.BesUrlaubUeVM,IF(MONTH(Monat.Tag1)=6,May!Monat.BesUrlaubUeVM,IF(MONTH(Monat.Tag1)=7,June!Monat.BesUrlaubUeVM,IF(MONTH(Monat.Tag1)=8,July!Monat.BesUrlaubUeVM,IF(MONTH(Monat.Tag1)=9,Monat.BesUrlaubUeVM,IF(MONTH(Monat.Tag1)=10,September!Monat.BesUrlaubUeVM,IF(MONTH(Monat.Tag1)=11,October!Monat.BesUrlaubUeVM,IF(MONTH(Monat.Tag1)=12,November!Monat.BesUrlaubUeVM,"")))))))))))),"")</f>
        <v>0</v>
      </c>
      <c r="AM92" s="172"/>
      <c r="AN92" s="217" t="n">
        <f aca="false">AI92+AL92</f>
        <v>0</v>
      </c>
      <c r="AO92" s="171"/>
      <c r="AP92" s="171"/>
      <c r="AQ92" s="39"/>
    </row>
    <row r="93" s="148" customFormat="true" ht="15" hidden="false" customHeight="true" outlineLevel="0" collapsed="false">
      <c r="A93" s="175" t="s">
        <v>175</v>
      </c>
      <c r="B93" s="176"/>
      <c r="C93" s="176"/>
      <c r="D93" s="176"/>
      <c r="E93" s="177"/>
      <c r="F93" s="176"/>
      <c r="G93" s="176"/>
      <c r="H93" s="176"/>
      <c r="I93" s="176"/>
      <c r="J93" s="177"/>
      <c r="K93" s="176"/>
      <c r="L93" s="177"/>
      <c r="M93" s="176"/>
      <c r="N93" s="176"/>
      <c r="O93" s="176"/>
      <c r="P93" s="176"/>
      <c r="Q93" s="177"/>
      <c r="R93" s="176"/>
      <c r="S93" s="177"/>
      <c r="T93" s="177"/>
      <c r="U93" s="176"/>
      <c r="V93" s="176"/>
      <c r="W93" s="176"/>
      <c r="X93" s="177"/>
      <c r="Y93" s="176"/>
      <c r="Z93" s="178"/>
      <c r="AA93" s="176"/>
      <c r="AB93" s="176"/>
      <c r="AC93" s="176"/>
      <c r="AD93" s="176"/>
      <c r="AE93" s="177"/>
      <c r="AF93" s="176"/>
      <c r="AG93" s="168" t="str">
        <f aca="false">A93</f>
        <v>Unpaid leave</v>
      </c>
      <c r="AH93" s="184"/>
      <c r="AI93" s="207" t="n">
        <f aca="false">SUM(B93:AF93)</f>
        <v>0</v>
      </c>
      <c r="AJ93" s="33"/>
      <c r="AK93" s="235"/>
      <c r="AL93" s="216" t="n">
        <f aca="false">IF(EB.Anwendung&lt;&gt;"",IF(MONTH(Monat.Tag1)=1,0,IF(MONTH(Monat.Tag1)=2,January!Monat.UnbesUrlaubUeVM,IF(MONTH(Monat.Tag1)=3,February!Monat.UnbesUrlaubUeVM,IF(MONTH(Monat.Tag1)=4,March!Monat.UnbesUrlaubUeVM,IF(MONTH(Monat.Tag1)=5,April!Monat.UnbesUrlaubUeVM,IF(MONTH(Monat.Tag1)=6,May!Monat.UnbesUrlaubUeVM,IF(MONTH(Monat.Tag1)=7,June!Monat.UnbesUrlaubUeVM,IF(MONTH(Monat.Tag1)=8,July!Monat.UnbesUrlaubUeVM,IF(MONTH(Monat.Tag1)=9,Monat.UnbesUrlaubUeVM,IF(MONTH(Monat.Tag1)=10,September!Monat.UnbesUrlaubUeVM,IF(MONTH(Monat.Tag1)=11,October!Monat.UnbesUrlaubUeVM,IF(MONTH(Monat.Tag1)=12,November!Monat.UnbesUrlaubUeVM,"")))))))))))),"")</f>
        <v>0</v>
      </c>
      <c r="AM93" s="172"/>
      <c r="AN93" s="217" t="n">
        <f aca="false">AI93+AL93</f>
        <v>0</v>
      </c>
      <c r="AO93" s="171"/>
      <c r="AP93" s="171"/>
      <c r="AQ93" s="39"/>
    </row>
    <row r="94" s="148" customFormat="true" ht="15" hidden="true" customHeight="true" outlineLevel="1" collapsed="false">
      <c r="A94" s="175" t="s">
        <v>176</v>
      </c>
      <c r="B94" s="176"/>
      <c r="C94" s="176"/>
      <c r="D94" s="176"/>
      <c r="E94" s="177"/>
      <c r="F94" s="176"/>
      <c r="G94" s="176"/>
      <c r="H94" s="176"/>
      <c r="I94" s="176"/>
      <c r="J94" s="177"/>
      <c r="K94" s="176"/>
      <c r="L94" s="177"/>
      <c r="M94" s="176"/>
      <c r="N94" s="176"/>
      <c r="O94" s="176"/>
      <c r="P94" s="176"/>
      <c r="Q94" s="177"/>
      <c r="R94" s="176"/>
      <c r="S94" s="177"/>
      <c r="T94" s="177"/>
      <c r="U94" s="176"/>
      <c r="V94" s="176"/>
      <c r="W94" s="176"/>
      <c r="X94" s="177"/>
      <c r="Y94" s="176"/>
      <c r="Z94" s="178"/>
      <c r="AA94" s="176"/>
      <c r="AB94" s="176"/>
      <c r="AC94" s="176"/>
      <c r="AD94" s="176"/>
      <c r="AE94" s="177"/>
      <c r="AF94" s="176"/>
      <c r="AG94" s="168" t="str">
        <f aca="false">A94</f>
        <v>Secondary employment</v>
      </c>
      <c r="AH94" s="184"/>
      <c r="AI94" s="207" t="n">
        <f aca="false">SUM(B94:AF94)</f>
        <v>0</v>
      </c>
      <c r="AJ94" s="33"/>
      <c r="AK94" s="235"/>
      <c r="AL94" s="216" t="n">
        <f aca="false">IF(EB.Anwendung&lt;&gt;"",IF(MONTH(Monat.Tag1)=1,0,IF(MONTH(Monat.Tag1)=2,January!Monat.NBUeVM,IF(MONTH(Monat.Tag1)=3,February!Monat.NBUeVM,IF(MONTH(Monat.Tag1)=4,March!Monat.NBUeVM,IF(MONTH(Monat.Tag1)=5,April!Monat.NBUeVM,IF(MONTH(Monat.Tag1)=6,May!Monat.NBUeVM,IF(MONTH(Monat.Tag1)=7,June!Monat.NBUeVM,IF(MONTH(Monat.Tag1)=8,July!Monat.NBUeVM,IF(MONTH(Monat.Tag1)=9,Monat.NBUeVM,IF(MONTH(Monat.Tag1)=10,September!Monat.NBUeVM,IF(MONTH(Monat.Tag1)=11,October!Monat.NBUeVM,IF(MONTH(Monat.Tag1)=12,November!Monat.NBUeVM,"")))))))))))),"")</f>
        <v>0</v>
      </c>
      <c r="AM94" s="172"/>
      <c r="AN94" s="217" t="n">
        <f aca="false">AI94+AL94</f>
        <v>0</v>
      </c>
      <c r="AO94" s="171"/>
      <c r="AP94" s="171"/>
      <c r="AQ94" s="39"/>
    </row>
    <row r="95" s="148" customFormat="true" ht="15" hidden="false" customHeight="true" outlineLevel="0" collapsed="false">
      <c r="A95" s="175" t="s">
        <v>86</v>
      </c>
      <c r="B95" s="176"/>
      <c r="C95" s="176"/>
      <c r="D95" s="176"/>
      <c r="E95" s="177"/>
      <c r="F95" s="176"/>
      <c r="G95" s="176"/>
      <c r="H95" s="176"/>
      <c r="I95" s="176"/>
      <c r="J95" s="177"/>
      <c r="K95" s="176"/>
      <c r="L95" s="177"/>
      <c r="M95" s="176"/>
      <c r="N95" s="176"/>
      <c r="O95" s="176"/>
      <c r="P95" s="176"/>
      <c r="Q95" s="177"/>
      <c r="R95" s="176"/>
      <c r="S95" s="177"/>
      <c r="T95" s="177"/>
      <c r="U95" s="176"/>
      <c r="V95" s="176"/>
      <c r="W95" s="176"/>
      <c r="X95" s="177"/>
      <c r="Y95" s="176"/>
      <c r="Z95" s="178"/>
      <c r="AA95" s="176"/>
      <c r="AB95" s="176"/>
      <c r="AC95" s="176"/>
      <c r="AD95" s="176"/>
      <c r="AE95" s="177"/>
      <c r="AF95" s="176"/>
      <c r="AG95" s="168" t="str">
        <f aca="false">A95</f>
        <v>Seniority allowance</v>
      </c>
      <c r="AH95" s="184"/>
      <c r="AI95" s="207" t="n">
        <f aca="false">SUM(B95:AF95)</f>
        <v>0</v>
      </c>
      <c r="AJ95" s="33"/>
      <c r="AK95" s="235"/>
      <c r="AL95" s="216" t="n">
        <f aca="false">IF(EB.Anwendung&lt;&gt;"",IF(MONTH(Monat.Tag1)=1,EB.DAG,IF(MONTH(Monat.Tag1)=2,January!Monat.DAGUeVM,IF(MONTH(Monat.Tag1)=3,February!Monat.DAGUeVM,IF(MONTH(Monat.Tag1)=4,March!Monat.DAGUeVM,IF(MONTH(Monat.Tag1)=5,April!Monat.DAGUeVM,IF(MONTH(Monat.Tag1)=6,May!Monat.DAGUeVM,IF(MONTH(Monat.Tag1)=7,June!Monat.DAGUeVM,IF(MONTH(Monat.Tag1)=8,July!Monat.DAGUeVM,IF(MONTH(Monat.Tag1)=9,Monat.DAGUeVM,IF(MONTH(Monat.Tag1)=10,September!Monat.DAGUeVM,IF(MONTH(Monat.Tag1)=11,October!Monat.DAGUeVM,IF(MONTH(Monat.Tag1)=12,November!Monat.DAGUeVM,"")))))))))))),"")</f>
        <v>0</v>
      </c>
      <c r="AM95" s="172"/>
      <c r="AN95" s="217" t="n">
        <f aca="false">AL95-AI95</f>
        <v>0</v>
      </c>
      <c r="AO95" s="171"/>
      <c r="AP95" s="171"/>
      <c r="AQ95" s="39"/>
    </row>
    <row r="96" s="148" customFormat="true" ht="11.25" hidden="false" customHeight="true" outlineLevel="0" collapsed="false">
      <c r="A96" s="186"/>
      <c r="B96" s="191"/>
      <c r="C96" s="191"/>
      <c r="D96" s="191"/>
      <c r="E96" s="191"/>
      <c r="F96" s="191"/>
      <c r="G96" s="191"/>
      <c r="H96" s="191"/>
      <c r="I96" s="191"/>
      <c r="J96" s="191"/>
      <c r="K96" s="191"/>
      <c r="L96" s="191"/>
      <c r="M96" s="191"/>
      <c r="N96" s="191"/>
      <c r="O96" s="191"/>
      <c r="P96" s="191"/>
      <c r="Q96" s="191"/>
      <c r="R96" s="191"/>
      <c r="S96" s="191"/>
      <c r="T96" s="191"/>
      <c r="U96" s="191"/>
      <c r="V96" s="191"/>
      <c r="W96" s="191"/>
      <c r="X96" s="191"/>
      <c r="Y96" s="191"/>
      <c r="Z96" s="191"/>
      <c r="AA96" s="191"/>
      <c r="AB96" s="191"/>
      <c r="AC96" s="191"/>
      <c r="AD96" s="191"/>
      <c r="AE96" s="191"/>
      <c r="AF96" s="192"/>
      <c r="AG96" s="168"/>
      <c r="AH96" s="197"/>
      <c r="AI96" s="192"/>
      <c r="AJ96" s="27"/>
      <c r="AK96" s="235"/>
      <c r="AL96" s="235"/>
      <c r="AM96" s="172"/>
      <c r="AN96" s="254"/>
      <c r="AO96" s="179"/>
      <c r="AP96" s="179"/>
      <c r="AQ96" s="39"/>
    </row>
    <row r="97" s="148" customFormat="true" ht="15" hidden="false" customHeight="true" outlineLevel="0" collapsed="false">
      <c r="A97" s="181" t="str">
        <f aca="true">IF(ROW(A97)-ROW(INDEX(Monat.Projekte.Zeilen,1))+1&gt;EB.AnzProjekte,"",OFFSET(EB.Projekte.Knoten,ROW(A97)-ROW(INDEX(Monat.Projekte.Zeilen,1))+1,0,1,1))</f>
        <v/>
      </c>
      <c r="B97" s="176"/>
      <c r="C97" s="176"/>
      <c r="D97" s="176"/>
      <c r="E97" s="177"/>
      <c r="F97" s="176"/>
      <c r="G97" s="176"/>
      <c r="H97" s="176"/>
      <c r="I97" s="176"/>
      <c r="J97" s="177"/>
      <c r="K97" s="176"/>
      <c r="L97" s="177"/>
      <c r="M97" s="176"/>
      <c r="N97" s="176"/>
      <c r="O97" s="176"/>
      <c r="P97" s="176"/>
      <c r="Q97" s="177"/>
      <c r="R97" s="176"/>
      <c r="S97" s="177"/>
      <c r="T97" s="177"/>
      <c r="U97" s="176"/>
      <c r="V97" s="176"/>
      <c r="W97" s="176"/>
      <c r="X97" s="177"/>
      <c r="Y97" s="176"/>
      <c r="Z97" s="178"/>
      <c r="AA97" s="176"/>
      <c r="AB97" s="176"/>
      <c r="AC97" s="176"/>
      <c r="AD97" s="176"/>
      <c r="AE97" s="177"/>
      <c r="AF97" s="176"/>
      <c r="AG97" s="168" t="str">
        <f aca="false">A97</f>
        <v/>
      </c>
      <c r="AH97" s="202"/>
      <c r="AI97" s="262" t="n">
        <f aca="false">SUM(B97:AF97)</f>
        <v>0</v>
      </c>
      <c r="AJ97" s="33"/>
      <c r="AK97" s="192"/>
      <c r="AL97" s="216" t="n">
        <f aca="false">IF(EB.Anwendung&lt;&gt;"",IF(MONTH(Monat.Tag1)=1,0,IF(MONTH(Monat.Tag1)=2,January!Monat.P1UeVM,IF(MONTH(Monat.Tag1)=3,February!Monat.P1UeVM,IF(MONTH(Monat.Tag1)=4,March!Monat.P1UeVM,IF(MONTH(Monat.Tag1)=5,April!Monat.P1UeVM,IF(MONTH(Monat.Tag1)=6,May!Monat.P1UeVM,IF(MONTH(Monat.Tag1)=7,June!Monat.P1UeVM,IF(MONTH(Monat.Tag1)=8,July!Monat.P1UeVM,IF(MONTH(Monat.Tag1)=9,Monat.P1UeVM,IF(MONTH(Monat.Tag1)=10,September!Monat.P1UeVM,IF(MONTH(Monat.Tag1)=11,October!Monat.P1UeVM,IF(MONTH(Monat.Tag1)=12,November!Monat.P1UeVM,"")))))))))))),"")</f>
        <v>0</v>
      </c>
      <c r="AM97" s="172"/>
      <c r="AN97" s="217" t="n">
        <f aca="false">AI97+AL97</f>
        <v>0</v>
      </c>
      <c r="AO97" s="171"/>
      <c r="AP97" s="171"/>
      <c r="AQ97" s="39"/>
    </row>
    <row r="98" s="148" customFormat="true" ht="15" hidden="false" customHeight="true" outlineLevel="0" collapsed="false">
      <c r="A98" s="181" t="str">
        <f aca="true">IF(ROW(A98)-ROW(INDEX(Monat.Projekte.Zeilen,1))+1&gt;EB.AnzProjekte,"",OFFSET(EB.Projekte.Knoten,ROW(A98)-ROW(INDEX(Monat.Projekte.Zeilen,1))+1,0,1,1))</f>
        <v/>
      </c>
      <c r="B98" s="176"/>
      <c r="C98" s="176"/>
      <c r="D98" s="176"/>
      <c r="E98" s="177"/>
      <c r="F98" s="176"/>
      <c r="G98" s="176"/>
      <c r="H98" s="176"/>
      <c r="I98" s="176"/>
      <c r="J98" s="177"/>
      <c r="K98" s="176"/>
      <c r="L98" s="177"/>
      <c r="M98" s="176"/>
      <c r="N98" s="176"/>
      <c r="O98" s="176"/>
      <c r="P98" s="176"/>
      <c r="Q98" s="177"/>
      <c r="R98" s="176"/>
      <c r="S98" s="177"/>
      <c r="T98" s="177"/>
      <c r="U98" s="176"/>
      <c r="V98" s="176"/>
      <c r="W98" s="176"/>
      <c r="X98" s="177"/>
      <c r="Y98" s="176"/>
      <c r="Z98" s="178"/>
      <c r="AA98" s="176"/>
      <c r="AB98" s="176"/>
      <c r="AC98" s="176"/>
      <c r="AD98" s="176"/>
      <c r="AE98" s="177"/>
      <c r="AF98" s="176"/>
      <c r="AG98" s="168" t="str">
        <f aca="false">A98</f>
        <v/>
      </c>
      <c r="AH98" s="184"/>
      <c r="AI98" s="207" t="n">
        <f aca="false">SUM(B98:AF98)</f>
        <v>0</v>
      </c>
      <c r="AJ98" s="33"/>
      <c r="AK98" s="192"/>
      <c r="AL98" s="216" t="n">
        <f aca="false">IF(EB.Anwendung&lt;&gt;"",IF(MONTH(Monat.Tag1)=1,0,IF(MONTH(Monat.Tag1)=2,January!Monat.P2UeVM,IF(MONTH(Monat.Tag1)=3,February!Monat.P2UeVM,IF(MONTH(Monat.Tag1)=4,March!Monat.P2UeVM,IF(MONTH(Monat.Tag1)=5,April!Monat.P2UeVM,IF(MONTH(Monat.Tag1)=6,May!Monat.P2UeVM,IF(MONTH(Monat.Tag1)=7,June!Monat.P2UeVM,IF(MONTH(Monat.Tag1)=8,July!Monat.P2UeVM,IF(MONTH(Monat.Tag1)=9,Monat.P2UeVM,IF(MONTH(Monat.Tag1)=10,September!Monat.P2UeVM,IF(MONTH(Monat.Tag1)=11,October!Monat.P2UeVM,IF(MONTH(Monat.Tag1)=12,November!Monat.P2UeVM,"")))))))))))),"")</f>
        <v>0</v>
      </c>
      <c r="AM98" s="172"/>
      <c r="AN98" s="217" t="n">
        <f aca="false">AI98+AL98</f>
        <v>0</v>
      </c>
      <c r="AO98" s="171"/>
      <c r="AP98" s="171"/>
      <c r="AQ98" s="39"/>
    </row>
    <row r="99" s="148" customFormat="true" ht="15" hidden="false" customHeight="true" outlineLevel="0" collapsed="false">
      <c r="A99" s="181" t="str">
        <f aca="true">IF(ROW(A99)-ROW(INDEX(Monat.Projekte.Zeilen,1))+1&gt;EB.AnzProjekte,"",OFFSET(EB.Projekte.Knoten,ROW(A99)-ROW(INDEX(Monat.Projekte.Zeilen,1))+1,0,1,1))</f>
        <v/>
      </c>
      <c r="B99" s="176"/>
      <c r="C99" s="176"/>
      <c r="D99" s="176"/>
      <c r="E99" s="177"/>
      <c r="F99" s="176"/>
      <c r="G99" s="176"/>
      <c r="H99" s="176"/>
      <c r="I99" s="176"/>
      <c r="J99" s="177"/>
      <c r="K99" s="176"/>
      <c r="L99" s="177"/>
      <c r="M99" s="176"/>
      <c r="N99" s="176"/>
      <c r="O99" s="176"/>
      <c r="P99" s="176"/>
      <c r="Q99" s="177"/>
      <c r="R99" s="176"/>
      <c r="S99" s="177"/>
      <c r="T99" s="177"/>
      <c r="U99" s="176"/>
      <c r="V99" s="176"/>
      <c r="W99" s="176"/>
      <c r="X99" s="177"/>
      <c r="Y99" s="176"/>
      <c r="Z99" s="178"/>
      <c r="AA99" s="176"/>
      <c r="AB99" s="176"/>
      <c r="AC99" s="176"/>
      <c r="AD99" s="176"/>
      <c r="AE99" s="177"/>
      <c r="AF99" s="176"/>
      <c r="AG99" s="168" t="str">
        <f aca="false">A99</f>
        <v/>
      </c>
      <c r="AH99" s="263"/>
      <c r="AI99" s="207" t="n">
        <f aca="false">SUM(B99:AF99)</f>
        <v>0</v>
      </c>
      <c r="AJ99" s="33"/>
      <c r="AK99" s="192"/>
      <c r="AL99" s="216" t="n">
        <f aca="false">IF(EB.Anwendung&lt;&gt;"",IF(MONTH(Monat.Tag1)=1,0,IF(MONTH(Monat.Tag1)=2,January!Monat.P3UeVM,IF(MONTH(Monat.Tag1)=3,February!Monat.P3UeVM,IF(MONTH(Monat.Tag1)=4,March!Monat.P3UeVM,IF(MONTH(Monat.Tag1)=5,April!Monat.P3UeVM,IF(MONTH(Monat.Tag1)=6,May!Monat.P3UeVM,IF(MONTH(Monat.Tag1)=7,June!Monat.P3UeVM,IF(MONTH(Monat.Tag1)=8,July!Monat.P3UeVM,IF(MONTH(Monat.Tag1)=9,Monat.P3UeVM,IF(MONTH(Monat.Tag1)=10,September!Monat.P3UeVM,IF(MONTH(Monat.Tag1)=11,October!Monat.P3UeVM,IF(MONTH(Monat.Tag1)=12,November!Monat.P3UeVM,"")))))))))))),"")</f>
        <v>0</v>
      </c>
      <c r="AM99" s="172"/>
      <c r="AN99" s="217" t="n">
        <f aca="false">AI99+AL99</f>
        <v>0</v>
      </c>
      <c r="AO99" s="171"/>
      <c r="AP99" s="171"/>
      <c r="AQ99" s="39"/>
    </row>
    <row r="100" s="148" customFormat="true" ht="15" hidden="false" customHeight="true" outlineLevel="0" collapsed="false">
      <c r="A100" s="181" t="str">
        <f aca="true">IF(ROW(A100)-ROW(INDEX(Monat.Projekte.Zeilen,1))+1&gt;EB.AnzProjekte,"",OFFSET(EB.Projekte.Knoten,ROW(A100)-ROW(INDEX(Monat.Projekte.Zeilen,1))+1,0,1,1))</f>
        <v/>
      </c>
      <c r="B100" s="176"/>
      <c r="C100" s="176"/>
      <c r="D100" s="176"/>
      <c r="E100" s="177"/>
      <c r="F100" s="176"/>
      <c r="G100" s="176"/>
      <c r="H100" s="176"/>
      <c r="I100" s="176"/>
      <c r="J100" s="177"/>
      <c r="K100" s="176"/>
      <c r="L100" s="177"/>
      <c r="M100" s="176"/>
      <c r="N100" s="176"/>
      <c r="O100" s="176"/>
      <c r="P100" s="176"/>
      <c r="Q100" s="177"/>
      <c r="R100" s="176"/>
      <c r="S100" s="177"/>
      <c r="T100" s="177"/>
      <c r="U100" s="176"/>
      <c r="V100" s="176"/>
      <c r="W100" s="176"/>
      <c r="X100" s="177"/>
      <c r="Y100" s="176"/>
      <c r="Z100" s="178"/>
      <c r="AA100" s="176"/>
      <c r="AB100" s="176"/>
      <c r="AC100" s="176"/>
      <c r="AD100" s="176"/>
      <c r="AE100" s="177"/>
      <c r="AF100" s="176"/>
      <c r="AG100" s="168" t="str">
        <f aca="false">A100</f>
        <v/>
      </c>
      <c r="AH100" s="197"/>
      <c r="AI100" s="207" t="n">
        <f aca="false">SUM(B100:AF100)</f>
        <v>0</v>
      </c>
      <c r="AJ100" s="33"/>
      <c r="AK100" s="192"/>
      <c r="AL100" s="216" t="n">
        <f aca="false">IF(EB.Anwendung&lt;&gt;"",IF(MONTH(Monat.Tag1)=1,0,IF(MONTH(Monat.Tag1)=2,January!Monat.P4UeVM,IF(MONTH(Monat.Tag1)=3,February!Monat.P4UeVM,IF(MONTH(Monat.Tag1)=4,March!Monat.P4UeVM,IF(MONTH(Monat.Tag1)=5,April!Monat.P4UeVM,IF(MONTH(Monat.Tag1)=6,May!Monat.P4UeVM,IF(MONTH(Monat.Tag1)=7,June!Monat.P4UeVM,IF(MONTH(Monat.Tag1)=8,July!Monat.P4UeVM,IF(MONTH(Monat.Tag1)=9,Monat.P4UeVM,IF(MONTH(Monat.Tag1)=10,September!Monat.P4UeVM,IF(MONTH(Monat.Tag1)=11,October!Monat.P4UeVM,IF(MONTH(Monat.Tag1)=12,November!Monat.P4UeVM,"")))))))))))),"")</f>
        <v>0</v>
      </c>
      <c r="AM100" s="172"/>
      <c r="AN100" s="217" t="n">
        <f aca="false">AI100+AL100</f>
        <v>0</v>
      </c>
      <c r="AO100" s="171"/>
      <c r="AP100" s="171"/>
      <c r="AQ100" s="39"/>
    </row>
    <row r="101" s="148" customFormat="true" ht="15" hidden="false" customHeight="true" outlineLevel="0" collapsed="false">
      <c r="A101" s="181" t="str">
        <f aca="true">IF(ROW(A101)-ROW(INDEX(Monat.Projekte.Zeilen,1))+1&gt;EB.AnzProjekte,"",OFFSET(EB.Projekte.Knoten,ROW(A101)-ROW(INDEX(Monat.Projekte.Zeilen,1))+1,0,1,1))</f>
        <v/>
      </c>
      <c r="B101" s="176"/>
      <c r="C101" s="176"/>
      <c r="D101" s="176"/>
      <c r="E101" s="177"/>
      <c r="F101" s="176"/>
      <c r="G101" s="176"/>
      <c r="H101" s="176"/>
      <c r="I101" s="176"/>
      <c r="J101" s="177"/>
      <c r="K101" s="176"/>
      <c r="L101" s="177"/>
      <c r="M101" s="176"/>
      <c r="N101" s="176"/>
      <c r="O101" s="176"/>
      <c r="P101" s="176"/>
      <c r="Q101" s="177"/>
      <c r="R101" s="176"/>
      <c r="S101" s="177"/>
      <c r="T101" s="177"/>
      <c r="U101" s="176"/>
      <c r="V101" s="176"/>
      <c r="W101" s="176"/>
      <c r="X101" s="177"/>
      <c r="Y101" s="176"/>
      <c r="Z101" s="178"/>
      <c r="AA101" s="176"/>
      <c r="AB101" s="176"/>
      <c r="AC101" s="176"/>
      <c r="AD101" s="176"/>
      <c r="AE101" s="177"/>
      <c r="AF101" s="176"/>
      <c r="AG101" s="168" t="str">
        <f aca="false">A101</f>
        <v/>
      </c>
      <c r="AH101" s="184"/>
      <c r="AI101" s="207" t="n">
        <f aca="false">SUM(B101:AF101)</f>
        <v>0</v>
      </c>
      <c r="AJ101" s="33"/>
      <c r="AK101" s="192"/>
      <c r="AL101" s="216" t="n">
        <f aca="false">IF(EB.Anwendung&lt;&gt;"",IF(MONTH(Monat.Tag1)=1,0,IF(MONTH(Monat.Tag1)=2,January!Monat.P5UeVM,IF(MONTH(Monat.Tag1)=3,February!Monat.P5UeVM,IF(MONTH(Monat.Tag1)=4,March!Monat.P5UeVM,IF(MONTH(Monat.Tag1)=5,April!Monat.P5UeVM,IF(MONTH(Monat.Tag1)=6,May!Monat.P5UeVM,IF(MONTH(Monat.Tag1)=7,June!Monat.P5UeVM,IF(MONTH(Monat.Tag1)=8,July!Monat.P5UeVM,IF(MONTH(Monat.Tag1)=9,Monat.P5UeVM,IF(MONTH(Monat.Tag1)=10,September!Monat.P5UeVM,IF(MONTH(Monat.Tag1)=11,October!Monat.P5UeVM,IF(MONTH(Monat.Tag1)=12,November!Monat.P5UeVM,"")))))))))))),"")</f>
        <v>0</v>
      </c>
      <c r="AM101" s="172"/>
      <c r="AN101" s="217" t="n">
        <f aca="false">AI101+AL101</f>
        <v>0</v>
      </c>
      <c r="AO101" s="171"/>
      <c r="AP101" s="171"/>
      <c r="AQ101" s="39"/>
    </row>
    <row r="102" s="148" customFormat="true" ht="15" hidden="true" customHeight="true" outlineLevel="1" collapsed="false">
      <c r="A102" s="181" t="str">
        <f aca="true">IF(ROW(A102)-ROW(INDEX(Monat.Projekte.Zeilen,1))+1&gt;EB.AnzProjekte,"",OFFSET(EB.Projekte.Knoten,ROW(A102)-ROW(INDEX(Monat.Projekte.Zeilen,1))+1,0,1,1))</f>
        <v/>
      </c>
      <c r="B102" s="176"/>
      <c r="C102" s="176"/>
      <c r="D102" s="176"/>
      <c r="E102" s="177"/>
      <c r="F102" s="176"/>
      <c r="G102" s="176"/>
      <c r="H102" s="176"/>
      <c r="I102" s="176"/>
      <c r="J102" s="177"/>
      <c r="K102" s="176"/>
      <c r="L102" s="177"/>
      <c r="M102" s="176"/>
      <c r="N102" s="176"/>
      <c r="O102" s="176"/>
      <c r="P102" s="176"/>
      <c r="Q102" s="177"/>
      <c r="R102" s="176"/>
      <c r="S102" s="177"/>
      <c r="T102" s="177"/>
      <c r="U102" s="176"/>
      <c r="V102" s="176"/>
      <c r="W102" s="176"/>
      <c r="X102" s="177"/>
      <c r="Y102" s="176"/>
      <c r="Z102" s="178"/>
      <c r="AA102" s="176"/>
      <c r="AB102" s="176"/>
      <c r="AC102" s="176"/>
      <c r="AD102" s="176"/>
      <c r="AE102" s="177"/>
      <c r="AF102" s="176"/>
      <c r="AG102" s="168" t="str">
        <f aca="false">A102</f>
        <v/>
      </c>
      <c r="AH102" s="263"/>
      <c r="AI102" s="207" t="n">
        <f aca="false">SUM(B102:AF102)</f>
        <v>0</v>
      </c>
      <c r="AJ102" s="33"/>
      <c r="AK102" s="192"/>
      <c r="AL102" s="216" t="n">
        <f aca="false">IF(EB.Anwendung&lt;&gt;"",IF(MONTH(Monat.Tag1)=1,0,IF(MONTH(Monat.Tag1)=2,January!Monat.P6UeVM,IF(MONTH(Monat.Tag1)=3,February!Monat.P6UeVM,IF(MONTH(Monat.Tag1)=4,March!Monat.P6UeVM,IF(MONTH(Monat.Tag1)=5,April!Monat.P6UeVM,IF(MONTH(Monat.Tag1)=6,May!Monat.P6UeVM,IF(MONTH(Monat.Tag1)=7,June!Monat.P6UeVM,IF(MONTH(Monat.Tag1)=8,July!Monat.P6UeVM,IF(MONTH(Monat.Tag1)=9,Monat.P6UeVM,IF(MONTH(Monat.Tag1)=10,September!Monat.P6UeVM,IF(MONTH(Monat.Tag1)=11,October!Monat.P6UeVM,IF(MONTH(Monat.Tag1)=12,November!Monat.P6UeVM,"")))))))))))),"")</f>
        <v>0</v>
      </c>
      <c r="AM102" s="172"/>
      <c r="AN102" s="217" t="n">
        <f aca="false">AI102+AL102</f>
        <v>0</v>
      </c>
      <c r="AO102" s="171"/>
      <c r="AP102" s="171"/>
      <c r="AQ102" s="39"/>
    </row>
    <row r="103" s="148" customFormat="true" ht="15" hidden="true" customHeight="true" outlineLevel="1" collapsed="false">
      <c r="A103" s="181" t="str">
        <f aca="true">IF(ROW(A103)-ROW(INDEX(Monat.Projekte.Zeilen,1))+1&gt;EB.AnzProjekte,"",OFFSET(EB.Projekte.Knoten,ROW(A103)-ROW(INDEX(Monat.Projekte.Zeilen,1))+1,0,1,1))</f>
        <v/>
      </c>
      <c r="B103" s="176"/>
      <c r="C103" s="176"/>
      <c r="D103" s="176"/>
      <c r="E103" s="177"/>
      <c r="F103" s="176"/>
      <c r="G103" s="176"/>
      <c r="H103" s="176"/>
      <c r="I103" s="176"/>
      <c r="J103" s="177"/>
      <c r="K103" s="176"/>
      <c r="L103" s="177"/>
      <c r="M103" s="176"/>
      <c r="N103" s="176"/>
      <c r="O103" s="176"/>
      <c r="P103" s="176"/>
      <c r="Q103" s="177"/>
      <c r="R103" s="176"/>
      <c r="S103" s="177"/>
      <c r="T103" s="177"/>
      <c r="U103" s="176"/>
      <c r="V103" s="176"/>
      <c r="W103" s="176"/>
      <c r="X103" s="177"/>
      <c r="Y103" s="176"/>
      <c r="Z103" s="178"/>
      <c r="AA103" s="176"/>
      <c r="AB103" s="176"/>
      <c r="AC103" s="176"/>
      <c r="AD103" s="176"/>
      <c r="AE103" s="177"/>
      <c r="AF103" s="176"/>
      <c r="AG103" s="168" t="str">
        <f aca="false">A103</f>
        <v/>
      </c>
      <c r="AH103" s="197"/>
      <c r="AI103" s="207" t="n">
        <f aca="false">SUM(B103:AF103)</f>
        <v>0</v>
      </c>
      <c r="AJ103" s="33"/>
      <c r="AK103" s="192"/>
      <c r="AL103" s="216" t="n">
        <f aca="false">IF(EB.Anwendung&lt;&gt;"",IF(MONTH(Monat.Tag1)=1,0,IF(MONTH(Monat.Tag1)=2,January!Monat.P7UeVM,IF(MONTH(Monat.Tag1)=3,February!Monat.P7UeVM,IF(MONTH(Monat.Tag1)=4,March!Monat.P7UeVM,IF(MONTH(Monat.Tag1)=5,April!Monat.P7UeVM,IF(MONTH(Monat.Tag1)=6,May!Monat.P7UeVM,IF(MONTH(Monat.Tag1)=7,June!Monat.P7UeVM,IF(MONTH(Monat.Tag1)=8,July!Monat.P7UeVM,IF(MONTH(Monat.Tag1)=9,Monat.P7UeVM,IF(MONTH(Monat.Tag1)=10,September!Monat.P7UeVM,IF(MONTH(Monat.Tag1)=11,October!Monat.P7UeVM,IF(MONTH(Monat.Tag1)=12,November!Monat.P7UeVM,"")))))))))))),"")</f>
        <v>0</v>
      </c>
      <c r="AM103" s="172"/>
      <c r="AN103" s="217" t="n">
        <f aca="false">AI103+AL103</f>
        <v>0</v>
      </c>
      <c r="AO103" s="171"/>
      <c r="AP103" s="171"/>
      <c r="AQ103" s="39"/>
    </row>
    <row r="104" s="148" customFormat="true" ht="15" hidden="true" customHeight="true" outlineLevel="1" collapsed="false">
      <c r="A104" s="181" t="str">
        <f aca="true">IF(ROW(A104)-ROW(INDEX(Monat.Projekte.Zeilen,1))+1&gt;EB.AnzProjekte,"",OFFSET(EB.Projekte.Knoten,ROW(A104)-ROW(INDEX(Monat.Projekte.Zeilen,1))+1,0,1,1))</f>
        <v/>
      </c>
      <c r="B104" s="176"/>
      <c r="C104" s="176"/>
      <c r="D104" s="176"/>
      <c r="E104" s="177"/>
      <c r="F104" s="176"/>
      <c r="G104" s="176"/>
      <c r="H104" s="176"/>
      <c r="I104" s="176"/>
      <c r="J104" s="177"/>
      <c r="K104" s="176"/>
      <c r="L104" s="177"/>
      <c r="M104" s="176"/>
      <c r="N104" s="176"/>
      <c r="O104" s="176"/>
      <c r="P104" s="176"/>
      <c r="Q104" s="177"/>
      <c r="R104" s="176"/>
      <c r="S104" s="177"/>
      <c r="T104" s="177"/>
      <c r="U104" s="176"/>
      <c r="V104" s="176"/>
      <c r="W104" s="176"/>
      <c r="X104" s="177"/>
      <c r="Y104" s="176"/>
      <c r="Z104" s="178"/>
      <c r="AA104" s="176"/>
      <c r="AB104" s="176"/>
      <c r="AC104" s="176"/>
      <c r="AD104" s="176"/>
      <c r="AE104" s="177"/>
      <c r="AF104" s="176"/>
      <c r="AG104" s="168" t="str">
        <f aca="false">A104</f>
        <v/>
      </c>
      <c r="AH104" s="202"/>
      <c r="AI104" s="207" t="n">
        <f aca="false">SUM(B104:AF104)</f>
        <v>0</v>
      </c>
      <c r="AJ104" s="33"/>
      <c r="AK104" s="192"/>
      <c r="AL104" s="216" t="n">
        <f aca="false">IF(EB.Anwendung&lt;&gt;"",IF(MONTH(Monat.Tag1)=1,0,IF(MONTH(Monat.Tag1)=2,January!Monat.P8UeVM,IF(MONTH(Monat.Tag1)=3,February!Monat.P8UeVM,IF(MONTH(Monat.Tag1)=4,March!Monat.P8UeVM,IF(MONTH(Monat.Tag1)=5,April!Monat.P8UeVM,IF(MONTH(Monat.Tag1)=6,May!Monat.P8UeVM,IF(MONTH(Monat.Tag1)=7,June!Monat.P8UeVM,IF(MONTH(Monat.Tag1)=8,July!Monat.P8UeVM,IF(MONTH(Monat.Tag1)=9,Monat.P8UeVM,IF(MONTH(Monat.Tag1)=10,September!Monat.P8UeVM,IF(MONTH(Monat.Tag1)=11,October!Monat.P8UeVM,IF(MONTH(Monat.Tag1)=12,November!Monat.P8UeVM,"")))))))))))),"")</f>
        <v>0</v>
      </c>
      <c r="AM104" s="172"/>
      <c r="AN104" s="217" t="n">
        <f aca="false">AI104+AL104</f>
        <v>0</v>
      </c>
      <c r="AO104" s="171"/>
      <c r="AP104" s="171"/>
      <c r="AQ104" s="39"/>
    </row>
    <row r="105" s="148" customFormat="true" ht="15" hidden="true" customHeight="true" outlineLevel="1" collapsed="false">
      <c r="A105" s="181" t="str">
        <f aca="true">IF(ROW(A105)-ROW(INDEX(Monat.Projekte.Zeilen,1))+1&gt;EB.AnzProjekte,"",OFFSET(EB.Projekte.Knoten,ROW(A105)-ROW(INDEX(Monat.Projekte.Zeilen,1))+1,0,1,1))</f>
        <v/>
      </c>
      <c r="B105" s="176"/>
      <c r="C105" s="176"/>
      <c r="D105" s="176"/>
      <c r="E105" s="177"/>
      <c r="F105" s="176"/>
      <c r="G105" s="176"/>
      <c r="H105" s="176"/>
      <c r="I105" s="176"/>
      <c r="J105" s="177"/>
      <c r="K105" s="176"/>
      <c r="L105" s="177"/>
      <c r="M105" s="176"/>
      <c r="N105" s="176"/>
      <c r="O105" s="176"/>
      <c r="P105" s="176"/>
      <c r="Q105" s="177"/>
      <c r="R105" s="176"/>
      <c r="S105" s="177"/>
      <c r="T105" s="177"/>
      <c r="U105" s="176"/>
      <c r="V105" s="176"/>
      <c r="W105" s="176"/>
      <c r="X105" s="177"/>
      <c r="Y105" s="176"/>
      <c r="Z105" s="178"/>
      <c r="AA105" s="176"/>
      <c r="AB105" s="176"/>
      <c r="AC105" s="176"/>
      <c r="AD105" s="176"/>
      <c r="AE105" s="177"/>
      <c r="AF105" s="176"/>
      <c r="AG105" s="168" t="str">
        <f aca="false">A105</f>
        <v/>
      </c>
      <c r="AH105" s="184"/>
      <c r="AI105" s="207" t="n">
        <f aca="false">SUM(B105:AF105)</f>
        <v>0</v>
      </c>
      <c r="AJ105" s="33"/>
      <c r="AK105" s="192"/>
      <c r="AL105" s="216" t="n">
        <f aca="false">IF(EB.Anwendung&lt;&gt;"",IF(MONTH(Monat.Tag1)=1,0,IF(MONTH(Monat.Tag1)=2,January!Monat.P9UeVM,IF(MONTH(Monat.Tag1)=3,February!Monat.P9UeVM,IF(MONTH(Monat.Tag1)=4,March!Monat.P9UeVM,IF(MONTH(Monat.Tag1)=5,April!Monat.P9UeVM,IF(MONTH(Monat.Tag1)=6,May!Monat.P9UeVM,IF(MONTH(Monat.Tag1)=7,June!Monat.P9UeVM,IF(MONTH(Monat.Tag1)=8,July!Monat.P9UeVM,IF(MONTH(Monat.Tag1)=9,Monat.P9UeVM,IF(MONTH(Monat.Tag1)=10,September!Monat.P9UeVM,IF(MONTH(Monat.Tag1)=11,October!Monat.P9UeVM,IF(MONTH(Monat.Tag1)=12,November!Monat.P9UeVM,"")))))))))))),"")</f>
        <v>0</v>
      </c>
      <c r="AM105" s="172"/>
      <c r="AN105" s="217" t="n">
        <f aca="false">AI105+AL105</f>
        <v>0</v>
      </c>
      <c r="AO105" s="171"/>
      <c r="AP105" s="171"/>
      <c r="AQ105" s="39"/>
    </row>
    <row r="106" s="148" customFormat="true" ht="15" hidden="true" customHeight="true" outlineLevel="1" collapsed="false">
      <c r="A106" s="181" t="str">
        <f aca="true">IF(ROW(A106)-ROW(INDEX(Monat.Projekte.Zeilen,1))+1&gt;EB.AnzProjekte,"",OFFSET(EB.Projekte.Knoten,ROW(A106)-ROW(INDEX(Monat.Projekte.Zeilen,1))+1,0,1,1))</f>
        <v/>
      </c>
      <c r="B106" s="176"/>
      <c r="C106" s="176"/>
      <c r="D106" s="176"/>
      <c r="E106" s="177"/>
      <c r="F106" s="176"/>
      <c r="G106" s="176"/>
      <c r="H106" s="176"/>
      <c r="I106" s="176"/>
      <c r="J106" s="177"/>
      <c r="K106" s="176"/>
      <c r="L106" s="177"/>
      <c r="M106" s="176"/>
      <c r="N106" s="176"/>
      <c r="O106" s="176"/>
      <c r="P106" s="176"/>
      <c r="Q106" s="177"/>
      <c r="R106" s="176"/>
      <c r="S106" s="177"/>
      <c r="T106" s="177"/>
      <c r="U106" s="176"/>
      <c r="V106" s="176"/>
      <c r="W106" s="176"/>
      <c r="X106" s="177"/>
      <c r="Y106" s="176"/>
      <c r="Z106" s="178"/>
      <c r="AA106" s="176"/>
      <c r="AB106" s="176"/>
      <c r="AC106" s="176"/>
      <c r="AD106" s="176"/>
      <c r="AE106" s="177"/>
      <c r="AF106" s="176"/>
      <c r="AG106" s="168" t="str">
        <f aca="false">A106</f>
        <v/>
      </c>
      <c r="AH106" s="184"/>
      <c r="AI106" s="207" t="n">
        <f aca="false">SUM(B106:AF106)</f>
        <v>0</v>
      </c>
      <c r="AJ106" s="33"/>
      <c r="AK106" s="192"/>
      <c r="AL106" s="216" t="n">
        <f aca="false">IF(EB.Anwendung&lt;&gt;"",IF(MONTH(Monat.Tag1)=1,0,IF(MONTH(Monat.Tag1)=2,January!Monat.P10UeVM,IF(MONTH(Monat.Tag1)=3,February!Monat.P10UeVM,IF(MONTH(Monat.Tag1)=4,March!Monat.P10UeVM,IF(MONTH(Monat.Tag1)=5,April!Monat.P10UeVM,IF(MONTH(Monat.Tag1)=6,May!Monat.P10UeVM,IF(MONTH(Monat.Tag1)=7,June!Monat.P10UeVM,IF(MONTH(Monat.Tag1)=8,July!Monat.P10UeVM,IF(MONTH(Monat.Tag1)=9,Monat.P10UeVM,IF(MONTH(Monat.Tag1)=10,September!Monat.P10UeVM,IF(MONTH(Monat.Tag1)=11,October!Monat.P10UeVM,IF(MONTH(Monat.Tag1)=12,November!Monat.P10UeVM,"")))))))))))),"")</f>
        <v>0</v>
      </c>
      <c r="AM106" s="172"/>
      <c r="AN106" s="217" t="n">
        <f aca="false">AI106+AL106</f>
        <v>0</v>
      </c>
      <c r="AO106" s="171"/>
      <c r="AP106" s="171"/>
      <c r="AQ106" s="39"/>
    </row>
    <row r="107" s="148" customFormat="true" ht="15" hidden="true" customHeight="true" outlineLevel="1" collapsed="false">
      <c r="A107" s="181" t="str">
        <f aca="true">IF(ROW(A107)-ROW(INDEX(Monat.Projekte.Zeilen,1))+1&gt;EB.AnzProjekte,"",OFFSET(EB.Projekte.Knoten,ROW(A107)-ROW(INDEX(Monat.Projekte.Zeilen,1))+1,0,1,1))</f>
        <v/>
      </c>
      <c r="B107" s="176"/>
      <c r="C107" s="176"/>
      <c r="D107" s="176"/>
      <c r="E107" s="177"/>
      <c r="F107" s="176"/>
      <c r="G107" s="176"/>
      <c r="H107" s="176"/>
      <c r="I107" s="176"/>
      <c r="J107" s="177"/>
      <c r="K107" s="176"/>
      <c r="L107" s="177"/>
      <c r="M107" s="176"/>
      <c r="N107" s="176"/>
      <c r="O107" s="176"/>
      <c r="P107" s="176"/>
      <c r="Q107" s="177"/>
      <c r="R107" s="176"/>
      <c r="S107" s="177"/>
      <c r="T107" s="177"/>
      <c r="U107" s="176"/>
      <c r="V107" s="176"/>
      <c r="W107" s="176"/>
      <c r="X107" s="177"/>
      <c r="Y107" s="176"/>
      <c r="Z107" s="178"/>
      <c r="AA107" s="176"/>
      <c r="AB107" s="176"/>
      <c r="AC107" s="176"/>
      <c r="AD107" s="176"/>
      <c r="AE107" s="177"/>
      <c r="AF107" s="176"/>
      <c r="AG107" s="168" t="str">
        <f aca="false">A107</f>
        <v/>
      </c>
      <c r="AH107" s="202"/>
      <c r="AI107" s="207" t="n">
        <f aca="false">SUM(B107:AF107)</f>
        <v>0</v>
      </c>
      <c r="AJ107" s="33"/>
      <c r="AK107" s="192"/>
      <c r="AL107" s="216" t="n">
        <f aca="false">IF(EB.Anwendung&lt;&gt;"",IF(MONTH(Monat.Tag1)=1,0,IF(MONTH(Monat.Tag1)=2,January!Monat.P11UeVM,IF(MONTH(Monat.Tag1)=3,February!Monat.P11UeVM,IF(MONTH(Monat.Tag1)=4,March!Monat.P11UeVM,IF(MONTH(Monat.Tag1)=5,April!Monat.P11UeVM,IF(MONTH(Monat.Tag1)=6,May!Monat.P11UeVM,IF(MONTH(Monat.Tag1)=7,June!Monat.P11UeVM,IF(MONTH(Monat.Tag1)=8,July!Monat.P11UeVM,IF(MONTH(Monat.Tag1)=9,Monat.P11UeVM,IF(MONTH(Monat.Tag1)=10,September!Monat.P11UeVM,IF(MONTH(Monat.Tag1)=11,October!Monat.P11UeVM,IF(MONTH(Monat.Tag1)=12,November!Monat.P11UeVM,"")))))))))))),"")</f>
        <v>0</v>
      </c>
      <c r="AM107" s="172"/>
      <c r="AN107" s="217" t="n">
        <f aca="false">AI107+AL107</f>
        <v>0</v>
      </c>
      <c r="AO107" s="264"/>
      <c r="AP107" s="264"/>
      <c r="AQ107" s="39"/>
    </row>
    <row r="108" s="266" customFormat="true" ht="15" hidden="true" customHeight="true" outlineLevel="1" collapsed="false">
      <c r="A108" s="181" t="str">
        <f aca="true">IF(ROW(A108)-ROW(INDEX(Monat.Projekte.Zeilen,1))+1&gt;EB.AnzProjekte,"",OFFSET(EB.Projekte.Knoten,ROW(A108)-ROW(INDEX(Monat.Projekte.Zeilen,1))+1,0,1,1))</f>
        <v/>
      </c>
      <c r="B108" s="176"/>
      <c r="C108" s="176"/>
      <c r="D108" s="176"/>
      <c r="E108" s="177"/>
      <c r="F108" s="176"/>
      <c r="G108" s="176"/>
      <c r="H108" s="176"/>
      <c r="I108" s="176"/>
      <c r="J108" s="177"/>
      <c r="K108" s="176"/>
      <c r="L108" s="177"/>
      <c r="M108" s="176"/>
      <c r="N108" s="176"/>
      <c r="O108" s="176"/>
      <c r="P108" s="176"/>
      <c r="Q108" s="177"/>
      <c r="R108" s="176"/>
      <c r="S108" s="177"/>
      <c r="T108" s="177"/>
      <c r="U108" s="176"/>
      <c r="V108" s="176"/>
      <c r="W108" s="176"/>
      <c r="X108" s="177"/>
      <c r="Y108" s="176"/>
      <c r="Z108" s="178"/>
      <c r="AA108" s="176"/>
      <c r="AB108" s="176"/>
      <c r="AC108" s="176"/>
      <c r="AD108" s="176"/>
      <c r="AE108" s="177"/>
      <c r="AF108" s="176"/>
      <c r="AG108" s="168" t="str">
        <f aca="false">A108</f>
        <v/>
      </c>
      <c r="AH108" s="202"/>
      <c r="AI108" s="207" t="n">
        <f aca="false">SUM(B108:AF108)</f>
        <v>0</v>
      </c>
      <c r="AJ108" s="33"/>
      <c r="AK108" s="192"/>
      <c r="AL108" s="216" t="n">
        <f aca="false">IF(EB.Anwendung&lt;&gt;"",IF(MONTH(Monat.Tag1)=1,0,IF(MONTH(Monat.Tag1)=2,January!Monat.P12UeVM,IF(MONTH(Monat.Tag1)=3,February!Monat.P12UeVM,IF(MONTH(Monat.Tag1)=4,March!Monat.P12UeVM,IF(MONTH(Monat.Tag1)=5,April!Monat.P12UeVM,IF(MONTH(Monat.Tag1)=6,May!Monat.P12UeVM,IF(MONTH(Monat.Tag1)=7,June!Monat.P12UeVM,IF(MONTH(Monat.Tag1)=8,July!Monat.P12UeVM,IF(MONTH(Monat.Tag1)=9,Monat.P12UeVM,IF(MONTH(Monat.Tag1)=10,September!Monat.P12UeVM,IF(MONTH(Monat.Tag1)=11,October!Monat.P12UeVM,IF(MONTH(Monat.Tag1)=12,November!Monat.P12UeVM,"")))))))))))),"")</f>
        <v>0</v>
      </c>
      <c r="AM108" s="172"/>
      <c r="AN108" s="217" t="n">
        <f aca="false">AI108+AL108</f>
        <v>0</v>
      </c>
      <c r="AO108" s="264"/>
      <c r="AP108" s="264"/>
      <c r="AQ108" s="265"/>
    </row>
    <row r="109" s="266" customFormat="true" ht="15" hidden="true" customHeight="true" outlineLevel="1" collapsed="false">
      <c r="A109" s="181" t="str">
        <f aca="true">IF(ROW(A109)-ROW(INDEX(Monat.Projekte.Zeilen,1))+1&gt;EB.AnzProjekte,"",OFFSET(EB.Projekte.Knoten,ROW(A109)-ROW(INDEX(Monat.Projekte.Zeilen,1))+1,0,1,1))</f>
        <v/>
      </c>
      <c r="B109" s="176"/>
      <c r="C109" s="176"/>
      <c r="D109" s="176"/>
      <c r="E109" s="177"/>
      <c r="F109" s="176"/>
      <c r="G109" s="176"/>
      <c r="H109" s="176"/>
      <c r="I109" s="176"/>
      <c r="J109" s="177"/>
      <c r="K109" s="176"/>
      <c r="L109" s="177"/>
      <c r="M109" s="176"/>
      <c r="N109" s="176"/>
      <c r="O109" s="176"/>
      <c r="P109" s="176"/>
      <c r="Q109" s="177"/>
      <c r="R109" s="176"/>
      <c r="S109" s="177"/>
      <c r="T109" s="177"/>
      <c r="U109" s="176"/>
      <c r="V109" s="176"/>
      <c r="W109" s="176"/>
      <c r="X109" s="177"/>
      <c r="Y109" s="176"/>
      <c r="Z109" s="178"/>
      <c r="AA109" s="176"/>
      <c r="AB109" s="176"/>
      <c r="AC109" s="176"/>
      <c r="AD109" s="176"/>
      <c r="AE109" s="177"/>
      <c r="AF109" s="176"/>
      <c r="AG109" s="168" t="str">
        <f aca="false">A109</f>
        <v/>
      </c>
      <c r="AH109" s="184"/>
      <c r="AI109" s="207" t="n">
        <f aca="false">SUM(B109:AF109)</f>
        <v>0</v>
      </c>
      <c r="AJ109" s="33"/>
      <c r="AK109" s="192"/>
      <c r="AL109" s="216" t="n">
        <f aca="false">IF(EB.Anwendung&lt;&gt;"",IF(MONTH(Monat.Tag1)=1,0,IF(MONTH(Monat.Tag1)=2,January!Monat.P13UeVM,IF(MONTH(Monat.Tag1)=3,February!Monat.P13UeVM,IF(MONTH(Monat.Tag1)=4,March!Monat.P13UeVM,IF(MONTH(Monat.Tag1)=5,April!Monat.P13UeVM,IF(MONTH(Monat.Tag1)=6,May!Monat.P13UeVM,IF(MONTH(Monat.Tag1)=7,June!Monat.P13UeVM,IF(MONTH(Monat.Tag1)=8,July!Monat.P13UeVM,IF(MONTH(Monat.Tag1)=9,Monat.P13UeVM,IF(MONTH(Monat.Tag1)=10,September!Monat.P13UeVM,IF(MONTH(Monat.Tag1)=11,October!Monat.P13UeVM,IF(MONTH(Monat.Tag1)=12,November!Monat.P13UeVM,"")))))))))))),"")</f>
        <v>0</v>
      </c>
      <c r="AM109" s="172"/>
      <c r="AN109" s="217" t="n">
        <f aca="false">AI109+AL109</f>
        <v>0</v>
      </c>
      <c r="AO109" s="264"/>
      <c r="AP109" s="264"/>
      <c r="AQ109" s="265"/>
    </row>
    <row r="110" customFormat="false" ht="15" hidden="true" customHeight="true" outlineLevel="1" collapsed="false">
      <c r="A110" s="181" t="str">
        <f aca="true">IF(ROW(A110)-ROW(INDEX(Monat.Projekte.Zeilen,1))+1&gt;EB.AnzProjekte,"",OFFSET(EB.Projekte.Knoten,ROW(A110)-ROW(INDEX(Monat.Projekte.Zeilen,1))+1,0,1,1))</f>
        <v/>
      </c>
      <c r="B110" s="176"/>
      <c r="C110" s="176"/>
      <c r="D110" s="176"/>
      <c r="E110" s="177"/>
      <c r="F110" s="176"/>
      <c r="G110" s="176"/>
      <c r="H110" s="176"/>
      <c r="I110" s="176"/>
      <c r="J110" s="177"/>
      <c r="K110" s="176"/>
      <c r="L110" s="177"/>
      <c r="M110" s="176"/>
      <c r="N110" s="176"/>
      <c r="O110" s="176"/>
      <c r="P110" s="176"/>
      <c r="Q110" s="177"/>
      <c r="R110" s="176"/>
      <c r="S110" s="177"/>
      <c r="T110" s="177"/>
      <c r="U110" s="176"/>
      <c r="V110" s="176"/>
      <c r="W110" s="176"/>
      <c r="X110" s="177"/>
      <c r="Y110" s="176"/>
      <c r="Z110" s="178"/>
      <c r="AA110" s="176"/>
      <c r="AB110" s="176"/>
      <c r="AC110" s="176"/>
      <c r="AD110" s="176"/>
      <c r="AE110" s="177"/>
      <c r="AF110" s="176"/>
      <c r="AG110" s="168" t="str">
        <f aca="false">A110</f>
        <v/>
      </c>
      <c r="AH110" s="184"/>
      <c r="AI110" s="207" t="n">
        <f aca="false">SUM(B110:AF110)</f>
        <v>0</v>
      </c>
      <c r="AJ110" s="33"/>
      <c r="AK110" s="192"/>
      <c r="AL110" s="216" t="n">
        <f aca="false">IF(EB.Anwendung&lt;&gt;"",IF(MONTH(Monat.Tag1)=1,0,IF(MONTH(Monat.Tag1)=2,January!Monat.P14UeVM,IF(MONTH(Monat.Tag1)=3,February!Monat.P14UeVM,IF(MONTH(Monat.Tag1)=4,March!Monat.P14UeVM,IF(MONTH(Monat.Tag1)=5,April!Monat.P14UeVM,IF(MONTH(Monat.Tag1)=6,May!Monat.P14UeVM,IF(MONTH(Monat.Tag1)=7,June!Monat.P14UeVM,IF(MONTH(Monat.Tag1)=8,July!Monat.P14UeVM,IF(MONTH(Monat.Tag1)=9,Monat.P14UeVM,IF(MONTH(Monat.Tag1)=10,September!Monat.P14UeVM,IF(MONTH(Monat.Tag1)=11,October!Monat.P14UeVM,IF(MONTH(Monat.Tag1)=12,November!Monat.P14UeVM,"")))))))))))),"")</f>
        <v>0</v>
      </c>
      <c r="AM110" s="172"/>
      <c r="AN110" s="217" t="n">
        <f aca="false">AI110+AL110</f>
        <v>0</v>
      </c>
      <c r="AO110" s="264"/>
      <c r="AP110" s="264"/>
      <c r="AQ110" s="43"/>
    </row>
    <row r="111" customFormat="false" ht="15" hidden="true" customHeight="true" outlineLevel="1" collapsed="false">
      <c r="A111" s="181" t="str">
        <f aca="true">IF(ROW(A111)-ROW(INDEX(Monat.Projekte.Zeilen,1))+1&gt;EB.AnzProjekte,"",OFFSET(EB.Projekte.Knoten,ROW(A111)-ROW(INDEX(Monat.Projekte.Zeilen,1))+1,0,1,1))</f>
        <v/>
      </c>
      <c r="B111" s="176"/>
      <c r="C111" s="176"/>
      <c r="D111" s="176"/>
      <c r="E111" s="176"/>
      <c r="F111" s="176"/>
      <c r="G111" s="176"/>
      <c r="H111" s="176"/>
      <c r="I111" s="176"/>
      <c r="J111" s="176"/>
      <c r="K111" s="176"/>
      <c r="L111" s="176"/>
      <c r="M111" s="176"/>
      <c r="N111" s="176"/>
      <c r="O111" s="176"/>
      <c r="P111" s="176"/>
      <c r="Q111" s="176"/>
      <c r="R111" s="176"/>
      <c r="S111" s="176"/>
      <c r="T111" s="176"/>
      <c r="U111" s="176"/>
      <c r="V111" s="176"/>
      <c r="W111" s="176"/>
      <c r="X111" s="176"/>
      <c r="Y111" s="176"/>
      <c r="Z111" s="190"/>
      <c r="AA111" s="176"/>
      <c r="AB111" s="176"/>
      <c r="AC111" s="176"/>
      <c r="AD111" s="176"/>
      <c r="AE111" s="176"/>
      <c r="AF111" s="176"/>
      <c r="AG111" s="168" t="str">
        <f aca="false">A111</f>
        <v/>
      </c>
      <c r="AH111" s="184"/>
      <c r="AI111" s="207" t="n">
        <f aca="false">SUM(B111:AF111)</f>
        <v>0</v>
      </c>
      <c r="AJ111" s="33"/>
      <c r="AK111" s="192"/>
      <c r="AL111" s="216" t="n">
        <f aca="false">IF(EB.Anwendung&lt;&gt;"",IF(MONTH(Monat.Tag1)=1,0,IF(MONTH(Monat.Tag1)=2,January!Monat.P15UeVM,IF(MONTH(Monat.Tag1)=3,February!Monat.P15UeVM,IF(MONTH(Monat.Tag1)=4,March!Monat.P15UeVM,IF(MONTH(Monat.Tag1)=5,April!Monat.P15UeVM,IF(MONTH(Monat.Tag1)=6,May!Monat.P15UeVM,IF(MONTH(Monat.Tag1)=7,June!Monat.P15UeVM,IF(MONTH(Monat.Tag1)=8,July!Monat.P15UeVM,IF(MONTH(Monat.Tag1)=9,Monat.P15UeVM,IF(MONTH(Monat.Tag1)=10,September!Monat.P15UeVM,IF(MONTH(Monat.Tag1)=11,October!Monat.P15UeVM,IF(MONTH(Monat.Tag1)=12,November!Monat.P15UeVM,"")))))))))))),"")</f>
        <v>0</v>
      </c>
      <c r="AM111" s="172"/>
      <c r="AN111" s="217" t="n">
        <f aca="false">AI111+AL111</f>
        <v>0</v>
      </c>
      <c r="AO111" s="264"/>
      <c r="AP111" s="264"/>
      <c r="AQ111" s="43"/>
    </row>
    <row r="112" customFormat="false" ht="15" hidden="false" customHeight="true" outlineLevel="0" collapsed="false">
      <c r="A112" s="181" t="s">
        <v>177</v>
      </c>
      <c r="B112" s="205" t="n">
        <f aca="false">SUM(B97:B111)</f>
        <v>0</v>
      </c>
      <c r="C112" s="205" t="n">
        <f aca="false">SUM(C97:C111)</f>
        <v>0</v>
      </c>
      <c r="D112" s="205" t="n">
        <f aca="false">SUM(D97:D111)</f>
        <v>0</v>
      </c>
      <c r="E112" s="205" t="n">
        <f aca="false">SUM(E97:E111)</f>
        <v>0</v>
      </c>
      <c r="F112" s="205" t="n">
        <f aca="false">SUM(F97:F111)</f>
        <v>0</v>
      </c>
      <c r="G112" s="205" t="n">
        <f aca="false">SUM(G97:G111)</f>
        <v>0</v>
      </c>
      <c r="H112" s="205" t="n">
        <f aca="false">SUM(H97:H111)</f>
        <v>0</v>
      </c>
      <c r="I112" s="205" t="n">
        <f aca="false">SUM(I97:I111)</f>
        <v>0</v>
      </c>
      <c r="J112" s="205" t="n">
        <f aca="false">SUM(J97:J111)</f>
        <v>0</v>
      </c>
      <c r="K112" s="205" t="n">
        <f aca="false">SUM(K97:K111)</f>
        <v>0</v>
      </c>
      <c r="L112" s="205" t="n">
        <f aca="false">SUM(L97:L111)</f>
        <v>0</v>
      </c>
      <c r="M112" s="205" t="n">
        <f aca="false">SUM(M97:M111)</f>
        <v>0</v>
      </c>
      <c r="N112" s="205" t="n">
        <f aca="false">SUM(N97:N111)</f>
        <v>0</v>
      </c>
      <c r="O112" s="205" t="n">
        <f aca="false">SUM(O97:O111)</f>
        <v>0</v>
      </c>
      <c r="P112" s="205" t="n">
        <f aca="false">SUM(P97:P111)</f>
        <v>0</v>
      </c>
      <c r="Q112" s="205" t="n">
        <f aca="false">SUM(Q97:Q111)</f>
        <v>0</v>
      </c>
      <c r="R112" s="205" t="n">
        <f aca="false">SUM(R97:R111)</f>
        <v>0</v>
      </c>
      <c r="S112" s="205" t="n">
        <f aca="false">SUM(S97:S111)</f>
        <v>0</v>
      </c>
      <c r="T112" s="205" t="n">
        <f aca="false">SUM(T97:T111)</f>
        <v>0</v>
      </c>
      <c r="U112" s="205" t="n">
        <f aca="false">SUM(U97:U111)</f>
        <v>0</v>
      </c>
      <c r="V112" s="205" t="n">
        <f aca="false">SUM(V97:V111)</f>
        <v>0</v>
      </c>
      <c r="W112" s="205" t="n">
        <f aca="false">SUM(W97:W111)</f>
        <v>0</v>
      </c>
      <c r="X112" s="205" t="n">
        <f aca="false">SUM(X97:X111)</f>
        <v>0</v>
      </c>
      <c r="Y112" s="205" t="n">
        <f aca="false">SUM(Y97:Y111)</f>
        <v>0</v>
      </c>
      <c r="Z112" s="205" t="n">
        <f aca="false">SUM(Z97:Z111)</f>
        <v>0</v>
      </c>
      <c r="AA112" s="205" t="n">
        <f aca="false">SUM(AA97:AA111)</f>
        <v>0</v>
      </c>
      <c r="AB112" s="205" t="n">
        <f aca="false">SUM(AB97:AB111)</f>
        <v>0</v>
      </c>
      <c r="AC112" s="205" t="n">
        <f aca="false">SUM(AC97:AC111)</f>
        <v>0</v>
      </c>
      <c r="AD112" s="205" t="n">
        <f aca="false">SUM(AD97:AD111)</f>
        <v>0</v>
      </c>
      <c r="AE112" s="205" t="n">
        <f aca="false">SUM(AE97:AE111)</f>
        <v>0</v>
      </c>
      <c r="AF112" s="205" t="n">
        <f aca="false">SUM(AF97:AF111)</f>
        <v>0</v>
      </c>
      <c r="AG112" s="183" t="str">
        <f aca="false">A112</f>
        <v>Hours worked for projects</v>
      </c>
      <c r="AH112" s="184"/>
      <c r="AI112" s="207" t="n">
        <f aca="false">SUM(B112:AF112)</f>
        <v>0</v>
      </c>
      <c r="AJ112" s="33"/>
      <c r="AK112" s="192"/>
      <c r="AL112" s="216" t="n">
        <f aca="false">IF(EB.Anwendung&lt;&gt;"",IF(MONTH(Monat.Tag1)=1,0,IF(MONTH(Monat.Tag1)=2,January!Monat.PTotalUeVM,IF(MONTH(Monat.Tag1)=3,February!Monat.PTotalUeVM,IF(MONTH(Monat.Tag1)=4,March!Monat.PTotalUeVM,IF(MONTH(Monat.Tag1)=5,April!Monat.PTotalUeVM,IF(MONTH(Monat.Tag1)=6,May!Monat.PTotalUeVM,IF(MONTH(Monat.Tag1)=7,June!Monat.PTotalUeVM,IF(MONTH(Monat.Tag1)=8,July!Monat.PTotalUeVM,IF(MONTH(Monat.Tag1)=9,Monat.PTotalUeVM,IF(MONTH(Monat.Tag1)=10,September!Monat.PTotalUeVM,IF(MONTH(Monat.Tag1)=11,October!Monat.PTotalUeVM,IF(MONTH(Monat.Tag1)=12,November!Monat.PTotalUeVM,"")))))))))))),"")</f>
        <v>0</v>
      </c>
      <c r="AM112" s="172"/>
      <c r="AN112" s="217" t="n">
        <f aca="false">AI112+AL112</f>
        <v>0</v>
      </c>
      <c r="AO112" s="267"/>
      <c r="AP112" s="267"/>
      <c r="AQ112" s="43"/>
    </row>
    <row r="113" s="148" customFormat="true" ht="11.25" hidden="false" customHeight="true" outlineLevel="0" collapsed="false">
      <c r="A113" s="268"/>
      <c r="B113" s="194"/>
      <c r="C113" s="194"/>
      <c r="D113" s="194"/>
      <c r="E113" s="194"/>
      <c r="F113" s="194"/>
      <c r="G113" s="194"/>
      <c r="H113" s="194"/>
      <c r="I113" s="194"/>
      <c r="J113" s="194"/>
      <c r="K113" s="194"/>
      <c r="L113" s="194"/>
      <c r="M113" s="194"/>
      <c r="N113" s="194"/>
      <c r="O113" s="194"/>
      <c r="P113" s="194"/>
      <c r="Q113" s="194"/>
      <c r="R113" s="194"/>
      <c r="S113" s="194"/>
      <c r="T113" s="194"/>
      <c r="U113" s="194"/>
      <c r="V113" s="194"/>
      <c r="W113" s="194"/>
      <c r="X113" s="194"/>
      <c r="Y113" s="194"/>
      <c r="Z113" s="194"/>
      <c r="AA113" s="194"/>
      <c r="AB113" s="194"/>
      <c r="AC113" s="194"/>
      <c r="AD113" s="194"/>
      <c r="AE113" s="194"/>
      <c r="AF113" s="194"/>
      <c r="AG113" s="269"/>
      <c r="AH113" s="263"/>
      <c r="AI113" s="194"/>
      <c r="AJ113" s="16"/>
      <c r="AK113" s="194"/>
      <c r="AL113" s="194"/>
      <c r="AM113" s="194"/>
      <c r="AN113" s="50"/>
      <c r="AO113" s="194"/>
      <c r="AP113" s="194"/>
      <c r="AQ113" s="39"/>
    </row>
    <row r="114" s="148" customFormat="true" ht="15" hidden="true" customHeight="true" outlineLevel="1" collapsed="false">
      <c r="A114" s="181" t="s">
        <v>178</v>
      </c>
      <c r="B114" s="213" t="n">
        <f aca="false">ROUND((B23+B45+B91)-SUMPRODUCT((B97:B111)*(EB.Projektart.Bereich=6)),9)</f>
        <v>0</v>
      </c>
      <c r="C114" s="213" t="n">
        <f aca="false">ROUND((C23+C45+C91)-SUMPRODUCT((C97:C111)*(EB.Projektart.Bereich=6)),9)</f>
        <v>0</v>
      </c>
      <c r="D114" s="213" t="n">
        <f aca="false">ROUND((D23+D45+D91)-SUMPRODUCT((D97:D111)*(EB.Projektart.Bereich=6)),9)</f>
        <v>0</v>
      </c>
      <c r="E114" s="213" t="n">
        <f aca="false">ROUND((E23+E45+E91)-SUMPRODUCT((E97:E111)*(EB.Projektart.Bereich=6)),9)</f>
        <v>0</v>
      </c>
      <c r="F114" s="213" t="n">
        <f aca="false">ROUND((F23+F45+F91)-SUMPRODUCT((F97:F111)*(EB.Projektart.Bereich=6)),9)</f>
        <v>0</v>
      </c>
      <c r="G114" s="213" t="n">
        <f aca="false">ROUND((G23+G45+G91)-SUMPRODUCT((G97:G111)*(EB.Projektart.Bereich=6)),9)</f>
        <v>0</v>
      </c>
      <c r="H114" s="213" t="n">
        <f aca="false">ROUND((H23+H45+H91)-SUMPRODUCT((H97:H111)*(EB.Projektart.Bereich=6)),9)</f>
        <v>0</v>
      </c>
      <c r="I114" s="213" t="n">
        <f aca="false">ROUND((I23+I45+I91)-SUMPRODUCT((I97:I111)*(EB.Projektart.Bereich=6)),9)</f>
        <v>0</v>
      </c>
      <c r="J114" s="213" t="n">
        <f aca="false">ROUND((J23+J45+J91)-SUMPRODUCT((J97:J111)*(EB.Projektart.Bereich=6)),9)</f>
        <v>0</v>
      </c>
      <c r="K114" s="213" t="n">
        <f aca="false">ROUND((K23+K45+K91)-SUMPRODUCT((K97:K111)*(EB.Projektart.Bereich=6)),9)</f>
        <v>0</v>
      </c>
      <c r="L114" s="213" t="n">
        <f aca="false">ROUND((L23+L45+L91)-SUMPRODUCT((L97:L111)*(EB.Projektart.Bereich=6)),9)</f>
        <v>0</v>
      </c>
      <c r="M114" s="213" t="n">
        <f aca="false">ROUND((M23+M45+M91)-SUMPRODUCT((M97:M111)*(EB.Projektart.Bereich=6)),9)</f>
        <v>0</v>
      </c>
      <c r="N114" s="213" t="n">
        <f aca="false">ROUND((N23+N45+N91)-SUMPRODUCT((N97:N111)*(EB.Projektart.Bereich=6)),9)</f>
        <v>0</v>
      </c>
      <c r="O114" s="213" t="n">
        <f aca="false">ROUND((O23+O45+O91)-SUMPRODUCT((O97:O111)*(EB.Projektart.Bereich=6)),9)</f>
        <v>0</v>
      </c>
      <c r="P114" s="213" t="n">
        <f aca="false">ROUND((P23+P45+P91)-SUMPRODUCT((P97:P111)*(EB.Projektart.Bereich=6)),9)</f>
        <v>0</v>
      </c>
      <c r="Q114" s="213" t="n">
        <f aca="false">ROUND((Q23+Q45+Q91)-SUMPRODUCT((Q97:Q111)*(EB.Projektart.Bereich=6)),9)</f>
        <v>0</v>
      </c>
      <c r="R114" s="213" t="n">
        <f aca="false">ROUND((R23+R45+R91)-SUMPRODUCT((R97:R111)*(EB.Projektart.Bereich=6)),9)</f>
        <v>0</v>
      </c>
      <c r="S114" s="213" t="n">
        <f aca="false">ROUND((S23+S45+S91)-SUMPRODUCT((S97:S111)*(EB.Projektart.Bereich=6)),9)</f>
        <v>0</v>
      </c>
      <c r="T114" s="213" t="n">
        <f aca="false">ROUND((T23+T45+T91)-SUMPRODUCT((T97:T111)*(EB.Projektart.Bereich=6)),9)</f>
        <v>0</v>
      </c>
      <c r="U114" s="213" t="n">
        <f aca="false">ROUND((U23+U45+U91)-SUMPRODUCT((U97:U111)*(EB.Projektart.Bereich=6)),9)</f>
        <v>0</v>
      </c>
      <c r="V114" s="213" t="n">
        <f aca="false">ROUND((V23+V45+V91)-SUMPRODUCT((V97:V111)*(EB.Projektart.Bereich=6)),9)</f>
        <v>0</v>
      </c>
      <c r="W114" s="213" t="n">
        <f aca="false">ROUND((W23+W45+W91)-SUMPRODUCT((W97:W111)*(EB.Projektart.Bereich=6)),9)</f>
        <v>0</v>
      </c>
      <c r="X114" s="213" t="n">
        <f aca="false">ROUND((X23+X45+X91)-SUMPRODUCT((X97:X111)*(EB.Projektart.Bereich=6)),9)</f>
        <v>0</v>
      </c>
      <c r="Y114" s="213" t="n">
        <f aca="false">ROUND((Y23+Y45+Y91)-SUMPRODUCT((Y97:Y111)*(EB.Projektart.Bereich=6)),9)</f>
        <v>0</v>
      </c>
      <c r="Z114" s="213" t="n">
        <f aca="false">ROUND((Z23+Z45+Z91)-SUMPRODUCT((Z97:Z111)*(EB.Projektart.Bereich=6)),9)</f>
        <v>0</v>
      </c>
      <c r="AA114" s="213" t="n">
        <f aca="false">ROUND((AA23+AA45+AA91)-SUMPRODUCT((AA97:AA111)*(EB.Projektart.Bereich=6)),9)</f>
        <v>0</v>
      </c>
      <c r="AB114" s="213" t="n">
        <f aca="false">ROUND((AB23+AB45+AB91)-SUMPRODUCT((AB97:AB111)*(EB.Projektart.Bereich=6)),9)</f>
        <v>0</v>
      </c>
      <c r="AC114" s="213" t="n">
        <f aca="false">ROUND((AC23+AC45+AC91)-SUMPRODUCT((AC97:AC111)*(EB.Projektart.Bereich=6)),9)</f>
        <v>0</v>
      </c>
      <c r="AD114" s="213" t="n">
        <f aca="false">ROUND((AD23+AD45+AD91)-SUMPRODUCT((AD97:AD111)*(EB.Projektart.Bereich=6)),9)</f>
        <v>0</v>
      </c>
      <c r="AE114" s="213" t="n">
        <f aca="false">ROUND((AE23+AE45+AE91)-SUMPRODUCT((AE97:AE111)*(EB.Projektart.Bereich=6)),9)</f>
        <v>0</v>
      </c>
      <c r="AF114" s="213" t="n">
        <f aca="false">ROUND((AF23+AF45+AF91)-SUMPRODUCT((AF97:AF111)*(EB.Projektart.Bereich=6)),9)</f>
        <v>0</v>
      </c>
      <c r="AG114" s="183" t="str">
        <f aca="false">A114</f>
        <v>Difference WH-Project type 6</v>
      </c>
      <c r="AH114" s="197"/>
      <c r="AI114" s="207" t="n">
        <f aca="false">SUM(B114:AF114)</f>
        <v>0</v>
      </c>
      <c r="AJ114" s="33"/>
      <c r="AK114" s="235"/>
      <c r="AL114" s="216" t="n">
        <f aca="false">IF(EB.Anwendung&lt;&gt;"",IF(MONTH(Monat.Tag1)=1,0,IF(MONTH(Monat.Tag1)=2,January!Monat.PDiffUeVM,IF(MONTH(Monat.Tag1)=3,February!Monat.PDiffUeVM,IF(MONTH(Monat.Tag1)=4,March!Monat.PDiffUeVM,IF(MONTH(Monat.Tag1)=5,April!Monat.PDiffUeVM,IF(MONTH(Monat.Tag1)=6,May!Monat.PDiffUeVM,IF(MONTH(Monat.Tag1)=7,June!Monat.PDiffUeVM,IF(MONTH(Monat.Tag1)=8,July!Monat.PDiffUeVM,IF(MONTH(Monat.Tag1)=9,Monat.PDiffUeVM,IF(MONTH(Monat.Tag1)=10,September!Monat.PDiffUeVM,IF(MONTH(Monat.Tag1)=11,October!Monat.PDiffUeVM,IF(MONTH(Monat.Tag1)=12,November!Monat.PDiffUeVM,"")))))))))))),"")</f>
        <v>10.506944445</v>
      </c>
      <c r="AM114" s="235"/>
      <c r="AN114" s="217" t="n">
        <f aca="false">AI114+AL114</f>
        <v>10.506944445</v>
      </c>
      <c r="AO114" s="235"/>
      <c r="AP114" s="235"/>
      <c r="AQ114" s="39"/>
    </row>
    <row r="115" customFormat="false" ht="11.25" hidden="true" customHeight="true" outlineLevel="1" collapsed="false">
      <c r="A115" s="43"/>
      <c r="B115" s="270"/>
      <c r="C115" s="270"/>
      <c r="D115" s="270"/>
      <c r="E115" s="270"/>
      <c r="F115" s="270"/>
      <c r="G115" s="270"/>
      <c r="H115" s="270"/>
      <c r="I115" s="270"/>
      <c r="J115" s="271"/>
      <c r="K115" s="270"/>
      <c r="L115" s="270"/>
      <c r="M115" s="270"/>
      <c r="N115" s="270"/>
      <c r="O115" s="270"/>
      <c r="P115" s="270"/>
      <c r="Q115" s="270"/>
      <c r="R115" s="270"/>
      <c r="S115" s="270"/>
      <c r="T115" s="270"/>
      <c r="U115" s="270"/>
      <c r="V115" s="270"/>
      <c r="W115" s="270"/>
      <c r="X115" s="270"/>
      <c r="Y115" s="270"/>
      <c r="Z115" s="270"/>
      <c r="AA115" s="270"/>
      <c r="AB115" s="270"/>
      <c r="AC115" s="270"/>
      <c r="AD115" s="270"/>
      <c r="AE115" s="270"/>
      <c r="AF115" s="270"/>
      <c r="AG115" s="272"/>
      <c r="AH115" s="273"/>
      <c r="AI115" s="43"/>
      <c r="AJ115" s="43"/>
      <c r="AK115" s="43"/>
      <c r="AL115" s="43"/>
      <c r="AM115" s="43"/>
      <c r="AN115" s="274"/>
      <c r="AO115" s="43"/>
      <c r="AP115" s="43"/>
      <c r="AQ115" s="43"/>
    </row>
    <row r="116" customFormat="false" ht="11.25" hidden="false" customHeight="true" outlineLevel="0" collapsed="false">
      <c r="A116" s="43"/>
      <c r="B116" s="270"/>
      <c r="C116" s="270"/>
      <c r="D116" s="270"/>
      <c r="E116" s="270"/>
      <c r="F116" s="270"/>
      <c r="G116" s="270"/>
      <c r="H116" s="270"/>
      <c r="I116" s="270"/>
      <c r="J116" s="270"/>
      <c r="K116" s="270"/>
      <c r="L116" s="270"/>
      <c r="M116" s="270"/>
      <c r="N116" s="270"/>
      <c r="O116" s="270"/>
      <c r="P116" s="270"/>
      <c r="Q116" s="270"/>
      <c r="R116" s="270"/>
      <c r="S116" s="270"/>
      <c r="T116" s="270"/>
      <c r="U116" s="270"/>
      <c r="V116" s="270"/>
      <c r="W116" s="270"/>
      <c r="X116" s="270"/>
      <c r="Y116" s="270"/>
      <c r="Z116" s="270"/>
      <c r="AA116" s="270"/>
      <c r="AB116" s="270"/>
      <c r="AC116" s="270"/>
      <c r="AD116" s="270"/>
      <c r="AE116" s="270"/>
      <c r="AF116" s="270"/>
      <c r="AG116" s="272"/>
      <c r="AH116" s="273"/>
      <c r="AI116" s="43"/>
      <c r="AJ116" s="43"/>
      <c r="AK116" s="43"/>
      <c r="AL116" s="43"/>
      <c r="AM116" s="43"/>
      <c r="AN116" s="274"/>
      <c r="AO116" s="43"/>
      <c r="AP116" s="43"/>
      <c r="AQ116" s="43"/>
    </row>
    <row r="117" customFormat="false" ht="12" hidden="false" customHeight="true" outlineLevel="0" collapsed="false">
      <c r="A117" s="43"/>
      <c r="B117" s="275" t="s">
        <v>179</v>
      </c>
      <c r="C117" s="275"/>
      <c r="D117" s="275"/>
      <c r="E117" s="275"/>
      <c r="F117" s="275"/>
      <c r="G117" s="275"/>
      <c r="H117" s="275"/>
      <c r="I117" s="275"/>
      <c r="J117" s="275"/>
      <c r="K117" s="275"/>
      <c r="L117" s="275"/>
      <c r="M117" s="275"/>
      <c r="N117" s="275"/>
      <c r="O117" s="275"/>
      <c r="P117" s="275"/>
      <c r="Q117" s="275"/>
      <c r="R117" s="276"/>
      <c r="S117" s="276"/>
      <c r="T117" s="276"/>
      <c r="U117" s="276"/>
      <c r="V117" s="276"/>
      <c r="W117" s="276"/>
      <c r="X117" s="276"/>
      <c r="Y117" s="276"/>
      <c r="Z117" s="276"/>
      <c r="AA117" s="276"/>
      <c r="AB117" s="276"/>
      <c r="AC117" s="276"/>
      <c r="AD117" s="276"/>
      <c r="AE117" s="276"/>
      <c r="AF117" s="276"/>
      <c r="AG117" s="277"/>
      <c r="AH117" s="278"/>
      <c r="AI117" s="276"/>
      <c r="AJ117" s="276"/>
      <c r="AK117" s="276"/>
      <c r="AL117" s="276"/>
      <c r="AM117" s="276"/>
      <c r="AN117" s="279"/>
      <c r="AO117" s="265"/>
      <c r="AP117" s="265"/>
      <c r="AQ117" s="43"/>
    </row>
    <row r="118" customFormat="false" ht="11.25" hidden="false" customHeight="true" outlineLevel="0" collapsed="false">
      <c r="A118" s="280"/>
      <c r="B118" s="280"/>
      <c r="C118" s="280"/>
      <c r="D118" s="280"/>
      <c r="E118" s="280"/>
      <c r="F118" s="280"/>
      <c r="G118" s="280"/>
      <c r="H118" s="280"/>
      <c r="I118" s="280"/>
      <c r="J118" s="280"/>
      <c r="K118" s="280"/>
      <c r="L118" s="280"/>
      <c r="M118" s="276"/>
      <c r="N118" s="276"/>
      <c r="O118" s="276"/>
      <c r="P118" s="276"/>
      <c r="Q118" s="276"/>
      <c r="R118" s="276"/>
      <c r="S118" s="276"/>
      <c r="T118" s="276"/>
      <c r="U118" s="276"/>
      <c r="V118" s="276"/>
      <c r="W118" s="276"/>
      <c r="X118" s="276"/>
      <c r="Y118" s="276"/>
      <c r="Z118" s="276"/>
      <c r="AA118" s="276"/>
      <c r="AB118" s="276"/>
      <c r="AC118" s="276"/>
      <c r="AD118" s="276"/>
      <c r="AE118" s="276"/>
      <c r="AF118" s="276"/>
      <c r="AG118" s="276"/>
      <c r="AH118" s="276"/>
      <c r="AI118" s="276"/>
      <c r="AJ118" s="276"/>
      <c r="AK118" s="276"/>
      <c r="AL118" s="276"/>
      <c r="AM118" s="276"/>
      <c r="AN118" s="276"/>
      <c r="AO118" s="276"/>
      <c r="AP118" s="276"/>
      <c r="AQ118" s="43"/>
    </row>
    <row r="119" customFormat="false" ht="39" hidden="false" customHeight="true" outlineLevel="0" collapsed="false">
      <c r="A119" s="55" t="s">
        <v>180</v>
      </c>
      <c r="B119" s="281"/>
      <c r="C119" s="281"/>
      <c r="D119" s="281"/>
      <c r="E119" s="281"/>
      <c r="F119" s="281"/>
      <c r="G119" s="281"/>
      <c r="H119" s="281"/>
      <c r="I119" s="281"/>
      <c r="J119" s="281"/>
      <c r="K119" s="281"/>
      <c r="L119" s="281"/>
      <c r="M119" s="281"/>
      <c r="N119" s="281"/>
      <c r="O119" s="281"/>
      <c r="P119" s="281"/>
      <c r="Q119" s="281"/>
      <c r="R119" s="276"/>
      <c r="S119" s="276"/>
      <c r="T119" s="276"/>
      <c r="U119" s="276"/>
      <c r="V119" s="276"/>
      <c r="W119" s="276"/>
      <c r="X119" s="276"/>
      <c r="Y119" s="282"/>
      <c r="Z119" s="282"/>
      <c r="AA119" s="282"/>
      <c r="AB119" s="282"/>
      <c r="AC119" s="282"/>
      <c r="AD119" s="282"/>
      <c r="AE119" s="282"/>
      <c r="AF119" s="282"/>
      <c r="AG119" s="283"/>
      <c r="AH119" s="283"/>
      <c r="AI119" s="283"/>
      <c r="AJ119" s="283"/>
      <c r="AK119" s="265"/>
      <c r="AL119" s="265"/>
      <c r="AM119" s="265"/>
      <c r="AN119" s="284"/>
      <c r="AO119" s="265"/>
      <c r="AP119" s="265"/>
      <c r="AQ119" s="43"/>
    </row>
    <row r="120" customFormat="false" ht="12" hidden="false" customHeight="true" outlineLevel="0" collapsed="false">
      <c r="A120" s="285" t="s">
        <v>181</v>
      </c>
      <c r="B120" s="286"/>
      <c r="C120" s="286"/>
      <c r="D120" s="286"/>
      <c r="E120" s="286"/>
      <c r="F120" s="286"/>
      <c r="G120" s="286"/>
      <c r="H120" s="286"/>
      <c r="I120" s="286"/>
      <c r="J120" s="286"/>
      <c r="K120" s="286"/>
      <c r="L120" s="286"/>
      <c r="M120" s="286"/>
      <c r="N120" s="286"/>
      <c r="O120" s="286"/>
      <c r="P120" s="286"/>
      <c r="Q120" s="286"/>
      <c r="R120" s="276"/>
      <c r="S120" s="276"/>
      <c r="T120" s="287" t="s">
        <v>182</v>
      </c>
      <c r="U120" s="287"/>
      <c r="V120" s="287"/>
      <c r="W120" s="287"/>
      <c r="X120" s="287"/>
      <c r="Y120" s="282"/>
      <c r="Z120" s="282"/>
      <c r="AA120" s="282"/>
      <c r="AB120" s="282"/>
      <c r="AC120" s="282"/>
      <c r="AD120" s="282"/>
      <c r="AE120" s="282"/>
      <c r="AF120" s="282"/>
      <c r="AG120" s="283"/>
      <c r="AH120" s="283"/>
      <c r="AI120" s="283"/>
      <c r="AJ120" s="283"/>
      <c r="AK120" s="43"/>
      <c r="AL120" s="43"/>
      <c r="AM120" s="43"/>
      <c r="AN120" s="274"/>
      <c r="AO120" s="43"/>
      <c r="AP120" s="43"/>
      <c r="AQ120" s="43"/>
    </row>
    <row r="121" customFormat="false" ht="11.25" hidden="false" customHeight="true" outlineLevel="0" collapsed="false">
      <c r="A121" s="288"/>
      <c r="B121" s="289"/>
      <c r="C121" s="289"/>
      <c r="D121" s="289"/>
      <c r="E121" s="289"/>
      <c r="F121" s="289"/>
      <c r="G121" s="289"/>
      <c r="H121" s="289"/>
      <c r="I121" s="289"/>
      <c r="J121" s="289"/>
      <c r="K121" s="289"/>
      <c r="L121" s="289"/>
      <c r="M121" s="270"/>
      <c r="N121" s="270"/>
      <c r="O121" s="270"/>
      <c r="P121" s="270"/>
      <c r="Q121" s="270"/>
      <c r="R121" s="270"/>
      <c r="S121" s="276"/>
      <c r="T121" s="270"/>
      <c r="U121" s="270"/>
      <c r="V121" s="270"/>
      <c r="W121" s="270"/>
      <c r="X121" s="270"/>
      <c r="Y121" s="270"/>
      <c r="Z121" s="270"/>
      <c r="AA121" s="270"/>
      <c r="AB121" s="270"/>
      <c r="AC121" s="270"/>
      <c r="AD121" s="270"/>
      <c r="AE121" s="270"/>
      <c r="AF121" s="270"/>
      <c r="AG121" s="272"/>
      <c r="AH121" s="273"/>
      <c r="AI121" s="43"/>
      <c r="AJ121" s="43"/>
      <c r="AK121" s="43"/>
      <c r="AL121" s="43"/>
      <c r="AM121" s="43"/>
      <c r="AN121" s="274"/>
      <c r="AO121" s="43"/>
      <c r="AP121" s="43"/>
      <c r="AQ121" s="43"/>
    </row>
    <row r="122" customFormat="false" ht="12" hidden="false" customHeight="true" outlineLevel="0" collapsed="false">
      <c r="A122" s="43"/>
      <c r="B122" s="290" t="s">
        <v>183</v>
      </c>
      <c r="C122" s="290"/>
      <c r="D122" s="290"/>
      <c r="E122" s="290"/>
      <c r="F122" s="290"/>
      <c r="G122" s="290"/>
      <c r="H122" s="290"/>
      <c r="I122" s="290"/>
      <c r="J122" s="290"/>
      <c r="K122" s="290"/>
      <c r="L122" s="290"/>
      <c r="M122" s="290"/>
      <c r="N122" s="290"/>
      <c r="O122" s="290"/>
      <c r="P122" s="290"/>
      <c r="Q122" s="290"/>
      <c r="R122" s="270"/>
      <c r="S122" s="270"/>
      <c r="T122" s="270"/>
      <c r="U122" s="270"/>
      <c r="V122" s="270"/>
      <c r="W122" s="270"/>
      <c r="X122" s="270"/>
      <c r="Y122" s="270"/>
      <c r="Z122" s="270"/>
      <c r="AA122" s="270"/>
      <c r="AB122" s="270"/>
      <c r="AC122" s="270"/>
      <c r="AD122" s="270"/>
      <c r="AE122" s="270"/>
      <c r="AF122" s="270"/>
      <c r="AG122" s="272"/>
      <c r="AH122" s="273"/>
      <c r="AI122" s="43"/>
      <c r="AJ122" s="43"/>
      <c r="AK122" s="43"/>
      <c r="AL122" s="43"/>
      <c r="AM122" s="43"/>
      <c r="AN122" s="274"/>
      <c r="AO122" s="43"/>
      <c r="AP122" s="43"/>
      <c r="AQ122" s="43"/>
    </row>
    <row r="123" customFormat="false" ht="11.25" hidden="false" customHeight="true" outlineLevel="0" collapsed="false">
      <c r="A123" s="43"/>
      <c r="B123" s="270"/>
      <c r="C123" s="270"/>
      <c r="D123" s="270"/>
      <c r="E123" s="270"/>
      <c r="F123" s="270"/>
      <c r="G123" s="270"/>
      <c r="H123" s="270"/>
      <c r="I123" s="270"/>
      <c r="J123" s="270"/>
      <c r="K123" s="270"/>
      <c r="L123" s="270"/>
      <c r="M123" s="270"/>
      <c r="N123" s="270"/>
      <c r="O123" s="270"/>
      <c r="P123" s="270"/>
      <c r="Q123" s="270"/>
      <c r="R123" s="270"/>
      <c r="S123" s="270"/>
      <c r="T123" s="270"/>
      <c r="U123" s="270"/>
      <c r="V123" s="270"/>
      <c r="W123" s="270"/>
      <c r="X123" s="270"/>
      <c r="Y123" s="270"/>
      <c r="Z123" s="270"/>
      <c r="AA123" s="270"/>
      <c r="AB123" s="270"/>
      <c r="AC123" s="270"/>
      <c r="AD123" s="270"/>
      <c r="AE123" s="270"/>
      <c r="AF123" s="270"/>
      <c r="AG123" s="272"/>
      <c r="AH123" s="273"/>
      <c r="AI123" s="43"/>
      <c r="AJ123" s="43"/>
      <c r="AK123" s="43"/>
      <c r="AL123" s="43"/>
      <c r="AM123" s="43"/>
      <c r="AN123" s="274"/>
      <c r="AO123" s="43"/>
      <c r="AP123" s="43"/>
      <c r="AQ123" s="43"/>
    </row>
    <row r="124" customFormat="false" ht="11.25" hidden="false" customHeight="true" outlineLevel="0" collapsed="false">
      <c r="A124" s="276"/>
      <c r="B124" s="276"/>
      <c r="C124" s="276"/>
      <c r="D124" s="276"/>
      <c r="E124" s="276"/>
      <c r="F124" s="276"/>
      <c r="G124" s="276"/>
      <c r="H124" s="276"/>
      <c r="I124" s="276"/>
      <c r="J124" s="276"/>
      <c r="K124" s="276"/>
      <c r="L124" s="276"/>
      <c r="M124" s="276"/>
      <c r="N124" s="276"/>
      <c r="O124" s="276"/>
      <c r="P124" s="276"/>
      <c r="Q124" s="276"/>
      <c r="R124" s="276"/>
      <c r="S124" s="276"/>
      <c r="T124" s="276"/>
      <c r="U124" s="276"/>
      <c r="V124" s="276"/>
      <c r="W124" s="276"/>
      <c r="X124" s="276"/>
      <c r="Y124" s="276"/>
      <c r="Z124" s="276"/>
      <c r="AA124" s="276"/>
      <c r="AB124" s="276"/>
      <c r="AC124" s="276"/>
      <c r="AD124" s="276"/>
      <c r="AE124" s="276"/>
      <c r="AF124" s="276"/>
      <c r="AG124" s="276"/>
      <c r="AH124" s="276"/>
      <c r="AI124" s="276"/>
      <c r="AJ124" s="276"/>
      <c r="AK124" s="276"/>
      <c r="AL124" s="276"/>
      <c r="AM124" s="276"/>
      <c r="AN124" s="276"/>
      <c r="AO124" s="276"/>
      <c r="AP124" s="276"/>
      <c r="AQ124" s="43"/>
    </row>
  </sheetData>
  <sheetProtection sheet="true" objects="true" scenarios="true"/>
  <mergeCells count="25">
    <mergeCell ref="B1:L1"/>
    <mergeCell ref="AO1:AP1"/>
    <mergeCell ref="B2:E2"/>
    <mergeCell ref="F2:N2"/>
    <mergeCell ref="P2:U2"/>
    <mergeCell ref="B3:E3"/>
    <mergeCell ref="F3:N3"/>
    <mergeCell ref="P3:U3"/>
    <mergeCell ref="B4:E4"/>
    <mergeCell ref="F4:N4"/>
    <mergeCell ref="P4:U4"/>
    <mergeCell ref="B5:E5"/>
    <mergeCell ref="F5:N5"/>
    <mergeCell ref="B6:E6"/>
    <mergeCell ref="F6:N6"/>
    <mergeCell ref="B7:E7"/>
    <mergeCell ref="F7:N7"/>
    <mergeCell ref="AH10:AI10"/>
    <mergeCell ref="AO10:AP10"/>
    <mergeCell ref="B117:Q117"/>
    <mergeCell ref="B119:Q119"/>
    <mergeCell ref="Y119:AF120"/>
    <mergeCell ref="B120:Q120"/>
    <mergeCell ref="T120:X120"/>
    <mergeCell ref="B122:Q122"/>
  </mergeCells>
  <conditionalFormatting sqref="B114:AF114 AI114">
    <cfRule type="expression" priority="2" aboveAverage="0" equalAverage="0" bottom="0" percent="0" rank="0" text="" dxfId="0">
      <formula>ABS(B$114)&gt;=ROUND(1/24/60,9)</formula>
    </cfRule>
  </conditionalFormatting>
  <conditionalFormatting sqref="B13:AF22 B34:AF44 B25:AF30 B60:AF61 B67:AF67 B71:AF72 B84:AF84 B86:AF95 B97:AF111">
    <cfRule type="expression" priority="3" aboveAverage="0" equalAverage="0" bottom="0" percent="0" rank="0" text="" dxfId="1">
      <formula>WEEKDAY(B$10,2)&gt;5</formula>
    </cfRule>
    <cfRule type="expression" priority="4" aboveAverage="0" equalAverage="0" bottom="0" percent="0" rank="0" text="" dxfId="2">
      <formula>AND(NOT(ISERROR(MATCH(B$10,T.Feiertage.Bereich,0))),OFFSET(T.Feiertage.Bereich,MATCH(B$10,T.Feiertage.Bereich,0)-1,1,1,1)&gt;0)</formula>
    </cfRule>
    <cfRule type="expression" priority="5" aboveAverage="0" equalAverage="0" bottom="0" percent="0" rank="0" text="" dxfId="3">
      <formula>B$11=0</formula>
    </cfRule>
  </conditionalFormatting>
  <conditionalFormatting sqref="AN60:AO60">
    <cfRule type="expression" priority="6" aboveAverage="0" equalAverage="0" bottom="0" percent="0" rank="0" text="" dxfId="4">
      <formula>AND(T.50_Vetsuisse,AN60&gt;=T.GrenzeAngÜZ50_Vetsuisse)</formula>
    </cfRule>
    <cfRule type="expression" priority="7" aboveAverage="0" equalAverage="0" bottom="0" percent="0" rank="0" text="" dxfId="5">
      <formula>AND(T.50_Vetsuisse,AN60&gt;T.GrenzeAngÜZ50_Vetsuisse*T.AngÜZ50_Vetsuisse_orange)</formula>
    </cfRule>
  </conditionalFormatting>
  <conditionalFormatting sqref="B56:AF56">
    <cfRule type="expression" priority="8" aboveAverage="0" equalAverage="0" bottom="0" percent="0" rank="0" text="" dxfId="6">
      <formula>B$10&gt;TODAY()</formula>
    </cfRule>
    <cfRule type="expression" priority="9" aboveAverage="0" equalAverage="0" bottom="0" percent="0" rank="0" text="" dxfId="7">
      <formula>B$56&gt;99.99/24</formula>
    </cfRule>
    <cfRule type="expression" priority="10" aboveAverage="0" equalAverage="0" bottom="0" percent="0" rank="0" text="" dxfId="0">
      <formula>B$56&lt;99.99/24*-1</formula>
    </cfRule>
  </conditionalFormatting>
  <conditionalFormatting sqref="AO55:AP55">
    <cfRule type="cellIs" priority="11" operator="greaterThan" aboveAverage="0" equalAverage="0" bottom="0" percent="0" rank="0" text="" dxfId="1">
      <formula>1/24/60</formula>
    </cfRule>
    <cfRule type="expression" priority="12" aboveAverage="0" equalAverage="0" bottom="0" percent="0" rank="0" text="" dxfId="2">
      <formula>AND(AO55&lt;=1/24/60*-1,TODAY()&gt;=DATE(EB.Jahr,MONTH(12),DAY(31)))</formula>
    </cfRule>
  </conditionalFormatting>
  <conditionalFormatting sqref="B56:AF56 AI58">
    <cfRule type="expression" priority="13" aboveAverage="0" equalAverage="0" bottom="0" percent="0" rank="0" text="" dxfId="3">
      <formula>B$56&gt;1/24/60</formula>
    </cfRule>
    <cfRule type="expression" priority="14" aboveAverage="0" equalAverage="0" bottom="0" percent="0" rank="0" text="" dxfId="4">
      <formula>AND(B$56&lt;=1/24/60*-1,B$56)</formula>
    </cfRule>
  </conditionalFormatting>
  <conditionalFormatting sqref="B14:AF22 B36:AF44 B26:AF30">
    <cfRule type="expression" priority="15" aboveAverage="0" equalAverage="0" bottom="0" percent="0" rank="0" text="" dxfId="5">
      <formula>AND(B14&lt;B13,B14&lt;&gt;"")</formula>
    </cfRule>
  </conditionalFormatting>
  <conditionalFormatting sqref="B72:AF73">
    <cfRule type="expression" priority="16" aboveAverage="0" equalAverage="0" bottom="0" percent="0" rank="0" text="" dxfId="6">
      <formula>AND(T.50_Vetsuisse,OR(AND(B$72&lt;&gt;INDEX(T.JaNein.Bereich,1,1),B$72&lt;&gt;INDEX(T.JaNein.Bereich,2,1),B$73&lt;&gt;0,MOD(IFERROR(MATCH(1,B$13:B$22,0),1),2)=0),AND(B$72=INDEX(T.JaNein.Bereich,1,1),OR(B$73=0,MOD(IFERROR(MATCH(1,B$13:B$22,0),1),2)&lt;&gt;0))))</formula>
    </cfRule>
  </conditionalFormatting>
  <conditionalFormatting sqref="P4:U4">
    <cfRule type="expression" priority="17" aboveAverage="0" equalAverage="0" bottom="0" percent="0" rank="0" text="" dxfId="7">
      <formula>$P$4&lt;&gt;""</formula>
    </cfRule>
  </conditionalFormatting>
  <conditionalFormatting sqref="V4">
    <cfRule type="expression" priority="18" aboveAverage="0" equalAverage="0" bottom="0" percent="0" rank="0" text="" dxfId="8">
      <formula>$V$4&lt;&gt;""</formula>
    </cfRule>
  </conditionalFormatting>
  <conditionalFormatting sqref="AP60">
    <cfRule type="expression" priority="19" aboveAverage="0" equalAverage="0" bottom="0" percent="0" rank="0" text="" dxfId="9">
      <formula>AND(T.50_Vetsuisse,AP60&gt;=T.GrenzeAngÜZ50_Vetsuisse)</formula>
    </cfRule>
    <cfRule type="expression" priority="20" aboveAverage="0" equalAverage="0" bottom="0" percent="0" rank="0" text="" dxfId="10">
      <formula>AND(T.50_Vetsuisse,AP60&gt;T.GrenzeAngÜZ50_Vetsuisse*T.AngÜZ50_Vetsuisse_orange)</formula>
    </cfRule>
  </conditionalFormatting>
  <conditionalFormatting sqref="AJ72:AJ73">
    <cfRule type="expression" priority="21" aboveAverage="0" equalAverage="0" bottom="0" percent="0" rank="0" text="" dxfId="11">
      <formula>AND(T.50_Vetsuisse,$AJ$72&lt;&gt;$AJ$73)</formula>
    </cfRule>
    <cfRule type="expression" priority="22" aboveAverage="0" equalAverage="0" bottom="0" percent="0" rank="0" text="" dxfId="12">
      <formula>$AJ$72&gt;$AJ$73</formula>
    </cfRule>
  </conditionalFormatting>
  <dataValidations count="2">
    <dataValidation allowBlank="true" error="Please choose a value from the drop-down list." errorTitle="Start pl. night shift" operator="between" showDropDown="false" showErrorMessage="true" showInputMessage="true" sqref="B72:AF72" type="list">
      <formula1>T.JaNein.Bereich</formula1>
      <formula2>0</formula2>
    </dataValidation>
    <dataValidation allowBlank="true" error="Bitte wählen Sie einen Wert aus der Liste." errorTitle="Pikett Bereitschaft" operator="between" showDropDown="false" showErrorMessage="true" showInputMessage="true" sqref="B34:AF34" type="list">
      <formula1>T.Pikett.Bereich</formula1>
      <formula2>0</formula2>
    </dataValidation>
  </dataValidations>
  <printOptions headings="false" gridLines="false" gridLinesSet="true" horizontalCentered="true" verticalCentered="false"/>
  <pageMargins left="0.196527777777778" right="0.196527777777778" top="0.39375" bottom="0.393055555555556" header="0.511805555555555" footer="0.196527777777778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&amp;L&amp;"Arial,Regular"&amp;11Monatsabrechnung &amp;A&amp;C&amp;"Arial,Regular"&amp;11&amp;D&amp;R&amp;"Arial,Regular"&amp;11&amp;P /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LibreOffice/6.0.3.2$Linux_X86_64 LibreOffice_project/00m0$Build-2</Application>
  <Company>----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2005-10-03T07:19:09Z</dcterms:created>
  <dc:creator>Beat Wolfensberger;joel.ducommun@abraxas.ch;peter.vonballmoos@parzung.ch</dc:creator>
  <dc:description/>
  <dc:language>en-US</dc:language>
  <cp:lastModifiedBy/>
  <cp:lastPrinted>2017-11-19T16:35:37Z</cp:lastPrinted>
  <dcterms:modified xsi:type="dcterms:W3CDTF">2018-05-22T08:50:14Z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----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